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GShukurlu\Downloads\"/>
    </mc:Choice>
  </mc:AlternateContent>
  <xr:revisionPtr revIDLastSave="0" documentId="8_{A55D8F46-A7F9-4BD4-B1B3-4DDE36B27CB1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Архив" sheetId="4" state="hidden" r:id="rId1"/>
    <sheet name="Списки" sheetId="21" state="hidden" r:id="rId2"/>
    <sheet name="СВОД" sheetId="32" r:id="rId3"/>
    <sheet name="Общий список" sheetId="12" r:id="rId4"/>
    <sheet name="Расширенная поддержка" sheetId="31" r:id="rId5"/>
    <sheet name="По РМР" sheetId="25" r:id="rId6"/>
    <sheet name="По регионам" sheetId="30" r:id="rId7"/>
    <sheet name="Справочник" sheetId="27" state="hidden" r:id="rId8"/>
    <sheet name="Предприятия-лидеры" sheetId="29" r:id="rId9"/>
    <sheet name="Нет отчетности" sheetId="22" r:id="rId10"/>
    <sheet name="Выборка" sheetId="23" r:id="rId11"/>
  </sheets>
  <externalReferences>
    <externalReference r:id="rId12"/>
  </externalReferences>
  <definedNames>
    <definedName name="_xlnm._FilterDatabase" localSheetId="3" hidden="1">'Общий список'!$A$6:$AM$830</definedName>
    <definedName name="_xlnm._FilterDatabase" localSheetId="6" hidden="1">'По регионам'!$A$2:$F$10</definedName>
    <definedName name="_xlnm._FilterDatabase" localSheetId="5" hidden="1">'По РМР'!$A$2:$K$10</definedName>
    <definedName name="_xlnm._FilterDatabase" localSheetId="8" hidden="1">'Предприятия-лидеры'!#REF!</definedName>
    <definedName name="_xlnm._FilterDatabase" localSheetId="4" hidden="1">'Расширенная поддержка'!$A$1:$H$33</definedName>
    <definedName name="Год">Списки!$A$2:$A$5</definedName>
    <definedName name="_xlnm.Print_Area" localSheetId="0">Архив!$A$1:$G$74</definedName>
    <definedName name="_xlnm.Print_Area" localSheetId="2">СВОД!$A$1:$F$77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2" l="1"/>
  <c r="E69" i="32" l="1"/>
  <c r="E68" i="32"/>
  <c r="E66" i="32"/>
  <c r="E65" i="32"/>
  <c r="E63" i="32"/>
  <c r="E64" i="32" s="1"/>
  <c r="E62" i="32"/>
  <c r="D3" i="32"/>
  <c r="C3" i="32"/>
  <c r="B3" i="32"/>
  <c r="B47" i="32" l="1"/>
  <c r="C47" i="32"/>
  <c r="D47" i="32"/>
  <c r="E60" i="4" l="1"/>
  <c r="E61" i="4" s="1"/>
  <c r="E59" i="4"/>
  <c r="B3" i="4"/>
  <c r="B28" i="4" s="1"/>
  <c r="L1" i="22" l="1"/>
  <c r="C3" i="4" l="1"/>
  <c r="D3" i="4"/>
  <c r="D44" i="4" l="1"/>
  <c r="D28" i="4"/>
  <c r="C28" i="4"/>
  <c r="B44" i="4"/>
  <c r="C44" i="4"/>
  <c r="F7" i="25" l="1"/>
  <c r="D4" i="32"/>
  <c r="D48" i="32" s="1"/>
  <c r="D9" i="32"/>
  <c r="B13" i="32"/>
  <c r="C17" i="32"/>
  <c r="C13" i="32"/>
  <c r="C9" i="32"/>
  <c r="B14" i="32"/>
  <c r="B9" i="32"/>
  <c r="D13" i="32"/>
  <c r="C4" i="32"/>
  <c r="C48" i="32" s="1"/>
  <c r="D17" i="32"/>
  <c r="B17" i="32"/>
  <c r="C14" i="32"/>
  <c r="B4" i="32"/>
  <c r="B18" i="32"/>
  <c r="C18" i="32"/>
  <c r="B3" i="30" a="1"/>
  <c r="B35" i="4"/>
  <c r="C35" i="4"/>
  <c r="C34" i="4"/>
  <c r="B34" i="4"/>
  <c r="F5" i="25"/>
  <c r="F9" i="25"/>
  <c r="F6" i="25"/>
  <c r="C5" i="25"/>
  <c r="C7" i="25"/>
  <c r="C4" i="25"/>
  <c r="F4" i="25"/>
  <c r="C6" i="25"/>
  <c r="C8" i="25"/>
  <c r="F8" i="25"/>
  <c r="C9" i="25"/>
  <c r="D30" i="4"/>
  <c r="C30" i="4"/>
  <c r="B30" i="4"/>
  <c r="C39" i="4"/>
  <c r="B39" i="4"/>
  <c r="C38" i="4"/>
  <c r="B38" i="4"/>
  <c r="D38" i="4"/>
  <c r="D34" i="4"/>
  <c r="C4" i="4"/>
  <c r="B4" i="4"/>
  <c r="D4" i="4"/>
  <c r="C15" i="32" l="1"/>
  <c r="C19" i="32"/>
  <c r="B48" i="32"/>
  <c r="E48" i="32" s="1"/>
  <c r="E4" i="32"/>
  <c r="E17" i="32"/>
  <c r="E13" i="32"/>
  <c r="B19" i="32"/>
  <c r="E9" i="32"/>
  <c r="B15" i="32"/>
  <c r="D7" i="30"/>
  <c r="D16" i="30"/>
  <c r="D32" i="30"/>
  <c r="D48" i="30"/>
  <c r="D13" i="30"/>
  <c r="D29" i="30"/>
  <c r="D45" i="30"/>
  <c r="D5" i="30"/>
  <c r="D25" i="30"/>
  <c r="D18" i="30"/>
  <c r="D34" i="30"/>
  <c r="D50" i="30"/>
  <c r="D15" i="30"/>
  <c r="D31" i="30"/>
  <c r="D47" i="30"/>
  <c r="D28" i="30"/>
  <c r="D6" i="30"/>
  <c r="B3" i="30"/>
  <c r="D20" i="30"/>
  <c r="D36" i="30"/>
  <c r="D52" i="30"/>
  <c r="D17" i="30"/>
  <c r="D33" i="30"/>
  <c r="D49" i="30"/>
  <c r="D41" i="30"/>
  <c r="D4" i="30"/>
  <c r="D22" i="30"/>
  <c r="D38" i="30"/>
  <c r="D54" i="30"/>
  <c r="D19" i="30"/>
  <c r="D35" i="30"/>
  <c r="D51" i="30"/>
  <c r="D10" i="30"/>
  <c r="D26" i="30"/>
  <c r="D42" i="30"/>
  <c r="D8" i="30"/>
  <c r="D23" i="30"/>
  <c r="D39" i="30"/>
  <c r="D55" i="30"/>
  <c r="D12" i="30"/>
  <c r="D24" i="30"/>
  <c r="D40" i="30"/>
  <c r="D21" i="30"/>
  <c r="D37" i="30"/>
  <c r="D53" i="30"/>
  <c r="D44" i="30"/>
  <c r="D14" i="30"/>
  <c r="D30" i="30"/>
  <c r="D46" i="30"/>
  <c r="D11" i="30"/>
  <c r="D27" i="30"/>
  <c r="D43" i="30"/>
  <c r="D9" i="30"/>
  <c r="C40" i="4"/>
  <c r="B40" i="4"/>
  <c r="C36" i="4"/>
  <c r="B36" i="4"/>
  <c r="E38" i="4"/>
  <c r="F10" i="25"/>
  <c r="C10" i="25"/>
  <c r="E30" i="4"/>
  <c r="E34" i="4"/>
  <c r="E41" i="32" l="1"/>
  <c r="E40" i="32"/>
  <c r="C3" i="30" a="1"/>
  <c r="C3" i="30" s="1"/>
  <c r="D3" i="30"/>
  <c r="V5" i="12"/>
  <c r="F62" i="4" l="1"/>
  <c r="E66" i="4"/>
  <c r="E65" i="4"/>
  <c r="E63" i="4"/>
  <c r="E62" i="4"/>
  <c r="E4" i="4" l="1"/>
  <c r="F4" i="4" s="1"/>
  <c r="B45" i="4"/>
  <c r="D45" i="4"/>
  <c r="C45" i="4"/>
  <c r="E45" i="4" l="1"/>
  <c r="F14" i="4"/>
  <c r="F65" i="4" s="1"/>
  <c r="B31" i="32" l="1"/>
  <c r="B17" i="4"/>
  <c r="B33" i="32"/>
  <c r="B19" i="4"/>
  <c r="B32" i="32" l="1"/>
  <c r="B18" i="4"/>
  <c r="E25" i="30" l="1"/>
  <c r="F25" i="30" s="1"/>
  <c r="E9" i="30"/>
  <c r="F9" i="30" s="1"/>
  <c r="E50" i="30"/>
  <c r="F50" i="30" s="1"/>
  <c r="E54" i="30"/>
  <c r="F54" i="30" s="1"/>
  <c r="E16" i="30"/>
  <c r="F16" i="30" s="1"/>
  <c r="E30" i="30"/>
  <c r="F30" i="30" s="1"/>
  <c r="E29" i="30"/>
  <c r="F29" i="30" s="1"/>
  <c r="E24" i="30"/>
  <c r="F24" i="30" s="1"/>
  <c r="E36" i="30"/>
  <c r="F36" i="30" s="1"/>
  <c r="E11" i="30"/>
  <c r="F11" i="30" s="1"/>
  <c r="E3" i="30"/>
  <c r="F3" i="30" s="1"/>
  <c r="E13" i="30"/>
  <c r="F13" i="30" s="1"/>
  <c r="E39" i="30"/>
  <c r="F39" i="30" s="1"/>
  <c r="E33" i="30"/>
  <c r="F33" i="30" s="1"/>
  <c r="E18" i="30"/>
  <c r="F18" i="30" s="1"/>
  <c r="E37" i="30"/>
  <c r="F37" i="30" s="1"/>
  <c r="E48" i="30"/>
  <c r="F48" i="30" s="1"/>
  <c r="E31" i="30"/>
  <c r="F31" i="30" s="1"/>
  <c r="E26" i="30"/>
  <c r="F26" i="30" s="1"/>
  <c r="E20" i="30"/>
  <c r="F20" i="30" s="1"/>
  <c r="E15" i="30"/>
  <c r="F15" i="30" s="1"/>
  <c r="E42" i="30"/>
  <c r="F42" i="30" s="1"/>
  <c r="E44" i="30"/>
  <c r="F44" i="30" s="1"/>
  <c r="E40" i="30"/>
  <c r="F40" i="30" s="1"/>
  <c r="E14" i="30" l="1"/>
  <c r="F14" i="30" s="1"/>
  <c r="E22" i="30"/>
  <c r="F22" i="30" s="1"/>
  <c r="D6" i="25"/>
  <c r="E6" i="25" s="1"/>
  <c r="G6" i="25"/>
  <c r="H6" i="25" s="1"/>
  <c r="I6" i="25" s="1"/>
  <c r="E53" i="30"/>
  <c r="F53" i="30" s="1"/>
  <c r="G7" i="25"/>
  <c r="H7" i="25" s="1"/>
  <c r="I7" i="25" s="1"/>
  <c r="E41" i="30"/>
  <c r="F41" i="30" s="1"/>
  <c r="D7" i="25"/>
  <c r="E7" i="25" s="1"/>
  <c r="E49" i="30"/>
  <c r="F49" i="30" s="1"/>
  <c r="E17" i="30"/>
  <c r="F17" i="30" s="1"/>
  <c r="E47" i="30"/>
  <c r="F47" i="30" s="1"/>
  <c r="E38" i="30" l="1"/>
  <c r="F38" i="30" s="1"/>
  <c r="E43" i="30" l="1"/>
  <c r="F43" i="30" s="1"/>
  <c r="G8" i="25"/>
  <c r="H8" i="25" s="1"/>
  <c r="I8" i="25" s="1"/>
  <c r="D8" i="25"/>
  <c r="E8" i="25" s="1"/>
  <c r="E45" i="30"/>
  <c r="F45" i="30" s="1"/>
  <c r="E7" i="30"/>
  <c r="F7" i="30" s="1"/>
  <c r="E21" i="30"/>
  <c r="F21" i="30" s="1"/>
  <c r="D5" i="25"/>
  <c r="E5" i="25" s="1"/>
  <c r="G5" i="25" l="1"/>
  <c r="H5" i="25" s="1"/>
  <c r="I5" i="25" s="1"/>
  <c r="E51" i="30"/>
  <c r="F51" i="30" s="1"/>
  <c r="C17" i="4" l="1"/>
  <c r="C31" i="32"/>
  <c r="B21" i="32" l="1"/>
  <c r="B9" i="4"/>
  <c r="B53" i="32" l="1"/>
  <c r="B50" i="4"/>
  <c r="B53" i="4"/>
  <c r="B56" i="32"/>
  <c r="B21" i="4" l="1"/>
  <c r="B35" i="32"/>
  <c r="B71" i="4"/>
  <c r="B74" i="32"/>
  <c r="B25" i="32" l="1"/>
  <c r="B13" i="4"/>
  <c r="B38" i="32"/>
  <c r="B50" i="32"/>
  <c r="B47" i="4"/>
  <c r="B56" i="4" l="1"/>
  <c r="B59" i="32"/>
  <c r="AC4" i="12" l="1"/>
  <c r="D17" i="4" l="1"/>
  <c r="E17" i="4" s="1"/>
  <c r="D31" i="32"/>
  <c r="E31" i="32" s="1"/>
  <c r="C21" i="32" l="1"/>
  <c r="C9" i="4"/>
  <c r="Y4" i="12"/>
  <c r="C21" i="4" l="1"/>
  <c r="C35" i="32"/>
  <c r="V4" i="12"/>
  <c r="W4" i="12"/>
  <c r="D21" i="32" l="1"/>
  <c r="E21" i="32" s="1"/>
  <c r="D9" i="4"/>
  <c r="E9" i="4" s="1"/>
  <c r="C38" i="32"/>
  <c r="AA4" i="12"/>
  <c r="Z4" i="12"/>
  <c r="AB4" i="12" l="1"/>
  <c r="C53" i="4"/>
  <c r="C56" i="32"/>
  <c r="D53" i="32"/>
  <c r="D50" i="4"/>
  <c r="D21" i="4"/>
  <c r="E21" i="4" s="1"/>
  <c r="D35" i="32"/>
  <c r="D56" i="32"/>
  <c r="D53" i="4"/>
  <c r="C53" i="32"/>
  <c r="C50" i="4"/>
  <c r="X4" i="12" l="1"/>
  <c r="D38" i="32"/>
  <c r="E35" i="32"/>
  <c r="E38" i="32" s="1"/>
  <c r="E56" i="32"/>
  <c r="C71" i="4"/>
  <c r="E50" i="4"/>
  <c r="D71" i="4"/>
  <c r="AD4" i="12"/>
  <c r="AF4" i="12"/>
  <c r="C74" i="32"/>
  <c r="E53" i="32"/>
  <c r="E53" i="4"/>
  <c r="D74" i="32"/>
  <c r="E71" i="4" l="1"/>
  <c r="C25" i="32"/>
  <c r="C13" i="4"/>
  <c r="E74" i="32"/>
  <c r="C47" i="4"/>
  <c r="C50" i="32"/>
  <c r="D50" i="32"/>
  <c r="D59" i="32" s="1"/>
  <c r="D47" i="4"/>
  <c r="D56" i="4" s="1"/>
  <c r="D25" i="32"/>
  <c r="D13" i="4"/>
  <c r="E13" i="4" l="1"/>
  <c r="C59" i="32"/>
  <c r="E50" i="32"/>
  <c r="E25" i="32"/>
  <c r="C56" i="4"/>
  <c r="E47" i="4"/>
  <c r="E56" i="4" l="1"/>
  <c r="E59" i="32"/>
  <c r="E46" i="30" l="1"/>
  <c r="F46" i="30" s="1"/>
  <c r="E10" i="30" l="1"/>
  <c r="F10" i="30" s="1"/>
  <c r="E23" i="30" l="1"/>
  <c r="F23" i="30" s="1"/>
  <c r="E4" i="30" l="1"/>
  <c r="F4" i="30" s="1"/>
  <c r="B52" i="4" l="1"/>
  <c r="B55" i="32"/>
  <c r="B54" i="32"/>
  <c r="B51" i="4"/>
  <c r="B58" i="32"/>
  <c r="B57" i="32"/>
  <c r="B54" i="4"/>
  <c r="B55" i="4"/>
  <c r="N4" i="12"/>
  <c r="K4" i="12" l="1"/>
  <c r="V2" i="12" s="1"/>
  <c r="L4" i="12"/>
  <c r="W2" i="12" s="1"/>
  <c r="P4" i="12"/>
  <c r="AA3" i="12" s="1"/>
  <c r="O4" i="12"/>
  <c r="M4" i="12"/>
  <c r="R4" i="12"/>
  <c r="Q4" i="12"/>
  <c r="C19" i="4"/>
  <c r="C33" i="32"/>
  <c r="B22" i="32"/>
  <c r="B11" i="4"/>
  <c r="B10" i="4"/>
  <c r="B23" i="32"/>
  <c r="E11" i="4"/>
  <c r="E23" i="32"/>
  <c r="B23" i="4"/>
  <c r="B37" i="32"/>
  <c r="B22" i="4"/>
  <c r="B36" i="32"/>
  <c r="E37" i="32"/>
  <c r="E23" i="4"/>
  <c r="D23" i="4"/>
  <c r="D37" i="32"/>
  <c r="D22" i="4"/>
  <c r="D36" i="32"/>
  <c r="C58" i="32"/>
  <c r="C52" i="4"/>
  <c r="C54" i="4"/>
  <c r="C54" i="32"/>
  <c r="D54" i="32"/>
  <c r="D33" i="32"/>
  <c r="E19" i="4"/>
  <c r="D19" i="4"/>
  <c r="E33" i="32"/>
  <c r="C57" i="32"/>
  <c r="C51" i="4"/>
  <c r="D55" i="32"/>
  <c r="Y2" i="12"/>
  <c r="Y3" i="12"/>
  <c r="C55" i="4"/>
  <c r="C55" i="32"/>
  <c r="D52" i="4"/>
  <c r="C37" i="32"/>
  <c r="C22" i="4"/>
  <c r="C23" i="4"/>
  <c r="C36" i="32"/>
  <c r="B72" i="4"/>
  <c r="D51" i="4"/>
  <c r="B75" i="32"/>
  <c r="D22" i="32"/>
  <c r="D23" i="32"/>
  <c r="D10" i="4"/>
  <c r="D11" i="4"/>
  <c r="C11" i="4"/>
  <c r="C23" i="32"/>
  <c r="C22" i="32"/>
  <c r="C10" i="4"/>
  <c r="D54" i="4"/>
  <c r="D57" i="32"/>
  <c r="D55" i="4"/>
  <c r="D58" i="32"/>
  <c r="W3" i="12" l="1"/>
  <c r="AH4" i="12"/>
  <c r="AA2" i="12"/>
  <c r="V3" i="12"/>
  <c r="E54" i="32"/>
  <c r="E55" i="32" s="1"/>
  <c r="U4" i="12"/>
  <c r="AF2" i="12" s="1"/>
  <c r="X3" i="12"/>
  <c r="X2" i="12"/>
  <c r="S4" i="12"/>
  <c r="Z3" i="12"/>
  <c r="Z2" i="12"/>
  <c r="AB2" i="12"/>
  <c r="AB3" i="12"/>
  <c r="AC3" i="12"/>
  <c r="AC2" i="12"/>
  <c r="E57" i="32"/>
  <c r="E58" i="32" s="1"/>
  <c r="E54" i="4"/>
  <c r="E55" i="4" s="1"/>
  <c r="D72" i="4"/>
  <c r="D73" i="4" s="1"/>
  <c r="B73" i="4"/>
  <c r="D52" i="32"/>
  <c r="D48" i="4"/>
  <c r="D57" i="4" s="1"/>
  <c r="D58" i="4" s="1"/>
  <c r="D49" i="4"/>
  <c r="D51" i="32"/>
  <c r="D60" i="32" s="1"/>
  <c r="D61" i="32" s="1"/>
  <c r="B7" i="4"/>
  <c r="E7" i="32"/>
  <c r="E27" i="32"/>
  <c r="E7" i="4"/>
  <c r="D7" i="32"/>
  <c r="D27" i="32"/>
  <c r="D7" i="4"/>
  <c r="D15" i="4"/>
  <c r="D32" i="32"/>
  <c r="D18" i="4"/>
  <c r="B49" i="4"/>
  <c r="E10" i="4"/>
  <c r="C72" i="4"/>
  <c r="C73" i="4" s="1"/>
  <c r="C52" i="32"/>
  <c r="C48" i="4"/>
  <c r="C57" i="4" s="1"/>
  <c r="C58" i="4" s="1"/>
  <c r="C51" i="32"/>
  <c r="C60" i="32" s="1"/>
  <c r="C61" i="32" s="1"/>
  <c r="C49" i="4"/>
  <c r="B76" i="32"/>
  <c r="D75" i="32"/>
  <c r="D76" i="32" s="1"/>
  <c r="C27" i="32"/>
  <c r="C7" i="32"/>
  <c r="C7" i="4"/>
  <c r="C15" i="4"/>
  <c r="E22" i="32"/>
  <c r="B52" i="32"/>
  <c r="B48" i="4"/>
  <c r="B51" i="32"/>
  <c r="C75" i="32"/>
  <c r="C76" i="32" s="1"/>
  <c r="B7" i="32"/>
  <c r="B27" i="32"/>
  <c r="B15" i="4"/>
  <c r="E36" i="32"/>
  <c r="E51" i="4"/>
  <c r="E52" i="4" s="1"/>
  <c r="E15" i="4"/>
  <c r="E22" i="4"/>
  <c r="C32" i="32"/>
  <c r="C18" i="4"/>
  <c r="AF3" i="12" l="1"/>
  <c r="AG3" i="12" s="1"/>
  <c r="AJ4" i="12"/>
  <c r="E18" i="4"/>
  <c r="AD2" i="12"/>
  <c r="AD3" i="12"/>
  <c r="AF1" i="12" s="1"/>
  <c r="AG4" i="12"/>
  <c r="AI4" i="12"/>
  <c r="E75" i="32"/>
  <c r="E76" i="32" s="1"/>
  <c r="E72" i="4"/>
  <c r="E73" i="4" s="1"/>
  <c r="E32" i="32"/>
  <c r="B14" i="4"/>
  <c r="B26" i="32"/>
  <c r="D26" i="32"/>
  <c r="D28" i="32" s="1"/>
  <c r="D29" i="32" s="1"/>
  <c r="D14" i="4"/>
  <c r="B60" i="32"/>
  <c r="B61" i="32" s="1"/>
  <c r="E51" i="32"/>
  <c r="C26" i="32"/>
  <c r="C28" i="32" s="1"/>
  <c r="C29" i="32" s="1"/>
  <c r="C14" i="4"/>
  <c r="E48" i="4"/>
  <c r="B57" i="4"/>
  <c r="B58" i="4" s="1"/>
  <c r="AB1" i="12" l="1"/>
  <c r="Z1" i="12"/>
  <c r="Y1" i="12"/>
  <c r="AA1" i="12"/>
  <c r="E14" i="4"/>
  <c r="G14" i="4" s="1"/>
  <c r="E57" i="4"/>
  <c r="E58" i="4" s="1"/>
  <c r="E49" i="4"/>
  <c r="E28" i="30"/>
  <c r="F28" i="30" s="1"/>
  <c r="E6" i="30"/>
  <c r="F6" i="30" s="1"/>
  <c r="B5" i="32"/>
  <c r="E27" i="30"/>
  <c r="F27" i="30" s="1"/>
  <c r="D18" i="32"/>
  <c r="D39" i="4"/>
  <c r="A3" i="23" a="1"/>
  <c r="D35" i="4"/>
  <c r="D14" i="32"/>
  <c r="E12" i="30"/>
  <c r="F12" i="30" s="1"/>
  <c r="B31" i="4"/>
  <c r="E60" i="32"/>
  <c r="E61" i="32" s="1"/>
  <c r="E52" i="32"/>
  <c r="E52" i="30"/>
  <c r="F52" i="30" s="1"/>
  <c r="E34" i="30"/>
  <c r="F34" i="30" s="1"/>
  <c r="B10" i="32"/>
  <c r="E19" i="30"/>
  <c r="F19" i="30" s="1"/>
  <c r="B5" i="4"/>
  <c r="E26" i="32"/>
  <c r="F40" i="32" s="1"/>
  <c r="B28" i="32"/>
  <c r="G9" i="25"/>
  <c r="H9" i="25" s="1"/>
  <c r="I9" i="25" s="1"/>
  <c r="E55" i="30"/>
  <c r="F55" i="30" s="1"/>
  <c r="D9" i="25"/>
  <c r="E9" i="25" s="1"/>
  <c r="E8" i="30"/>
  <c r="F8" i="30" s="1"/>
  <c r="AL4" i="12" l="1"/>
  <c r="AM4" i="12"/>
  <c r="D4" i="25"/>
  <c r="D10" i="25" s="1"/>
  <c r="E10" i="25" s="1"/>
  <c r="C5" i="32"/>
  <c r="C6" i="32" s="1"/>
  <c r="C31" i="4"/>
  <c r="C32" i="4" s="1"/>
  <c r="C10" i="32"/>
  <c r="C11" i="32" s="1"/>
  <c r="G4" i="25"/>
  <c r="H4" i="25" s="1"/>
  <c r="I4" i="25" s="1"/>
  <c r="E28" i="32"/>
  <c r="B29" i="32"/>
  <c r="E29" i="32" s="1"/>
  <c r="C5" i="4"/>
  <c r="C6" i="4" s="1"/>
  <c r="B6" i="4"/>
  <c r="B32" i="4"/>
  <c r="E35" i="30"/>
  <c r="F35" i="30" s="1"/>
  <c r="D5" i="4"/>
  <c r="D6" i="4" s="1"/>
  <c r="E14" i="32"/>
  <c r="E15" i="32" s="1"/>
  <c r="D15" i="32"/>
  <c r="B6" i="32"/>
  <c r="D5" i="32"/>
  <c r="D6" i="32" s="1"/>
  <c r="E35" i="4"/>
  <c r="E36" i="4" s="1"/>
  <c r="D36" i="4"/>
  <c r="G3" i="29" a="1"/>
  <c r="G3" i="29" s="1"/>
  <c r="E32" i="30"/>
  <c r="F32" i="30" s="1"/>
  <c r="B11" i="32"/>
  <c r="D31" i="4"/>
  <c r="D32" i="4" s="1"/>
  <c r="B1" i="23"/>
  <c r="A3" i="23"/>
  <c r="E5" i="30"/>
  <c r="F5" i="30" s="1"/>
  <c r="D10" i="32"/>
  <c r="D11" i="32" s="1"/>
  <c r="D40" i="4"/>
  <c r="E39" i="4"/>
  <c r="E40" i="4" s="1"/>
  <c r="E18" i="32"/>
  <c r="E19" i="32" s="1"/>
  <c r="D19" i="32"/>
  <c r="A28" i="30" l="1"/>
  <c r="E4" i="25"/>
  <c r="G10" i="25"/>
  <c r="H10" i="25" s="1"/>
  <c r="I10" i="25" s="1"/>
  <c r="A52" i="30"/>
  <c r="A8" i="30"/>
  <c r="A32" i="30"/>
  <c r="B3" i="29" a="1"/>
  <c r="B3" i="29" s="1"/>
  <c r="D3" i="29" a="1"/>
  <c r="D3" i="29" s="1"/>
  <c r="E3" i="29" a="1"/>
  <c r="E3" i="29" s="1"/>
  <c r="F3" i="29" s="1" a="1"/>
  <c r="F3" i="29" s="1"/>
  <c r="C3" i="29" a="1"/>
  <c r="C3" i="29" s="1"/>
  <c r="A5" i="30"/>
  <c r="A4" i="30"/>
  <c r="A31" i="30"/>
  <c r="A24" i="30"/>
  <c r="A36" i="30"/>
  <c r="A38" i="30"/>
  <c r="A23" i="30"/>
  <c r="A40" i="30"/>
  <c r="A29" i="30"/>
  <c r="A22" i="30"/>
  <c r="A25" i="30"/>
  <c r="A7" i="30"/>
  <c r="A33" i="30"/>
  <c r="A39" i="30"/>
  <c r="A37" i="30"/>
  <c r="A50" i="30"/>
  <c r="A43" i="30"/>
  <c r="A14" i="30"/>
  <c r="A30" i="30"/>
  <c r="A44" i="30"/>
  <c r="A49" i="30"/>
  <c r="A21" i="30"/>
  <c r="A15" i="30"/>
  <c r="A42" i="30"/>
  <c r="A13" i="30"/>
  <c r="A47" i="30"/>
  <c r="A45" i="30"/>
  <c r="A26" i="30"/>
  <c r="A16" i="30"/>
  <c r="A9" i="30"/>
  <c r="A41" i="30"/>
  <c r="A51" i="30"/>
  <c r="A20" i="30"/>
  <c r="A48" i="30"/>
  <c r="A54" i="30"/>
  <c r="A53" i="30"/>
  <c r="A46" i="30"/>
  <c r="A11" i="30"/>
  <c r="A18" i="30"/>
  <c r="A3" i="30"/>
  <c r="A17" i="30"/>
  <c r="A10" i="30"/>
  <c r="A35" i="30"/>
  <c r="A6" i="30"/>
  <c r="A27" i="30"/>
  <c r="A19" i="30"/>
  <c r="E31" i="4"/>
  <c r="A12" i="30"/>
  <c r="A34" i="30"/>
  <c r="E10" i="32"/>
  <c r="E11" i="32" s="1"/>
  <c r="E5" i="32"/>
  <c r="E6" i="32" s="1"/>
  <c r="A55" i="30"/>
  <c r="E5" i="4"/>
  <c r="E6" i="4" s="1"/>
  <c r="I3" i="30" l="1" a="1"/>
  <c r="I3" i="30" s="1"/>
  <c r="E32" i="4"/>
  <c r="E4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tc={5565607A-D0C5-4A98-8960-31B3F64D6764}</author>
  </authors>
  <commentList>
    <comment ref="D1" authorId="0" shapeId="0" xr:uid="{5565607A-D0C5-4A98-8960-31B3F64D676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Зеленый - согласовано, ДЦ сохранено, приказ сохранен
Оранжевый - файлы ДЦ не сохранены
Желтый - приказ о ДЦ не сохранен
Серый - проект завершен, дц не согласовано и нет отказа
Красный - проект завершен, нет ос декомпозитора и категории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<sst xmlns="http://schemas.openxmlformats.org/spreadsheetml/2006/main" count="15055" uniqueCount="5601">
  <si>
    <r>
      <rPr>
        <b/>
        <sz val="16"/>
        <color theme="1"/>
        <rFont val="Calibri"/>
        <family val="2"/>
        <charset val="204"/>
        <scheme val="minor"/>
      </rPr>
      <t>Выполнение предприятиями с поддержкой ФЦК целей НП по итогам 2021 года 
(2018-2020 БГ)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 xml:space="preserve"> (совокупно по всем целям: 10/15/30% к БГ, 5/5/5 ежегодно, 10/10/10 ежегодно)</t>
    </r>
  </si>
  <si>
    <t>Показатель</t>
  </si>
  <si>
    <t>Распределение предприятий по базовым годам</t>
  </si>
  <si>
    <t>ИТОГО</t>
  </si>
  <si>
    <t>Не предоставили отчетность/нет возможности произвести расчет (не включены в расчет)</t>
  </si>
  <si>
    <t>Расчетный год</t>
  </si>
  <si>
    <t>Количество предприятий с БГ</t>
  </si>
  <si>
    <t>Количество предприятий, достигших целей</t>
  </si>
  <si>
    <t>Доля предприятий, достигших целей</t>
  </si>
  <si>
    <t>Общий прирост ПТ к БГ, %</t>
  </si>
  <si>
    <t>Выручка:</t>
  </si>
  <si>
    <t>Совокупная выручка, рублей</t>
  </si>
  <si>
    <t>Затраты бюджета на реализацию проектов на предприятиях 
(5,6 млн руб./проект стандартной поддержки, 16,4 млн руб./проект расширенной поддержки), руб.</t>
  </si>
  <si>
    <t>Динамика выручки, рублей</t>
  </si>
  <si>
    <t>Динамика выручки, %</t>
  </si>
  <si>
    <t>Добавленная стоимость (ДС):</t>
  </si>
  <si>
    <t>Совокупная ДС, рублей</t>
  </si>
  <si>
    <t>Динамика ДС, рублей</t>
  </si>
  <si>
    <t>Динамика ДС, %</t>
  </si>
  <si>
    <t>Численность:</t>
  </si>
  <si>
    <t>Совокупная численность, человек</t>
  </si>
  <si>
    <t>Динамика численности, человек</t>
  </si>
  <si>
    <t>Динамика численности, %</t>
  </si>
  <si>
    <t>Фонд оплаты труда (ФОТ):</t>
  </si>
  <si>
    <t>Совокупный ФОТ, рублей</t>
  </si>
  <si>
    <t>Динамика ФОТ, рублей</t>
  </si>
  <si>
    <t>Динамика ФОТ, %</t>
  </si>
  <si>
    <t>Расчет раздельно по видам целей</t>
  </si>
  <si>
    <t>Итого</t>
  </si>
  <si>
    <t>Цель</t>
  </si>
  <si>
    <t>Предприятия стандартной поддержки с целями прироста ПТ 10/15/30% к БГ</t>
  </si>
  <si>
    <t>Количество предприятий выполнивших цель</t>
  </si>
  <si>
    <t>Доля предприятий выполнивших цель</t>
  </si>
  <si>
    <t>Предприятия стандартной поддержки с целями прироста ПТ 5% ежегодно</t>
  </si>
  <si>
    <t xml:space="preserve">Количество предприятий выполнивших цель </t>
  </si>
  <si>
    <t>Предприятия расширенной поддержки с целями прироста ПТ 10% ежегодно</t>
  </si>
  <si>
    <t>Общий итог:</t>
  </si>
  <si>
    <t>Динамика налоговых отчислений</t>
  </si>
  <si>
    <t>Вариант 1. Расчетный налог на прибыль 
(20% от прибыли)</t>
  </si>
  <si>
    <t>Совокупный налог на прибыль, руб.</t>
  </si>
  <si>
    <t xml:space="preserve">Динамика налога на прибыль, руб. </t>
  </si>
  <si>
    <t xml:space="preserve">Динамика налога на прибыль, % </t>
  </si>
  <si>
    <t>Совокупный налог на имущество, руб.</t>
  </si>
  <si>
    <t xml:space="preserve">Динамика налога на имущество, руб. </t>
  </si>
  <si>
    <t xml:space="preserve">Динамика налога на имущество, % </t>
  </si>
  <si>
    <t>Совокупная сумма страховых взносов, руб.</t>
  </si>
  <si>
    <t xml:space="preserve">Динамика страховых взносов, руб. </t>
  </si>
  <si>
    <t xml:space="preserve">Динамика страховых взносов, % </t>
  </si>
  <si>
    <t>Итого все отчисления предприятий, руб.</t>
  </si>
  <si>
    <t>Динамика всех отчислений предприятий, руб.</t>
  </si>
  <si>
    <t>Динамика всех отчислений предприятий, %.</t>
  </si>
  <si>
    <t>Совокупный НДС, руб.</t>
  </si>
  <si>
    <t xml:space="preserve">Динамика НДС, руб. </t>
  </si>
  <si>
    <t xml:space="preserve">Динамика НДС, % </t>
  </si>
  <si>
    <t>Итого динамика всех отчислений предприятий, %</t>
  </si>
  <si>
    <t>Год</t>
  </si>
  <si>
    <r>
      <t xml:space="preserve">Выполнение предприятиями с поддержкой ФЦК целей НП по итогам 2021 года 
(2018-2020 БГ)
</t>
    </r>
    <r>
      <rPr>
        <sz val="12"/>
        <color theme="1"/>
        <rFont val="Calibri"/>
        <family val="2"/>
        <charset val="204"/>
        <scheme val="minor"/>
      </rPr>
      <t xml:space="preserve"> (совокупно по всем целям: 10/15/30% к БГ, 5/5/5 ежегодно, 10/10/10 ежегодно)</t>
    </r>
  </si>
  <si>
    <t>Количество предприятий</t>
  </si>
  <si>
    <t>Общий прирост ПТ, %</t>
  </si>
  <si>
    <t>Совокупная выручка, млн руб.</t>
  </si>
  <si>
    <t>Динамика выручки, млн руб.</t>
  </si>
  <si>
    <t>Совокупная ДС, млн руб.</t>
  </si>
  <si>
    <t>Динамика ДС, млн руб.</t>
  </si>
  <si>
    <t>Средний прирост ДС в год/1 предп., млн руб.</t>
  </si>
  <si>
    <t>Средний прирост ДС в год/чел, рублей</t>
  </si>
  <si>
    <t>Совокупный ФОТ, млн руб.</t>
  </si>
  <si>
    <t>Динамика ФОТ, млн руб.</t>
  </si>
  <si>
    <t>Расчетная среднемесячная ЗП руб/чел</t>
  </si>
  <si>
    <t>Справочно:</t>
  </si>
  <si>
    <t>Затраты бюджета на реализацию проектов (5,6 млн руб./проект стандартной поддержки, 16,4 млн руб./проект расширенной поддержки), млн руб.</t>
  </si>
  <si>
    <t>Средний размер экономического эффекта на одно предприятие, млн руб.</t>
  </si>
  <si>
    <t>Доля показателя по отношению к ДС</t>
  </si>
  <si>
    <t>Динамика показателей по отношению к БГ, %</t>
  </si>
  <si>
    <r>
      <t xml:space="preserve">Налог на прибыль, исходя из ставки 20% </t>
    </r>
    <r>
      <rPr>
        <b/>
        <sz val="9"/>
        <color theme="1"/>
        <rFont val="Calibri"/>
        <family val="2"/>
        <charset val="204"/>
      </rPr>
      <t>↓</t>
    </r>
  </si>
  <si>
    <t>Динамика показателей по отношению к БГ, руб.</t>
  </si>
  <si>
    <t>Доля достигших целей</t>
  </si>
  <si>
    <t>Итого:</t>
  </si>
  <si>
    <t>Данные налоговой отчетности (базовый год)</t>
  </si>
  <si>
    <t>ИТОГИ</t>
  </si>
  <si>
    <t>ИНН</t>
  </si>
  <si>
    <t>Наименование предприятия</t>
  </si>
  <si>
    <t>Базовый год</t>
  </si>
  <si>
    <t>Регион</t>
  </si>
  <si>
    <t>РМР</t>
  </si>
  <si>
    <t>Ответственный РП</t>
  </si>
  <si>
    <t>Версия</t>
  </si>
  <si>
    <t>Код основного вида деятельности</t>
  </si>
  <si>
    <t>Отрасль</t>
  </si>
  <si>
    <t>Организационно-правовая форма</t>
  </si>
  <si>
    <t>Выручка (БГ), рублей</t>
  </si>
  <si>
    <t>Прямые расходы (БГ), рублей</t>
  </si>
  <si>
    <t>Косвенные расходы (БГ), рублей</t>
  </si>
  <si>
    <t>Амортизация (БГ), рублей</t>
  </si>
  <si>
    <t>ФОТ (БГ), рублей</t>
  </si>
  <si>
    <t>Сумма страховых взносов (БГ), рублей</t>
  </si>
  <si>
    <t>Налог на имущество (БГ), рублей</t>
  </si>
  <si>
    <t>Затраты труда (численность) (БГ), чел</t>
  </si>
  <si>
    <t>Добавленная стоимость (БГ), рублей</t>
  </si>
  <si>
    <t>ПТ (БГ), рублей/чел</t>
  </si>
  <si>
    <t>Прибыль (БГ), рублей</t>
  </si>
  <si>
    <t xml:space="preserve">Выручка, рублей </t>
  </si>
  <si>
    <t xml:space="preserve">Прямые расходы, рублей </t>
  </si>
  <si>
    <t xml:space="preserve">Косвенные расходы, рублей </t>
  </si>
  <si>
    <t xml:space="preserve">Амортизация, рублей </t>
  </si>
  <si>
    <t>ФОТ, рублей</t>
  </si>
  <si>
    <t>Сумма страховых взносов, рублей</t>
  </si>
  <si>
    <t>Налог на имущество, рублей</t>
  </si>
  <si>
    <t>Затраты труда (численность), чел</t>
  </si>
  <si>
    <t>Добавленная стоимость, рублей</t>
  </si>
  <si>
    <t>ПТ, рублей/чел</t>
  </si>
  <si>
    <t>Прибыль, рублей</t>
  </si>
  <si>
    <t>Δ ДС (21/БГ), рублей</t>
  </si>
  <si>
    <t>Δ численность (21/БГ), человек</t>
  </si>
  <si>
    <t>Прирост ПТ
(все 10/15/30)</t>
  </si>
  <si>
    <t>Прирост ПТ 
(все 5/5/5)</t>
  </si>
  <si>
    <t>Цель по приросту ПТ</t>
  </si>
  <si>
    <t>Прирост ПТ (21/БГ),%</t>
  </si>
  <si>
    <t>Выполнение цели (1-Да;0-Нет)</t>
  </si>
  <si>
    <t>Невыполнение (0-Да;-1-Нет)</t>
  </si>
  <si>
    <t>Средняя ЗП БГ</t>
  </si>
  <si>
    <t>Средняя ЗП 2020</t>
  </si>
  <si>
    <t>Динамика средняя ЗП</t>
  </si>
  <si>
    <t>Динамика ЗП, %</t>
  </si>
  <si>
    <t>7204170846</t>
  </si>
  <si>
    <t>Ковтун Олег Владимирович</t>
  </si>
  <si>
    <t>7215008323</t>
  </si>
  <si>
    <t>8603146847</t>
  </si>
  <si>
    <t>1826000133</t>
  </si>
  <si>
    <t>Абдуллин Рудольф Сажитович</t>
  </si>
  <si>
    <t>1831057110</t>
  </si>
  <si>
    <t>1831085686</t>
  </si>
  <si>
    <t>1831158616</t>
  </si>
  <si>
    <t>1832058678</t>
  </si>
  <si>
    <t>1840083283</t>
  </si>
  <si>
    <t>1841040331</t>
  </si>
  <si>
    <t>2201000766</t>
  </si>
  <si>
    <t>Акулич Алексей Ефимович</t>
  </si>
  <si>
    <t>2204014478</t>
  </si>
  <si>
    <t>2209024455</t>
  </si>
  <si>
    <t>Семенов Илья Владимирович</t>
  </si>
  <si>
    <t>2221193717</t>
  </si>
  <si>
    <t>2222789799</t>
  </si>
  <si>
    <t>Котляр Кирилл Анатольевич</t>
  </si>
  <si>
    <t>2223623411</t>
  </si>
  <si>
    <t>2261004123</t>
  </si>
  <si>
    <t>2922005915</t>
  </si>
  <si>
    <t>Петрушев Артем Сергеевич</t>
  </si>
  <si>
    <t>5913001268</t>
  </si>
  <si>
    <t>Алексеев Виталий Романович</t>
  </si>
  <si>
    <t>5933003898</t>
  </si>
  <si>
    <t>6827015928</t>
  </si>
  <si>
    <t>Аляпин Сергей Михайлович</t>
  </si>
  <si>
    <t>6829076242</t>
  </si>
  <si>
    <t>3800000252</t>
  </si>
  <si>
    <t>Анашкин Юрий Владимирович</t>
  </si>
  <si>
    <t>3801008303</t>
  </si>
  <si>
    <t>3801046683</t>
  </si>
  <si>
    <t>3801072394</t>
  </si>
  <si>
    <t>3803302678</t>
  </si>
  <si>
    <t>3805707944</t>
  </si>
  <si>
    <t>3812035570</t>
  </si>
  <si>
    <t>3849069632</t>
  </si>
  <si>
    <t>5507028605</t>
  </si>
  <si>
    <t>Скопцов Евгений Александрович</t>
  </si>
  <si>
    <t>2204075449</t>
  </si>
  <si>
    <t>Байков Александр Юрьевич</t>
  </si>
  <si>
    <t>2223031197</t>
  </si>
  <si>
    <t>2223033980</t>
  </si>
  <si>
    <t>2224001533</t>
  </si>
  <si>
    <t>2224114343</t>
  </si>
  <si>
    <t>2224173758</t>
  </si>
  <si>
    <t>2231005120</t>
  </si>
  <si>
    <t>2503032517</t>
  </si>
  <si>
    <t>Ваксер Павел Александрович</t>
  </si>
  <si>
    <t>1604008124</t>
  </si>
  <si>
    <t>Батрасов Роман Станиславович</t>
  </si>
  <si>
    <t>1646020116</t>
  </si>
  <si>
    <t>1650019970</t>
  </si>
  <si>
    <t>1650295530</t>
  </si>
  <si>
    <t>1650327407</t>
  </si>
  <si>
    <t>1651052018</t>
  </si>
  <si>
    <t>5249081656</t>
  </si>
  <si>
    <t>Бобышев Александр Владимирович</t>
  </si>
  <si>
    <t>1639025000</t>
  </si>
  <si>
    <t>Болотов Алексей Викторович</t>
  </si>
  <si>
    <t>1656002652</t>
  </si>
  <si>
    <t>1660000344</t>
  </si>
  <si>
    <t>1660172336</t>
  </si>
  <si>
    <t>1646027048</t>
  </si>
  <si>
    <t>Борисов Роман Валерьевич</t>
  </si>
  <si>
    <t>1650319004</t>
  </si>
  <si>
    <t>6164227097</t>
  </si>
  <si>
    <t>Борисов Сергей Васильевич</t>
  </si>
  <si>
    <t>6673240159</t>
  </si>
  <si>
    <t>Клячев Григорий Сергеевич</t>
  </si>
  <si>
    <t>2501001009</t>
  </si>
  <si>
    <t>Кайгородов Сергей Викторович</t>
  </si>
  <si>
    <t>3902800667</t>
  </si>
  <si>
    <t>Быков Антон Владимирович</t>
  </si>
  <si>
    <t>3905070698</t>
  </si>
  <si>
    <t>4813005651</t>
  </si>
  <si>
    <t>5404409077</t>
  </si>
  <si>
    <t>Мочнев Артем Александрович</t>
  </si>
  <si>
    <t>5407124986</t>
  </si>
  <si>
    <t>Бычков Александр Александрович</t>
  </si>
  <si>
    <t>5409005938</t>
  </si>
  <si>
    <t>5433954550</t>
  </si>
  <si>
    <t>5445115799</t>
  </si>
  <si>
    <t>Иванов Алексей Иванович</t>
  </si>
  <si>
    <t>6225008458</t>
  </si>
  <si>
    <t>1322044903</t>
  </si>
  <si>
    <t>Бядеков Руслан Мансурович</t>
  </si>
  <si>
    <t>1327025333</t>
  </si>
  <si>
    <t>7735573890</t>
  </si>
  <si>
    <t>2508001431</t>
  </si>
  <si>
    <t>2510014276</t>
  </si>
  <si>
    <t>2531001535</t>
  </si>
  <si>
    <t>3123003920</t>
  </si>
  <si>
    <t>Рогозин Андрей Олегович</t>
  </si>
  <si>
    <t>3123448077</t>
  </si>
  <si>
    <t>Васильев Александр Леонидович</t>
  </si>
  <si>
    <t>3128049887</t>
  </si>
  <si>
    <t>Муравлев Геннадий Евгеньевич</t>
  </si>
  <si>
    <t>3128091310</t>
  </si>
  <si>
    <t>6228003585</t>
  </si>
  <si>
    <t>Ганина Мария Алексеевна</t>
  </si>
  <si>
    <t>6230089332</t>
  </si>
  <si>
    <t>Васильев Василий Леонидович</t>
  </si>
  <si>
    <t>6230109243</t>
  </si>
  <si>
    <t>6672340390</t>
  </si>
  <si>
    <t>7736540833</t>
  </si>
  <si>
    <t>8901033694</t>
  </si>
  <si>
    <t>8904006963</t>
  </si>
  <si>
    <t>8906006670</t>
  </si>
  <si>
    <t>7805014200</t>
  </si>
  <si>
    <t>Васильев Никита Витальевич</t>
  </si>
  <si>
    <t>7806008569</t>
  </si>
  <si>
    <t>7806369727</t>
  </si>
  <si>
    <t>7813054206</t>
  </si>
  <si>
    <t>7814540336</t>
  </si>
  <si>
    <t>7816057195</t>
  </si>
  <si>
    <t>7825071848</t>
  </si>
  <si>
    <t>5837003461</t>
  </si>
  <si>
    <t>Васильев Юрий Николаевич</t>
  </si>
  <si>
    <t>6316039326</t>
  </si>
  <si>
    <t>6318101435</t>
  </si>
  <si>
    <t>6319099468</t>
  </si>
  <si>
    <t>6319130781</t>
  </si>
  <si>
    <t>6321158664</t>
  </si>
  <si>
    <t>6452939012</t>
  </si>
  <si>
    <t>7601000030</t>
  </si>
  <si>
    <t>Вахров Евгений Владимирович</t>
  </si>
  <si>
    <t>7604153161</t>
  </si>
  <si>
    <t>7611023540</t>
  </si>
  <si>
    <t>Трифонов Александр Михайлович</t>
  </si>
  <si>
    <t>7613000845</t>
  </si>
  <si>
    <t>7627051656</t>
  </si>
  <si>
    <t>2610801171</t>
  </si>
  <si>
    <t>Верясова Мария Евгеньевна</t>
  </si>
  <si>
    <t>2620004880</t>
  </si>
  <si>
    <t>2634011101</t>
  </si>
  <si>
    <t>6501153658</t>
  </si>
  <si>
    <t>Веселов Александр Сергеевич</t>
  </si>
  <si>
    <t>6501238799</t>
  </si>
  <si>
    <t>6501243453</t>
  </si>
  <si>
    <t>6503007772</t>
  </si>
  <si>
    <t>2221194848</t>
  </si>
  <si>
    <t>Веселов Дмитрий Сергеевич</t>
  </si>
  <si>
    <t>2222853807</t>
  </si>
  <si>
    <t>2223054483</t>
  </si>
  <si>
    <t>2224159200</t>
  </si>
  <si>
    <t>2466189073</t>
  </si>
  <si>
    <t>Иванова Оксана Анатольевна</t>
  </si>
  <si>
    <t>6318171418</t>
  </si>
  <si>
    <t>Вишневский Алексей Борисович</t>
  </si>
  <si>
    <t>6367006248</t>
  </si>
  <si>
    <t>2304062281</t>
  </si>
  <si>
    <t>Вовк Александр Сергеевич</t>
  </si>
  <si>
    <t>2308006658</t>
  </si>
  <si>
    <t>2321003663</t>
  </si>
  <si>
    <t>2329007878</t>
  </si>
  <si>
    <t>2329014177</t>
  </si>
  <si>
    <t>2353005631</t>
  </si>
  <si>
    <t>6603025045</t>
  </si>
  <si>
    <t>Водопьянов Александр Евгеньевич</t>
  </si>
  <si>
    <t>6652028306</t>
  </si>
  <si>
    <t>6672260040</t>
  </si>
  <si>
    <t>8601001099</t>
  </si>
  <si>
    <t>8602257512</t>
  </si>
  <si>
    <t>8603083805</t>
  </si>
  <si>
    <t>8617013396</t>
  </si>
  <si>
    <t>3528008290</t>
  </si>
  <si>
    <t>Воеводин Андрей Борисович</t>
  </si>
  <si>
    <t>3702644450</t>
  </si>
  <si>
    <t>Волков Алексей Владимирович</t>
  </si>
  <si>
    <t>5257170684</t>
  </si>
  <si>
    <t>5031010590</t>
  </si>
  <si>
    <t>5033008854</t>
  </si>
  <si>
    <t>5034050231</t>
  </si>
  <si>
    <t>Масленников Владимир Владимирович</t>
  </si>
  <si>
    <t>3900000111</t>
  </si>
  <si>
    <t>Волченко Игорь Михайлович</t>
  </si>
  <si>
    <t>3903009923</t>
  </si>
  <si>
    <t>3906214663</t>
  </si>
  <si>
    <t>3906995784</t>
  </si>
  <si>
    <t>3914021390</t>
  </si>
  <si>
    <t>7704871335</t>
  </si>
  <si>
    <t>Гайворонский Андрей СергеевиЧ</t>
  </si>
  <si>
    <t>9102007587</t>
  </si>
  <si>
    <t>9102016743</t>
  </si>
  <si>
    <t>Гайворонский Андрей Сергеевич</t>
  </si>
  <si>
    <t>9102048745</t>
  </si>
  <si>
    <t>9102068029</t>
  </si>
  <si>
    <t>9105002604</t>
  </si>
  <si>
    <t>9105005771</t>
  </si>
  <si>
    <t>9105013451</t>
  </si>
  <si>
    <t>9110007340</t>
  </si>
  <si>
    <t>6234181970</t>
  </si>
  <si>
    <t>7714968470</t>
  </si>
  <si>
    <t>3308000802</t>
  </si>
  <si>
    <t>Гартунг Виктор Владимирович</t>
  </si>
  <si>
    <t>3310003494</t>
  </si>
  <si>
    <t>3323003903</t>
  </si>
  <si>
    <t>3326013177</t>
  </si>
  <si>
    <t>3328484848</t>
  </si>
  <si>
    <t>2126002786</t>
  </si>
  <si>
    <t>Гатиятов Игорь Эльдарович</t>
  </si>
  <si>
    <t>2127008692</t>
  </si>
  <si>
    <t>3903003199</t>
  </si>
  <si>
    <t>3904087321</t>
  </si>
  <si>
    <t>3906347871</t>
  </si>
  <si>
    <t>3908024210</t>
  </si>
  <si>
    <t>5216004536</t>
  </si>
  <si>
    <t>Голубев Алексей Юрьевич</t>
  </si>
  <si>
    <t>5231000751</t>
  </si>
  <si>
    <t>5244015410</t>
  </si>
  <si>
    <t>5249002485</t>
  </si>
  <si>
    <t>5249003552</t>
  </si>
  <si>
    <t>5249145388</t>
  </si>
  <si>
    <t>5252000382</t>
  </si>
  <si>
    <t>5252011169</t>
  </si>
  <si>
    <t>5257003806</t>
  </si>
  <si>
    <t>5257087027</t>
  </si>
  <si>
    <t>5259113794</t>
  </si>
  <si>
    <t>5260325465</t>
  </si>
  <si>
    <t>5260430734</t>
  </si>
  <si>
    <t>5261044178</t>
  </si>
  <si>
    <t>5261068651</t>
  </si>
  <si>
    <t>5262045294</t>
  </si>
  <si>
    <t>5262101750</t>
  </si>
  <si>
    <t>5263064170</t>
  </si>
  <si>
    <t>5263093100</t>
  </si>
  <si>
    <t>2124035391</t>
  </si>
  <si>
    <t>Хайрутдинов Рустам Разинович</t>
  </si>
  <si>
    <t>2125000440</t>
  </si>
  <si>
    <t>Горюнов Антон Николаевич</t>
  </si>
  <si>
    <t>2127009135</t>
  </si>
  <si>
    <t>2127318285</t>
  </si>
  <si>
    <t>2127332219</t>
  </si>
  <si>
    <t>2128002220</t>
  </si>
  <si>
    <t>2129022734</t>
  </si>
  <si>
    <t>2130022111</t>
  </si>
  <si>
    <t>7801540272</t>
  </si>
  <si>
    <t>5507249611</t>
  </si>
  <si>
    <t>Гуганов Александр Петрович</t>
  </si>
  <si>
    <t>5528209867</t>
  </si>
  <si>
    <t>8909001750</t>
  </si>
  <si>
    <t>Дерявский Илья Сергеевич</t>
  </si>
  <si>
    <t>7111021753</t>
  </si>
  <si>
    <t>7116013770</t>
  </si>
  <si>
    <t>7116019123</t>
  </si>
  <si>
    <t>7116500887</t>
  </si>
  <si>
    <t>6432005430</t>
  </si>
  <si>
    <t>Диденко Дмитрий Вячеславович</t>
  </si>
  <si>
    <t>6432009756</t>
  </si>
  <si>
    <t>6443006605</t>
  </si>
  <si>
    <t>6449013609</t>
  </si>
  <si>
    <t>6452082923</t>
  </si>
  <si>
    <t>6452913663</t>
  </si>
  <si>
    <t>6454019130</t>
  </si>
  <si>
    <t>3519003961</t>
  </si>
  <si>
    <t>Добряков Роман Валентинович</t>
  </si>
  <si>
    <t>3525219285</t>
  </si>
  <si>
    <t>3525262682</t>
  </si>
  <si>
    <t>3528006408</t>
  </si>
  <si>
    <t>3528078096</t>
  </si>
  <si>
    <t>5108100056</t>
  </si>
  <si>
    <t>2536210349</t>
  </si>
  <si>
    <t>2618006591</t>
  </si>
  <si>
    <t>Дорогокупля Виталий Александрович</t>
  </si>
  <si>
    <t>2619000120</t>
  </si>
  <si>
    <t>2631801334</t>
  </si>
  <si>
    <t>2632005656</t>
  </si>
  <si>
    <t>3448004050</t>
  </si>
  <si>
    <t>Егорович Хроленко Борис</t>
  </si>
  <si>
    <t>6633017549</t>
  </si>
  <si>
    <t>Ерёма Сергей Васильевич</t>
  </si>
  <si>
    <t>6670045047</t>
  </si>
  <si>
    <t>2442012944</t>
  </si>
  <si>
    <t>Ерохин Александр Сергеевич</t>
  </si>
  <si>
    <t>2451000310</t>
  </si>
  <si>
    <t>2460083169</t>
  </si>
  <si>
    <t>Левченко Максим Александрович</t>
  </si>
  <si>
    <t>2463208401</t>
  </si>
  <si>
    <t>Штопенко Алексей Александрович</t>
  </si>
  <si>
    <t>9102157783</t>
  </si>
  <si>
    <t>2302001526</t>
  </si>
  <si>
    <t>Ершов Иван Александрович</t>
  </si>
  <si>
    <t>2310061889</t>
  </si>
  <si>
    <t>7736193379</t>
  </si>
  <si>
    <t>Ефремов Максим Александрович</t>
  </si>
  <si>
    <t>5837040181</t>
  </si>
  <si>
    <t>Зайцев Алексей Валерьевич</t>
  </si>
  <si>
    <t>1646042381</t>
  </si>
  <si>
    <t>1654001773</t>
  </si>
  <si>
    <t>1660004229</t>
  </si>
  <si>
    <t>5835088460</t>
  </si>
  <si>
    <t>Захаров Вячеслав Владимирович</t>
  </si>
  <si>
    <t>1827001683</t>
  </si>
  <si>
    <t>1827013520</t>
  </si>
  <si>
    <t>1827013914</t>
  </si>
  <si>
    <t>1828009678</t>
  </si>
  <si>
    <t>1828011980</t>
  </si>
  <si>
    <t>1838016219</t>
  </si>
  <si>
    <t>4205193907</t>
  </si>
  <si>
    <t>Иванов Алексей Александрович</t>
  </si>
  <si>
    <t>4217126461</t>
  </si>
  <si>
    <t>4217172242</t>
  </si>
  <si>
    <t>4704012874</t>
  </si>
  <si>
    <t>Степанов Александр Сергеевич</t>
  </si>
  <si>
    <t>4705064272</t>
  </si>
  <si>
    <t>Рулёв Евгений Александрович</t>
  </si>
  <si>
    <t>6501256318</t>
  </si>
  <si>
    <t>Иванов Алексей Алексеевич</t>
  </si>
  <si>
    <t>6501281770</t>
  </si>
  <si>
    <t>6501297346</t>
  </si>
  <si>
    <t>5223004199</t>
  </si>
  <si>
    <t>Иванов Дмитрий Сергеевич</t>
  </si>
  <si>
    <t>2411016836</t>
  </si>
  <si>
    <t>2446031754</t>
  </si>
  <si>
    <t>2451000670</t>
  </si>
  <si>
    <t>2462024987</t>
  </si>
  <si>
    <t>2464000780</t>
  </si>
  <si>
    <t>2464035938</t>
  </si>
  <si>
    <t>2465315374</t>
  </si>
  <si>
    <t>6102068344</t>
  </si>
  <si>
    <t>Иванцов Александр Александрович</t>
  </si>
  <si>
    <t>6154093944</t>
  </si>
  <si>
    <t>0309000133</t>
  </si>
  <si>
    <t>Измайлова Надежда Васильевна</t>
  </si>
  <si>
    <t>0323022315</t>
  </si>
  <si>
    <t>0323343372</t>
  </si>
  <si>
    <t>0326524377</t>
  </si>
  <si>
    <t>5001000066</t>
  </si>
  <si>
    <t>Чикинов Алексей Валерьевич</t>
  </si>
  <si>
    <t>5902140693</t>
  </si>
  <si>
    <t>Ильин Дмитрий Алексеевич</t>
  </si>
  <si>
    <t>5920017357</t>
  </si>
  <si>
    <t>7709014944</t>
  </si>
  <si>
    <t>2320242443</t>
  </si>
  <si>
    <t>Истомин Евгений Михайлович</t>
  </si>
  <si>
    <t>2335013799</t>
  </si>
  <si>
    <t>4003014986</t>
  </si>
  <si>
    <t>Казанцев Алексей Владимирович</t>
  </si>
  <si>
    <t>4004011850</t>
  </si>
  <si>
    <t>4024010608</t>
  </si>
  <si>
    <t>4028043403</t>
  </si>
  <si>
    <t>6311012176</t>
  </si>
  <si>
    <t>Казанцева Елена Вячеславовна</t>
  </si>
  <si>
    <t>6315702029</t>
  </si>
  <si>
    <t>6318101450</t>
  </si>
  <si>
    <t>6325069119</t>
  </si>
  <si>
    <t>6335007320</t>
  </si>
  <si>
    <t>6377000767</t>
  </si>
  <si>
    <t>7724643320</t>
  </si>
  <si>
    <t>7811365460</t>
  </si>
  <si>
    <t>Кретов Евгений Васильевич</t>
  </si>
  <si>
    <t>2504001550</t>
  </si>
  <si>
    <t>2508087615</t>
  </si>
  <si>
    <t>2312117368</t>
  </si>
  <si>
    <t>Камышанский Сергей Сергеевич</t>
  </si>
  <si>
    <t>6167076181</t>
  </si>
  <si>
    <t>4205028501</t>
  </si>
  <si>
    <t>Карпов Максим Викторович</t>
  </si>
  <si>
    <t>7103019670</t>
  </si>
  <si>
    <t>Катасонов Андрей Дмитриевич</t>
  </si>
  <si>
    <t>7104002647</t>
  </si>
  <si>
    <t>7105509912</t>
  </si>
  <si>
    <t>7107061150</t>
  </si>
  <si>
    <t>7113021283</t>
  </si>
  <si>
    <t>7116010113</t>
  </si>
  <si>
    <t>7116018514</t>
  </si>
  <si>
    <t>7116146114</t>
  </si>
  <si>
    <t>7116512875</t>
  </si>
  <si>
    <t>7118503160</t>
  </si>
  <si>
    <t>7130025182</t>
  </si>
  <si>
    <t>4205038193</t>
  </si>
  <si>
    <t>Клишев Денис Валерьевич</t>
  </si>
  <si>
    <t>4207005651</t>
  </si>
  <si>
    <t>4207011969</t>
  </si>
  <si>
    <t>4209003875</t>
  </si>
  <si>
    <t>4240002697</t>
  </si>
  <si>
    <t>6623100580</t>
  </si>
  <si>
    <t>6670364212</t>
  </si>
  <si>
    <t>6679039150</t>
  </si>
  <si>
    <t>7610015674</t>
  </si>
  <si>
    <t>3123049330</t>
  </si>
  <si>
    <t>3426000502</t>
  </si>
  <si>
    <t>3426013251</t>
  </si>
  <si>
    <t>3443125460</t>
  </si>
  <si>
    <t>3443134256</t>
  </si>
  <si>
    <t>7202093339</t>
  </si>
  <si>
    <t>7203001556</t>
  </si>
  <si>
    <t>7203062823</t>
  </si>
  <si>
    <t>7203215660</t>
  </si>
  <si>
    <t>7204005867</t>
  </si>
  <si>
    <t>7204034755</t>
  </si>
  <si>
    <t>7204055032</t>
  </si>
  <si>
    <t>7204095194</t>
  </si>
  <si>
    <t>7204660086</t>
  </si>
  <si>
    <t>7205010700</t>
  </si>
  <si>
    <t>7205019630</t>
  </si>
  <si>
    <t>7205019823</t>
  </si>
  <si>
    <t>7224006227</t>
  </si>
  <si>
    <t>7224008030</t>
  </si>
  <si>
    <t>7224009228</t>
  </si>
  <si>
    <t>6450027395</t>
  </si>
  <si>
    <t>Козлов Илья Валерьевич</t>
  </si>
  <si>
    <t>6452019819</t>
  </si>
  <si>
    <t>6452099998</t>
  </si>
  <si>
    <t>6449042991</t>
  </si>
  <si>
    <t>6137006902</t>
  </si>
  <si>
    <t>6152001000</t>
  </si>
  <si>
    <t>6162031892</t>
  </si>
  <si>
    <t>6162075184</t>
  </si>
  <si>
    <t>6166037197</t>
  </si>
  <si>
    <t>6167014330</t>
  </si>
  <si>
    <t>6167070510</t>
  </si>
  <si>
    <t>6504043928</t>
  </si>
  <si>
    <t>Колесников Леонид Леонидович</t>
  </si>
  <si>
    <t>7805034277</t>
  </si>
  <si>
    <t>Коновалов Сергей Владимирович</t>
  </si>
  <si>
    <t>7827000909</t>
  </si>
  <si>
    <t>1701011524</t>
  </si>
  <si>
    <t>2610801051</t>
  </si>
  <si>
    <t>2617001329</t>
  </si>
  <si>
    <t>2625028300</t>
  </si>
  <si>
    <t>2631006752</t>
  </si>
  <si>
    <t>Погуляев Иван Константинович</t>
  </si>
  <si>
    <t>2631029083</t>
  </si>
  <si>
    <t>2631031004</t>
  </si>
  <si>
    <t>2634034758</t>
  </si>
  <si>
    <t>7411021955</t>
  </si>
  <si>
    <t>Чурбанов Валентин Игоревич</t>
  </si>
  <si>
    <t>7415007782</t>
  </si>
  <si>
    <t>7422036304</t>
  </si>
  <si>
    <t>7430013406</t>
  </si>
  <si>
    <t>7438016550</t>
  </si>
  <si>
    <t>7438028838</t>
  </si>
  <si>
    <t>7448069375</t>
  </si>
  <si>
    <t>7453060480</t>
  </si>
  <si>
    <t>7453140915</t>
  </si>
  <si>
    <t>7459004027</t>
  </si>
  <si>
    <t>2224083649</t>
  </si>
  <si>
    <t>2225101330</t>
  </si>
  <si>
    <t>5604010515</t>
  </si>
  <si>
    <t>Трифонов Алексей Михайлович</t>
  </si>
  <si>
    <t>5606000223</t>
  </si>
  <si>
    <t>Котов Сергей Александрович</t>
  </si>
  <si>
    <t>5609027382</t>
  </si>
  <si>
    <t>5611059769</t>
  </si>
  <si>
    <t>5611078754</t>
  </si>
  <si>
    <t>5612002652</t>
  </si>
  <si>
    <t>Стрельников Андрей Михайлович</t>
  </si>
  <si>
    <t>5612028890</t>
  </si>
  <si>
    <t>5638002907</t>
  </si>
  <si>
    <t>5638057261</t>
  </si>
  <si>
    <t>3702153941</t>
  </si>
  <si>
    <t>Кравченко Алексей Викторович</t>
  </si>
  <si>
    <t>3702714918</t>
  </si>
  <si>
    <t>3730002510</t>
  </si>
  <si>
    <t>7722278262</t>
  </si>
  <si>
    <t>7713216541</t>
  </si>
  <si>
    <t>7816162760</t>
  </si>
  <si>
    <t>Михайлов Владимир Вячеславович</t>
  </si>
  <si>
    <t>5321034579</t>
  </si>
  <si>
    <t>5321094384</t>
  </si>
  <si>
    <t>5321151441</t>
  </si>
  <si>
    <t>2634806098</t>
  </si>
  <si>
    <t>6335009648</t>
  </si>
  <si>
    <t>Кузнецов Александр Евгеньевич</t>
  </si>
  <si>
    <t>3903006520</t>
  </si>
  <si>
    <t>6439000706</t>
  </si>
  <si>
    <t>Курнаев Михаил Сергеевич</t>
  </si>
  <si>
    <t>6454074501</t>
  </si>
  <si>
    <t>1648013442</t>
  </si>
  <si>
    <t>Курушин Алексей Борисович</t>
  </si>
  <si>
    <t>1660004878</t>
  </si>
  <si>
    <t>0602065848</t>
  </si>
  <si>
    <t>Лапшин Виталий Андреевич</t>
  </si>
  <si>
    <t>6230029069</t>
  </si>
  <si>
    <t>6230075474</t>
  </si>
  <si>
    <t>4229004316</t>
  </si>
  <si>
    <t>2450014720</t>
  </si>
  <si>
    <t>Сутурин Александр Николаевич</t>
  </si>
  <si>
    <t>2450029532</t>
  </si>
  <si>
    <t>2455004154</t>
  </si>
  <si>
    <t>2458008580</t>
  </si>
  <si>
    <t>2462012251</t>
  </si>
  <si>
    <t>2462206345</t>
  </si>
  <si>
    <t>2465177981</t>
  </si>
  <si>
    <t>3308006882</t>
  </si>
  <si>
    <t>Лобанов Станислав Викторович</t>
  </si>
  <si>
    <t>4017006738</t>
  </si>
  <si>
    <t>4628000962</t>
  </si>
  <si>
    <t>4633010405</t>
  </si>
  <si>
    <t>7722516206</t>
  </si>
  <si>
    <t>4501129676</t>
  </si>
  <si>
    <t>Максименко Максим Валерьевич</t>
  </si>
  <si>
    <t>5025017750</t>
  </si>
  <si>
    <t>7707827648</t>
  </si>
  <si>
    <t>7728127012</t>
  </si>
  <si>
    <t>2302029176</t>
  </si>
  <si>
    <t>Махно Андрей Анатольевич</t>
  </si>
  <si>
    <t>2308111927</t>
  </si>
  <si>
    <t>2309057486</t>
  </si>
  <si>
    <t>2310010637</t>
  </si>
  <si>
    <t>2312068671</t>
  </si>
  <si>
    <t>2315004404</t>
  </si>
  <si>
    <t>2322020608</t>
  </si>
  <si>
    <t>2352037430</t>
  </si>
  <si>
    <t>2356042624</t>
  </si>
  <si>
    <t>7014047805</t>
  </si>
  <si>
    <t>Нацибулин Эдуард Маратович</t>
  </si>
  <si>
    <t>7017026930</t>
  </si>
  <si>
    <t>Посадский Борис Николаевич</t>
  </si>
  <si>
    <t>7017213271</t>
  </si>
  <si>
    <t>7020037139</t>
  </si>
  <si>
    <t>5507229340</t>
  </si>
  <si>
    <t>Медведева Марина Сергеевна</t>
  </si>
  <si>
    <t>5530005596</t>
  </si>
  <si>
    <t>7404052938</t>
  </si>
  <si>
    <t>7448008453</t>
  </si>
  <si>
    <t>7451357711</t>
  </si>
  <si>
    <t>1835012826</t>
  </si>
  <si>
    <t>Мельков Александр Сергеевич</t>
  </si>
  <si>
    <t>3446003396</t>
  </si>
  <si>
    <t>7117501259</t>
  </si>
  <si>
    <t>3706008060</t>
  </si>
  <si>
    <t>Мельников Евгений Валерьевич</t>
  </si>
  <si>
    <t>3711012961</t>
  </si>
  <si>
    <t>5011024884</t>
  </si>
  <si>
    <t>5053004833</t>
  </si>
  <si>
    <t>7720040225</t>
  </si>
  <si>
    <t>5017089158</t>
  </si>
  <si>
    <t>Миронов Максим Александрович</t>
  </si>
  <si>
    <t>5074028070</t>
  </si>
  <si>
    <t>5249015251</t>
  </si>
  <si>
    <t>Михайлов Валерий Михайлович</t>
  </si>
  <si>
    <t>5257086827</t>
  </si>
  <si>
    <t>5259088756</t>
  </si>
  <si>
    <t>5260000192</t>
  </si>
  <si>
    <t>5261112300</t>
  </si>
  <si>
    <t>5263068262</t>
  </si>
  <si>
    <t>4703099079</t>
  </si>
  <si>
    <t>4703146360</t>
  </si>
  <si>
    <t>4716020534</t>
  </si>
  <si>
    <t>7810183813</t>
  </si>
  <si>
    <t>7811424317</t>
  </si>
  <si>
    <t>7802445776</t>
  </si>
  <si>
    <t>Мордвинов Евгений Витальевич</t>
  </si>
  <si>
    <t>7806345155</t>
  </si>
  <si>
    <t>7811046908</t>
  </si>
  <si>
    <t>7811511866</t>
  </si>
  <si>
    <t>7817030333</t>
  </si>
  <si>
    <t>0814062454</t>
  </si>
  <si>
    <t>Мосалев Александр Александрович</t>
  </si>
  <si>
    <t>4003038730</t>
  </si>
  <si>
    <t>4011003730</t>
  </si>
  <si>
    <t>4024000014</t>
  </si>
  <si>
    <t>4025054397</t>
  </si>
  <si>
    <t>4025442752</t>
  </si>
  <si>
    <t>4026007424</t>
  </si>
  <si>
    <t>4027115398</t>
  </si>
  <si>
    <t>Соколов Виталий Владимирович</t>
  </si>
  <si>
    <t>4028051436</t>
  </si>
  <si>
    <t>4029000018</t>
  </si>
  <si>
    <t>7751011834</t>
  </si>
  <si>
    <t>5402483815</t>
  </si>
  <si>
    <t>5405473822</t>
  </si>
  <si>
    <t>5406219515</t>
  </si>
  <si>
    <t>5410005812</t>
  </si>
  <si>
    <t>5410079229</t>
  </si>
  <si>
    <t>5410775900</t>
  </si>
  <si>
    <t>5918005160</t>
  </si>
  <si>
    <t>Мудров Сергей Викторович</t>
  </si>
  <si>
    <t>5947004098</t>
  </si>
  <si>
    <t>6122002775</t>
  </si>
  <si>
    <t>6141021685</t>
  </si>
  <si>
    <t>6141046070</t>
  </si>
  <si>
    <t>6147017741</t>
  </si>
  <si>
    <t>6154089521</t>
  </si>
  <si>
    <t>6165079035</t>
  </si>
  <si>
    <t>6165086113</t>
  </si>
  <si>
    <t>6165089795</t>
  </si>
  <si>
    <t>6165144855</t>
  </si>
  <si>
    <t>6166094050</t>
  </si>
  <si>
    <t>6168000354</t>
  </si>
  <si>
    <t>6168000805</t>
  </si>
  <si>
    <t>3109005637</t>
  </si>
  <si>
    <t>3120013078</t>
  </si>
  <si>
    <t>3123015468</t>
  </si>
  <si>
    <t>3123053713</t>
  </si>
  <si>
    <t>3123084038</t>
  </si>
  <si>
    <t>3123093988</t>
  </si>
  <si>
    <t>3123362920</t>
  </si>
  <si>
    <t>3128058095</t>
  </si>
  <si>
    <t>5528003270</t>
  </si>
  <si>
    <t>0264005146</t>
  </si>
  <si>
    <t>Сосинович Сергей Владимирович</t>
  </si>
  <si>
    <t>0269008334</t>
  </si>
  <si>
    <t>0269008503</t>
  </si>
  <si>
    <t>0272902012</t>
  </si>
  <si>
    <t>0276146840</t>
  </si>
  <si>
    <t>0277015293</t>
  </si>
  <si>
    <t>0277925302</t>
  </si>
  <si>
    <t>0278012129</t>
  </si>
  <si>
    <t>0278096217</t>
  </si>
  <si>
    <t>7811321745</t>
  </si>
  <si>
    <t>2224143922</t>
  </si>
  <si>
    <t>2607000333</t>
  </si>
  <si>
    <t>2635804777</t>
  </si>
  <si>
    <t>7017108118</t>
  </si>
  <si>
    <t>7017309520</t>
  </si>
  <si>
    <t>Медведев Алексей Николаевич</t>
  </si>
  <si>
    <t>7019013550</t>
  </si>
  <si>
    <t>4629003691</t>
  </si>
  <si>
    <t>Овинов Андрей Владимирович</t>
  </si>
  <si>
    <t>4629047554</t>
  </si>
  <si>
    <t>4632038863</t>
  </si>
  <si>
    <t>5802003037</t>
  </si>
  <si>
    <t>Олейников Эдуард Денисович</t>
  </si>
  <si>
    <t>5804001081</t>
  </si>
  <si>
    <t>5835003258</t>
  </si>
  <si>
    <t>5835094907</t>
  </si>
  <si>
    <t>5835103100</t>
  </si>
  <si>
    <t>5835123121</t>
  </si>
  <si>
    <t>5836616881</t>
  </si>
  <si>
    <t>5837005613</t>
  </si>
  <si>
    <t>6803629911</t>
  </si>
  <si>
    <t>Павлов Константин Вячеславович</t>
  </si>
  <si>
    <t>6831004950</t>
  </si>
  <si>
    <t>6832001060</t>
  </si>
  <si>
    <t>3435308501</t>
  </si>
  <si>
    <t>Парфенов Валентин Александрович</t>
  </si>
  <si>
    <t>0278119111</t>
  </si>
  <si>
    <t>Пашутин Константин Геннадьевич</t>
  </si>
  <si>
    <t>6314004134</t>
  </si>
  <si>
    <t>6316060656</t>
  </si>
  <si>
    <t>6320001847</t>
  </si>
  <si>
    <t>6320001928</t>
  </si>
  <si>
    <t>6320005552</t>
  </si>
  <si>
    <t>6323093444</t>
  </si>
  <si>
    <t>6345011371</t>
  </si>
  <si>
    <t>6382016280</t>
  </si>
  <si>
    <t>7842440855</t>
  </si>
  <si>
    <t>3525003462</t>
  </si>
  <si>
    <t>3525023596</t>
  </si>
  <si>
    <t>3527008949</t>
  </si>
  <si>
    <t>1639003712</t>
  </si>
  <si>
    <t>1646012500</t>
  </si>
  <si>
    <t>1650161286</t>
  </si>
  <si>
    <t>1653007780</t>
  </si>
  <si>
    <t>3308006635</t>
  </si>
  <si>
    <t>3665057179</t>
  </si>
  <si>
    <t>Шмарин Яков Алексеевич</t>
  </si>
  <si>
    <t>2607000485</t>
  </si>
  <si>
    <t>7453182792</t>
  </si>
  <si>
    <t>Пономарев Игорь Николаевич</t>
  </si>
  <si>
    <t>7804016807</t>
  </si>
  <si>
    <t>Пономарев Юрий Сергеевич</t>
  </si>
  <si>
    <t>7805047646</t>
  </si>
  <si>
    <t>7805326230</t>
  </si>
  <si>
    <t>7806108475</t>
  </si>
  <si>
    <t>8617018034</t>
  </si>
  <si>
    <t>Попов Дмитрий Владимирович</t>
  </si>
  <si>
    <t>7806152178</t>
  </si>
  <si>
    <t>7830002303</t>
  </si>
  <si>
    <t>7014056790</t>
  </si>
  <si>
    <t>7017351521</t>
  </si>
  <si>
    <t>7021000501</t>
  </si>
  <si>
    <t>7021047080</t>
  </si>
  <si>
    <t>7022011087</t>
  </si>
  <si>
    <t>7224031400</t>
  </si>
  <si>
    <t>6132012719</t>
  </si>
  <si>
    <t>Прокофьев Сергей</t>
  </si>
  <si>
    <t>6673130639</t>
  </si>
  <si>
    <t>Прокофьев Сергей Викторович</t>
  </si>
  <si>
    <t>4205000908</t>
  </si>
  <si>
    <t>Сенченко Алексей Владимирович</t>
  </si>
  <si>
    <t>2466073336</t>
  </si>
  <si>
    <t>3103004524</t>
  </si>
  <si>
    <t>3109003990</t>
  </si>
  <si>
    <t>3114009884</t>
  </si>
  <si>
    <t>3116006409</t>
  </si>
  <si>
    <t>3121000762</t>
  </si>
  <si>
    <t>3121070079</t>
  </si>
  <si>
    <t>3121180480</t>
  </si>
  <si>
    <t>3122503825</t>
  </si>
  <si>
    <t>3123066543</t>
  </si>
  <si>
    <t>3123353058</t>
  </si>
  <si>
    <t>Гусаров Владимир Олегович</t>
  </si>
  <si>
    <t>3128081721</t>
  </si>
  <si>
    <t>4807014182</t>
  </si>
  <si>
    <t>Ролдугин Алексей Викторович</t>
  </si>
  <si>
    <t>4807014489</t>
  </si>
  <si>
    <t>4813805383</t>
  </si>
  <si>
    <t>4821000329</t>
  </si>
  <si>
    <t>4823054880</t>
  </si>
  <si>
    <t>4824012957</t>
  </si>
  <si>
    <t>2635001120</t>
  </si>
  <si>
    <t>Рудой Сергей Сергеевич</t>
  </si>
  <si>
    <t>4705059307</t>
  </si>
  <si>
    <t>7810461098</t>
  </si>
  <si>
    <t>5320013079</t>
  </si>
  <si>
    <t>5321034547</t>
  </si>
  <si>
    <t>5321058347</t>
  </si>
  <si>
    <t>5321095589</t>
  </si>
  <si>
    <t>2303025270</t>
  </si>
  <si>
    <t>Сайдаков Андрей Степанович</t>
  </si>
  <si>
    <t>2310081363</t>
  </si>
  <si>
    <t>2315085509</t>
  </si>
  <si>
    <t>2315153325</t>
  </si>
  <si>
    <t>2322027681</t>
  </si>
  <si>
    <t>2334001335</t>
  </si>
  <si>
    <t>2334013556</t>
  </si>
  <si>
    <t>2334018875</t>
  </si>
  <si>
    <t>2334022342</t>
  </si>
  <si>
    <t>2353019916</t>
  </si>
  <si>
    <t>5835038437</t>
  </si>
  <si>
    <t>Сафронов Сергей Михайлович</t>
  </si>
  <si>
    <t>5838009515</t>
  </si>
  <si>
    <t>5410039642</t>
  </si>
  <si>
    <t>Сахаров Михаил Сергеевич</t>
  </si>
  <si>
    <t>6820029110</t>
  </si>
  <si>
    <t>5030084600</t>
  </si>
  <si>
    <t>Анисимов Вячеслав Владимирович</t>
  </si>
  <si>
    <t>5401365544</t>
  </si>
  <si>
    <t>2320145827</t>
  </si>
  <si>
    <t>4802010032</t>
  </si>
  <si>
    <t>Светов Николай Михайлович</t>
  </si>
  <si>
    <t>4811000094</t>
  </si>
  <si>
    <t>4816023923</t>
  </si>
  <si>
    <t>4822001318</t>
  </si>
  <si>
    <t>4823016564</t>
  </si>
  <si>
    <t>4823054739</t>
  </si>
  <si>
    <t>4825002609</t>
  </si>
  <si>
    <t>4825007854</t>
  </si>
  <si>
    <t>4825035530</t>
  </si>
  <si>
    <t>4825097047</t>
  </si>
  <si>
    <t>4826137310</t>
  </si>
  <si>
    <t>6501217693</t>
  </si>
  <si>
    <t>4217031675</t>
  </si>
  <si>
    <t>Семенов Андрей Аркадьевич</t>
  </si>
  <si>
    <t>4217099666</t>
  </si>
  <si>
    <t>4220040912</t>
  </si>
  <si>
    <t>2209026597</t>
  </si>
  <si>
    <t>2221055435</t>
  </si>
  <si>
    <t>2222024581</t>
  </si>
  <si>
    <t>2224151521</t>
  </si>
  <si>
    <t>5446016590</t>
  </si>
  <si>
    <t>5053002307</t>
  </si>
  <si>
    <t>Семенюк Олег Васильевич</t>
  </si>
  <si>
    <t>5903003690</t>
  </si>
  <si>
    <t>5904002096</t>
  </si>
  <si>
    <t>4217097549</t>
  </si>
  <si>
    <t>4501004356</t>
  </si>
  <si>
    <t>Силонов Владимир Викторович</t>
  </si>
  <si>
    <t>4501010423</t>
  </si>
  <si>
    <t>4505008009</t>
  </si>
  <si>
    <t>7841493237</t>
  </si>
  <si>
    <t>6208000498</t>
  </si>
  <si>
    <t>6227004811</t>
  </si>
  <si>
    <t>5501004870</t>
  </si>
  <si>
    <t>7603072167</t>
  </si>
  <si>
    <t>7610122958</t>
  </si>
  <si>
    <t>5261073475</t>
  </si>
  <si>
    <t>Сметанин Роман Станиславович</t>
  </si>
  <si>
    <t>1830000094</t>
  </si>
  <si>
    <t>3435006980</t>
  </si>
  <si>
    <t>Смоляков Александр Павлович</t>
  </si>
  <si>
    <t>3435008723</t>
  </si>
  <si>
    <t>3435112724</t>
  </si>
  <si>
    <t>7713200936</t>
  </si>
  <si>
    <t>5253000836</t>
  </si>
  <si>
    <t>Снегирев Вячеслав Юрьевич</t>
  </si>
  <si>
    <t>1647008721</t>
  </si>
  <si>
    <t>1656025681</t>
  </si>
  <si>
    <t>7718528015</t>
  </si>
  <si>
    <t>5249129403</t>
  </si>
  <si>
    <t>0202008355</t>
  </si>
  <si>
    <t>0255010527</t>
  </si>
  <si>
    <t>0263009557</t>
  </si>
  <si>
    <t>0265029750</t>
  </si>
  <si>
    <t>0265037983</t>
  </si>
  <si>
    <t>0269007820</t>
  </si>
  <si>
    <t>0273007598</t>
  </si>
  <si>
    <t>0273075870</t>
  </si>
  <si>
    <t>0273083422</t>
  </si>
  <si>
    <t>0278093583</t>
  </si>
  <si>
    <t>4501000129</t>
  </si>
  <si>
    <t>Сосновщенко Данил Михайлович</t>
  </si>
  <si>
    <t>4510008526</t>
  </si>
  <si>
    <t>6204001412</t>
  </si>
  <si>
    <t>6215000428</t>
  </si>
  <si>
    <t>6219007537</t>
  </si>
  <si>
    <t>6227000888</t>
  </si>
  <si>
    <t>6230000743</t>
  </si>
  <si>
    <t>6230054957</t>
  </si>
  <si>
    <t>6230071293</t>
  </si>
  <si>
    <t>6230085401</t>
  </si>
  <si>
    <t>3702067805</t>
  </si>
  <si>
    <t>Степанищев Роман Владимирович</t>
  </si>
  <si>
    <t>3702109533</t>
  </si>
  <si>
    <t>3702556267</t>
  </si>
  <si>
    <t>3703015180</t>
  </si>
  <si>
    <t>3703015221</t>
  </si>
  <si>
    <t>3703047618</t>
  </si>
  <si>
    <t>4803009110</t>
  </si>
  <si>
    <t>4807039564</t>
  </si>
  <si>
    <t>4821016488</t>
  </si>
  <si>
    <t>4823052820</t>
  </si>
  <si>
    <t>6827020780</t>
  </si>
  <si>
    <t>6829000074</t>
  </si>
  <si>
    <t>6829000130</t>
  </si>
  <si>
    <t>6829008806</t>
  </si>
  <si>
    <t>6318100047</t>
  </si>
  <si>
    <t>6330041285</t>
  </si>
  <si>
    <t>6367032625</t>
  </si>
  <si>
    <t>4704008395</t>
  </si>
  <si>
    <t>5835042666</t>
  </si>
  <si>
    <t>Стрекалов Николай Александрович</t>
  </si>
  <si>
    <t>5837065443</t>
  </si>
  <si>
    <t>2116480078</t>
  </si>
  <si>
    <t>6449033965</t>
  </si>
  <si>
    <t>Стрельников Евгений Вячеславович</t>
  </si>
  <si>
    <t>6450604853</t>
  </si>
  <si>
    <t>6452109727</t>
  </si>
  <si>
    <t>6454017140</t>
  </si>
  <si>
    <t>3409010405</t>
  </si>
  <si>
    <t>3428000120</t>
  </si>
  <si>
    <t>3428082638</t>
  </si>
  <si>
    <t>Суринов Сергей Викторович</t>
  </si>
  <si>
    <t>3435000932</t>
  </si>
  <si>
    <t>3435315114</t>
  </si>
  <si>
    <t>3435991384</t>
  </si>
  <si>
    <t>3436011239</t>
  </si>
  <si>
    <t>3436017030</t>
  </si>
  <si>
    <t>3443141359</t>
  </si>
  <si>
    <t>3445117986</t>
  </si>
  <si>
    <t>5321136725</t>
  </si>
  <si>
    <t>2464042685</t>
  </si>
  <si>
    <t>2536274776</t>
  </si>
  <si>
    <t>6350012331</t>
  </si>
  <si>
    <t>Терешин Вячеслав Вячеслав</t>
  </si>
  <si>
    <t>3812100526</t>
  </si>
  <si>
    <t>8603115976</t>
  </si>
  <si>
    <t>8603120528</t>
  </si>
  <si>
    <t>3627015690</t>
  </si>
  <si>
    <t>Титаренко Олег Владимирович</t>
  </si>
  <si>
    <t>3662128110</t>
  </si>
  <si>
    <t>3664104210</t>
  </si>
  <si>
    <t>3665075033</t>
  </si>
  <si>
    <t>5506218498</t>
  </si>
  <si>
    <t>5528012370</t>
  </si>
  <si>
    <t>5528022202</t>
  </si>
  <si>
    <t>7203229744</t>
  </si>
  <si>
    <t>7606004895</t>
  </si>
  <si>
    <t>Филиппов Дмитрий Викторович</t>
  </si>
  <si>
    <t>7710434750</t>
  </si>
  <si>
    <t>3327848820</t>
  </si>
  <si>
    <t>7713741050</t>
  </si>
  <si>
    <t>4632052748</t>
  </si>
  <si>
    <t>4633000171</t>
  </si>
  <si>
    <t>5943040835</t>
  </si>
  <si>
    <t>Трубин Александр Сергеевич</t>
  </si>
  <si>
    <t>5948026633</t>
  </si>
  <si>
    <t>0701015277</t>
  </si>
  <si>
    <t>2634036716</t>
  </si>
  <si>
    <t>2635000092</t>
  </si>
  <si>
    <t>1827003592</t>
  </si>
  <si>
    <t>Улищенко Максим Алексеевич</t>
  </si>
  <si>
    <t>1829004048</t>
  </si>
  <si>
    <t>5629020635</t>
  </si>
  <si>
    <t>3443134810</t>
  </si>
  <si>
    <t>5904000395</t>
  </si>
  <si>
    <t>7601000022</t>
  </si>
  <si>
    <t>7604174098</t>
  </si>
  <si>
    <t>7605015012</t>
  </si>
  <si>
    <t>7607021124</t>
  </si>
  <si>
    <t>7608008775</t>
  </si>
  <si>
    <t>7609027393</t>
  </si>
  <si>
    <t>7610012391</t>
  </si>
  <si>
    <t>7610062924</t>
  </si>
  <si>
    <t>7610083441</t>
  </si>
  <si>
    <t>3305052619</t>
  </si>
  <si>
    <t>Фомин Павел Александрович</t>
  </si>
  <si>
    <t>3305713989</t>
  </si>
  <si>
    <t>3307017730</t>
  </si>
  <si>
    <t>3327827933</t>
  </si>
  <si>
    <t>1301011495</t>
  </si>
  <si>
    <t>Хайдуров Андрей Николаевич</t>
  </si>
  <si>
    <t>1311000012</t>
  </si>
  <si>
    <t>1316105890</t>
  </si>
  <si>
    <t>1322116731</t>
  </si>
  <si>
    <t>1324015626</t>
  </si>
  <si>
    <t>1325003052</t>
  </si>
  <si>
    <t>1325017785</t>
  </si>
  <si>
    <t>1325030352</t>
  </si>
  <si>
    <t>1327011651</t>
  </si>
  <si>
    <t>1327153649</t>
  </si>
  <si>
    <t>1328028538</t>
  </si>
  <si>
    <t>0274068674</t>
  </si>
  <si>
    <t>0274136268</t>
  </si>
  <si>
    <t>0278209728</t>
  </si>
  <si>
    <t>021603821435</t>
  </si>
  <si>
    <t>2128000600</t>
  </si>
  <si>
    <t>5835040517</t>
  </si>
  <si>
    <t>Цапин Павел Николаевич</t>
  </si>
  <si>
    <t>2804017858</t>
  </si>
  <si>
    <t>Челпанов Владимир Владимирович</t>
  </si>
  <si>
    <t>3304002502</t>
  </si>
  <si>
    <t>3329072540</t>
  </si>
  <si>
    <t>3334017070</t>
  </si>
  <si>
    <t>4633000037</t>
  </si>
  <si>
    <t>9103006160</t>
  </si>
  <si>
    <t>6903008805</t>
  </si>
  <si>
    <t>9102161282</t>
  </si>
  <si>
    <t>Чернобровкин Дмитрий Александрович</t>
  </si>
  <si>
    <t>9102256223</t>
  </si>
  <si>
    <t>9106002678</t>
  </si>
  <si>
    <t>4501083781</t>
  </si>
  <si>
    <t>4501190550</t>
  </si>
  <si>
    <t>4509000018</t>
  </si>
  <si>
    <t>5042092394</t>
  </si>
  <si>
    <t>7417011223</t>
  </si>
  <si>
    <t>7421000440</t>
  </si>
  <si>
    <t>7443008629</t>
  </si>
  <si>
    <t>7449000721</t>
  </si>
  <si>
    <t>7451109035</t>
  </si>
  <si>
    <t>7451246377</t>
  </si>
  <si>
    <t>7452042601</t>
  </si>
  <si>
    <t>7452058834</t>
  </si>
  <si>
    <t>7452118226</t>
  </si>
  <si>
    <t>3810023308</t>
  </si>
  <si>
    <t>3810310687</t>
  </si>
  <si>
    <t>1650004741</t>
  </si>
  <si>
    <t>Широков Алексей Викторович</t>
  </si>
  <si>
    <t>1653001883</t>
  </si>
  <si>
    <t>1655256157</t>
  </si>
  <si>
    <t>1657002006</t>
  </si>
  <si>
    <t>1657024063</t>
  </si>
  <si>
    <t>1660066592</t>
  </si>
  <si>
    <t>3605000114</t>
  </si>
  <si>
    <t>3607000046</t>
  </si>
  <si>
    <t>3631006144</t>
  </si>
  <si>
    <t>3650000412</t>
  </si>
  <si>
    <t>3663051326</t>
  </si>
  <si>
    <t>7203069360</t>
  </si>
  <si>
    <t>7203328738</t>
  </si>
  <si>
    <t>2403002685</t>
  </si>
  <si>
    <t>2443050759</t>
  </si>
  <si>
    <t>2451000198</t>
  </si>
  <si>
    <t>2455007821</t>
  </si>
  <si>
    <t>2462023415</t>
  </si>
  <si>
    <t>2463050147</t>
  </si>
  <si>
    <t>2463210351</t>
  </si>
  <si>
    <t>6603021700</t>
  </si>
  <si>
    <t>Шурыгин Сергей Владимирович</t>
  </si>
  <si>
    <t>6604011366</t>
  </si>
  <si>
    <t>6633009724</t>
  </si>
  <si>
    <t>6658078007</t>
  </si>
  <si>
    <t>6659003692</t>
  </si>
  <si>
    <t>6662054224</t>
  </si>
  <si>
    <t>6663064610</t>
  </si>
  <si>
    <t>6663071279</t>
  </si>
  <si>
    <t>6664030959</t>
  </si>
  <si>
    <t>6670045544</t>
  </si>
  <si>
    <t>6670431469</t>
  </si>
  <si>
    <t>6672315362</t>
  </si>
  <si>
    <t>6674153011</t>
  </si>
  <si>
    <t>6674239607</t>
  </si>
  <si>
    <t>6679037273</t>
  </si>
  <si>
    <t>7702616611</t>
  </si>
  <si>
    <t>7706665049</t>
  </si>
  <si>
    <t>7716236962</t>
  </si>
  <si>
    <t>8614005076</t>
  </si>
  <si>
    <t>7401011669</t>
  </si>
  <si>
    <t>Юрин Сергей Игоревич</t>
  </si>
  <si>
    <t>7403004988</t>
  </si>
  <si>
    <t>7422049134</t>
  </si>
  <si>
    <t>7440007056</t>
  </si>
  <si>
    <t>7453048356</t>
  </si>
  <si>
    <t>7453062150</t>
  </si>
  <si>
    <t>Динамика ИПТ</t>
  </si>
  <si>
    <t>Дата соглашения</t>
  </si>
  <si>
    <t>Дата выхода экспертов</t>
  </si>
  <si>
    <t>Комментарий предприятия</t>
  </si>
  <si>
    <t>Алев Игорь</t>
  </si>
  <si>
    <t>Республика Крым</t>
  </si>
  <si>
    <t>ФГУП «КЖД»</t>
  </si>
  <si>
    <t>Владимирская область</t>
  </si>
  <si>
    <t>ООО "Владимирский стандарт"</t>
  </si>
  <si>
    <t>Да, действительно, в 2021 году производительность труда снизилась на 17%.
Прежде всего это связано с тем, что по сравнению с 2020 годом мы видим снижение прибыли и рост затрат на ФОТ. 
Снижение прибыли обусловлено опережающим ростом затрат над доходами: 
Рост выручки в 2021 г составил 8%. Данный показатель был бы выше, если бы одним из целевых показателей не был рост доли продаж в федеральный канал. Данная задача носит стратегический характер. В настоящее же время средняя цена реализации в ФС ниже, чем в дистрибьюторском канале и увеличивая долю продаж в ФС мы теряем в выручке.
Рост прямых расходов в 2021 г составил 14%. Это прежде всего связано с ростом цен на сырье в окт-ноя 2021 г и ростом затрат на ФОТ (рост объемов производства, индексация).</t>
  </si>
  <si>
    <t>Оренбургская область</t>
  </si>
  <si>
    <t>ООО "А7 АГРО"</t>
  </si>
  <si>
    <t>Основная причина сильная засуха и резкое падение урожайности по зерновым культурам и масленичным (подсолнечник, соя)</t>
  </si>
  <si>
    <t>Гусаров Владимир</t>
  </si>
  <si>
    <t>Челябинская область</t>
  </si>
  <si>
    <t>ЗАО "ЧЕЛЯБКРАНСБЫТ"</t>
  </si>
  <si>
    <t>Омская область</t>
  </si>
  <si>
    <t>ОАО "ОМСКИЙ АЭРОПОРТ"</t>
  </si>
  <si>
    <t>Республика Башкортостан</t>
  </si>
  <si>
    <t>АО "БЕЛЗАН"</t>
  </si>
  <si>
    <t>ООО "ЗМК МОСТ"</t>
  </si>
  <si>
    <t>Ярославская область</t>
  </si>
  <si>
    <t>АО «ССЗ «Вымпел»</t>
  </si>
  <si>
    <t>Недополучение выручки в отчетном году из-за переноса сроков по заказам и соответственно сроков окончательных расчетов</t>
  </si>
  <si>
    <t>Белгородская область</t>
  </si>
  <si>
    <t>ООО НПП "СТАЛЬЭНЕРГО"</t>
  </si>
  <si>
    <t>Основной причиной неисполнения цели по повышению производительности труда является внутрихолдинговое 
снижение отпускных цен, в результате которого произошло снижение выручки.
При этом объем  выпуска продукции в натуральном выражении увеличился, что привело к росту прямых расходов.</t>
  </si>
  <si>
    <t>Лапшин Виталий</t>
  </si>
  <si>
    <t>Воронежская область</t>
  </si>
  <si>
    <t>ООО "ФОСФОРЕЛЬ"</t>
  </si>
  <si>
    <t>Новосибирская область</t>
  </si>
  <si>
    <t>ООО "РЫБНЫЙ ХИТ"</t>
  </si>
  <si>
    <t>Продукция предприятия собственного производства по переработке рыбы основном реализуется через собственную сеть розничных магазинов в количестве 19 штук. В отчетном 2021 году 21 из сотрудниц магазинов находились в декретном отпуске и в отпуске по уходу за ребенком до 1,5 лет. Заработная плата на сотрудников, находящихся в отпуске по уходу за детьми в этом периоде не начислялась, но они включались в численность по страховым взносам.
Если расчет произвести без работников, находящихся в отпуске по уходу за детьми данный показатель составляет  11,8 %.</t>
  </si>
  <si>
    <t>Московская область</t>
  </si>
  <si>
    <t>ООО "ПТИЦЕФАБРИКА "ЭЛИНАР-БРОЙЛЕР"</t>
  </si>
  <si>
    <t xml:space="preserve">Расчет показывает -199%. Значительное падение связано со сменой системы налогообложения (перешли с НД на прибыль на ЕСХН) </t>
  </si>
  <si>
    <t>Мякотин Павел</t>
  </si>
  <si>
    <t>Саратовская область</t>
  </si>
  <si>
    <t>ООО "КОРОЛЬ ДИВАНОВ"</t>
  </si>
  <si>
    <t>Самарская область</t>
  </si>
  <si>
    <t>ООО " ПРОМПЕРФОРАТОР "</t>
  </si>
  <si>
    <t>Предприятие объясняет недостаточный рост производительности поздним стартом/окончанием проекта. Цель по производительности была достигнута только к ноябрю. Дополнение: негативно сказался рост стоимости металла.</t>
  </si>
  <si>
    <t>Нижегородская область</t>
  </si>
  <si>
    <t>АО "ОКСКАЯ СУДОВЕРФЬ"</t>
  </si>
  <si>
    <t>Опережающий рост затрат на материалы по сравнению с выручкой (10% против 3%). Предприятие производит дорогую продукцию с длительным циклом изготовления, не смогло пересмотреть продажные цены в соответствии с ростом цен на сталь. Выручка незначительно выросла, численноть персонала уменьшилась.</t>
  </si>
  <si>
    <t>Удмуртская Республика</t>
  </si>
  <si>
    <t>ПАО "Ижнефтемаш"</t>
  </si>
  <si>
    <t>Выручка упала из-за сокращения заказов (крупный заказ сорвался на одном из потоков). Выручка упала на 18%, прямые расходы сократились на 7%, косвенные - на 10%. В результате добавленная стоимость снизилась на 42%. При сокращении персонала на 23% это дало падение производительности на 23%.</t>
  </si>
  <si>
    <t>Пешев Игорь</t>
  </si>
  <si>
    <t>Калининградская область</t>
  </si>
  <si>
    <t>МКП "КАЛИНИНГРАД-ГОРТРАНС"</t>
  </si>
  <si>
    <t>Свердловская область</t>
  </si>
  <si>
    <t>ООО "ТПК"</t>
  </si>
  <si>
    <t>Ростовская область</t>
  </si>
  <si>
    <t>ООО "Донская Гофротара"</t>
  </si>
  <si>
    <t>Тульская область</t>
  </si>
  <si>
    <t>ООО "УМК"</t>
  </si>
  <si>
    <t>Пермский край</t>
  </si>
  <si>
    <t>ПАО "ПЕРМСКАЯ НАУЧНО-ПРОИЗВОДСТВЕННАЯ ПРИБОРОСТРОИТЕЛЬНАЯ КОМПАНИЯ"</t>
  </si>
  <si>
    <t>Волгоградская область</t>
  </si>
  <si>
    <t>ООО "ЦАРИЦЫНСКИЙ ПОСТАВЩИК"</t>
  </si>
  <si>
    <t>Краснодарский край</t>
  </si>
  <si>
    <t>АО "Сочинский хлебокомбинат"</t>
  </si>
  <si>
    <t>Липецкая область</t>
  </si>
  <si>
    <t>ООО "ОВОЩИ ЧЕРНОЗЕМЬЯ"</t>
  </si>
  <si>
    <t xml:space="preserve">Выросли затраты на сырье, энергоресурсы, комплектующие, строительные материалы и оборудование. Прямые затраты увеличились с 2,7 млрд в 2020 году до 5 млрд. в 2021 году. Также в связи с переносом сроков строительства теплицы, производственный цикл выращивания томата был смещен и оказался неполноценным. Затраты на выращивание (семена, субстрат, кубики для рассады и т.п.) были произведены в полном объеме, а выход томата шел всего 3 месяца вместо 10 месяцев при полном производственном цикле. 
Рост численности обусловлен инвестиционным проектом строительства теплицы. </t>
  </si>
  <si>
    <t>Сахалинская область</t>
  </si>
  <si>
    <t>ООО СМК "ЭНЕРГОСИЛА"</t>
  </si>
  <si>
    <t>Согласно новому стандарту (ФСБУ 5/2019 «Запасы»), все активы по критериям малоценного оборудования, должны отражаться сразу на затраты в том периоде, в котором они были понесены.
В связи с этим в 2021 г стоимость всех инструментов была отражена на затраты при передаче в эксплуатацию. Тем самым это повлияло на затраты и соответственно на прибыль предприятия.</t>
  </si>
  <si>
    <t>ОАО "Волгограднефтемаш"</t>
  </si>
  <si>
    <t>Падение заказов на запорно-регулирующую аппаратуру в 2021 году на 35 % в связи с борьбой по цене с конкурентами
Длительность изготовления крупного ёмкостного оборудования больше года, изготовление пришлось на 2021, сдавать будут в 2022 (не успели отгрузить, закрылась навигация в ноябре).
Дополнительная информация:
В Июне 2021 года стало известно что ГД Новиков Н.И. заболел раком, проходил несколько раз длительное лечение, на предприятии в среднем был несколько дней в месяц в течении года. Команда ТОП руководителей без него не смогла справиться с объемом заказов. 
По результатам года, собственниками было принято решение сменить команду, в настоящее время идет замены первых лиц предприятия: сняли ЗГД по персоналу, ЗГД по финансам, ЗГД по закупкам, ЗГД по операционной  деятельности. Назначен ВРИО ГД.</t>
  </si>
  <si>
    <t>Шурыгин Сергей</t>
  </si>
  <si>
    <t>Кемеровская область</t>
  </si>
  <si>
    <t>КАО "АЗОТ"</t>
  </si>
  <si>
    <t>Новгородская область</t>
  </si>
  <si>
    <t>АО "НПО "КВАНТ"</t>
  </si>
  <si>
    <t>Отрицательный ИПТ связан с длительным сроком изготовления изделий (до 4 лет). Ожидают после отгрузки 2022 года суммарный прирост производительность труда за 2021-2022й год будет больше чем за 2019-2020й. Также велась работа над запуском внешнеторговых контрактов со сроком исполнения в 2022г, часть затрат отнесены на период 2021г.</t>
  </si>
  <si>
    <t>Красноярский край</t>
  </si>
  <si>
    <t>АО "ГУБЕРНСКИЕ АПТЕКИ"</t>
  </si>
  <si>
    <t>Отрицательный ИПТ вызван значительным приростом численности  персонала  в связи с открытием новых подразделений и ростом прямых расходов. Предприятие объясняет рост численности высокой текучкой сотрудников-кассиров и отбражением смен людей в налоговой отчетности.
Анализ струкруры ДС показывает, что динамика прироста выручки не покрывает рост прямых и косвенных расходов, предприятие по сути работает в "ноль". С учетом возросшей численности получает отрицательный ИПТ.</t>
  </si>
  <si>
    <t>Алтайский край</t>
  </si>
  <si>
    <t>ЗАО "АЛЕЙСКЗЕРНОПРОДУКТ" ИМ.С.Н.СТАРОВОЙТОВА</t>
  </si>
  <si>
    <t>В 2021г. сильно выросли (на 600 млн. руб.) косвенные затраты, в основном за счет лизинговых платежей в связи с приобретением новых основных средств. Без учета лизинговых платежей ИПТ по нашей методике составляет +13% (по данным предприятия).</t>
  </si>
  <si>
    <t>Ставропольский край</t>
  </si>
  <si>
    <t>ООО "СОЛНЕЧНЫЙ ДАР"</t>
  </si>
  <si>
    <t>Причина отрицательного ИПТ -  рост численности персонала на 284 чел (29%) в связи со строительством новых мощностей. Мощности введены в 2022г, ожидают за 2021-2022й год суммарно увеличение ИПТ по сравнению с 2019-2020г.</t>
  </si>
  <si>
    <t>Приморский край</t>
  </si>
  <si>
    <t>ООО "ССК "ЗВЕЗДА"</t>
  </si>
  <si>
    <t>ИПТ отрицательный по причине того, что  Тц строительства судов 2 года, с дальнейшим получением платежа.В итоге, мы получаем отрицательную -79%, на второй год  + 150 %.</t>
  </si>
  <si>
    <t>Доля предприятий достигших целей НП по итогам 2021 г. в разрезе макрорегионов</t>
  </si>
  <si>
    <t>Макрорегион</t>
  </si>
  <si>
    <t>Без предприятий расширенной поддержки</t>
  </si>
  <si>
    <t>С учетом предприятий расширенной поддержки</t>
  </si>
  <si>
    <t>Справочно</t>
  </si>
  <si>
    <t>В расчете (2021)</t>
  </si>
  <si>
    <t>Достигли цель</t>
  </si>
  <si>
    <t>Доля</t>
  </si>
  <si>
    <t>Показатель по итогам 2020 года</t>
  </si>
  <si>
    <t>МР1</t>
  </si>
  <si>
    <t>МР2</t>
  </si>
  <si>
    <t>МР3</t>
  </si>
  <si>
    <t>МР4</t>
  </si>
  <si>
    <t>МР5</t>
  </si>
  <si>
    <t>МР6</t>
  </si>
  <si>
    <t>Доля предприятий достигших целей НП по итогам 2021г. в разрезе регионов</t>
  </si>
  <si>
    <t>Рейтинг</t>
  </si>
  <si>
    <t>Всего предприятий</t>
  </si>
  <si>
    <t>Выполнили цель</t>
  </si>
  <si>
    <t>Наименование класса, подкласса, группы, подгруппы, вида деятельности</t>
  </si>
  <si>
    <t>Код ОКВЭД 2</t>
  </si>
  <si>
    <t>Ссылки на отрасли</t>
  </si>
  <si>
    <t>Растениеводство и животноводство, охота и предоставление соответствующих услуг в этих областях</t>
  </si>
  <si>
    <t>01</t>
  </si>
  <si>
    <t>Сельское хозяйство</t>
  </si>
  <si>
    <t>Выращивание однолетних культур</t>
  </si>
  <si>
    <t>01.1</t>
  </si>
  <si>
    <t>Выращивание зерновых (кроме риса), зернобобовых культур и семян масличных культур</t>
  </si>
  <si>
    <t>01.11</t>
  </si>
  <si>
    <t>Выращивание зерновых культур</t>
  </si>
  <si>
    <t>01.11.1</t>
  </si>
  <si>
    <t>Выращивание пшеницы</t>
  </si>
  <si>
    <t>01.11.11</t>
  </si>
  <si>
    <t>Выращивание ячменя</t>
  </si>
  <si>
    <t>01.11.12</t>
  </si>
  <si>
    <t>Выращивание ржи</t>
  </si>
  <si>
    <t>01.11.13</t>
  </si>
  <si>
    <t>Выращивание кукурузы</t>
  </si>
  <si>
    <t>01.11.14</t>
  </si>
  <si>
    <t>Выращивание овса</t>
  </si>
  <si>
    <t>01.11.15</t>
  </si>
  <si>
    <t>Выращивание гречихи</t>
  </si>
  <si>
    <t>01.11.16</t>
  </si>
  <si>
    <t>Выращивание прочих зерновых культур</t>
  </si>
  <si>
    <t>01.11.19</t>
  </si>
  <si>
    <t>Выращивание зернобобовых культур</t>
  </si>
  <si>
    <t>01.11.2</t>
  </si>
  <si>
    <t>Выращивание семян масличных культур</t>
  </si>
  <si>
    <t>01.11.3</t>
  </si>
  <si>
    <t>Выращивание семян подсолнечника</t>
  </si>
  <si>
    <t>01.11.31</t>
  </si>
  <si>
    <t>Выращивание семян рапса</t>
  </si>
  <si>
    <t>01.11.32</t>
  </si>
  <si>
    <t>Выращивание семян соевых бобов</t>
  </si>
  <si>
    <t>01.11.33</t>
  </si>
  <si>
    <t>Выращивание семян прочих масличных культур</t>
  </si>
  <si>
    <t>01.11.39</t>
  </si>
  <si>
    <t>Выращивание риса</t>
  </si>
  <si>
    <t>01.12</t>
  </si>
  <si>
    <t>Выращивание овощей, бахчевых, корнеплодных и клубнеплодных культур, грибов и трюфелей</t>
  </si>
  <si>
    <t>01.13</t>
  </si>
  <si>
    <t>Выращивание овощей</t>
  </si>
  <si>
    <t>01.13.1</t>
  </si>
  <si>
    <t>Выращивание овощей открытого грунта</t>
  </si>
  <si>
    <t>01.13.11</t>
  </si>
  <si>
    <t>Выращивание овощей защищенного грунта</t>
  </si>
  <si>
    <t>01.13.12</t>
  </si>
  <si>
    <t>Выращивание бахчевых культур</t>
  </si>
  <si>
    <t>01.13.2</t>
  </si>
  <si>
    <t>Выращивание столовых корнеплодных и клубнеплодных культур с высоким содержанием крахмала или инулина</t>
  </si>
  <si>
    <t>01.13.3</t>
  </si>
  <si>
    <t>Выращивание картофеля</t>
  </si>
  <si>
    <t>01.13.31</t>
  </si>
  <si>
    <t>Выращивание прочих столовых корнеплодных и клубнеплодных культур с высоким содержанием крахмала или инулина</t>
  </si>
  <si>
    <t>01.13.39</t>
  </si>
  <si>
    <t>Выращивание семян овощных культур, за исключением семян сахарной свеклы</t>
  </si>
  <si>
    <t>01.13.4</t>
  </si>
  <si>
    <t>Выращивание сахарной свеклы и семян сахарной свеклы</t>
  </si>
  <si>
    <t>01.13.5</t>
  </si>
  <si>
    <t>Выращивание сахарной свеклы</t>
  </si>
  <si>
    <t>01.13.51</t>
  </si>
  <si>
    <t>Выращивание семян сахарной свеклы</t>
  </si>
  <si>
    <t>01.13.52</t>
  </si>
  <si>
    <t>Выращивание грибов и трюфелей</t>
  </si>
  <si>
    <t>01.13.6</t>
  </si>
  <si>
    <t>Выращивание овощей, не включенных в другие группировки</t>
  </si>
  <si>
    <t>01.13.9</t>
  </si>
  <si>
    <t>Выращивание сахарного тростника</t>
  </si>
  <si>
    <t>01.14</t>
  </si>
  <si>
    <t>Выращивание волокнистых прядильных культур</t>
  </si>
  <si>
    <t>01.16</t>
  </si>
  <si>
    <t>Выращивание хлопчатника</t>
  </si>
  <si>
    <t>01.16.1</t>
  </si>
  <si>
    <t>Выращивание льна</t>
  </si>
  <si>
    <t>01.16.2</t>
  </si>
  <si>
    <t>Выращивание обыкновенной конопли</t>
  </si>
  <si>
    <t>01.16.3</t>
  </si>
  <si>
    <t>Выращивание прочих текстильных культур</t>
  </si>
  <si>
    <t>01.16.9</t>
  </si>
  <si>
    <t>Выращивание прочих однолетних культур</t>
  </si>
  <si>
    <t>01.19</t>
  </si>
  <si>
    <t>Выращивание однолетних кормовых культур</t>
  </si>
  <si>
    <t>01.19.1</t>
  </si>
  <si>
    <t>Цветоводство</t>
  </si>
  <si>
    <t>01.19.2</t>
  </si>
  <si>
    <t>Выращивание цветов в открытом и защищенном грунте</t>
  </si>
  <si>
    <t>01.19.21</t>
  </si>
  <si>
    <t>Выращивание семян цветов</t>
  </si>
  <si>
    <t>01.19.22</t>
  </si>
  <si>
    <t>Выращивание семян свеклы (кроме семян сахарной свеклы) и семян кормовых культур</t>
  </si>
  <si>
    <t>01.19.3</t>
  </si>
  <si>
    <t>Выращивание прочих однолетних культур, не включенных в другие группировки</t>
  </si>
  <si>
    <t>01.19.9</t>
  </si>
  <si>
    <t>Выращивание многолетних культур</t>
  </si>
  <si>
    <t>01.2</t>
  </si>
  <si>
    <t>Выращивание винограда</t>
  </si>
  <si>
    <t>01.21</t>
  </si>
  <si>
    <t>Выращивание тропических и субтропических культур</t>
  </si>
  <si>
    <t>01.22</t>
  </si>
  <si>
    <t>Выращивание цитрусовых культур</t>
  </si>
  <si>
    <t>01.23</t>
  </si>
  <si>
    <t>Выращивание семечковых и косточковых культур</t>
  </si>
  <si>
    <t>01.24</t>
  </si>
  <si>
    <t>Выращивание прочих плодовых деревьев, кустарников и орехов</t>
  </si>
  <si>
    <t>01.25</t>
  </si>
  <si>
    <t>Выращивание прочих плодовых и ягодных культур</t>
  </si>
  <si>
    <t>01.25.1</t>
  </si>
  <si>
    <t>Выращивание семян плодовых и ягодных культур</t>
  </si>
  <si>
    <t>01.25.2</t>
  </si>
  <si>
    <t>Выращивание орехоплодных культур</t>
  </si>
  <si>
    <t>01.25.3</t>
  </si>
  <si>
    <t>Выращивание плодов масличных культур</t>
  </si>
  <si>
    <t>01.26</t>
  </si>
  <si>
    <t>Выращивание культур для производства напитков</t>
  </si>
  <si>
    <t>01.27</t>
  </si>
  <si>
    <t>Выращивание чая</t>
  </si>
  <si>
    <t>01.27.1</t>
  </si>
  <si>
    <t>Выращивание прочих культур для производства напитков</t>
  </si>
  <si>
    <t>01.27.9</t>
  </si>
  <si>
    <t>Выращивание специй, пряно-ароматических, эфиромасличных и лекарственных культур</t>
  </si>
  <si>
    <t>01.28</t>
  </si>
  <si>
    <t>Выращивание пряностей</t>
  </si>
  <si>
    <t>01.28.1</t>
  </si>
  <si>
    <t>Выращивание хмеля</t>
  </si>
  <si>
    <t>01.28.2</t>
  </si>
  <si>
    <t>Выращивание растений, используемых в основном в парфюмерии, фармации или в качестве инсектицидов, фунгицидов и для аналогичных целей</t>
  </si>
  <si>
    <t>01.28.3</t>
  </si>
  <si>
    <t>Выращивание прочих многолетних культур</t>
  </si>
  <si>
    <t>01.29</t>
  </si>
  <si>
    <t>Выращивание рассады</t>
  </si>
  <si>
    <t>01.3</t>
  </si>
  <si>
    <t>01.30</t>
  </si>
  <si>
    <t>Животноводство</t>
  </si>
  <si>
    <t>01.4</t>
  </si>
  <si>
    <t>Разведение молочного крупного рогатого скота, производство сырого молока</t>
  </si>
  <si>
    <t>01.41</t>
  </si>
  <si>
    <t>Разведение молочного крупного рогатого скота</t>
  </si>
  <si>
    <t>01.41.1</t>
  </si>
  <si>
    <t>Разведение молочного крупного рогатого скота, кроме племенного</t>
  </si>
  <si>
    <t>01.41.11</t>
  </si>
  <si>
    <t>Разведение племенного молочного крупного рогатого скота</t>
  </si>
  <si>
    <t>01.41.12</t>
  </si>
  <si>
    <t>Производство сырого коровьего молока и сырого молока прочего крупного рогатого скота (буйволов, яков и др.)</t>
  </si>
  <si>
    <t>01.41.2</t>
  </si>
  <si>
    <t>Производство сырого коровьего молока</t>
  </si>
  <si>
    <t>01.41.21</t>
  </si>
  <si>
    <t>Производство сырого молока прочего крупного рогатого скота (буйволов, яков и др.)</t>
  </si>
  <si>
    <t>01.41.29</t>
  </si>
  <si>
    <t>Разведение прочих пород крупного рогатого скота и буйволов, производство спермы</t>
  </si>
  <si>
    <t>01.42</t>
  </si>
  <si>
    <t>Разведение мясного и прочего крупного рогатого скота, включая буйволов, яков и др.</t>
  </si>
  <si>
    <t>01.42.1</t>
  </si>
  <si>
    <t>Разведение мясного и прочего крупного рогатого скота, включая буйволов, яков и др., на мясо</t>
  </si>
  <si>
    <t>01.42.11</t>
  </si>
  <si>
    <t>Разведение племенного мясного и прочего крупного рогатого скота, включая буйволов, яков и др.</t>
  </si>
  <si>
    <t>01.42.12</t>
  </si>
  <si>
    <t>Производство бычьей спермы, а также спермы буйволов, яков и др.</t>
  </si>
  <si>
    <t>01.42.2</t>
  </si>
  <si>
    <t>Разведение лошадей и прочих животных семейства лошадиных отряда непарнокопытных</t>
  </si>
  <si>
    <t>01.43</t>
  </si>
  <si>
    <t>Разведение лошадей, ослов, мулов, лошаков</t>
  </si>
  <si>
    <t>01.43.1</t>
  </si>
  <si>
    <t>Производство сырого кобыльего молока</t>
  </si>
  <si>
    <t>01.43.2</t>
  </si>
  <si>
    <t>Производство спермы жеребцов и ослов</t>
  </si>
  <si>
    <t>01.43.3</t>
  </si>
  <si>
    <t>Разведение верблюдов и прочих животных семейства верблюжьих</t>
  </si>
  <si>
    <t>01.44</t>
  </si>
  <si>
    <t>Разведение овец и коз</t>
  </si>
  <si>
    <t>01.45</t>
  </si>
  <si>
    <t>01.45.1</t>
  </si>
  <si>
    <t>Производство сырого овечьего и козьего молока</t>
  </si>
  <si>
    <t>01.45.2</t>
  </si>
  <si>
    <t>Производство сырой (немытой) шерсти и волоса козы</t>
  </si>
  <si>
    <t>01.45.3</t>
  </si>
  <si>
    <t>Разведение племенных овец и коз</t>
  </si>
  <si>
    <t>01.45.4</t>
  </si>
  <si>
    <t>Разведение свиней</t>
  </si>
  <si>
    <t>01.46</t>
  </si>
  <si>
    <t>Выращивание и разведение свиней</t>
  </si>
  <si>
    <t>01.46.1</t>
  </si>
  <si>
    <t>Выращивание свиней на мясо</t>
  </si>
  <si>
    <t>01.46.11</t>
  </si>
  <si>
    <t>Разведение племенного поголовья свиней</t>
  </si>
  <si>
    <t>01.46.12</t>
  </si>
  <si>
    <t>Производство спермы хряков</t>
  </si>
  <si>
    <t>01.46.2</t>
  </si>
  <si>
    <t>Разведение сельскохозяйственной птицы</t>
  </si>
  <si>
    <t>01.47</t>
  </si>
  <si>
    <t>Выращивание и разведение сельскохозяйственной птицы: кур, индеек, уток, гусей и цесарок</t>
  </si>
  <si>
    <t>01.47.1</t>
  </si>
  <si>
    <t>Выращивание сельскохозяйственной птицы на мясо</t>
  </si>
  <si>
    <t>01.47.11</t>
  </si>
  <si>
    <t>Разведение племенной сельскохозяйственной птицы</t>
  </si>
  <si>
    <t>01.47.12</t>
  </si>
  <si>
    <t>Производство яиц сельскохозяйственной птицы</t>
  </si>
  <si>
    <t>01.47.2</t>
  </si>
  <si>
    <t>Деятельность инкубаторов для птицеводства</t>
  </si>
  <si>
    <t>01.47.3</t>
  </si>
  <si>
    <t>Разведение прочих животных</t>
  </si>
  <si>
    <t>01.49</t>
  </si>
  <si>
    <t>Пчеловодство</t>
  </si>
  <si>
    <t>01.49.1</t>
  </si>
  <si>
    <t>Пчеловодство медового направления</t>
  </si>
  <si>
    <t>01.49.11</t>
  </si>
  <si>
    <t>Пчеловодство опылительного направления</t>
  </si>
  <si>
    <t>01.49.12</t>
  </si>
  <si>
    <t>Пчеловодство разведенческого направления</t>
  </si>
  <si>
    <t>01.49.13</t>
  </si>
  <si>
    <t>Разведение кроликов и прочих пушных зверей на фермах</t>
  </si>
  <si>
    <t>01.49.2</t>
  </si>
  <si>
    <t>Разведение кроликов, производство тонкого волоса кроликов на фермах</t>
  </si>
  <si>
    <t>01.49.21</t>
  </si>
  <si>
    <t>Разведение прочих пушных зверей на фермах</t>
  </si>
  <si>
    <t>01.49.22</t>
  </si>
  <si>
    <t>Разведение шелкопряда</t>
  </si>
  <si>
    <t>01.49.3</t>
  </si>
  <si>
    <t>Производство грен шелкопряда</t>
  </si>
  <si>
    <t>01.49.31</t>
  </si>
  <si>
    <t>Производство коконов шелкопряда</t>
  </si>
  <si>
    <t>01.49.32</t>
  </si>
  <si>
    <t>Разведение оленей</t>
  </si>
  <si>
    <t>01.49.4</t>
  </si>
  <si>
    <t>Разведение домашних северных оленей</t>
  </si>
  <si>
    <t>01.49.41</t>
  </si>
  <si>
    <t>Разведение пятнистых оленей, ланей</t>
  </si>
  <si>
    <t>01.49.42</t>
  </si>
  <si>
    <t>Разведение благородных оленей (европейских, кавказских, маралов, изюбрей)</t>
  </si>
  <si>
    <t>01.49.43</t>
  </si>
  <si>
    <t>Производство пантов северных оленей, пятнистых оленей, благородных оленей (европейских, кавказских, маралов, изюбрей), ланей</t>
  </si>
  <si>
    <t>01.49.44</t>
  </si>
  <si>
    <t>Разведение домашних животных</t>
  </si>
  <si>
    <t>01.49.5</t>
  </si>
  <si>
    <t>Разведение лабораторных животных</t>
  </si>
  <si>
    <t>01.49.6</t>
  </si>
  <si>
    <t>Разведение дождевых червей</t>
  </si>
  <si>
    <t>01.49.7</t>
  </si>
  <si>
    <t>Разведение прочих животных, не включенных в другие группировки</t>
  </si>
  <si>
    <t>01.49.9</t>
  </si>
  <si>
    <t>Смешанное сельское хозяйство</t>
  </si>
  <si>
    <t>01.5</t>
  </si>
  <si>
    <t>01.50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</si>
  <si>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</si>
  <si>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</si>
  <si>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Предоставление услуг в области растениеводства</t>
  </si>
  <si>
    <t>01.61</t>
  </si>
  <si>
    <t>Предоставление услуг в области животноводства</t>
  </si>
  <si>
    <t>01.62</t>
  </si>
  <si>
    <t>Деятельность сельскохозяйственная после сбора урожая</t>
  </si>
  <si>
    <t>01.63</t>
  </si>
  <si>
    <t>Обработка семян для посадки</t>
  </si>
  <si>
    <t>01.64</t>
  </si>
  <si>
    <t>Охота, отлов и отстрел диких животных, включая предоставление услуг в этих областях</t>
  </si>
  <si>
    <t>01.7</t>
  </si>
  <si>
    <t>01.70</t>
  </si>
  <si>
    <t>Лесоводство и лесозаготовки</t>
  </si>
  <si>
    <t>02</t>
  </si>
  <si>
    <t>Лесоводство и прочая лесохозяйственная деятельность</t>
  </si>
  <si>
    <t>02.1</t>
  </si>
  <si>
    <t>02.10</t>
  </si>
  <si>
    <t>Деятельность лесопитомников</t>
  </si>
  <si>
    <t>02.10.1</t>
  </si>
  <si>
    <t>Выращивание посадочного материала лесных растений (саженцев, сеянцев)</t>
  </si>
  <si>
    <t>02.10.11</t>
  </si>
  <si>
    <t>Выращивание прочей продукции лесопитомниками</t>
  </si>
  <si>
    <t>02.10.19</t>
  </si>
  <si>
    <t>Деятельность лесохозяйственная прочая</t>
  </si>
  <si>
    <t>02.10.2</t>
  </si>
  <si>
    <t>Лесозаготовки</t>
  </si>
  <si>
    <t>02.2</t>
  </si>
  <si>
    <t>02.20</t>
  </si>
  <si>
    <t>Сбор и заготовка пищевых лесных ресурсов, недревесных лесных ресурсов и лекарственных растений</t>
  </si>
  <si>
    <t>02.3</t>
  </si>
  <si>
    <t>02.30</t>
  </si>
  <si>
    <t>Сбор и заготовка пищевых лесных ресурсов</t>
  </si>
  <si>
    <t>02.30.1</t>
  </si>
  <si>
    <t>Сбор и заготовка дикорастущих грибов</t>
  </si>
  <si>
    <t>02.30.11</t>
  </si>
  <si>
    <t>Сбор и заготовка дикорастущих плодов, ягод</t>
  </si>
  <si>
    <t>02.30.12</t>
  </si>
  <si>
    <t>Сбор и заготовка дикорастущих орехов</t>
  </si>
  <si>
    <t>02.30.13</t>
  </si>
  <si>
    <t>Сбор лекарственных растений</t>
  </si>
  <si>
    <t>02.30.14</t>
  </si>
  <si>
    <t>Сбор и заготовка недревесных лесных ресурсов</t>
  </si>
  <si>
    <t>02.30.2</t>
  </si>
  <si>
    <t>Предоставление услуг в области лесоводства и лесозаготовок</t>
  </si>
  <si>
    <t>02.4</t>
  </si>
  <si>
    <t>02.40</t>
  </si>
  <si>
    <t>Предоставление услуг в области лесоводства</t>
  </si>
  <si>
    <t>02.40.1</t>
  </si>
  <si>
    <t>Предоставление услуг в области лесозаготовок</t>
  </si>
  <si>
    <t>02.40.2</t>
  </si>
  <si>
    <t>Рыболовство и рыбоводство</t>
  </si>
  <si>
    <t>03</t>
  </si>
  <si>
    <t>Рыболовство</t>
  </si>
  <si>
    <t>03.1</t>
  </si>
  <si>
    <t>Рыболовство морское</t>
  </si>
  <si>
    <t>03.11</t>
  </si>
  <si>
    <t>Рыболовство морское промышленное</t>
  </si>
  <si>
    <t>03.11.1</t>
  </si>
  <si>
    <t>Рыболовство морское прибрежное</t>
  </si>
  <si>
    <t>03.11.2</t>
  </si>
  <si>
    <t>Рыболовство в научно-исследовательских и контрольных целях</t>
  </si>
  <si>
    <t>03.11.3</t>
  </si>
  <si>
    <t>Рыболовство в учебных и культурно-просветительских целях</t>
  </si>
  <si>
    <t>03.11.4</t>
  </si>
  <si>
    <t>Рыболовство морское в целях аквакультуры (рыбоводства)</t>
  </si>
  <si>
    <t>03.11.5</t>
  </si>
  <si>
    <t>Рыболовство пресноводное</t>
  </si>
  <si>
    <t>03.12</t>
  </si>
  <si>
    <t>Рыболовство пресноводное промышленное</t>
  </si>
  <si>
    <t>03.12.1</t>
  </si>
  <si>
    <t>Рыболовство пресноводное в целях аквакультуры (рыбоводства)</t>
  </si>
  <si>
    <t>03.12.2</t>
  </si>
  <si>
    <t>Рыболовство любительское и спортивное</t>
  </si>
  <si>
    <t>03.12.3</t>
  </si>
  <si>
    <t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t>
  </si>
  <si>
    <t>03.12.4</t>
  </si>
  <si>
    <t>Рыбоводство</t>
  </si>
  <si>
    <t>03.2</t>
  </si>
  <si>
    <t>Рыбоводство морское</t>
  </si>
  <si>
    <t>03.21</t>
  </si>
  <si>
    <t>Рыбоводство морское индустриальное</t>
  </si>
  <si>
    <t>03.21.1</t>
  </si>
  <si>
    <t>Рыбоводство морское пастбищное</t>
  </si>
  <si>
    <t>03.21.2</t>
  </si>
  <si>
    <t>Мелиорация рыбохозяйственная морских и минерализированных водных объектов</t>
  </si>
  <si>
    <t>03.21.3</t>
  </si>
  <si>
    <t>Воспроизводство морских биоресурсов искусственное</t>
  </si>
  <si>
    <t>03.21.4</t>
  </si>
  <si>
    <t>Акклиматизация морских биоресурсов</t>
  </si>
  <si>
    <t>03.21.5</t>
  </si>
  <si>
    <t>Деятельность по морскому рыбоводству прочая</t>
  </si>
  <si>
    <t>03.21.9</t>
  </si>
  <si>
    <t>Рыбоводство пресноводное</t>
  </si>
  <si>
    <t>03.22</t>
  </si>
  <si>
    <t>Рыбоводство пресноводное индустриальное</t>
  </si>
  <si>
    <t>03.22.1</t>
  </si>
  <si>
    <t>Рыбоводство пресноводное пастбищное</t>
  </si>
  <si>
    <t>03.22.2</t>
  </si>
  <si>
    <t>Рыбоводство прудовое</t>
  </si>
  <si>
    <t>03.22.3</t>
  </si>
  <si>
    <t>Мелиорация рыбохозяйственная пресноводных объектов</t>
  </si>
  <si>
    <t>03.22.4</t>
  </si>
  <si>
    <t>Воспроизводство пресноводных биоресурсов искусственное</t>
  </si>
  <si>
    <t>03.22.5</t>
  </si>
  <si>
    <t>Акклиматизация пресноводных биоресурсов</t>
  </si>
  <si>
    <t>03.22.6</t>
  </si>
  <si>
    <t>Деятельность по пресноводному рыбоводству прочая</t>
  </si>
  <si>
    <t>03.22.9</t>
  </si>
  <si>
    <t>Отрасль: обрабатывающие производства</t>
  </si>
  <si>
    <t>РАЗДЕЛ С</t>
  </si>
  <si>
    <t>Обрабатывающие производства</t>
  </si>
  <si>
    <t>Производство пищевых продуктов</t>
  </si>
  <si>
    <t>10</t>
  </si>
  <si>
    <t>Переработка и консервирование мяса</t>
  </si>
  <si>
    <t>10.1</t>
  </si>
  <si>
    <t>10.11</t>
  </si>
  <si>
    <t>Производство мяса в охлажденном виде</t>
  </si>
  <si>
    <t>10.11.1</t>
  </si>
  <si>
    <t>Производство пищевых субпродуктов в охлажденном виде</t>
  </si>
  <si>
    <t>10.11.2</t>
  </si>
  <si>
    <t>Производство мяса и пищевых субпродуктов в замороженном виде</t>
  </si>
  <si>
    <t>10.11.3</t>
  </si>
  <si>
    <t>Производство щипаной шерсти, сырых шкур и кож крупного рогатого скота, животных семейств лошадиных и оленевых, овец и коз</t>
  </si>
  <si>
    <t>10.11.4</t>
  </si>
  <si>
    <t>Производство животных жиров</t>
  </si>
  <si>
    <t>10.11.5</t>
  </si>
  <si>
    <t>Производство субпродуктов, непригодных для употребления в пищу</t>
  </si>
  <si>
    <t>10.11.6</t>
  </si>
  <si>
    <t>Производство и консервирование мяса птицы</t>
  </si>
  <si>
    <t>10.12</t>
  </si>
  <si>
    <t>Производство мяса птицы в охлажденном виде</t>
  </si>
  <si>
    <t>10.12.1</t>
  </si>
  <si>
    <t>Производство мяса птицы в замороженном виде</t>
  </si>
  <si>
    <t>10.12.2</t>
  </si>
  <si>
    <t>Производство жиров домашней птицы</t>
  </si>
  <si>
    <t>10.12.3</t>
  </si>
  <si>
    <t>Производство субпродуктов домашней птицы, пригодных для употребления в пищу</t>
  </si>
  <si>
    <t>10.12.4</t>
  </si>
  <si>
    <t>Производство пера и пуха</t>
  </si>
  <si>
    <t>10.12.5</t>
  </si>
  <si>
    <t>Производство продукции из мяса убойных животных и мяса птицы</t>
  </si>
  <si>
    <t>10.13</t>
  </si>
  <si>
    <t>Производство соленого, вареного, запеченого, копченого, вяленого и прочего мяса</t>
  </si>
  <si>
    <t>10.13.1</t>
  </si>
  <si>
    <t>Производство колбасных изделий</t>
  </si>
  <si>
    <t>10.13.2</t>
  </si>
  <si>
    <t>Производство мясных (мясосодержащих) консервов</t>
  </si>
  <si>
    <t>10.13.3</t>
  </si>
  <si>
    <t>Производство мясных (мясосодержащих) полуфабрикатов</t>
  </si>
  <si>
    <t>10.13.4</t>
  </si>
  <si>
    <t>Производство кулинарных мясных (мясосодержащих) изделий</t>
  </si>
  <si>
    <t>10.13.5</t>
  </si>
  <si>
    <t>Производство прочей пищевой продукции из мяса или мясных пищевых субпродуктов</t>
  </si>
  <si>
    <t>10.13.6</t>
  </si>
  <si>
    <t>Производство муки и гранул из мяса и мясных субпродуктов, непригодных для употребления в пищу</t>
  </si>
  <si>
    <t>10.13.7</t>
  </si>
  <si>
    <t>Предоставление услуг по тепловой обработке и прочим способам переработки мясных продуктов</t>
  </si>
  <si>
    <t>10.13.9</t>
  </si>
  <si>
    <t>Переработка и консервирование рыбы, ракообразных и моллюсков</t>
  </si>
  <si>
    <t>10.2</t>
  </si>
  <si>
    <t>10.20</t>
  </si>
  <si>
    <t>Переработка и консервирование рыбы</t>
  </si>
  <si>
    <t>10.20.1</t>
  </si>
  <si>
    <t>Переработка и консервирование ракообразных и моллюсков</t>
  </si>
  <si>
    <t>10.20.2</t>
  </si>
  <si>
    <t>Производство пищевой рыбной муки или муки для корма животных</t>
  </si>
  <si>
    <t>10.20.3</t>
  </si>
  <si>
    <t>Производство муки грубого помола и растворимых компонентов из рыбы и прочих водных животных, непригодных для потребления человеком</t>
  </si>
  <si>
    <t>10.20.4</t>
  </si>
  <si>
    <t>Деятельность по обработке морских водорослей, в том числе морской капусты</t>
  </si>
  <si>
    <t>10.20.5</t>
  </si>
  <si>
    <t>Производство прочих продуктов из рыбы, ракообразных, моллюсков и прочих водных беспозвоночных, непригодных для употребления в пищу</t>
  </si>
  <si>
    <t>10.20.9</t>
  </si>
  <si>
    <t>Переработка и консервирование фруктов и овощей</t>
  </si>
  <si>
    <t>10.3</t>
  </si>
  <si>
    <t>Переработка и консервирование картофеля</t>
  </si>
  <si>
    <t>10.31</t>
  </si>
  <si>
    <t>Производство соковой продукции из фруктов и овощей</t>
  </si>
  <si>
    <t>10.32</t>
  </si>
  <si>
    <t>Прочие виды переработки и консервирования фруктов и овощей</t>
  </si>
  <si>
    <t>10.39</t>
  </si>
  <si>
    <t>Переработка и консервирование овощей (кроме картофеля) и грибов</t>
  </si>
  <si>
    <t>10.39.1</t>
  </si>
  <si>
    <t>Переработка и консервирование фруктов и орехов</t>
  </si>
  <si>
    <t>10.39.2</t>
  </si>
  <si>
    <t>Предоставление услуг по тепловой обработке и прочим способам подготовки овощей и фруктов для консервирования</t>
  </si>
  <si>
    <t>10.39.9</t>
  </si>
  <si>
    <t>Производство растительных и животных масел и жиров</t>
  </si>
  <si>
    <t>10.4</t>
  </si>
  <si>
    <t>Производство масел и жиров</t>
  </si>
  <si>
    <t>10.41</t>
  </si>
  <si>
    <t>Производство нерафинированных животных масел и жиров, их фракций</t>
  </si>
  <si>
    <t>10.41.1</t>
  </si>
  <si>
    <t>Производство нерафинированных растительных масел и их фракций</t>
  </si>
  <si>
    <t>10.41.2</t>
  </si>
  <si>
    <t>Производство нерафинированного соевого масла и его фракций</t>
  </si>
  <si>
    <t>10.41.21</t>
  </si>
  <si>
    <t>Производство нерафинированного арахисового масла и его фракций</t>
  </si>
  <si>
    <t>10.41.22</t>
  </si>
  <si>
    <t>Производство нерафинированного оливкового масла и его фракций</t>
  </si>
  <si>
    <t>10.41.23</t>
  </si>
  <si>
    <t>Производство нерафинированного подсолнечного масла и его фракций</t>
  </si>
  <si>
    <t>10.41.24</t>
  </si>
  <si>
    <t>Производство нерафинированного хлопкового масла и его фракций</t>
  </si>
  <si>
    <t>10.41.25</t>
  </si>
  <si>
    <t>Производство нерафинированного рапсового сурепного и горчичного масла и их фракций</t>
  </si>
  <si>
    <t>10.41.26</t>
  </si>
  <si>
    <t>Производство нерафинированного пальмового масла и его фракций</t>
  </si>
  <si>
    <t>10.41.27</t>
  </si>
  <si>
    <t>Производство нерафинированного кокосового масла и его фракций</t>
  </si>
  <si>
    <t>10.41.28</t>
  </si>
  <si>
    <t>Производство прочих нерафинированных растительных масел и их фракций</t>
  </si>
  <si>
    <t>10.41.29</t>
  </si>
  <si>
    <t>Производство хлопкового линта</t>
  </si>
  <si>
    <t>10.41.3</t>
  </si>
  <si>
    <t>Производство жмыха и муки тонкого и грубого помола из семян или плодов масличных культур</t>
  </si>
  <si>
    <t>10.41.4</t>
  </si>
  <si>
    <t>Производство рафинированных растительных масел и их фракций</t>
  </si>
  <si>
    <t>10.41.5</t>
  </si>
  <si>
    <t>Производство рафинированного соевого масла и его фракций</t>
  </si>
  <si>
    <t>10.41.51</t>
  </si>
  <si>
    <t>Производство рафинированного арахисового масла и его фракций</t>
  </si>
  <si>
    <t>10.41.52</t>
  </si>
  <si>
    <t>Производство рафинированного оливкового масла и его фракций</t>
  </si>
  <si>
    <t>10.41.53</t>
  </si>
  <si>
    <t>Производство рафинированного подсолнечного масла и его фракций</t>
  </si>
  <si>
    <t>10.41.54</t>
  </si>
  <si>
    <t>Производство рафинированного хлопкового масла и его фракций</t>
  </si>
  <si>
    <t>10.41.55</t>
  </si>
  <si>
    <t>Производство рафинированного рапсового, сурепного, горчичного масел и их фракций</t>
  </si>
  <si>
    <t>10.41.56</t>
  </si>
  <si>
    <t>Производство рафинированного пальмового масла и его фракций</t>
  </si>
  <si>
    <t>10.41.57</t>
  </si>
  <si>
    <t>Производство рафинированного кокосового масла и его фракций</t>
  </si>
  <si>
    <t>10.41.58</t>
  </si>
  <si>
    <t>Производство прочих рафинированных растительных масел и их фракций</t>
  </si>
  <si>
    <t>10.41.59</t>
  </si>
  <si>
    <t>Производство гидрогенизированных и переэтерифицированных животных и растительных жиров и масел и их фракций</t>
  </si>
  <si>
    <t>10.41.6</t>
  </si>
  <si>
    <t>Производство растительных восков и дегры</t>
  </si>
  <si>
    <t>10.41.7</t>
  </si>
  <si>
    <t>Производство маргариновой продукции</t>
  </si>
  <si>
    <t>10.42</t>
  </si>
  <si>
    <t>Производство молочной продукции</t>
  </si>
  <si>
    <t>10.5</t>
  </si>
  <si>
    <t>Производство молока (кроме сырого) и молочной продукции</t>
  </si>
  <si>
    <t>10.51</t>
  </si>
  <si>
    <t>Производство питьевого молока и питьевых сливок</t>
  </si>
  <si>
    <t>10.51.1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</si>
  <si>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</si>
  <si>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10.51.2</t>
  </si>
  <si>
    <t>Производство сыра и сырных продуктов</t>
  </si>
  <si>
    <t>10.51.3</t>
  </si>
  <si>
    <t>Производство молока и сливок в твердой форме</t>
  </si>
  <si>
    <t>10.51.4</t>
  </si>
  <si>
    <t>Производство прочей молочной продукции</t>
  </si>
  <si>
    <t>10.51.9</t>
  </si>
  <si>
    <t>Производство мороженого</t>
  </si>
  <si>
    <t>10.52</t>
  </si>
  <si>
    <t>Производство продуктов мукомольной и крупяной промышленности, крахмала и крахмалосодержащих продуктов</t>
  </si>
  <si>
    <t>10.6</t>
  </si>
  <si>
    <t>Производство продуктов мукомольной и крупяной промышленности</t>
  </si>
  <si>
    <t>10.61</t>
  </si>
  <si>
    <t>Производство обработанного риса</t>
  </si>
  <si>
    <t>10.61.1</t>
  </si>
  <si>
    <t>Производство муки из зерновых культур</t>
  </si>
  <si>
    <t>10.61.2</t>
  </si>
  <si>
    <t>Производство крупы и гранул из зерновых культур</t>
  </si>
  <si>
    <t>10.61.3</t>
  </si>
  <si>
    <t>Производство мучных смесей и приготовление мучных смесей или теста для хлеба, тортов, бисквитов и блинов</t>
  </si>
  <si>
    <t>10.61.4</t>
  </si>
  <si>
    <t>Производство крахмала и крахмалосодержащих продуктов</t>
  </si>
  <si>
    <t>10.62</t>
  </si>
  <si>
    <t>Производство крахмала</t>
  </si>
  <si>
    <t>10.62.1</t>
  </si>
  <si>
    <t>Производство нерафинированного кукурузного масла и его фракций</t>
  </si>
  <si>
    <t>10.62.2</t>
  </si>
  <si>
    <t>Производство рафинированного кукурузного масла и его фракций</t>
  </si>
  <si>
    <t>10.62.3</t>
  </si>
  <si>
    <t>Производство прочих крахмалосодержащих продуктов</t>
  </si>
  <si>
    <t>10.62.9</t>
  </si>
  <si>
    <t>Производство хлебобулочных и мучных кондитерских изделий</t>
  </si>
  <si>
    <t>10.7</t>
  </si>
  <si>
    <t>Производство хлеба и мучных кондитерских изделий, тортов и пирожных недлительного хранения</t>
  </si>
  <si>
    <t>10.71</t>
  </si>
  <si>
    <t>Производство хлеба и хлебобулочных изделий недлительного хранения</t>
  </si>
  <si>
    <t>10.71.1</t>
  </si>
  <si>
    <t>Производство мучных кондитерских изделий, тортов и пирожных недлительного хранения</t>
  </si>
  <si>
    <t>10.71.2</t>
  </si>
  <si>
    <t>Производство охлажденных хлебобулочных полуфабрикатов</t>
  </si>
  <si>
    <t>10.71.3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</si>
  <si>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</si>
  <si>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</t>
  </si>
  <si>
    <t>Производство хрустящих хлебцев, сухарей и прочих сухарных хлебобулочных изделий</t>
  </si>
  <si>
    <t>10.72.1</t>
  </si>
  <si>
    <t>Производство тортов и пирожных длительного хранения</t>
  </si>
  <si>
    <t>10.72.2</t>
  </si>
  <si>
    <t>Производство прочих мучных кондитерских изделий длительного хранения</t>
  </si>
  <si>
    <t>10.72.3</t>
  </si>
  <si>
    <t>Производство печенья</t>
  </si>
  <si>
    <t>10.72.31</t>
  </si>
  <si>
    <t>Производство пряников и коврижек</t>
  </si>
  <si>
    <t>10.72.32</t>
  </si>
  <si>
    <t>Производство вафель</t>
  </si>
  <si>
    <t>10.72.33</t>
  </si>
  <si>
    <t>Производство галет и крекеров</t>
  </si>
  <si>
    <t>10.72.34</t>
  </si>
  <si>
    <t>Производство кексов, рулетов и аналогичных изделий длительного хранения</t>
  </si>
  <si>
    <t>10.72.35</t>
  </si>
  <si>
    <t>Производство восточных сладостей и прочих мучных кондитерских изделий</t>
  </si>
  <si>
    <t>10.72.39</t>
  </si>
  <si>
    <t>Производство замороженных хлебобулочных полуфабрикатов</t>
  </si>
  <si>
    <t>10.72.4</t>
  </si>
  <si>
    <t>Производство макаронных изделий кускуса и аналогичных мучных изделий</t>
  </si>
  <si>
    <t>10.73</t>
  </si>
  <si>
    <t>Производство макаронных изделий</t>
  </si>
  <si>
    <t>10.73.1</t>
  </si>
  <si>
    <t>Производство кускуса</t>
  </si>
  <si>
    <t>10.73.2</t>
  </si>
  <si>
    <t>Производство консервированных или замороженных макаронных изделий</t>
  </si>
  <si>
    <t>10.73.3</t>
  </si>
  <si>
    <t>Производство прочих пищевых продуктов</t>
  </si>
  <si>
    <t>10.8</t>
  </si>
  <si>
    <t>Производство сахара</t>
  </si>
  <si>
    <t>10.81</t>
  </si>
  <si>
    <t>Производство сахара из сахарной свеклы и тростникового сырца</t>
  </si>
  <si>
    <t>10.81.1</t>
  </si>
  <si>
    <t>Производство сахара из сахарной свеклы</t>
  </si>
  <si>
    <t>10.81.11</t>
  </si>
  <si>
    <t>Производство сахара из тростникового сырца</t>
  </si>
  <si>
    <t>10.81.12</t>
  </si>
  <si>
    <t>Производство сахарного сиропа</t>
  </si>
  <si>
    <t>10.81.2</t>
  </si>
  <si>
    <t>Производство мелассы</t>
  </si>
  <si>
    <t>10.81.3</t>
  </si>
  <si>
    <t>Производство какао, шоколада и сахаристых кондитерских изделий</t>
  </si>
  <si>
    <t>10.82</t>
  </si>
  <si>
    <t>Производство какао, масла какао, жира какао, растительного масла какао, порошка какао</t>
  </si>
  <si>
    <t>10.82.1</t>
  </si>
  <si>
    <t>Производство шоколада и сахаристых кондитерских изделий</t>
  </si>
  <si>
    <t>10.82.2</t>
  </si>
  <si>
    <t>Производство кондитерских изделий из сахара</t>
  </si>
  <si>
    <t>10.82.3</t>
  </si>
  <si>
    <t>Производство жевательной резинки</t>
  </si>
  <si>
    <t>10.82.4</t>
  </si>
  <si>
    <t>Производство засахаренных фруктов, орехов, цукатов из кожуры и прочих частей растений</t>
  </si>
  <si>
    <t>10.82.5</t>
  </si>
  <si>
    <t>Производство кондитерских леденцов и пастилок</t>
  </si>
  <si>
    <t>10.82.6</t>
  </si>
  <si>
    <t>Производство чая и кофе</t>
  </si>
  <si>
    <t>10.83</t>
  </si>
  <si>
    <t>Производство приправ и пряностей</t>
  </si>
  <si>
    <t>10.84</t>
  </si>
  <si>
    <t>Производство готовых пищевых продуктов и блюд</t>
  </si>
  <si>
    <t>10.85</t>
  </si>
  <si>
    <t>Производство детского питания и диетических пищевых продуктов</t>
  </si>
  <si>
    <t>10.86</t>
  </si>
  <si>
    <t>Производство молока и молочных продуктов для детского питания</t>
  </si>
  <si>
    <t>10.86.1</t>
  </si>
  <si>
    <t>Производство молока и молочных продуктов для детей раннего возраста</t>
  </si>
  <si>
    <t>10.86.11</t>
  </si>
  <si>
    <t>Производство молока и молочных продуктов для детей дошкольного и школьного возраста</t>
  </si>
  <si>
    <t>10.86.12</t>
  </si>
  <si>
    <t>Производство соковой продукции из фруктов и овощей для детского питания</t>
  </si>
  <si>
    <t>10.86.2</t>
  </si>
  <si>
    <t>Производство мясной продукции для детского питания, в том числе из мяса птицы</t>
  </si>
  <si>
    <t>10.86.3</t>
  </si>
  <si>
    <t>Производство продуктов на злаковой основе для детского питания</t>
  </si>
  <si>
    <t>10.86.4</t>
  </si>
  <si>
    <t>Производство продуктов детского питания профилактического и лечебного назначения</t>
  </si>
  <si>
    <t>10.86.5</t>
  </si>
  <si>
    <t>Производство специализированной пищевой продукции, в том числе диетических пищевых продуктов</t>
  </si>
  <si>
    <t>10.86.6</t>
  </si>
  <si>
    <t>Производство пищевой продукции диетического и диабетического питания</t>
  </si>
  <si>
    <t>10.86.61</t>
  </si>
  <si>
    <t>Производство пищевой продукции для питания спортсменов</t>
  </si>
  <si>
    <t>10.86.62</t>
  </si>
  <si>
    <t>Производство пищевой продукции для питания беременных и кормящих женщин</t>
  </si>
  <si>
    <t>10.86.63</t>
  </si>
  <si>
    <t>Производство пищевой продукции энтерального питания</t>
  </si>
  <si>
    <t>10.86.64</t>
  </si>
  <si>
    <t>Производство прочих диетических пищевых продуктов</t>
  </si>
  <si>
    <t>10.86.69</t>
  </si>
  <si>
    <t>Производство воды питьевой, напитков безалкогольных для детского питания</t>
  </si>
  <si>
    <t>10.86.7</t>
  </si>
  <si>
    <t>Производство рыбной продукции для детского питания</t>
  </si>
  <si>
    <t>10.86.8</t>
  </si>
  <si>
    <t>Производство хлебобулочных и кондитерских изделий для детского питания</t>
  </si>
  <si>
    <t>10.86.9</t>
  </si>
  <si>
    <t>Производство прочих пищевых продуктов, не включенных в другие группировки</t>
  </si>
  <si>
    <t>10.89</t>
  </si>
  <si>
    <t>Производство супов и бульонов</t>
  </si>
  <si>
    <t>10.89.1</t>
  </si>
  <si>
    <t>Производство скоропортящихся продуктов, таких как: сэндвичи и свежая пицца (полуфабрикат)</t>
  </si>
  <si>
    <t>10.89.2</t>
  </si>
  <si>
    <t>Производство растительных соков и экстрактов, пептических веществ, растительных клеев и загустителей</t>
  </si>
  <si>
    <t>10.89.3</t>
  </si>
  <si>
    <t>Производство пищевых ферментов</t>
  </si>
  <si>
    <t>10.89.4</t>
  </si>
  <si>
    <t>Производство искусственного меда и карамели</t>
  </si>
  <si>
    <t>10.89.5</t>
  </si>
  <si>
    <t>Переработка меда (темперирование, фильтрация, декристаллизация и смешивание меда)</t>
  </si>
  <si>
    <t>10.89.6</t>
  </si>
  <si>
    <t>Производство рационов питания и пайков</t>
  </si>
  <si>
    <t>10.89.7</t>
  </si>
  <si>
    <t>Производство биологически активных добавок к пище</t>
  </si>
  <si>
    <t>10.89.8</t>
  </si>
  <si>
    <t>Производство прочих продуктов питания, не включенных в другие группировки</t>
  </si>
  <si>
    <t>10.89.9</t>
  </si>
  <si>
    <t>Производство готовых кормов для животных</t>
  </si>
  <si>
    <t>10.9</t>
  </si>
  <si>
    <t>Производство готовых кормов для животных, содержащихся на фермах</t>
  </si>
  <si>
    <t>10.91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</si>
  <si>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</si>
  <si>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</t>
  </si>
  <si>
    <t>Производство муки грубого помола и гранул из люцерны</t>
  </si>
  <si>
    <t>10.91.2</t>
  </si>
  <si>
    <t>Производство кормового микробиологического белка, премиксов, кормовых витаминов, антибиотиков, аминокислот и ферментов</t>
  </si>
  <si>
    <t>10.91.3</t>
  </si>
  <si>
    <t>Производство готовых кормов для непродуктивных животных</t>
  </si>
  <si>
    <t>10.92</t>
  </si>
  <si>
    <t>Производство напитков</t>
  </si>
  <si>
    <t>11</t>
  </si>
  <si>
    <t>11.0</t>
  </si>
  <si>
    <t>Производство безалкогольных напитков; производство упакованных питьевых вод, включая минеральные воды. </t>
  </si>
  <si>
    <t>11.07</t>
  </si>
  <si>
    <t>Производство упакованных питьевых вод, включая минеральные воды</t>
  </si>
  <si>
    <t>11.07.1</t>
  </si>
  <si>
    <t>Производство упакованных природных минеральных вод</t>
  </si>
  <si>
    <t>11.07.11</t>
  </si>
  <si>
    <t>Производство упакованных природных питьевых вод</t>
  </si>
  <si>
    <t>11.07.12</t>
  </si>
  <si>
    <t>Производство упакованных обработанных питьевых вод</t>
  </si>
  <si>
    <t>11.07.13</t>
  </si>
  <si>
    <t>Производство упакованных купажированных питьевых вод</t>
  </si>
  <si>
    <t>11.07.14</t>
  </si>
  <si>
    <t>Производство упакованных искусственно минерализованных питьевых вод </t>
  </si>
  <si>
    <t>11.07.15</t>
  </si>
  <si>
    <t>Производство безалкогольных напитков ароматизированных и/или с добавлением сахара, кроме минеральных вод</t>
  </si>
  <si>
    <t>11.07.2</t>
  </si>
  <si>
    <t>Производство текстильных изделий</t>
  </si>
  <si>
    <t>13</t>
  </si>
  <si>
    <t>Подготовка и прядение текстильных волокон</t>
  </si>
  <si>
    <t>13.1</t>
  </si>
  <si>
    <t>13.10</t>
  </si>
  <si>
    <t>Прядение хлопчатобумажных волокон</t>
  </si>
  <si>
    <t>13.10.1</t>
  </si>
  <si>
    <t>Прядение кардное шерстяных волокон</t>
  </si>
  <si>
    <t>13.10.2</t>
  </si>
  <si>
    <t>Прядение гребенное шерстяных волокон</t>
  </si>
  <si>
    <t>13.10.3</t>
  </si>
  <si>
    <t>Прядение льняных волокон</t>
  </si>
  <si>
    <t>13.10.4</t>
  </si>
  <si>
    <t>Изготовление натуральных шелковых, искусственных и синтетических волокон</t>
  </si>
  <si>
    <t>13.10.5</t>
  </si>
  <si>
    <t>Производство швейных ниток</t>
  </si>
  <si>
    <t>13.10.6</t>
  </si>
  <si>
    <t>Подготовка и прядение прочих текстильных волокон</t>
  </si>
  <si>
    <t>13.10.9</t>
  </si>
  <si>
    <t>Производство текстильных тканей</t>
  </si>
  <si>
    <t>13.2</t>
  </si>
  <si>
    <t>613.20</t>
  </si>
  <si>
    <t>Производство тканей (без специальных тканей) из натуральных волокон, кроме хлопка</t>
  </si>
  <si>
    <t>13.20.1</t>
  </si>
  <si>
    <t>Производство шелковых тканей</t>
  </si>
  <si>
    <t>13.20.11</t>
  </si>
  <si>
    <t>Производство шерстяных тканей</t>
  </si>
  <si>
    <t>13.20.12</t>
  </si>
  <si>
    <t>Производство льняных тканей</t>
  </si>
  <si>
    <t>13.20.13</t>
  </si>
  <si>
    <t>Производство тканей из джутовых и прочих лубяных текстильных волокон</t>
  </si>
  <si>
    <t>13.20.14</t>
  </si>
  <si>
    <t>Производство ткани из прочих растительных текстильных волокон; ткани из бумажной пряжи</t>
  </si>
  <si>
    <t>13.20.19</t>
  </si>
  <si>
    <t>Производство хлопчатобумажных тканей</t>
  </si>
  <si>
    <t>13.20.2</t>
  </si>
  <si>
    <t>Производство тканей, за исключением специальных тканей, из химических комплексных нитей и штапельных волокон</t>
  </si>
  <si>
    <t>13.20.3</t>
  </si>
  <si>
    <t>Производство ворсовых, махровых полотенечных тканей и прочих специальных тканей</t>
  </si>
  <si>
    <t>13.20.4</t>
  </si>
  <si>
    <t>Производство ворсовых тканей и ткани из синели</t>
  </si>
  <si>
    <t>13.20.41</t>
  </si>
  <si>
    <t>Производство хлопчатобумажных махровых полотенечных тканей</t>
  </si>
  <si>
    <t>13.20.42</t>
  </si>
  <si>
    <t>Производство прочих махровых полотенечных и аналогичных махровых тканей</t>
  </si>
  <si>
    <t>13.20.43</t>
  </si>
  <si>
    <t>Производство марли</t>
  </si>
  <si>
    <t>13.20.44</t>
  </si>
  <si>
    <t>Производство ворсовых тканей</t>
  </si>
  <si>
    <t>13.20.45</t>
  </si>
  <si>
    <t>Производство тканей из стекловолокна</t>
  </si>
  <si>
    <t>13.20.46</t>
  </si>
  <si>
    <t>Производство искусственного меха ткацким способом</t>
  </si>
  <si>
    <t>13.20.5</t>
  </si>
  <si>
    <t>Производство арамидных нитей и волокна</t>
  </si>
  <si>
    <t>13.20.6</t>
  </si>
  <si>
    <t>Отделка тканей и текстильных изделий</t>
  </si>
  <si>
    <t>13.3</t>
  </si>
  <si>
    <t>13.30</t>
  </si>
  <si>
    <t>Отбеливание и окрашивание текстиля, волокон, тканей и текстильных изделий, включая готовую одежду</t>
  </si>
  <si>
    <t>13.30.1</t>
  </si>
  <si>
    <t>Аппретирование, сушка, обработка паром, декатировка, противоусадочная отделка, смягчение тканей и текстильных изделий, включая готовую одежду</t>
  </si>
  <si>
    <t>13.30.2</t>
  </si>
  <si>
    <t>Плиссировка и подобные работы на текстильных материалах</t>
  </si>
  <si>
    <t>13.30.3</t>
  </si>
  <si>
    <t>Нанесение водозащитного слоя, специальных покрытий, прорезинивание, пропитка приобретенной одежды</t>
  </si>
  <si>
    <t>13.30.4</t>
  </si>
  <si>
    <t>Нанесение рисунка на текстильные изделия и готовую одежду</t>
  </si>
  <si>
    <t>13.30.5</t>
  </si>
  <si>
    <t>Производство прочих текстильных изделий</t>
  </si>
  <si>
    <t>13.9</t>
  </si>
  <si>
    <t>Производство трикотажного и вязаного полотна</t>
  </si>
  <si>
    <t>13.91</t>
  </si>
  <si>
    <t>Производство и обработка трикотажного или вязаного полотна</t>
  </si>
  <si>
    <t>13.91.1</t>
  </si>
  <si>
    <t>Производство искусственного меха методом вязания</t>
  </si>
  <si>
    <t>13.91.2</t>
  </si>
  <si>
    <t>Производство готовых текстильных изделий, кроме одежды</t>
  </si>
  <si>
    <t>13.92</t>
  </si>
  <si>
    <t>13.92.1</t>
  </si>
  <si>
    <t>Пошив готовых текстильных изделий по индивидуальному заказу населения, кроме одежды</t>
  </si>
  <si>
    <t>13.92.2</t>
  </si>
  <si>
    <t>Производство ковров и ковровых изделий</t>
  </si>
  <si>
    <t>13.93</t>
  </si>
  <si>
    <t>Производство канатов, веревок, шпагата и сетей</t>
  </si>
  <si>
    <t>13.94</t>
  </si>
  <si>
    <t>Производство шпагата, канатов, веревок и тросов из текстильных волокон и лент, с пропиткой и без пропитки, с покрытием, защищенных или не защищенных оболочкой из резины или пластмассы</t>
  </si>
  <si>
    <t>13.94.1</t>
  </si>
  <si>
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</si>
  <si>
    <t>13.94.2</t>
  </si>
  <si>
    <t>Производство нетканых текстильных материалов и изделий из них, кроме одежды</t>
  </si>
  <si>
    <t>13.95</t>
  </si>
  <si>
    <t>Производство прочих технических и промышленных текстильных изделий</t>
  </si>
  <si>
    <t>13.96</t>
  </si>
  <si>
    <t>Производство металлизированной пряжи или металлизированной позументной тесьмы</t>
  </si>
  <si>
    <t>13.96.1</t>
  </si>
  <si>
    <t>Производство ткани из металлической нити и ткани из металлизированной пряжи</t>
  </si>
  <si>
    <t>13.96.2</t>
  </si>
  <si>
    <t>Производство резиновых нитей и шнуров с текстильным покрытием; производство текстильных нитей и лент, пропитанных или с пластмассовым или резиновым покрытием</t>
  </si>
  <si>
    <t>13.96.3</t>
  </si>
  <si>
    <t>Производство текстильных материалов, пропитанных или с покрытием</t>
  </si>
  <si>
    <t>13.96.4</t>
  </si>
  <si>
    <t>Производство кордных тканей</t>
  </si>
  <si>
    <t>13.96.5</t>
  </si>
  <si>
    <t>Производство текстильных материалов и изделий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</si>
  <si>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13.96.6</t>
  </si>
  <si>
    <t>Производство узких текстильных тканей, в том числе состоящих из основы безуточного переплетения и соединяемых клеящим веществом</t>
  </si>
  <si>
    <t>13.96.7</t>
  </si>
  <si>
    <t>Производство прочих текстильных изделий, не включенных в другие группировки</t>
  </si>
  <si>
    <t>13.99</t>
  </si>
  <si>
    <t>Производство кружевного сетчатого и гардинно-тюлевого полотна, а также кружев и вышитых изделий, в кусках, в форме полос или отдельных вышивок</t>
  </si>
  <si>
    <t>13.99.1</t>
  </si>
  <si>
    <t>Производство фетра и войлока</t>
  </si>
  <si>
    <t>13.99.2</t>
  </si>
  <si>
    <t>Производство ваты из текстильных материалов</t>
  </si>
  <si>
    <t>13.99.3</t>
  </si>
  <si>
    <t>Изготовление прочих текстильных изделий по индивидуальному заказу населения, не включенных в другие группировки</t>
  </si>
  <si>
    <t>13.99.4</t>
  </si>
  <si>
    <t>Производство текстильных изделий различного назначения, не включенных в другие группировки</t>
  </si>
  <si>
    <t>13.99.9</t>
  </si>
  <si>
    <t>Производство одежды</t>
  </si>
  <si>
    <t>14</t>
  </si>
  <si>
    <t>Производство одежды, кроме одежды из меха</t>
  </si>
  <si>
    <t>14.1</t>
  </si>
  <si>
    <t>Производство одежды из кожи</t>
  </si>
  <si>
    <t>14.11</t>
  </si>
  <si>
    <t>Производство одежды из кожи, кроме изготовленных по индивидуальному заказу</t>
  </si>
  <si>
    <t>14.11.1</t>
  </si>
  <si>
    <t>Пошив одежды из кожи по индивидуальному заказу населения</t>
  </si>
  <si>
    <t>14.11.2</t>
  </si>
  <si>
    <t>Производство спецодежды</t>
  </si>
  <si>
    <t>14.12</t>
  </si>
  <si>
    <t>Производство спецодежды, кроме изготовленных по индивидуальному заказу</t>
  </si>
  <si>
    <t>14.12.1</t>
  </si>
  <si>
    <t>Пошив производственной одежды по индивидуальному заказу населения</t>
  </si>
  <si>
    <t>14.12.2</t>
  </si>
  <si>
    <t>Производство прочей верхней одежды</t>
  </si>
  <si>
    <t>14.13</t>
  </si>
  <si>
    <t>Производство верхней трикотажной или вязаной одежды</t>
  </si>
  <si>
    <t>14.13.1</t>
  </si>
  <si>
    <t>Производство верхней трикотажной или вязаной одежды для мужчин или мальчиков</t>
  </si>
  <si>
    <t>14.13.11</t>
  </si>
  <si>
    <t>Производство верхней трикотажной или вязаной одежды для женщин или девочек</t>
  </si>
  <si>
    <t>14.13.12</t>
  </si>
  <si>
    <t>Производство верхней одежды из текстильных материалов, кроме трикотажных или вязаных</t>
  </si>
  <si>
    <t>14.13.2</t>
  </si>
  <si>
    <t>Производство верхней одежды из текстильных материалов, кроме трикотажных или вязаных, для мужчин или мальчиков</t>
  </si>
  <si>
    <t>14.13.21</t>
  </si>
  <si>
    <t>Производство верхней одежды из текстильных материалов, кроме трикотажных или вязаных, женщин или девочек</t>
  </si>
  <si>
    <t>14.13.22</t>
  </si>
  <si>
    <t>Пошив и вязание прочей верхней одежды по индивидуальному заказу населения</t>
  </si>
  <si>
    <t>14.13.3</t>
  </si>
  <si>
    <t>Производство нательного белья</t>
  </si>
  <si>
    <t>14.14</t>
  </si>
  <si>
    <t>Производство трикотажного и вязаного нательного белья</t>
  </si>
  <si>
    <t>14.14.1</t>
  </si>
  <si>
    <t>Производство трикотажных или вязаных рубашек для мужчин или для мальчиков</t>
  </si>
  <si>
    <t>14.14.11</t>
  </si>
  <si>
    <t>Производство маек и прочего трикотажного или вязаного нательного белья для мужчин или мальчиков</t>
  </si>
  <si>
    <t>14.14.12</t>
  </si>
  <si>
    <t>Производство трикотажных или вязаных блузок, рубашек и батников для женщин или для девочек</t>
  </si>
  <si>
    <t>14.14.13</t>
  </si>
  <si>
    <t>Производство маек и прочего трикотажного или вязаного нательного белья для женщин или для девочек</t>
  </si>
  <si>
    <t>14.14.14</t>
  </si>
  <si>
    <t>Производство нательного белья из тканей</t>
  </si>
  <si>
    <t>14.14.2</t>
  </si>
  <si>
    <t>Производство рубашек из текстильных материалов, кроме трикотажных или вязаных, для мужчин или для мальчиков</t>
  </si>
  <si>
    <t>14.14.21</t>
  </si>
  <si>
    <t>Производство маек и прочего нательного белья из текстильных материалов, кроме трикотажных или вязаных, для мужчин или для мальчиков</t>
  </si>
  <si>
    <t>14.14.22</t>
  </si>
  <si>
    <t>Производство блузок, рубашек и батников из текстильных материалов, кроме трикотажных или вязаных, для женщин или для девочек</t>
  </si>
  <si>
    <t>14.14.23</t>
  </si>
  <si>
    <t>Производство маек и прочего нательного белья из текстильных материалов, кроме трикотажных или вязаных, для женщин или для девочек</t>
  </si>
  <si>
    <t>14.14.24</t>
  </si>
  <si>
    <t>Производство бюстгальтеров, поясов, корсетов и аналогичных изделий, и их частей из любого текстильного материала, включая трикотажные или вязаные</t>
  </si>
  <si>
    <t>14.14.25</t>
  </si>
  <si>
    <t>Производство трикотажных или вязаных футболок, маек и прочих нижних рубашек</t>
  </si>
  <si>
    <t>14.14.3</t>
  </si>
  <si>
    <t>Пошив нательного белья по индивидуальному заказу населения</t>
  </si>
  <si>
    <t>14.14.4</t>
  </si>
  <si>
    <t>Производство прочей одежды и аксессуаров одежды</t>
  </si>
  <si>
    <t>14.19</t>
  </si>
  <si>
    <t>Производство трикотажной или вязаной одежды для детей младшего возраста, спортивной или прочей одежды, аксессуаров и деталей одежды</t>
  </si>
  <si>
    <t>14.19.1</t>
  </si>
  <si>
    <t>Производство трикотажных или вязаных одежды и аксессуаров одежды для детей младшего возраста</t>
  </si>
  <si>
    <t>14.19.11</t>
  </si>
  <si>
    <t>Производство спортивных костюмов, лыжных костюмов, купальных костюмов и прочей трикотажной или вязаной одежды</t>
  </si>
  <si>
    <t>14.19.12</t>
  </si>
  <si>
    <t>Производство трикотажных или вязаных перчаток, рукавиц (варежек) и митенок</t>
  </si>
  <si>
    <t>14.19.13</t>
  </si>
  <si>
    <t>Производство прочих трикотажных или вязаных аксессуаров одежды, в том числе платков, шарфов, галстуков и прочих аналогичных изделий</t>
  </si>
  <si>
    <t>14.19.19</t>
  </si>
  <si>
    <t>Производство одежды для детей младшего возраста, спортивной или прочей одежды и аксессуаров одежды из текстильных материалов, кроме трикотажных или вязаных</t>
  </si>
  <si>
    <t>14.19.2</t>
  </si>
  <si>
    <t>Производство одежды и аксессуаров одежды для детей младшего возраста из текстильных материалов, кроме трикотажных или вязаных</t>
  </si>
  <si>
    <t>14.19.21</t>
  </si>
  <si>
    <t>Производство спортивных костюмов, лыжных костюмов, купальных костюмов и прочей одежды из текстильных материалов, кроме трикотажных или вязаных</t>
  </si>
  <si>
    <t>14.19.22</t>
  </si>
  <si>
    <t>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</si>
  <si>
    <t>14.19.23</t>
  </si>
  <si>
    <t>Производство аксессуаров одежды из кожи; производство одежды из фетра или нетканых материалов; производство одежды из текстильных материалов с покрытием</t>
  </si>
  <si>
    <t>14.19.3</t>
  </si>
  <si>
    <t>Производство аксессуаров одежды из натуральной или композиционной кожи</t>
  </si>
  <si>
    <t>14.19.31</t>
  </si>
  <si>
    <t>Производство одежды из фетра, нетканых материалов, из текстильных материалов с пропиткой или покрытием</t>
  </si>
  <si>
    <t>14.19.32</t>
  </si>
  <si>
    <t>Производство головных уборов</t>
  </si>
  <si>
    <t>14.19.4</t>
  </si>
  <si>
    <t>Пошив и вязание прочей одежды и аксессуаров одежды, головных уборов по индивидуальному заказу населения</t>
  </si>
  <si>
    <t>14.19.5</t>
  </si>
  <si>
    <t>Производство меховых изделий</t>
  </si>
  <si>
    <t>14.2</t>
  </si>
  <si>
    <t>14.20</t>
  </si>
  <si>
    <t>Производство меховых изделий, кроме изготовленных по индивидуальному заказу</t>
  </si>
  <si>
    <t>14.20.1</t>
  </si>
  <si>
    <t>Пошив меховых изделий по индивидуальному заказу населения</t>
  </si>
  <si>
    <t>14.20.2</t>
  </si>
  <si>
    <t>Производство вязаных и трикотажных изделий одежды</t>
  </si>
  <si>
    <t>14.3</t>
  </si>
  <si>
    <t>Производство вязаных и трикотажных чулочно-носочных изделий</t>
  </si>
  <si>
    <t>14.31</t>
  </si>
  <si>
    <t>Производство вязаных и трикотажных чулочно-носочных изделий, кроме изготовленных по индивидуальному заказу</t>
  </si>
  <si>
    <t>14.31.1</t>
  </si>
  <si>
    <t>Изготовление вязаных и трикотажных чулочно-носочных изделий по индивидуальному заказу населения</t>
  </si>
  <si>
    <t>14.31.2</t>
  </si>
  <si>
    <t>Производство прочих вязаных и трикотажных изделий</t>
  </si>
  <si>
    <t>14.39</t>
  </si>
  <si>
    <t>Производство прочих вязаных и трикотажных изделий, не включенных в другие группировки</t>
  </si>
  <si>
    <t>14.39.1</t>
  </si>
  <si>
    <t>Изготовление прочих вязаных и трикотажных изделий, не включенных в другие группировки по индивидуальному заказу населения</t>
  </si>
  <si>
    <t>14.39.2</t>
  </si>
  <si>
    <t>Производство кожи и изделий из кожи</t>
  </si>
  <si>
    <t>15</t>
  </si>
  <si>
    <t>Дубление и отделка кожи, производство чемоданов, сумок, шорно-седельных изделий из кожи; выделка и крашение меха</t>
  </si>
  <si>
    <t>15.1</t>
  </si>
  <si>
    <t>Дубление и выделка кожи, выделка и крашение меха</t>
  </si>
  <si>
    <t>15.11</t>
  </si>
  <si>
    <t>Выделка и крашение меха</t>
  </si>
  <si>
    <t>15.11.1</t>
  </si>
  <si>
    <t>Производство замши, пергаментной кожи, лакированной и металлизированной кожи</t>
  </si>
  <si>
    <t>15.11.2</t>
  </si>
  <si>
    <t>Дубление, выделка и крашение кожи из шкур крупного рогатого скота или животных семейства лошадиных</t>
  </si>
  <si>
    <t>15.11.3</t>
  </si>
  <si>
    <t>Дубление, выделка и крашение кожи из шкур овец, коз и свиней</t>
  </si>
  <si>
    <t>15.11.4</t>
  </si>
  <si>
    <t>Дубление, выделка и крашение кожи из шкур прочих животных, производство композиционной кожи</t>
  </si>
  <si>
    <t>15.11.5</t>
  </si>
  <si>
    <t>Дубление, выделка и крашение кожи из шкур прочих животных</t>
  </si>
  <si>
    <t>15.11.51</t>
  </si>
  <si>
    <t>Производство композиционной кожи</t>
  </si>
  <si>
    <t>15.11.52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</si>
  <si>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</si>
  <si>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>15.12</t>
  </si>
  <si>
    <t>Производство обуви</t>
  </si>
  <si>
    <t>15.2</t>
  </si>
  <si>
    <t>15.20</t>
  </si>
  <si>
    <t>Производство обуви, кроме спортивной, защитной и ортопедической</t>
  </si>
  <si>
    <t>15.20.1</t>
  </si>
  <si>
    <t>Производство водонепроницаемой обуви с верхом из резины или пластмассы</t>
  </si>
  <si>
    <t>15.20.11</t>
  </si>
  <si>
    <t>Производство обуви с верхом из резины и пластмассы, кроме водопроницаемой</t>
  </si>
  <si>
    <t>15.20.12</t>
  </si>
  <si>
    <t>Производство обуви с верхом из кожи, кроме спортивной обуви, обуви с защитным металлическим подноском и различной специальной обуви</t>
  </si>
  <si>
    <t>15.20.13</t>
  </si>
  <si>
    <t>Производство обуви с верхом из текстильных материалов, кроме спортивной обуви</t>
  </si>
  <si>
    <t>15.20.14</t>
  </si>
  <si>
    <t>Производство спортивной обуви</t>
  </si>
  <si>
    <t>15.20.2</t>
  </si>
  <si>
    <t>Производство защитной обуви</t>
  </si>
  <si>
    <t>15.20.3</t>
  </si>
  <si>
    <t>Производство обуви с защитным металлическим подноском</t>
  </si>
  <si>
    <t>15.20.31</t>
  </si>
  <si>
    <t>Производство деревянной и различной специальной обуви</t>
  </si>
  <si>
    <t>15.20.32</t>
  </si>
  <si>
    <t>Производство деталей обуви из кожи; вкладных стелек, подпяточников и аналогичных изделий; производство гетр, гамашей и аналогичных изделий</t>
  </si>
  <si>
    <t>15.20.4</t>
  </si>
  <si>
    <t>Производство деталей обуви из кожи; вкладных стелек, подпяточников и аналогичных изделий</t>
  </si>
  <si>
    <t>15.20.41</t>
  </si>
  <si>
    <t>Производство гетр, гамашей и аналогичных изделий</t>
  </si>
  <si>
    <t>15.20.42</t>
  </si>
  <si>
    <t>Пошив обуви и различных дополнений к обуви по индивидуальному заказу населения</t>
  </si>
  <si>
    <t>15.20.5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</si>
  <si>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</si>
  <si>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</t>
  </si>
  <si>
    <t>Распиловка и строгание древесины</t>
  </si>
  <si>
    <t>16.1</t>
  </si>
  <si>
    <t>16.10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</si>
  <si>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</si>
  <si>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16.10.1</t>
  </si>
  <si>
    <t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</si>
  <si>
    <t>16.10.2</t>
  </si>
  <si>
    <t>Производство древесины, пропитанной или обработанной защитными или другими веществами</t>
  </si>
  <si>
    <t>16.10.3</t>
  </si>
  <si>
    <t>Предоставление услуг по пропитке древесины</t>
  </si>
  <si>
    <t>16.10.9</t>
  </si>
  <si>
    <t>Производство изделий из дерева, пробки, соломки и материалов для плетения</t>
  </si>
  <si>
    <t>16.2</t>
  </si>
  <si>
    <t>Производство шпона, фанеры, деревянных плит и панелей</t>
  </si>
  <si>
    <t>16.21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</si>
  <si>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</si>
  <si>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</t>
  </si>
  <si>
    <t>Производство фанеры, деревянных фанерованных панелей и аналогичных слоистых материалов</t>
  </si>
  <si>
    <t>16.21.11</t>
  </si>
  <si>
    <t>Производство древесно-стружечных плит из древесины или других одревесневших материалов</t>
  </si>
  <si>
    <t>16.21.12</t>
  </si>
  <si>
    <t>Производство древесно-волокнистых плит из древесины или других одревесневших материалов</t>
  </si>
  <si>
    <t>16.21.13</t>
  </si>
  <si>
    <t>Производство листов для облицовки, шпона для фанеры, производство прессованной древесины</t>
  </si>
  <si>
    <t>16.21.2</t>
  </si>
  <si>
    <t>Производство листов для облицовки, шпона для фанеры</t>
  </si>
  <si>
    <t>16.21.21</t>
  </si>
  <si>
    <t>Производство прессованной древесины</t>
  </si>
  <si>
    <t>16.21.22</t>
  </si>
  <si>
    <t>Производство сборных паркетных покрытий</t>
  </si>
  <si>
    <t>16.22</t>
  </si>
  <si>
    <t>Производство прочих деревянных строительных конструкций и столярных изделий</t>
  </si>
  <si>
    <t>16.23</t>
  </si>
  <si>
    <t>Производство деревянных строительных конструкций и столярных изделий</t>
  </si>
  <si>
    <t>16.23.1</t>
  </si>
  <si>
    <t>Производство сборных деревянных строений</t>
  </si>
  <si>
    <t>16.23.2</t>
  </si>
  <si>
    <t>Производство деревянной тары</t>
  </si>
  <si>
    <t>16.24</t>
  </si>
  <si>
    <t>Производство прочих деревянных изделий; производство изделий из пробки, соломки и материалов для плетения</t>
  </si>
  <si>
    <t>16.29</t>
  </si>
  <si>
    <t>Производство прочих деревянных изделий</t>
  </si>
  <si>
    <t>16.29.1</t>
  </si>
  <si>
    <t>Производство деревянных инструментов, корпусов и рукояток инструментов, рукояток щеток и метелок, обувных колодок и растяжек для обуви</t>
  </si>
  <si>
    <t>16.29.11</t>
  </si>
  <si>
    <t>Производство деревянных столовых и кухонных принадлежностей</t>
  </si>
  <si>
    <t>16.29.12</t>
  </si>
  <si>
    <t>Производство деревянных статуэток и украшений из дерева, мозаики и инкрустированного дерева, шкатулок, футляров для ювелирных изделий или ножей</t>
  </si>
  <si>
    <t>16.29.13</t>
  </si>
  <si>
    <t>Производство деревянных рам для картин, фотографий, зеркал или аналогичных предметов и прочих изделий из дерева</t>
  </si>
  <si>
    <t>16.29.14</t>
  </si>
  <si>
    <t>Производство топливных гранул и брикетов из отходов деревопереработки</t>
  </si>
  <si>
    <t>16.29.15</t>
  </si>
  <si>
    <t>Производство изделий из пробки, соломки и материалов для плетения; производство корзиночных и плетеных изделий</t>
  </si>
  <si>
    <t>16.29.2</t>
  </si>
  <si>
    <t>Производство изделий из пробки</t>
  </si>
  <si>
    <t>16.29.21</t>
  </si>
  <si>
    <t>Производство изделий из соломки, эспарто (альфы) и прочих материалов для плетения</t>
  </si>
  <si>
    <t>16.29.22</t>
  </si>
  <si>
    <t>Производство корзиночных и плетеных изделий</t>
  </si>
  <si>
    <t>16.29.23</t>
  </si>
  <si>
    <t>Изготовление изделий из дерева, пробки, соломки и материалов для плетения, корзиночных и плетеных изделий по индивидуальному заказу населения</t>
  </si>
  <si>
    <t>16.29.3</t>
  </si>
  <si>
    <t>Производство бумаги и бумажных изделий</t>
  </si>
  <si>
    <t>17</t>
  </si>
  <si>
    <t>Производство целлюлозы, древесной массы, бумаги и картона</t>
  </si>
  <si>
    <t>17.1</t>
  </si>
  <si>
    <t>Производство целлюлозы и древесной массы</t>
  </si>
  <si>
    <t>17.11</t>
  </si>
  <si>
    <t>Производство целлюлозы</t>
  </si>
  <si>
    <t>17.11.1</t>
  </si>
  <si>
    <t>Производство древесной массы</t>
  </si>
  <si>
    <t>17.11.2</t>
  </si>
  <si>
    <t>Производство прочих волокнистых полуфабрикатов</t>
  </si>
  <si>
    <t>17.11.9</t>
  </si>
  <si>
    <t>Производство бумаги и картона</t>
  </si>
  <si>
    <t>17.12</t>
  </si>
  <si>
    <t>Производство бумаги</t>
  </si>
  <si>
    <t>17.12.1</t>
  </si>
  <si>
    <t>Производство картона</t>
  </si>
  <si>
    <t>17.12.2</t>
  </si>
  <si>
    <t>Производство изделий из бумаги и картона</t>
  </si>
  <si>
    <t>17.2</t>
  </si>
  <si>
    <t>Производство гофрированной бумаги и картона, бумажной и картонной тары</t>
  </si>
  <si>
    <t>17.21</t>
  </si>
  <si>
    <t>Производство бумажных изделий хозяйственно-бытового и санитарно-гигиенического назначения</t>
  </si>
  <si>
    <t>17.22</t>
  </si>
  <si>
    <t>Производство бумажных канцелярских принадлежностей</t>
  </si>
  <si>
    <t>17.23</t>
  </si>
  <si>
    <t>Производство обоев</t>
  </si>
  <si>
    <t>17.24</t>
  </si>
  <si>
    <t>Производство прочих изделий из бумаги и картона</t>
  </si>
  <si>
    <t>17.29</t>
  </si>
  <si>
    <t>Деятельность полиграфическая и копирование носителей информации</t>
  </si>
  <si>
    <t>18</t>
  </si>
  <si>
    <t>Деятельность полиграфическая и предоставление услуг в этой области</t>
  </si>
  <si>
    <t>18.1</t>
  </si>
  <si>
    <t>Печатание газет</t>
  </si>
  <si>
    <t>18.11</t>
  </si>
  <si>
    <t>Прочие виды полиграфической деятельности</t>
  </si>
  <si>
    <t>18.12</t>
  </si>
  <si>
    <t>Изготовление печатных форм и подготовительная деятельность</t>
  </si>
  <si>
    <t>18.13</t>
  </si>
  <si>
    <t>Деятельность брошюровочно-переплетная и отделочная и сопутствующие услуги</t>
  </si>
  <si>
    <t>18.14</t>
  </si>
  <si>
    <t>Копирование записанных носителей информации</t>
  </si>
  <si>
    <t>18.2</t>
  </si>
  <si>
    <t>18.20</t>
  </si>
  <si>
    <t>Производство химических веществ и химических продуктов</t>
  </si>
  <si>
    <t>20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</si>
  <si>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</si>
  <si>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</t>
  </si>
  <si>
    <t>Производство промышленных газов</t>
  </si>
  <si>
    <t>20.11</t>
  </si>
  <si>
    <t>Производство красителей и пигментов</t>
  </si>
  <si>
    <t>20.12</t>
  </si>
  <si>
    <t>Производство прочих основных неорганических химических веществ</t>
  </si>
  <si>
    <t>20.13</t>
  </si>
  <si>
    <t>Производство прочих основных органических химических веществ</t>
  </si>
  <si>
    <t>20.14</t>
  </si>
  <si>
    <t>Производство углеводородов и их производных</t>
  </si>
  <si>
    <t>20.14.1</t>
  </si>
  <si>
    <t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</si>
  <si>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>20.14.2</t>
  </si>
  <si>
    <t>Производство промышленных монокарбоновых жирных кислот, карбоновых кислот и их производных</t>
  </si>
  <si>
    <t>20.14.3</t>
  </si>
  <si>
    <t>Производство органических соединений с азотсодержащими функциональными группами</t>
  </si>
  <si>
    <t>20.14.4</t>
  </si>
  <si>
    <t>Производство сераорганических соединений и прочих элементоорганических соединений</t>
  </si>
  <si>
    <t>20.14.5</t>
  </si>
  <si>
    <t>Производство простых эфиров, органических пероксидов, эпоксидов, ацеталей и полуацеталей, прочих органических соединений</t>
  </si>
  <si>
    <t>20.14.6</t>
  </si>
  <si>
    <t>Производство прочих химических органических основных веществ</t>
  </si>
  <si>
    <t>20.14.7</t>
  </si>
  <si>
    <t>Производство удобрений и азотных соединений</t>
  </si>
  <si>
    <t>20.15</t>
  </si>
  <si>
    <t>Производство азотных кислот, сульфоазотных кислот, аммиака</t>
  </si>
  <si>
    <t>20.15.1</t>
  </si>
  <si>
    <t>Производство хлорида аммония, нитритов</t>
  </si>
  <si>
    <t>20.15.2</t>
  </si>
  <si>
    <t>Производство азотных минеральных или химических удобрений</t>
  </si>
  <si>
    <t>20.15.3</t>
  </si>
  <si>
    <t>Производство фосфорных минеральных или химических удобрений</t>
  </si>
  <si>
    <t>20.15.4</t>
  </si>
  <si>
    <t>Производство калийных минеральных или химических удобрений</t>
  </si>
  <si>
    <t>20.15.5</t>
  </si>
  <si>
    <t>Производство нитрата натрия</t>
  </si>
  <si>
    <t>20.15.6</t>
  </si>
  <si>
    <t>Производство удобрений, не включенных в другие группировки</t>
  </si>
  <si>
    <t>20.15.7</t>
  </si>
  <si>
    <t>Производство удобрений животного или растительного происхождения</t>
  </si>
  <si>
    <t>20.15.8</t>
  </si>
  <si>
    <t>Производство пластмасс и синтетических смол в первичных формах</t>
  </si>
  <si>
    <t>20.16</t>
  </si>
  <si>
    <t>Производство синтетического каучука в первичных формах</t>
  </si>
  <si>
    <t>20.17</t>
  </si>
  <si>
    <t>Производство пестицидов и прочих агрохимических продуктов</t>
  </si>
  <si>
    <t>20.2</t>
  </si>
  <si>
    <t>20.20</t>
  </si>
  <si>
    <t>Производство красок, лаков и аналогичных материалов для нанесения покрытий, полиграфических красок и мастик</t>
  </si>
  <si>
    <t>20.3</t>
  </si>
  <si>
    <t>20.30</t>
  </si>
  <si>
    <t>Производство красок и лаков на основе полимеров</t>
  </si>
  <si>
    <t>20.30.1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</si>
  <si>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</si>
  <si>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>20.30.2</t>
  </si>
  <si>
    <t>Производство мыла и моющих, чистящих и полирующих средств; парфюмерных и косметических средств</t>
  </si>
  <si>
    <t>20.4</t>
  </si>
  <si>
    <t>Производство мыла и моющих, чистящих и полирующих средств</t>
  </si>
  <si>
    <t>20.41</t>
  </si>
  <si>
    <t>Производство глицерина</t>
  </si>
  <si>
    <t>20.41.1</t>
  </si>
  <si>
    <t>Производство органических поверхностно-активных веществ, кроме мыла</t>
  </si>
  <si>
    <t>20.41.2</t>
  </si>
  <si>
    <t>Производство мыла и моющих средств, чистящих и полирующих средств</t>
  </si>
  <si>
    <t>20.41.3</t>
  </si>
  <si>
    <t>Производство средств для ароматизации и дезодорирования воздуха и восков</t>
  </si>
  <si>
    <t>20.41.4</t>
  </si>
  <si>
    <t>Производство парфюмерных и косметических средств</t>
  </si>
  <si>
    <t>20.42</t>
  </si>
  <si>
    <t>Производство прочих химических продуктов</t>
  </si>
  <si>
    <t>20.5</t>
  </si>
  <si>
    <t>Производство взрывчатых веществ</t>
  </si>
  <si>
    <t>20.51</t>
  </si>
  <si>
    <t>Производство клеев</t>
  </si>
  <si>
    <t>20.52</t>
  </si>
  <si>
    <t>Производство эфирных масел</t>
  </si>
  <si>
    <t>20.53</t>
  </si>
  <si>
    <t>Производство прочих химических продуктов, не включенных в другие группировки</t>
  </si>
  <si>
    <t>20.59</t>
  </si>
  <si>
    <t>Производство фотопластинок и фотопленок; фотопленок для моментальных фотоснимков; химических составов и несмешанных продуктов, используемых в фотографии</t>
  </si>
  <si>
    <t>20.59.1</t>
  </si>
  <si>
    <t>Производство химически модифицированных животных или растительных жиров и масел (включая олифу), непищевых смесей животных или растительных жиров и масел</t>
  </si>
  <si>
    <t>20.59.2</t>
  </si>
  <si>
    <t>Производство чернил для письма и рисования</t>
  </si>
  <si>
    <t>20.59.3</t>
  </si>
  <si>
    <t>Производство смазочных материалов, присадок к смазочным материалам и антифризов</t>
  </si>
  <si>
    <t>20.59.4</t>
  </si>
  <si>
    <t>20.59.5</t>
  </si>
  <si>
    <t>Производство желатина и его производных</t>
  </si>
  <si>
    <t>20.59.6</t>
  </si>
  <si>
    <t>Производство химических волокон</t>
  </si>
  <si>
    <t>20.6</t>
  </si>
  <si>
    <t>20.60</t>
  </si>
  <si>
    <t>Производство синтетических волокон</t>
  </si>
  <si>
    <t>20.60.1</t>
  </si>
  <si>
    <t>Производство искусственных волокон</t>
  </si>
  <si>
    <t>20.60.2</t>
  </si>
  <si>
    <t>Производство лекарственных средств и материалов, применяемых в медицинских целях</t>
  </si>
  <si>
    <t>21</t>
  </si>
  <si>
    <t>Производство фармацевтических субстанций</t>
  </si>
  <si>
    <t>21.1</t>
  </si>
  <si>
    <t>21.10</t>
  </si>
  <si>
    <t>Производство лекарственных препаратов и материалов, применяемых в медицинских целях</t>
  </si>
  <si>
    <t>21.2</t>
  </si>
  <si>
    <t>21.20</t>
  </si>
  <si>
    <t>Производство лекарственных препаратов</t>
  </si>
  <si>
    <t>21.20.1</t>
  </si>
  <si>
    <t>Производство материалов, применяемых в медицинских целях</t>
  </si>
  <si>
    <t>21.20.2</t>
  </si>
  <si>
    <t>Производство резиновых и пластмассовых изделий</t>
  </si>
  <si>
    <t>22</t>
  </si>
  <si>
    <t>Производство резиновых изделий</t>
  </si>
  <si>
    <t>22.1</t>
  </si>
  <si>
    <t>Производство резиновых шин, покрышек и камер; восстановление резиновых шин и покрышек</t>
  </si>
  <si>
    <t>22.11</t>
  </si>
  <si>
    <t>Производство прочих резиновых изделий</t>
  </si>
  <si>
    <t>22.19</t>
  </si>
  <si>
    <t>Производство регенерированной резины в первичной форме или в виде пластин, листов или полос (лент)</t>
  </si>
  <si>
    <t>22.19.1</t>
  </si>
  <si>
    <t>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</si>
  <si>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>22.19.2</t>
  </si>
  <si>
    <t>Производство труб, трубок, рукавов и шлангов из вулканизированной резины</t>
  </si>
  <si>
    <t>22.19.3</t>
  </si>
  <si>
    <t>Производство конвейерных лент и приводных ремней, бельтинга из вулканизированной резины</t>
  </si>
  <si>
    <t>22.19.4</t>
  </si>
  <si>
    <t>Производство прорезиненных текстильных материалов, кроме кордных тканей</t>
  </si>
  <si>
    <t>22.19.5</t>
  </si>
  <si>
    <t>Производство предметов одежды и ее аксессуаров из вулканизированной резины</t>
  </si>
  <si>
    <t>22.19.6</t>
  </si>
  <si>
    <t>Производство изделий из вулканизированной резины, не включенных в другие группировки</t>
  </si>
  <si>
    <t>22.19.7</t>
  </si>
  <si>
    <t>Производство изделий из пластмасс</t>
  </si>
  <si>
    <t>22.2</t>
  </si>
  <si>
    <t>Производство пластмассовых плит, полос, труб и профилей</t>
  </si>
  <si>
    <t>22.21</t>
  </si>
  <si>
    <t>Производство пластмассовых изделий для упаковывания товаров</t>
  </si>
  <si>
    <t>22.22</t>
  </si>
  <si>
    <t>Производство пластмассовых изделий, используемых в строительстве</t>
  </si>
  <si>
    <t>22.23</t>
  </si>
  <si>
    <t>Производство прочих пластмассовых изделий</t>
  </si>
  <si>
    <t>22.29</t>
  </si>
  <si>
    <t>Производство предметов одежды и аксессуаров для нее, включая перчатки, из пластмасс</t>
  </si>
  <si>
    <t>22.29.1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</si>
  <si>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</si>
  <si>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22.29.2</t>
  </si>
  <si>
    <t>Производство устройств пломбировочных из пластика</t>
  </si>
  <si>
    <t>22.29.3</t>
  </si>
  <si>
    <t>Предоставление услуг в области производства прочих пластмассовых изделий</t>
  </si>
  <si>
    <t>22.29.9</t>
  </si>
  <si>
    <t>Производство прочей неметаллической минеральной продукции</t>
  </si>
  <si>
    <t>23</t>
  </si>
  <si>
    <t>Производство стекла и изделий из стекла</t>
  </si>
  <si>
    <t>23.1</t>
  </si>
  <si>
    <t>Производство листового стекла</t>
  </si>
  <si>
    <t>23.11</t>
  </si>
  <si>
    <t>Производство листового тянутого стекла</t>
  </si>
  <si>
    <t>23.11.1</t>
  </si>
  <si>
    <t>Производство листового узорчатого, прокатного (но не обработанного другим способом): неармированного стекла</t>
  </si>
  <si>
    <t>23.11.2</t>
  </si>
  <si>
    <t>Производство листового узорчатого, прокатного (но не обработанного другим способом): армированного стекла</t>
  </si>
  <si>
    <t>23.11.3</t>
  </si>
  <si>
    <t>Производство бесцветного листового стекла, изготовленного методом флоат</t>
  </si>
  <si>
    <t>23.11.4</t>
  </si>
  <si>
    <t>Производство листового матового стекла</t>
  </si>
  <si>
    <t>23.11.5</t>
  </si>
  <si>
    <t>Производство полированного стекла в листах (кроме изготовленного методом флоат)</t>
  </si>
  <si>
    <t>23.11.6</t>
  </si>
  <si>
    <t>Производство листового стекла с покрытием (кроме лакокрасочного в т.ч. эмалевого)</t>
  </si>
  <si>
    <t>23.11.7</t>
  </si>
  <si>
    <t>Производство листового стекла, прочего</t>
  </si>
  <si>
    <t>23.11.9</t>
  </si>
  <si>
    <t>Формирование и обработка листового стекла</t>
  </si>
  <si>
    <t>23.12</t>
  </si>
  <si>
    <t>Производство упрочненного (в том числе термически упрочненного и закаленного) стекла</t>
  </si>
  <si>
    <t>23.12.1</t>
  </si>
  <si>
    <t>Производство стеклянных зеркал</t>
  </si>
  <si>
    <t>23.12.2</t>
  </si>
  <si>
    <t>Производство многослойного стекла для строительства</t>
  </si>
  <si>
    <t>23.12.3</t>
  </si>
  <si>
    <t>Производство безопасного многослойного стекла для транспорта (в том числе наземного)</t>
  </si>
  <si>
    <t>23.12.4</t>
  </si>
  <si>
    <t>Производство стеклопакетов</t>
  </si>
  <si>
    <t>23.12.5</t>
  </si>
  <si>
    <t>Производство полых стеклянных изделий</t>
  </si>
  <si>
    <t>23.13</t>
  </si>
  <si>
    <t>Производство бутылок и прочих емкостей из стекла или хрусталя</t>
  </si>
  <si>
    <t>23.13.1</t>
  </si>
  <si>
    <t>Производство стаканов и прочих сосудов для питья из стекла или хрусталя</t>
  </si>
  <si>
    <t>23.13.2</t>
  </si>
  <si>
    <t>Производство столовой и кухонной посуды из стекла или хрусталя</t>
  </si>
  <si>
    <t>23.13.3</t>
  </si>
  <si>
    <t>Производство туалетных и канцелярских принадлежностей из стекла или хрусталя</t>
  </si>
  <si>
    <t>23.13.4</t>
  </si>
  <si>
    <t>Производство украшений для интерьера и аналогичных изделий из стекла или хрусталя</t>
  </si>
  <si>
    <t>23.13.5</t>
  </si>
  <si>
    <t>Производство стеклянных колб для вакуумных сосудов</t>
  </si>
  <si>
    <t>23.13.6</t>
  </si>
  <si>
    <t>Производство стекловолокна</t>
  </si>
  <si>
    <t>23.14</t>
  </si>
  <si>
    <t>Производство и обработка прочих стеклянных изделий, включая технические изделия из стекла</t>
  </si>
  <si>
    <t>23.19</t>
  </si>
  <si>
    <t>Производство необработанного стекла в блоках, в виде шаров, прутков, труб или трубок</t>
  </si>
  <si>
    <t>23.19.1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</si>
  <si>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</si>
  <si>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>23.19.2</t>
  </si>
  <si>
    <t>Производство стеклянных колб для электрических ламп, электронно-лучевых приборов или аналогичных изделий</t>
  </si>
  <si>
    <t>23.19.3</t>
  </si>
  <si>
    <t>Производство стекол для часов или очков, не подвергнутых оптической обработке</t>
  </si>
  <si>
    <t>23.19.4</t>
  </si>
  <si>
    <t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</si>
  <si>
    <t>23.19.5</t>
  </si>
  <si>
    <t>Производство стеклянных деталей электрических ламп и осветительной арматуры, световых указателей, световых табло и аналогичных изделий</t>
  </si>
  <si>
    <t>23.19.6</t>
  </si>
  <si>
    <t>Производство электрических изоляторов из стекла</t>
  </si>
  <si>
    <t>23.19.7</t>
  </si>
  <si>
    <t>Производство прочих изделий из стекла, не включенных в другие группировки</t>
  </si>
  <si>
    <t>23.19.9</t>
  </si>
  <si>
    <t>Производство огнеупорных изделий</t>
  </si>
  <si>
    <t>23.2</t>
  </si>
  <si>
    <t>23.20</t>
  </si>
  <si>
    <t>Производство огнеупорных кирпичей, блоков, плиток</t>
  </si>
  <si>
    <t>23.20.1</t>
  </si>
  <si>
    <t>Производство огнеупорных цементов, растворов, бетонов и аналогичных составов</t>
  </si>
  <si>
    <t>23.20.2</t>
  </si>
  <si>
    <t>Производство безобжиговых огнеупорных изделий</t>
  </si>
  <si>
    <t>23.20.3</t>
  </si>
  <si>
    <t>Производство прочих огнеупорных керамических изделий</t>
  </si>
  <si>
    <t>23.20.9</t>
  </si>
  <si>
    <t>Производство строительных керамических материалов</t>
  </si>
  <si>
    <t>23.3</t>
  </si>
  <si>
    <t>Производство керамических плит и плиток</t>
  </si>
  <si>
    <t>23.31</t>
  </si>
  <si>
    <t>Производство кирпича, черепицы и прочих строительных изделий из обожженной глины</t>
  </si>
  <si>
    <t>23.32</t>
  </si>
  <si>
    <t>Производство прочих фарфоровых и керамических изделий</t>
  </si>
  <si>
    <t>23.4</t>
  </si>
  <si>
    <t>Производство хозяйственных и декоративных керамических изделий</t>
  </si>
  <si>
    <t>23.41</t>
  </si>
  <si>
    <t>Производство столовой и кухонной керамической посуды</t>
  </si>
  <si>
    <t>23.41.1</t>
  </si>
  <si>
    <t>Производство прочих хозяйственных и туалетных керамических принадлежностей</t>
  </si>
  <si>
    <t>23.41.2</t>
  </si>
  <si>
    <t>Производство статуэток и прочих декоративных керамических изделий</t>
  </si>
  <si>
    <t>23.41.3</t>
  </si>
  <si>
    <t>Производство керамических санитарно-технических изделий</t>
  </si>
  <si>
    <t>23.42</t>
  </si>
  <si>
    <t>Производство керамических изоляторов и изолирующей арматуры</t>
  </si>
  <si>
    <t>23.43</t>
  </si>
  <si>
    <t>Производство прочих технических керамических изделий</t>
  </si>
  <si>
    <t>23.44</t>
  </si>
  <si>
    <t>Производство керамических изделий лабораторного, химического и промышленного назначения</t>
  </si>
  <si>
    <t>23.44.1</t>
  </si>
  <si>
    <t>Производство керамических и ферритовых магнитов</t>
  </si>
  <si>
    <t>23.44.2</t>
  </si>
  <si>
    <t>Производство прочих керамических изделий</t>
  </si>
  <si>
    <t>23.49</t>
  </si>
  <si>
    <t>Производство керамических горшков, банок, кувшинов и подобных изделий, используемых для транспортирования или упаковывания товаров</t>
  </si>
  <si>
    <t>23.49.1</t>
  </si>
  <si>
    <t>Производство керамических изделий, не включенных в другие группировки</t>
  </si>
  <si>
    <t>23.49.9</t>
  </si>
  <si>
    <t>Производство цемента, извести и гипса</t>
  </si>
  <si>
    <t>23.5</t>
  </si>
  <si>
    <t>Производство цемента</t>
  </si>
  <si>
    <t>23.51</t>
  </si>
  <si>
    <t>Производство извести и гипса</t>
  </si>
  <si>
    <t>23.52</t>
  </si>
  <si>
    <t>Производство негашеной, гашеной и гидравлической извести</t>
  </si>
  <si>
    <t>23.52.1</t>
  </si>
  <si>
    <t>Производство гипса</t>
  </si>
  <si>
    <t>23.52.2</t>
  </si>
  <si>
    <t>Производство кальцинированного доломита</t>
  </si>
  <si>
    <t>23.52.3</t>
  </si>
  <si>
    <t>Производство изделий из бетона, цемента и гипса</t>
  </si>
  <si>
    <t>23.6</t>
  </si>
  <si>
    <t>Производство изделий из бетона для использования в строительстве</t>
  </si>
  <si>
    <t>23.61</t>
  </si>
  <si>
    <t>Производство готовых строительных изделий из бетона, цемента и искусственного камня</t>
  </si>
  <si>
    <t>23.61.1</t>
  </si>
  <si>
    <t>Производство сборных строительных конструкций из бетона, цемента и искусственного камня</t>
  </si>
  <si>
    <t>23.61.2</t>
  </si>
  <si>
    <t>Производство гипсовых изделий для использования в строительстве</t>
  </si>
  <si>
    <t>23.62</t>
  </si>
  <si>
    <t>Производство товарного бетона</t>
  </si>
  <si>
    <t>23.63</t>
  </si>
  <si>
    <t>Производство сухих бетонных смесей</t>
  </si>
  <si>
    <t>23.64</t>
  </si>
  <si>
    <t>Производство изделий из асбестоцемента и волокнистого цемента</t>
  </si>
  <si>
    <t>23.65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</si>
  <si>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</si>
  <si>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>23.65.1</t>
  </si>
  <si>
    <t>Производство изделий из асбестоцемента и волокнистого цемента с волокнами целлюлозы или аналогичных материалов</t>
  </si>
  <si>
    <t>23.65.2</t>
  </si>
  <si>
    <t>Производство прочих изделий из гипса, бетона или цемента</t>
  </si>
  <si>
    <t>23.69</t>
  </si>
  <si>
    <t>Резка, обработка и отделка камня</t>
  </si>
  <si>
    <t>23.7</t>
  </si>
  <si>
    <t>23.70</t>
  </si>
  <si>
    <t>Резка, обработка и отделка камня для использования в строительстве в качестве дорожного покрытия</t>
  </si>
  <si>
    <t>23.70.1</t>
  </si>
  <si>
    <t>Резка, обработка и отделка камня для памятников</t>
  </si>
  <si>
    <t>23.70.2</t>
  </si>
  <si>
    <t>Производство гранул и порошков из природного камня</t>
  </si>
  <si>
    <t>23.70.3</t>
  </si>
  <si>
    <t>Производство абразивных и неметаллических минеральных изделий, не включенных в другие группировки</t>
  </si>
  <si>
    <t>23.9</t>
  </si>
  <si>
    <t>Производство абразивных изделий</t>
  </si>
  <si>
    <t>23.91</t>
  </si>
  <si>
    <t>Производство прочей неметаллической минеральной продукции, не включенной в другие группировки</t>
  </si>
  <si>
    <t>23.99</t>
  </si>
  <si>
    <t>Производство обработанных асбестовых волокон, смесей на основе асбеста и изделий из них</t>
  </si>
  <si>
    <t>23.99.1</t>
  </si>
  <si>
    <t>Производство изделий из асфальта или аналогичных материалов</t>
  </si>
  <si>
    <t>23.99.2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</si>
  <si>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</si>
  <si>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>23.99.3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</si>
  <si>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</si>
  <si>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23.99.4</t>
  </si>
  <si>
    <t>Производство искусственного корунда</t>
  </si>
  <si>
    <t>23.99.5</t>
  </si>
  <si>
    <t>Производство минеральных тепло- и звукоизоляционных материалов и изделий</t>
  </si>
  <si>
    <t>23.99.6</t>
  </si>
  <si>
    <t>Производство минеральных теплоизоляционных материалов и изделий</t>
  </si>
  <si>
    <t>23.99.61</t>
  </si>
  <si>
    <t>Производство минеральных звукоизоляционных материалов и изделий</t>
  </si>
  <si>
    <t>23.99.62</t>
  </si>
  <si>
    <t>Производство металлургическое</t>
  </si>
  <si>
    <t>24</t>
  </si>
  <si>
    <t>Производство чугуна, стали и ферросплавов</t>
  </si>
  <si>
    <t>24.1</t>
  </si>
  <si>
    <t>24.10</t>
  </si>
  <si>
    <t>Производство основных продуктов из железа и стали</t>
  </si>
  <si>
    <t>24.10.1</t>
  </si>
  <si>
    <t>Производство чугуна</t>
  </si>
  <si>
    <t>24.10.11</t>
  </si>
  <si>
    <t>Производство ферросплавов</t>
  </si>
  <si>
    <t>24.10.12</t>
  </si>
  <si>
    <t>Производство продуктов прямого восстановления железной руды и губчатого железа</t>
  </si>
  <si>
    <t>24.10.13</t>
  </si>
  <si>
    <t>Производство гранул и порошков из чугуна или стали</t>
  </si>
  <si>
    <t>24.10.14</t>
  </si>
  <si>
    <t>Производство стали в слитках</t>
  </si>
  <si>
    <t>24.10.2</t>
  </si>
  <si>
    <t>Производство листового горячекатаного стального проката</t>
  </si>
  <si>
    <t>24.10.3</t>
  </si>
  <si>
    <t>Производство листового холоднокатаного стального проката</t>
  </si>
  <si>
    <t>24.10.4</t>
  </si>
  <si>
    <t>Производство листового холоднокатаного стального проката, плакированного, с гальваническим или иным покрытием</t>
  </si>
  <si>
    <t>24.10.5</t>
  </si>
  <si>
    <t>Производство сортового горячекатаного проката и катанки</t>
  </si>
  <si>
    <t>24.10.6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</si>
  <si>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</si>
  <si>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>24.10.7</t>
  </si>
  <si>
    <t>Производство прочего проката из черных металлов, не включенного в другие группировки</t>
  </si>
  <si>
    <t>24.10.9</t>
  </si>
  <si>
    <t>Производство стальных труб, полых профилей и фитингов</t>
  </si>
  <si>
    <t>24.2</t>
  </si>
  <si>
    <t>24.20</t>
  </si>
  <si>
    <t>Производство бесшовных труб и пустотелых профилей</t>
  </si>
  <si>
    <t>24.20.1</t>
  </si>
  <si>
    <t>Производство сварных труб</t>
  </si>
  <si>
    <t>24.20.2</t>
  </si>
  <si>
    <t>Производство стальных фитингов для труб, кроме литых</t>
  </si>
  <si>
    <t>24.20.3</t>
  </si>
  <si>
    <t>Производство прочих стальных изделий первичной обработкой</t>
  </si>
  <si>
    <t>24.3</t>
  </si>
  <si>
    <t>Производство стальных прутков и сплошных профилей методом холодного волочения</t>
  </si>
  <si>
    <t>24.31</t>
  </si>
  <si>
    <t>Производство холоднотянутого штрипса</t>
  </si>
  <si>
    <t>24.32</t>
  </si>
  <si>
    <t>Производство профилей с помощью холодной штамповки или гибки</t>
  </si>
  <si>
    <t>24.33</t>
  </si>
  <si>
    <t>Производство проволоки методом холодного волочения</t>
  </si>
  <si>
    <t>24.34</t>
  </si>
  <si>
    <t>Производство основных драгоценных металлов и прочих цветных металлов, производство ядерного топлива</t>
  </si>
  <si>
    <t>24.4</t>
  </si>
  <si>
    <t>Производство драгоценных металлов</t>
  </si>
  <si>
    <t>24.41</t>
  </si>
  <si>
    <t>Производство алюминия</t>
  </si>
  <si>
    <t>24.42</t>
  </si>
  <si>
    <t>Производство свинца, цинка и олова</t>
  </si>
  <si>
    <t>24.43</t>
  </si>
  <si>
    <t>Производство свинца</t>
  </si>
  <si>
    <t>24.43.1</t>
  </si>
  <si>
    <t>Производство цинка</t>
  </si>
  <si>
    <t>24.43.2</t>
  </si>
  <si>
    <t>Производство олова</t>
  </si>
  <si>
    <t>24.43.3</t>
  </si>
  <si>
    <t>Производство меди</t>
  </si>
  <si>
    <t>24.44</t>
  </si>
  <si>
    <t>Производство прочих цветных металлов</t>
  </si>
  <si>
    <t>24.45</t>
  </si>
  <si>
    <t>Производство никеля</t>
  </si>
  <si>
    <t>24.45.1</t>
  </si>
  <si>
    <t>Производство титана</t>
  </si>
  <si>
    <t>24.45.2</t>
  </si>
  <si>
    <t>Производство магния</t>
  </si>
  <si>
    <t>24.45.3</t>
  </si>
  <si>
    <t>Производство вольфрама</t>
  </si>
  <si>
    <t>24.45.4</t>
  </si>
  <si>
    <t>Производство молибдена</t>
  </si>
  <si>
    <t>24.45.5</t>
  </si>
  <si>
    <t>Производство кобальта</t>
  </si>
  <si>
    <t>24.45.6</t>
  </si>
  <si>
    <t>Производство хрома</t>
  </si>
  <si>
    <t>24.45.7</t>
  </si>
  <si>
    <t>Производство марганца</t>
  </si>
  <si>
    <t>24.45.8</t>
  </si>
  <si>
    <t>Производство редких (тантал, ниобий, галлий, германий, иридий) и редкоземельных металлов</t>
  </si>
  <si>
    <t>24.45.9</t>
  </si>
  <si>
    <t>Производство ядерного топлива</t>
  </si>
  <si>
    <t>24.46</t>
  </si>
  <si>
    <t>Литье металлов</t>
  </si>
  <si>
    <t>24.5</t>
  </si>
  <si>
    <t>Литье чугуна</t>
  </si>
  <si>
    <t>24.51</t>
  </si>
  <si>
    <t>Литье стали</t>
  </si>
  <si>
    <t>24.52</t>
  </si>
  <si>
    <t>Литье легких металлов</t>
  </si>
  <si>
    <t>24.53</t>
  </si>
  <si>
    <t>Литье прочих цветных металлов</t>
  </si>
  <si>
    <t>24.54</t>
  </si>
  <si>
    <t>Производство готовых металлических изделий, кроме машин и оборудования</t>
  </si>
  <si>
    <t>25</t>
  </si>
  <si>
    <t>Производство строительных металлических конструкций и изделий</t>
  </si>
  <si>
    <t>25.1</t>
  </si>
  <si>
    <t>Производство строительных металлических конструкций, изделий и их частей</t>
  </si>
  <si>
    <t>25.11</t>
  </si>
  <si>
    <t>Производство металлических дверей и окон</t>
  </si>
  <si>
    <t>25.12</t>
  </si>
  <si>
    <t>Производство металлических цистерн, резервуаров и прочих емкостей</t>
  </si>
  <si>
    <t>25.2</t>
  </si>
  <si>
    <t>Производство радиаторов и котлов центрального отопления</t>
  </si>
  <si>
    <t>25.21</t>
  </si>
  <si>
    <t>Производство радиаторов</t>
  </si>
  <si>
    <t>25.21.1</t>
  </si>
  <si>
    <t>Производство котлов центрального отопления</t>
  </si>
  <si>
    <t>25.21.2</t>
  </si>
  <si>
    <t>Производство прочих металлических цистерн, резервуаров и емкостей</t>
  </si>
  <si>
    <t>25.29</t>
  </si>
  <si>
    <t>Производство паровых котлов, кроме котлов центрального отопления</t>
  </si>
  <si>
    <t>25.3</t>
  </si>
  <si>
    <t>25.30</t>
  </si>
  <si>
    <t>Производство паровых котлов и их частей</t>
  </si>
  <si>
    <t>25.30.1</t>
  </si>
  <si>
    <t>Производство ядерных установок и их составных частей, в том числе для транспортных средств</t>
  </si>
  <si>
    <t>25.30.2</t>
  </si>
  <si>
    <t>Производство ядерных установок, кроме устройств для разделения изотопов</t>
  </si>
  <si>
    <t>25.30.21</t>
  </si>
  <si>
    <t>Производство частей ядерных установок, кроме устройств для разделения изотопов</t>
  </si>
  <si>
    <t>25.30.22</t>
  </si>
  <si>
    <t>Производство оружия и боеприпасов</t>
  </si>
  <si>
    <t>25.4</t>
  </si>
  <si>
    <t>25.40</t>
  </si>
  <si>
    <t>Ковка, прессование, штамповка и профилирование; изготовление изделий методом порошковой металлургии</t>
  </si>
  <si>
    <t>25.5</t>
  </si>
  <si>
    <t>Ковка, прессование, штамповка и профилирование, изготовление изделий методом порошковой металлургии</t>
  </si>
  <si>
    <t>25.50</t>
  </si>
  <si>
    <t>Предоставление услуг по ковке, прессованию, объемной и листовой штамповке и профилированию листового металла</t>
  </si>
  <si>
    <t>25.50.1</t>
  </si>
  <si>
    <t>Предоставление услуг по производству изделий методом порошковой металлургии</t>
  </si>
  <si>
    <t>25.50.2</t>
  </si>
  <si>
    <t>Обработка металлов и нанесение покрытий на металлы; механическая обработка металлов</t>
  </si>
  <si>
    <t>25.6</t>
  </si>
  <si>
    <t>Обработка металлов и нанесение покрытий на металлы</t>
  </si>
  <si>
    <t>25.61</t>
  </si>
  <si>
    <t>Обработка металлических изделий механическая</t>
  </si>
  <si>
    <t>25.62</t>
  </si>
  <si>
    <t>Производство ножевых изделий и столовых приборов, инструментов и универсальных скобяных изделий</t>
  </si>
  <si>
    <t>25.7</t>
  </si>
  <si>
    <t>Производство ножевых изделий и столовых приборов</t>
  </si>
  <si>
    <t>25.71</t>
  </si>
  <si>
    <t>Производство замков, петель</t>
  </si>
  <si>
    <t>25.72</t>
  </si>
  <si>
    <t>Производство инструмента</t>
  </si>
  <si>
    <t>25.73</t>
  </si>
  <si>
    <t>Производство прочих готовых металлических изделий</t>
  </si>
  <si>
    <t>25.9</t>
  </si>
  <si>
    <t>Производство металлических бочек и аналогичных емкостей</t>
  </si>
  <si>
    <t>25.91</t>
  </si>
  <si>
    <t>Производство тары из легких металлов</t>
  </si>
  <si>
    <t>25.92</t>
  </si>
  <si>
    <t>Производство изделий из проволоки, цепей и пружин</t>
  </si>
  <si>
    <t>25.93</t>
  </si>
  <si>
    <t>Производство изделий из проволоки и пружин</t>
  </si>
  <si>
    <t>25.93.1</t>
  </si>
  <si>
    <t>Производство цепей, кроме шарнирных, и составных частей к ним</t>
  </si>
  <si>
    <t>25.93.2</t>
  </si>
  <si>
    <t>Производство крепежных изделий</t>
  </si>
  <si>
    <t>25.94</t>
  </si>
  <si>
    <t>Производство прочих готовых металлических изделий, не включенных в другие группировки</t>
  </si>
  <si>
    <t>25.99</t>
  </si>
  <si>
    <t>Производство металлических изделий для ванных комнат и кухни</t>
  </si>
  <si>
    <t>25.99.1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</si>
  <si>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</si>
  <si>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>25.99.11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</si>
  <si>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</si>
  <si>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25.99.12</t>
  </si>
  <si>
    <t>Производство прочих металлических изделий</t>
  </si>
  <si>
    <t>25.99.2</t>
  </si>
  <si>
    <t>Производство бронированных или армированных сейфов, несгораемых шкафов и дверей</t>
  </si>
  <si>
    <t>25.99.21</t>
  </si>
  <si>
    <t>Производство канцелярского настольного оборудования (ящиков, картотек, лотков и т.п.) из недрагоценных металлов</t>
  </si>
  <si>
    <t>25.99.22</t>
  </si>
  <si>
    <t>Производство деталей для скоросшивателей или папок; канцелярских принадлежностей и скоб в виде полос из недрагоценных металлов</t>
  </si>
  <si>
    <t>25.99.23</t>
  </si>
  <si>
    <t>Производство статуэток, рам для фотографий, картин, зеркал и прочих декоративных изделий из недрагоценных металлов</t>
  </si>
  <si>
    <t>25.99.24</t>
  </si>
  <si>
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</si>
  <si>
    <t>25.99.25</t>
  </si>
  <si>
    <t>Производство судовых гребных винтов и гребных колес</t>
  </si>
  <si>
    <t>25.99.26</t>
  </si>
  <si>
    <t>Производство металлических изделий для области использования атомной энергии</t>
  </si>
  <si>
    <t>25.99.27</t>
  </si>
  <si>
    <t>Производство прочих изделий из недрагоценных металлов, не включенных в другие группировки</t>
  </si>
  <si>
    <t>25.99.29</t>
  </si>
  <si>
    <t>Изготовление готовых металлических изделий хозяйственного назначения по индивидуальному заказу населения</t>
  </si>
  <si>
    <t>25.99.3</t>
  </si>
  <si>
    <t>Производство компьютеров, электронных и оптических изделий</t>
  </si>
  <si>
    <t>26</t>
  </si>
  <si>
    <t>Производство элементов электронной аппаратуры и печатных схем (плат)</t>
  </si>
  <si>
    <t>26.1</t>
  </si>
  <si>
    <t>Производство элементов электронной аппаратуры</t>
  </si>
  <si>
    <t>26.11</t>
  </si>
  <si>
    <t>Производство электронных вакуумных ламп и трубок и прочих электронных вакуумных приборов</t>
  </si>
  <si>
    <t>26.11.1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</si>
  <si>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</si>
  <si>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26.11.2</t>
  </si>
  <si>
    <t>Производство интегральных электронных схем</t>
  </si>
  <si>
    <t>26.11.3</t>
  </si>
  <si>
    <t>Производство частей электронных ламп, трубок и прочих электронных компонентов, не включенных в другие группировки</t>
  </si>
  <si>
    <t>26.11.9</t>
  </si>
  <si>
    <t>Производство электронных печатных плат</t>
  </si>
  <si>
    <t>26.12</t>
  </si>
  <si>
    <t>Производство компьютеров и периферийного оборудования</t>
  </si>
  <si>
    <t>26.2</t>
  </si>
  <si>
    <t>26.20</t>
  </si>
  <si>
    <t>Производство компьютеров</t>
  </si>
  <si>
    <t>26.20.1</t>
  </si>
  <si>
    <t>Производство периферийного оборудования</t>
  </si>
  <si>
    <t>26.20.2</t>
  </si>
  <si>
    <t>Производство запоминающих устройств и прочих устройств хранения данных</t>
  </si>
  <si>
    <t>26.20.3</t>
  </si>
  <si>
    <t>Производство средств защиты информации, а также информационных и телекоммуникационных систем, защищенных с использованием средств защиты информации</t>
  </si>
  <si>
    <t>26.20.4</t>
  </si>
  <si>
    <t>Производство прочих устройств автоматической обработки данных</t>
  </si>
  <si>
    <t>26.20.9</t>
  </si>
  <si>
    <t>Производство коммуникационного оборудования</t>
  </si>
  <si>
    <t>26.3</t>
  </si>
  <si>
    <t>26.30</t>
  </si>
  <si>
    <t>Производство коммуникационной аппаратуры, радио- и телевизионной передающей аппаратуры, телевизионных камер</t>
  </si>
  <si>
    <t>26.30.1</t>
  </si>
  <si>
    <t>Производство средств связи, выполняющих функцию систем коммутации</t>
  </si>
  <si>
    <t>26.30.11</t>
  </si>
  <si>
    <t>Производство средств связи, выполняющих функцию цифровых транспортных систем</t>
  </si>
  <si>
    <t>26.30.12</t>
  </si>
  <si>
    <t>Производство средств связи, выполняющих функцию систем управления и мониторинга</t>
  </si>
  <si>
    <t>26.30.13</t>
  </si>
  <si>
    <t>Производство оборудования, используемого для учета объема оказанных услуг связи</t>
  </si>
  <si>
    <t>26.30.14</t>
  </si>
  <si>
    <t>Производство радиоэлектронных средств связи</t>
  </si>
  <si>
    <t>26.30.15</t>
  </si>
  <si>
    <t>Производство оборудования средств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</si>
  <si>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26.30.16</t>
  </si>
  <si>
    <t>Производство радио- и телевизионной передающей аппаратуры</t>
  </si>
  <si>
    <t>26.30.17</t>
  </si>
  <si>
    <t>Производство телевизионных камер</t>
  </si>
  <si>
    <t>26.30.18</t>
  </si>
  <si>
    <t>Производство прочего коммуникационного оборудования</t>
  </si>
  <si>
    <t>26.30.19</t>
  </si>
  <si>
    <t>Производство оконечного (пользовательского) оборудования телефонной или телеграфной связи, аппаратуры видеосвязи</t>
  </si>
  <si>
    <t>26.30.2</t>
  </si>
  <si>
    <t>Производство пользовательского (оконечного) оборудования проводной телефонной связи с проводными или беспроводными телефонными трубками</t>
  </si>
  <si>
    <t>26.30.21</t>
  </si>
  <si>
    <t>Производство телефонных аппаратов для работы в сотовых или иных беспроводных сетях связи</t>
  </si>
  <si>
    <t>26.30.22</t>
  </si>
  <si>
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</si>
  <si>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26.30.29</t>
  </si>
  <si>
    <t>Производство запасных частей и комплектующих коммуникационного оборудования</t>
  </si>
  <si>
    <t>26.30.3</t>
  </si>
  <si>
    <t>Производство антенн, антенных отражателей всех видов и их деталей</t>
  </si>
  <si>
    <t>26.30.4</t>
  </si>
  <si>
    <t>Производство запасных частей и комплектующих радио- и телевизионной передающей аппаратуры и телевизионных камер</t>
  </si>
  <si>
    <t>26.30.5</t>
  </si>
  <si>
    <t>Производство охранно-пожарной сигнализации и аналогичных приборов</t>
  </si>
  <si>
    <t>26.30.6</t>
  </si>
  <si>
    <t>Производство бытовой электроники</t>
  </si>
  <si>
    <t>26.4</t>
  </si>
  <si>
    <t>26.40</t>
  </si>
  <si>
    <t>Производство радиоприемников</t>
  </si>
  <si>
    <t>26.40.1</t>
  </si>
  <si>
    <t>Производство телевизионных приемников, включая видеомониторы и видеопроекторы</t>
  </si>
  <si>
    <t>26.40.2</t>
  </si>
  <si>
    <t>Производство телевизоров с электронно-лучевой трубкой</t>
  </si>
  <si>
    <t>26.40.21</t>
  </si>
  <si>
    <t>Производство телевизоров жидкокристаллических и плазменных</t>
  </si>
  <si>
    <t>26.40.22</t>
  </si>
  <si>
    <t>Производство видеомониторов и видеопроекторов</t>
  </si>
  <si>
    <t>26.40.23</t>
  </si>
  <si>
    <t>Производство аппаратуры для записи и воспроизведения звука и изображения</t>
  </si>
  <si>
    <t>26.40.3</t>
  </si>
  <si>
    <t>Производство электроакустической аппаратуры</t>
  </si>
  <si>
    <t>26.40.4</t>
  </si>
  <si>
    <t>Производство частей звукозаписывающей и звуковоспроизводящей аппаратуры и видеоаппаратуры</t>
  </si>
  <si>
    <t>26.40.5</t>
  </si>
  <si>
    <t>Производство контрольно-измерительных и навигационных приборов и аппаратов; производство часов</t>
  </si>
  <si>
    <t>26.5</t>
  </si>
  <si>
    <t>Производство инструментов и приборов для измерения, тестирования и навигации</t>
  </si>
  <si>
    <t>26.51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</si>
  <si>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</si>
  <si>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>26.51.1</t>
  </si>
  <si>
    <t>Производство радиолокационной, радионавигационной аппаратуры и радиоаппаратуры дистанционного управления</t>
  </si>
  <si>
    <t>26.51.2</t>
  </si>
  <si>
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</si>
  <si>
    <t>26.51.3</t>
  </si>
  <si>
    <t>Производство приборов и аппаратуры для измерения электрических величин или ионизирующих излучений</t>
  </si>
  <si>
    <t>26.51.4</t>
  </si>
  <si>
    <t>Производство приборов для контроля прочих физических величин</t>
  </si>
  <si>
    <t>26.51.5</t>
  </si>
  <si>
    <t>Производство прочих приборов, датчиков, аппаратуры и инструментов для измерения, контроля и испытаний</t>
  </si>
  <si>
    <t>26.51.6</t>
  </si>
  <si>
    <t>Производство приборов и аппаратуры для автоматического регулирования или управления</t>
  </si>
  <si>
    <t>26.51.7</t>
  </si>
  <si>
    <t>Производство частей приборов и инструментов для навигации, управления, измерения, контроля, испытаний и прочих целей</t>
  </si>
  <si>
    <t>26.51.8</t>
  </si>
  <si>
    <t>Производство часов</t>
  </si>
  <si>
    <t>26.52</t>
  </si>
  <si>
    <t>Производство часов всех видов и прочих приборов времени</t>
  </si>
  <si>
    <t>26.52.1</t>
  </si>
  <si>
    <t>Производство часовых механизмов, деталей и составных частей часов и приборов времени</t>
  </si>
  <si>
    <t>26.52.2</t>
  </si>
  <si>
    <t>Производство облучающего и электротерапевтического оборудования, применяемого в медицинских целях</t>
  </si>
  <si>
    <t>26.6</t>
  </si>
  <si>
    <t>26.60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</si>
  <si>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</si>
  <si>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26.60.1</t>
  </si>
  <si>
    <t>Производство гемодиализного, диатермического, наркозного оборудования, применяемого в медицинских целях</t>
  </si>
  <si>
    <t>26.60.2</t>
  </si>
  <si>
    <t>Производство оборудования для переливания крови</t>
  </si>
  <si>
    <t>26.60.3</t>
  </si>
  <si>
    <t>Производство инструмента, оборудования и приспособлений, применяемых в медицинских целях</t>
  </si>
  <si>
    <t>26.60.4</t>
  </si>
  <si>
    <t>Производство диагностического и терапевтического оборудования, применяемого в медицинских целях</t>
  </si>
  <si>
    <t>26.60.5</t>
  </si>
  <si>
    <t>Производство компьютерных томографов</t>
  </si>
  <si>
    <t>26.60.6</t>
  </si>
  <si>
    <t>Производство ультразвукового оборудования, применяемого в медицинских целях</t>
  </si>
  <si>
    <t>26.60.7</t>
  </si>
  <si>
    <t>Производство прочего оборудования, применяемого в медицинских целях</t>
  </si>
  <si>
    <t>26.60.9</t>
  </si>
  <si>
    <t>Производство оптических приборов, фото- и кинооборудования</t>
  </si>
  <si>
    <t>26.7</t>
  </si>
  <si>
    <t>26.70</t>
  </si>
  <si>
    <t>Производство фото- и кинооборудования</t>
  </si>
  <si>
    <t>26.70.1</t>
  </si>
  <si>
    <t>Производство микроскопов (кроме электронных и протонных)</t>
  </si>
  <si>
    <t>26.70.2</t>
  </si>
  <si>
    <t>Производство оптических систем обнаружения оружия</t>
  </si>
  <si>
    <t>26.70.3</t>
  </si>
  <si>
    <t>Производство оборудования оптического позиционирования на местности</t>
  </si>
  <si>
    <t>26.70.4</t>
  </si>
  <si>
    <t>Производство линз, оптических микроскопов, биноклей и телескопов</t>
  </si>
  <si>
    <t>26.70.5</t>
  </si>
  <si>
    <t>Производство оптических прицелов и приборов определения координат целей</t>
  </si>
  <si>
    <t>26.70.6</t>
  </si>
  <si>
    <t>Производство пленочных и цифровых фото- и кинокамер</t>
  </si>
  <si>
    <t>26.70.7</t>
  </si>
  <si>
    <t>Производство незаписанных магнитных и оптических технических носителей информации</t>
  </si>
  <si>
    <t>26.8</t>
  </si>
  <si>
    <t>26.80</t>
  </si>
  <si>
    <t>Производство электрического оборудования</t>
  </si>
  <si>
    <t>27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</si>
  <si>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</si>
  <si>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27.1</t>
  </si>
  <si>
    <t>Производство электродвигателей, электрогенераторов и трансформаторов</t>
  </si>
  <si>
    <t>27.11</t>
  </si>
  <si>
    <t>Производство электродвигателей, генераторов и трансформаторов, кроме ремонта</t>
  </si>
  <si>
    <t>27.11.1</t>
  </si>
  <si>
    <t>Производство электродвигателей</t>
  </si>
  <si>
    <t>27.11.11</t>
  </si>
  <si>
    <t>Производство генераторов</t>
  </si>
  <si>
    <t>27.11.12</t>
  </si>
  <si>
    <t>Производство трансформаторов</t>
  </si>
  <si>
    <t>27.11.13</t>
  </si>
  <si>
    <t>Производство электрической распределительной и регулирующей аппаратуры</t>
  </si>
  <si>
    <t>27.12</t>
  </si>
  <si>
    <t>Производство электрических аккумуляторов и аккумуляторных батарей</t>
  </si>
  <si>
    <t>27.2</t>
  </si>
  <si>
    <t>27.20</t>
  </si>
  <si>
    <t>Производство первичных элементов, батарей первичных элементов и их частей</t>
  </si>
  <si>
    <t>27.20.1</t>
  </si>
  <si>
    <t>Производство аккумуляторов, в том числе для автомобилей, аккумуляторных батарей и их составных частей</t>
  </si>
  <si>
    <t>27.20.2</t>
  </si>
  <si>
    <t>Производство аккумуляторов для автомобилей</t>
  </si>
  <si>
    <t>27.20.21</t>
  </si>
  <si>
    <t>Производство аккумуляторных батарей и их частей</t>
  </si>
  <si>
    <t>27.20.22</t>
  </si>
  <si>
    <t>Производство прочих аккумуляторов</t>
  </si>
  <si>
    <t>27.20.23</t>
  </si>
  <si>
    <t>Производство солнечных батарей для наземного энергообеспечения и их составных частей</t>
  </si>
  <si>
    <t>27.20.3</t>
  </si>
  <si>
    <t>Производство кабелей и кабельной арматуры</t>
  </si>
  <si>
    <t>27.3</t>
  </si>
  <si>
    <t>Производство волоконно-оптических кабелей</t>
  </si>
  <si>
    <t>27.31</t>
  </si>
  <si>
    <t>Производство прочих проводов и кабелей для электронного и электрического оборудования</t>
  </si>
  <si>
    <t>27.32</t>
  </si>
  <si>
    <t>Производство кабелей для телефонной связи</t>
  </si>
  <si>
    <t>27.32.1</t>
  </si>
  <si>
    <t>Производство силовых кабелей</t>
  </si>
  <si>
    <t>27.32.2</t>
  </si>
  <si>
    <t>Производство обмоточных эмалированных кабелей</t>
  </si>
  <si>
    <t>27.32.3</t>
  </si>
  <si>
    <t>Производство электроустановочных изделий</t>
  </si>
  <si>
    <t>27.33</t>
  </si>
  <si>
    <t>Производство электрических ламп и осветительного оборудования</t>
  </si>
  <si>
    <t>27.4</t>
  </si>
  <si>
    <t>27.40</t>
  </si>
  <si>
    <t>Производство бытовых приборов</t>
  </si>
  <si>
    <t>27.5</t>
  </si>
  <si>
    <t>Производство бытовых электрических приборов</t>
  </si>
  <si>
    <t>27.51</t>
  </si>
  <si>
    <t>Производство стиральных машин</t>
  </si>
  <si>
    <t>27.51.1</t>
  </si>
  <si>
    <t>Производство холодильников и морозильников</t>
  </si>
  <si>
    <t>27.51.2</t>
  </si>
  <si>
    <t>Производство пылесосов</t>
  </si>
  <si>
    <t>27.51.3</t>
  </si>
  <si>
    <t>Производство посудомоечных машин</t>
  </si>
  <si>
    <t>27.51.4</t>
  </si>
  <si>
    <t>Производство электропечей</t>
  </si>
  <si>
    <t>27.51.5</t>
  </si>
  <si>
    <t>Производство микроволновых печей</t>
  </si>
  <si>
    <t>27.51.6</t>
  </si>
  <si>
    <t>Производство бытовых неэлектрических приборов</t>
  </si>
  <si>
    <t>27.52</t>
  </si>
  <si>
    <t>Производство прочего электрического оборудования</t>
  </si>
  <si>
    <t>27.9</t>
  </si>
  <si>
    <t>27.90</t>
  </si>
  <si>
    <t>Производство ускорителей заряженных частиц</t>
  </si>
  <si>
    <t>27.90.1</t>
  </si>
  <si>
    <t>Производство радиационных аппаратов и радионуклидных энергетических устройств (РЭУ)</t>
  </si>
  <si>
    <t>27.90.2</t>
  </si>
  <si>
    <t>Производство электрического оборудования прочего, не включенного в другие группировки</t>
  </si>
  <si>
    <t>27.90.9</t>
  </si>
  <si>
    <t>Производство машин и оборудования, не включенных в другие группировки</t>
  </si>
  <si>
    <t>28</t>
  </si>
  <si>
    <t>Производство машин и оборудования общего назначения</t>
  </si>
  <si>
    <t>28.1</t>
  </si>
  <si>
    <t>Производство двигателей и турбин, кроме авиационных, автомобильных и мотоциклетных двигателей</t>
  </si>
  <si>
    <t>28.11</t>
  </si>
  <si>
    <t>Производство двигателей, кроме авиационных, автомобильных и мотоциклетных</t>
  </si>
  <si>
    <t>28.11.1</t>
  </si>
  <si>
    <t>Производство турбин</t>
  </si>
  <si>
    <t>28.11.2</t>
  </si>
  <si>
    <t>Производство паровых турбин</t>
  </si>
  <si>
    <t>28.11.21</t>
  </si>
  <si>
    <t>Производство гидравлических турбин и водяных колес</t>
  </si>
  <si>
    <t>28.11.22</t>
  </si>
  <si>
    <t>Производство газовых турбин, кроме турбореактивных и турбовинтовых</t>
  </si>
  <si>
    <t>28.11.23</t>
  </si>
  <si>
    <t>Производство гидравлического и пневматического силового оборудования</t>
  </si>
  <si>
    <t>28.12</t>
  </si>
  <si>
    <t>Производство гидравлических и пневматических силовых установок и двигателей</t>
  </si>
  <si>
    <t>28.12.1</t>
  </si>
  <si>
    <t>Производство гидравлических насосов</t>
  </si>
  <si>
    <t>28.12.2</t>
  </si>
  <si>
    <t>Производство прочих насосов и компрессоров</t>
  </si>
  <si>
    <t>28.13</t>
  </si>
  <si>
    <t>Производство арматуры трубопроводной (арматуры)</t>
  </si>
  <si>
    <t>28.14</t>
  </si>
  <si>
    <t>Производство подшипников, зубчатых передач, элементов механических передач и приводов</t>
  </si>
  <si>
    <t>28.15</t>
  </si>
  <si>
    <t>Производство шариковых и роликовых подшипников</t>
  </si>
  <si>
    <t>28.15.1</t>
  </si>
  <si>
    <t>Производство корпусов подшипников и подшипников скольжения, зубчатых колес, зубчатых передач и элементов приводов</t>
  </si>
  <si>
    <t>28.15.2</t>
  </si>
  <si>
    <t>Производство прочих подшипников</t>
  </si>
  <si>
    <t>28.15.9</t>
  </si>
  <si>
    <t>Производство прочих машин и оборудования общего назначения</t>
  </si>
  <si>
    <t>28.2</t>
  </si>
  <si>
    <t>Производство печей, термокамер и печных горелок</t>
  </si>
  <si>
    <t>28.21</t>
  </si>
  <si>
    <t>Производство неэлектрических печей, горелок и устройств для них</t>
  </si>
  <si>
    <t>28.21.1</t>
  </si>
  <si>
    <t>Производство электрических печей</t>
  </si>
  <si>
    <t>28.21.2</t>
  </si>
  <si>
    <t>Производство подъемно-транспортного оборудования</t>
  </si>
  <si>
    <t>28.22</t>
  </si>
  <si>
    <t>Производство талей и подъемников</t>
  </si>
  <si>
    <t>28.22.1</t>
  </si>
  <si>
    <t>Производство лебедок и кабестанов</t>
  </si>
  <si>
    <t>28.22.2</t>
  </si>
  <si>
    <t>Производство домкратов и подъемных механизмов для транспортных средств</t>
  </si>
  <si>
    <t>28.22.3</t>
  </si>
  <si>
    <t>Производство подъемных кранов</t>
  </si>
  <si>
    <t>28.22.4</t>
  </si>
  <si>
    <t>Производство подъемных кранов для строительства</t>
  </si>
  <si>
    <t>28.22.41</t>
  </si>
  <si>
    <t>Производство прочих подъемных кранов</t>
  </si>
  <si>
    <t>28.22.42</t>
  </si>
  <si>
    <t>Производство автопогрузчиков и тягачей, используемых на железнодорожных платформах</t>
  </si>
  <si>
    <t>28.22.5</t>
  </si>
  <si>
    <t>Производство лифтов, скриповых подъемников, эскалаторов и движущихся пешеходных дорожек</t>
  </si>
  <si>
    <t>28.22.6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</si>
  <si>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</si>
  <si>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>28.22.7</t>
  </si>
  <si>
    <t>Производство прочего грузоподъемного, транспортирующего и погрузочно-разгрузочного оборудования</t>
  </si>
  <si>
    <t>28.22.9</t>
  </si>
  <si>
    <t>Производство офисной техники и оборудования (кроме компьютеров и периферийного оборудования)</t>
  </si>
  <si>
    <t>28.23</t>
  </si>
  <si>
    <t>Производство пишущих машин, машин для обработки текста, калькуляторов, счетных машин и их частей</t>
  </si>
  <si>
    <t>28.23.1</t>
  </si>
  <si>
    <t>Производство фотокопировальных машин, офисных машин для офсетной печати и прочих офисных машин и оборудования и их составных частей</t>
  </si>
  <si>
    <t>28.23.2</t>
  </si>
  <si>
    <t>Производство ручных инструментов с механизированным приводом</t>
  </si>
  <si>
    <t>28.24</t>
  </si>
  <si>
    <t>Производство промышленного холодильного и вентиляционного оборудования</t>
  </si>
  <si>
    <t>28.25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</si>
  <si>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</si>
  <si>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28.25.1</t>
  </si>
  <si>
    <t>Производство теплообменных устройств и машин для сжижения воздуха или прочих газов</t>
  </si>
  <si>
    <t>28.25.11</t>
  </si>
  <si>
    <t>Производство оборудования для кондиционирования воздуха</t>
  </si>
  <si>
    <t>28.25.12</t>
  </si>
  <si>
    <t>Производство промышленного холодильного и морозильного оборудования</t>
  </si>
  <si>
    <t>28.25.13</t>
  </si>
  <si>
    <t>Производство оборудования для фильтрования и очистки газов</t>
  </si>
  <si>
    <t>28.25.14</t>
  </si>
  <si>
    <t>Производство вентиляторов</t>
  </si>
  <si>
    <t>28.25.2</t>
  </si>
  <si>
    <t>Производство прочих машин и оборудования общего назначения, не включенного в другие группировки</t>
  </si>
  <si>
    <t>28.29</t>
  </si>
  <si>
    <t>Производство газогенераторов, аппаратов для дистилляции и фильтрования</t>
  </si>
  <si>
    <t>28.29.1</t>
  </si>
  <si>
    <t>Производство генераторов для получения генераторного или водяного газа, ацетиленовых и аналогичных газогенераторов, установок для дистилляции или очистки</t>
  </si>
  <si>
    <t>28.29.11</t>
  </si>
  <si>
    <t>Производство оборудования и установок для фильтрования или очистки жидкостей</t>
  </si>
  <si>
    <t>28.29.12</t>
  </si>
  <si>
    <t>Производство масляных, бензиновых и всасывающих воздушных фильтров для двигателей внутреннего сгорания</t>
  </si>
  <si>
    <t>28.29.13</t>
  </si>
  <si>
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</si>
  <si>
    <t>28.29.2</t>
  </si>
  <si>
    <t>Производство оборудования для мойки, заполнения, закупоривания или упаковывания бутылок или прочих емкостей</t>
  </si>
  <si>
    <t>28.29.21</t>
  </si>
  <si>
    <t>Производство огнетушителей, распылителей, пароструйных или пескоструйных машин</t>
  </si>
  <si>
    <t>28.29.22</t>
  </si>
  <si>
    <t>Производство промышленного, бытового и прочего оборудования для взвешивания и дозировки</t>
  </si>
  <si>
    <t>28.29.3</t>
  </si>
  <si>
    <t>Производство промышленного оборудования для взвешивания и дозировки</t>
  </si>
  <si>
    <t>28.29.31</t>
  </si>
  <si>
    <t>Производство бытового оборудования для взвешивания</t>
  </si>
  <si>
    <t>28.29.32</t>
  </si>
  <si>
    <t>Производство прочего оборудования для взвешивания и дозировки</t>
  </si>
  <si>
    <t>28.29.39</t>
  </si>
  <si>
    <t>Производство центрифуг, каландров и торговых автоматов</t>
  </si>
  <si>
    <t>28.29.4</t>
  </si>
  <si>
    <t>Производство центрифуг</t>
  </si>
  <si>
    <t>28.29.41</t>
  </si>
  <si>
    <t>Производство каландров или прочих валковых машин, кроме машин для обработки металлов или стекла</t>
  </si>
  <si>
    <t>28.29.42</t>
  </si>
  <si>
    <t>Производство торговых автоматов</t>
  </si>
  <si>
    <t>28.29.43</t>
  </si>
  <si>
    <t>Производство посудомоечных машин промышленного типа</t>
  </si>
  <si>
    <t>28.29.5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</si>
  <si>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</si>
  <si>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28.29.6</t>
  </si>
  <si>
    <t>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</t>
  </si>
  <si>
    <t>28.29.7</t>
  </si>
  <si>
    <t>Производство машин и оборудования для сельского и лесного хозяйства</t>
  </si>
  <si>
    <t>28.3</t>
  </si>
  <si>
    <t>28.30</t>
  </si>
  <si>
    <t>Производство тракторов, управляемых рядом идущим водителем</t>
  </si>
  <si>
    <t>28.30.1</t>
  </si>
  <si>
    <t>Производство тракторов для сельского хозяйства</t>
  </si>
  <si>
    <t>28.30.2</t>
  </si>
  <si>
    <t>Производство колесных тракторов для сельского хозяйства</t>
  </si>
  <si>
    <t>28.30.21</t>
  </si>
  <si>
    <t>Производство гусеничных тракторов для сельского хозяйства</t>
  </si>
  <si>
    <t>28.30.22</t>
  </si>
  <si>
    <t>Производство машин и сельскохозяйственного оборудования для обработки почвы</t>
  </si>
  <si>
    <t>28.30.3</t>
  </si>
  <si>
    <t>Производство косилок для газонов, парков или спортивных площадок</t>
  </si>
  <si>
    <t>28.30.4</t>
  </si>
  <si>
    <t>Производство машин для уборки урожая</t>
  </si>
  <si>
    <t>28.30.5</t>
  </si>
  <si>
    <t>Производство зерноуборочных комбайнов</t>
  </si>
  <si>
    <t>28.30.51</t>
  </si>
  <si>
    <t>Производство кормозаготовительных комбайнов</t>
  </si>
  <si>
    <t>28.30.52</t>
  </si>
  <si>
    <t>Производство корнеуборочных или клубнеуборочных машин</t>
  </si>
  <si>
    <t>28.30.53</t>
  </si>
  <si>
    <t>Производство прочих машин для уборки урожая</t>
  </si>
  <si>
    <t>28.30.59</t>
  </si>
  <si>
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</si>
  <si>
    <t>28.30.6</t>
  </si>
  <si>
    <t>Производство самозагружающихся или саморазгружающихся прицепов и полуприцепов для сельского хозяйства</t>
  </si>
  <si>
    <t>28.30.7</t>
  </si>
  <si>
    <t>Производство прочих сельскохозяйственных машин и оборудования</t>
  </si>
  <si>
    <t>28.30.8</t>
  </si>
  <si>
    <t>Производство машин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</si>
  <si>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</t>
  </si>
  <si>
    <t>Производство доильных аппаратов</t>
  </si>
  <si>
    <t>28.30.82</t>
  </si>
  <si>
    <t>Производство оборудования для приготовления кормов для животных</t>
  </si>
  <si>
    <t>28.30.83</t>
  </si>
  <si>
    <t>Производство инкубаторов и брудеров для птицеводства</t>
  </si>
  <si>
    <t>28.30.84</t>
  </si>
  <si>
    <t>Производство машин и оборудования для содержания птицы</t>
  </si>
  <si>
    <t>28.30.85</t>
  </si>
  <si>
    <t>Производство прочего оборудования для сельского хозяйства, садоводства, лесного хозяйства, птицеводства или пчеловодства, не включенного в другие группировки</t>
  </si>
  <si>
    <t>28.30.89</t>
  </si>
  <si>
    <t>Производство станков, машин и оборудования для обработки металлов и прочих твердых материалов</t>
  </si>
  <si>
    <t>28.4</t>
  </si>
  <si>
    <t>Производство металлообрабатывающего оборудования</t>
  </si>
  <si>
    <t>28.41</t>
  </si>
  <si>
    <t>Производство металлообрабатывающих станков</t>
  </si>
  <si>
    <t>28.41.1</t>
  </si>
  <si>
    <t>Производство кузнечно-прессового оборудования</t>
  </si>
  <si>
    <t>28.41.2</t>
  </si>
  <si>
    <t>Производство прочих станков</t>
  </si>
  <si>
    <t>28.49</t>
  </si>
  <si>
    <t>Производство станков для обработки камня, дерева и аналогичных твердых материалов</t>
  </si>
  <si>
    <t>28.49.1</t>
  </si>
  <si>
    <t>Производство станков для обработки камня, керамики, бетона или аналогичных минеральных материалов или для холодной обработки стекла</t>
  </si>
  <si>
    <t>28.49.11</t>
  </si>
  <si>
    <t>Производство деревообрабатывающих станков</t>
  </si>
  <si>
    <t>28.49.12</t>
  </si>
  <si>
    <t>Производство станков для обработки кости, твердой резины, твердых пластмасс или аналогичных твердых материалов</t>
  </si>
  <si>
    <t>28.49.13</t>
  </si>
  <si>
    <t>Производство оборудования для нанесения гальванического покрытия</t>
  </si>
  <si>
    <t>28.49.2</t>
  </si>
  <si>
    <t>Производство оправок для крепления инструмента</t>
  </si>
  <si>
    <t>28.49.3</t>
  </si>
  <si>
    <t>Производство делительных головок и прочих специальных приспособлений для станков</t>
  </si>
  <si>
    <t>28.49.4</t>
  </si>
  <si>
    <t>Производство прочих машин специального назначения</t>
  </si>
  <si>
    <t>28.9</t>
  </si>
  <si>
    <t>Производство машин и оборудования для металлургии</t>
  </si>
  <si>
    <t>28.91</t>
  </si>
  <si>
    <t>Производство конвертеров, ковшей, изложниц и литейных машин</t>
  </si>
  <si>
    <t>28.91.1</t>
  </si>
  <si>
    <t>Производство прокатных станов</t>
  </si>
  <si>
    <t>28.91.2</t>
  </si>
  <si>
    <t>Производство валков для прокатных станов</t>
  </si>
  <si>
    <t>28.91.3</t>
  </si>
  <si>
    <t>Производство машин и оборудования для добычи полезных ископаемых и строительства</t>
  </si>
  <si>
    <t>28.92</t>
  </si>
  <si>
    <t>Производство оборудования для добычи полезных ископаемых подземным способом</t>
  </si>
  <si>
    <t>28.92.1</t>
  </si>
  <si>
    <t>Производство подъемников и конвейеров непрерывного действия для подземных работ</t>
  </si>
  <si>
    <t>28.92.11</t>
  </si>
  <si>
    <t>Производство врубовых машин и оборудования для проходки тоннелей</t>
  </si>
  <si>
    <t>28.92.12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</si>
  <si>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</si>
  <si>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>28.92.2</t>
  </si>
  <si>
    <t>Производство бульдозеров</t>
  </si>
  <si>
    <t>28.92.21</t>
  </si>
  <si>
    <t>Производство самоходных грейдеров и планировщиков</t>
  </si>
  <si>
    <t>28.92.22</t>
  </si>
  <si>
    <t>Производство самоходных скреперов</t>
  </si>
  <si>
    <t>28.92.23</t>
  </si>
  <si>
    <t>Производство трамбовочных машин и дорожных самоходных катков</t>
  </si>
  <si>
    <t>28.92.24</t>
  </si>
  <si>
    <t>Производство самоходных фронтальных одноковшовых погрузчиков</t>
  </si>
  <si>
    <t>28.92.25</t>
  </si>
  <si>
    <t>Производство одноковшовых полноповоротных экскаваторов и погрузчиков</t>
  </si>
  <si>
    <t>28.92.26</t>
  </si>
  <si>
    <t>Производство прочих экскаваторов и самоходных ковшовых погрузчиков</t>
  </si>
  <si>
    <t>28.92.27</t>
  </si>
  <si>
    <t>Производство отвалов бульдозеров</t>
  </si>
  <si>
    <t>28.92.28</t>
  </si>
  <si>
    <t>Производство автомобилей-самосвалов, предназначенных для использования в условиях бездорожья</t>
  </si>
  <si>
    <t>28.92.29</t>
  </si>
  <si>
    <t>Производство прочих машин для выемки грунта</t>
  </si>
  <si>
    <t>28.92.3</t>
  </si>
  <si>
    <t>Производство машин для сортировки, дробления, смешивания и аналогичной обработки грунта, камня, руды и прочих минеральных веществ</t>
  </si>
  <si>
    <t>28.92.4</t>
  </si>
  <si>
    <t>Производство гусеничных тракторов</t>
  </si>
  <si>
    <t>28.92.5</t>
  </si>
  <si>
    <t>Производство машин и оборудования для производства пищевых продуктов, напитков и табачных изделий</t>
  </si>
  <si>
    <t>28.93</t>
  </si>
  <si>
    <t>Производство машин и оборудования для изготовления текстильных, швейных, меховых и кожаных изделий</t>
  </si>
  <si>
    <t>28.94</t>
  </si>
  <si>
    <t>Производство оборудования для подготовки, прядения текстильных волокон, производства тканых и трикотажных текстильных изделий</t>
  </si>
  <si>
    <t>28.94.1</t>
  </si>
  <si>
    <t>Производство прочего оборудования для текстильной и швейной промышленности, в том числе промышленных швейных машин</t>
  </si>
  <si>
    <t>28.94.2</t>
  </si>
  <si>
    <t>Производство оборудования для обработки шкур, сырых кож и выделанной кожи и для изготовления или ремонта обуви и прочих изделий</t>
  </si>
  <si>
    <t>28.94.3</t>
  </si>
  <si>
    <t>Производство бытовых швейных машин</t>
  </si>
  <si>
    <t>28.94.4</t>
  </si>
  <si>
    <t>Производство составных частей и принадлежностей машин для текстильного и швейного производства и для обработки кож</t>
  </si>
  <si>
    <t>28.94.5</t>
  </si>
  <si>
    <t>Производство машин и оборудования для изготовления бумаги и картона</t>
  </si>
  <si>
    <t>28.95</t>
  </si>
  <si>
    <t>Производство машин и оборудования для переработки пластмасс и резины</t>
  </si>
  <si>
    <t>28.96</t>
  </si>
  <si>
    <t>Производство аддитивных установок, использующих в качестве сырья полимеры, включая пластики</t>
  </si>
  <si>
    <t>28.96.1</t>
  </si>
  <si>
    <t>Производство аддитивных установок, использующих прочие виды сырья</t>
  </si>
  <si>
    <t>28.96.9</t>
  </si>
  <si>
    <t>Производство прочих машин и оборудования специального назначения, не включенных в другие группировки</t>
  </si>
  <si>
    <t>28.99</t>
  </si>
  <si>
    <t>Производство переплетного, наборного, включая фотонаборные машины, печатного оборудования и его составных частей</t>
  </si>
  <si>
    <t>28.99.1</t>
  </si>
  <si>
    <t>Производство оборудования и аппаратуры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</si>
  <si>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</t>
  </si>
  <si>
    <t>Производство пусковых устройств для воздушных судов, катапультирующих устройств для воздушных судов и т.п. оборудования</t>
  </si>
  <si>
    <t>28.99.3</t>
  </si>
  <si>
    <t>Производство оборудования технологического специального для объектов использования атомной энергии</t>
  </si>
  <si>
    <t>28.99.4</t>
  </si>
  <si>
    <t>Производство оборудования и устройств по разделению изотопов</t>
  </si>
  <si>
    <t>28.99.41</t>
  </si>
  <si>
    <t>Производство оборудования и устройств для транспортировки продуктов</t>
  </si>
  <si>
    <t>28.99.42</t>
  </si>
  <si>
    <t>Производство оборудования для автоматизированных систем управления технологическим процессом атомных электростанций</t>
  </si>
  <si>
    <t>28.99.43</t>
  </si>
  <si>
    <t>Производство оборудования технологического специального прочего для объектов использования атомной энергии, не включенного в другие группировки</t>
  </si>
  <si>
    <t>28.99.49</t>
  </si>
  <si>
    <t>Производство оборудования специального назначения, не включенного в другие группировки</t>
  </si>
  <si>
    <t>28.99.9</t>
  </si>
  <si>
    <t>Производство автотранспортных средств, прицепов и полуприцепов</t>
  </si>
  <si>
    <t>29</t>
  </si>
  <si>
    <t>Производство автотранспортных средств</t>
  </si>
  <si>
    <t>29.1</t>
  </si>
  <si>
    <t>29.10</t>
  </si>
  <si>
    <t>Производство двигателей внутреннего сгорания автотранспортных средств</t>
  </si>
  <si>
    <t>29.10.1</t>
  </si>
  <si>
    <t>Производство двигателей внутреннего сгорания с искровым зажиганием с рабочим объемом цилиндров не более 1000 Рисунок 32768</t>
  </si>
  <si>
    <t>29.10.11</t>
  </si>
  <si>
    <t>Производство двигателей внутреннего сгорания с рабочим объемом цилиндров более 1000 Рисунок 32769</t>
  </si>
  <si>
    <t>29.10.12</t>
  </si>
  <si>
    <t>Производство двигателей внутреннего сгорания с воспламенением от сжатия</t>
  </si>
  <si>
    <t>29.10.13</t>
  </si>
  <si>
    <t>Производство легковых автомобилей</t>
  </si>
  <si>
    <t>29.10.2</t>
  </si>
  <si>
    <t>Производство автобусов и троллейбусов</t>
  </si>
  <si>
    <t>29.10.3</t>
  </si>
  <si>
    <t>Производство автобусов</t>
  </si>
  <si>
    <t>29.10.31</t>
  </si>
  <si>
    <t>Производство троллейбусов</t>
  </si>
  <si>
    <t>29.10.32</t>
  </si>
  <si>
    <t>Производство грузовых автомобилей</t>
  </si>
  <si>
    <t>29.10.4</t>
  </si>
  <si>
    <t>Производство автомобилей специального назначения</t>
  </si>
  <si>
    <t>29.10.5</t>
  </si>
  <si>
    <t>Производство кузовов для автотранспортных средств; производство прицепов и полуприцепов</t>
  </si>
  <si>
    <t>29.2</t>
  </si>
  <si>
    <t>29.20</t>
  </si>
  <si>
    <t>Производство кузовов для легковых автомобилей</t>
  </si>
  <si>
    <t>29.20.1</t>
  </si>
  <si>
    <t>Производство кузовов для грузовых автомобилей</t>
  </si>
  <si>
    <t>29.20.2</t>
  </si>
  <si>
    <t>Производство кузовов для автобусов</t>
  </si>
  <si>
    <t>29.20.3</t>
  </si>
  <si>
    <t>Производство прицепов и полуприцепов</t>
  </si>
  <si>
    <t>29.20.4</t>
  </si>
  <si>
    <t>Производство грузовых контейнеров</t>
  </si>
  <si>
    <t>29.20.5</t>
  </si>
  <si>
    <t>Производство комплектующих и принадлежностей для автотранспортных средств</t>
  </si>
  <si>
    <t>29.3</t>
  </si>
  <si>
    <t>Производство электрического и электронного оборудования для автотранспортных средств</t>
  </si>
  <si>
    <t>29.31</t>
  </si>
  <si>
    <t>Производство прочих комплектующих и принадлежностей для автотранспортных средств</t>
  </si>
  <si>
    <t>29.32</t>
  </si>
  <si>
    <t>Производство сидений для автотранспортных средств</t>
  </si>
  <si>
    <t>29.32.1</t>
  </si>
  <si>
    <t>Производство ремней безопасности, подушек безопасности, их частей и принадлежностей кузовов</t>
  </si>
  <si>
    <t>29.32.2</t>
  </si>
  <si>
    <t>Производство частей и принадлежностей для автотранспортных средств, не включенных в другие группировки</t>
  </si>
  <si>
    <t>29.32.3</t>
  </si>
  <si>
    <t>Производство прочих транспортных средств и оборудования</t>
  </si>
  <si>
    <t>30</t>
  </si>
  <si>
    <t>Строительство кораблей, судов и лодок</t>
  </si>
  <si>
    <t>30.1</t>
  </si>
  <si>
    <t>Строительство кораблей, судов и плавучих конструкций</t>
  </si>
  <si>
    <t>30.11</t>
  </si>
  <si>
    <t>Строительство прогулочных и спортивных судов</t>
  </si>
  <si>
    <t>30.12</t>
  </si>
  <si>
    <t>Производство железнодорожных локомотивов и подвижного состава</t>
  </si>
  <si>
    <t>30.2</t>
  </si>
  <si>
    <t>30.20</t>
  </si>
  <si>
    <t>Производство железнодорожных локомотивов</t>
  </si>
  <si>
    <t>30.20.1</t>
  </si>
  <si>
    <t>Производство магистральных электровозов</t>
  </si>
  <si>
    <t>30.20.11</t>
  </si>
  <si>
    <t>Производство магистральных тепловозов</t>
  </si>
  <si>
    <t>30.20.12</t>
  </si>
  <si>
    <t>Производство маневровых тепловозов</t>
  </si>
  <si>
    <t>30.20.13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</si>
  <si>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</si>
  <si>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>30.20.2</t>
  </si>
  <si>
    <t>Производство прочего подвижного состава</t>
  </si>
  <si>
    <t>30.20.3</t>
  </si>
  <si>
    <t>Производство транспортных средств для ремонта и технического обслуживания железнодорожных, трамвайных и прочих путей</t>
  </si>
  <si>
    <t>30.20.31</t>
  </si>
  <si>
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</si>
  <si>
    <t>30.20.32</t>
  </si>
  <si>
    <t>Производство несамоходных железнодорожных, трамвайных и прочих вагонов для перевозки грузов</t>
  </si>
  <si>
    <t>30.20.33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</si>
  <si>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</si>
  <si>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30.20.4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</si>
  <si>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</si>
  <si>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30.20.9</t>
  </si>
  <si>
    <t>Производство летательных аппаратов, включая космические, и соответствующего оборудования</t>
  </si>
  <si>
    <t>30.3</t>
  </si>
  <si>
    <t>30.30</t>
  </si>
  <si>
    <t>Производство силовых установок и двигателей для летательных аппаратов, включая космические; наземных тренажеров для летного состава; их частей</t>
  </si>
  <si>
    <t>30.30.1</t>
  </si>
  <si>
    <t>Производство двигателей летательных аппаратов с искровым зажиганием и их частей</t>
  </si>
  <si>
    <t>30.30.11</t>
  </si>
  <si>
    <t>Производство турбореактивных и турбовинтовых двигателей и их частей</t>
  </si>
  <si>
    <t>30.30.12</t>
  </si>
  <si>
    <t>Производство реактивных двигателей и их частей</t>
  </si>
  <si>
    <t>30.30.13</t>
  </si>
  <si>
    <t>Производство наземных тренажеров для летного состава и их частей</t>
  </si>
  <si>
    <t>30.30.14</t>
  </si>
  <si>
    <t>Производство аэростатов, дирижаблей, планеров, дельтапланов и прочих безмоторных летательных аппаратов</t>
  </si>
  <si>
    <t>30.30.2</t>
  </si>
  <si>
    <t>Производство вертолетов, самолетов и прочих летательных аппаратов</t>
  </si>
  <si>
    <t>30.30.3</t>
  </si>
  <si>
    <t>Производство вертолетов</t>
  </si>
  <si>
    <t>30.30.31</t>
  </si>
  <si>
    <t>Производство самолетов</t>
  </si>
  <si>
    <t>30.30.32</t>
  </si>
  <si>
    <t>Производство прочих летательных аппаратов</t>
  </si>
  <si>
    <t>30.30.39</t>
  </si>
  <si>
    <t>Производство космических аппаратов (в том числе спутников), ракет-носителей</t>
  </si>
  <si>
    <t>30.30.4</t>
  </si>
  <si>
    <t>Производство автоматических космических аппаратов</t>
  </si>
  <si>
    <t>30.30.41</t>
  </si>
  <si>
    <t>Производство пилотируемых и беспилотных космических кораблей и станций, включая орбитальные, межпланетные, многоразового использования</t>
  </si>
  <si>
    <t>30.30.42</t>
  </si>
  <si>
    <t>Производство ракет-носителей</t>
  </si>
  <si>
    <t>30.30.43</t>
  </si>
  <si>
    <t>Производство межконтинентальных баллистических ракет</t>
  </si>
  <si>
    <t>30.30.44</t>
  </si>
  <si>
    <t>Производство частей и принадлежностей летательных и космических аппаратов</t>
  </si>
  <si>
    <t>30.30.5</t>
  </si>
  <si>
    <t>Производство военных боевых машин</t>
  </si>
  <si>
    <t>30.4</t>
  </si>
  <si>
    <t>30.40</t>
  </si>
  <si>
    <t>Производство транспортных средств и оборудования, не включенных в другие группировки</t>
  </si>
  <si>
    <t>30.9</t>
  </si>
  <si>
    <t>Производство мотоциклов</t>
  </si>
  <si>
    <t>30.91</t>
  </si>
  <si>
    <t>Производство велосипедов и инвалидных колясок</t>
  </si>
  <si>
    <t>30.92</t>
  </si>
  <si>
    <t>Производство велосипедов</t>
  </si>
  <si>
    <t>30.92.1</t>
  </si>
  <si>
    <t>Производство инвалидных колясок</t>
  </si>
  <si>
    <t>30.92.2</t>
  </si>
  <si>
    <t>Производство частей и принадлежности велосипедов и инвалидных колясок</t>
  </si>
  <si>
    <t>30.92.3</t>
  </si>
  <si>
    <t>Производство детских колясок и их частей</t>
  </si>
  <si>
    <t>30.92.4</t>
  </si>
  <si>
    <t>Производство прочих транспортных средств и оборудования, не включенных в другие группировки</t>
  </si>
  <si>
    <t>30.99</t>
  </si>
  <si>
    <t>Производство мебели</t>
  </si>
  <si>
    <t>31</t>
  </si>
  <si>
    <t>31.0</t>
  </si>
  <si>
    <t>Производство мебели для офисов и предприятий торговли</t>
  </si>
  <si>
    <t>31.01</t>
  </si>
  <si>
    <t>Производство кухонной мебели</t>
  </si>
  <si>
    <t>31.02</t>
  </si>
  <si>
    <t>Производство кухонной мебели, кроме изготовленной по индивидуальному заказу населения</t>
  </si>
  <si>
    <t>31.02.1</t>
  </si>
  <si>
    <t>Изготовление кухонной мебели по индивидуальному заказу населения</t>
  </si>
  <si>
    <t>31.02.2</t>
  </si>
  <si>
    <t>Производство матрасов</t>
  </si>
  <si>
    <t>31.03</t>
  </si>
  <si>
    <t>Производство прочей мебели</t>
  </si>
  <si>
    <t>31.09</t>
  </si>
  <si>
    <t>Производство прочей мебели, кроме изготовленной по индивидуальному заказу населения</t>
  </si>
  <si>
    <t>31.09.1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</si>
  <si>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</si>
  <si>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>31.09.2</t>
  </si>
  <si>
    <t>Производство прочих готовых изделий</t>
  </si>
  <si>
    <t>32</t>
  </si>
  <si>
    <t>Производство ювелирных изделий, бижутерии и подобных товаров</t>
  </si>
  <si>
    <t>32.1</t>
  </si>
  <si>
    <t>Чеканка монет</t>
  </si>
  <si>
    <t>32.11</t>
  </si>
  <si>
    <t>Производство ювелирных изделий и аналогичных изделий</t>
  </si>
  <si>
    <t>32.12</t>
  </si>
  <si>
    <t>Производство изделий технического назначения из драгоценных металлов</t>
  </si>
  <si>
    <t>32.12.1</t>
  </si>
  <si>
    <t>Производство изделий технического назначения из драгоценных камней</t>
  </si>
  <si>
    <t>32.12.2</t>
  </si>
  <si>
    <t>Обработка алмазов</t>
  </si>
  <si>
    <t>32.12.3</t>
  </si>
  <si>
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</si>
  <si>
    <t>32.12.4</t>
  </si>
  <si>
    <t>Производство ювелирных изделий, медалей из драгоценных металлов и драгоценных камней</t>
  </si>
  <si>
    <t>32.12.5</t>
  </si>
  <si>
    <t>Изготовление ювелирных изделий и аналогичных изделий по индивидуальному заказу населения</t>
  </si>
  <si>
    <t>32.12.6</t>
  </si>
  <si>
    <t>Обработка янтаря и производство изделий из янтаря</t>
  </si>
  <si>
    <t>32.12.7</t>
  </si>
  <si>
    <t>Производство бижутерии и подобных товаров</t>
  </si>
  <si>
    <t>32.13</t>
  </si>
  <si>
    <t>Производство бижутерии и подобных товаров, кроме изготовленных по индивидуальному заказу</t>
  </si>
  <si>
    <t>32.13.1</t>
  </si>
  <si>
    <t>Изготовление бижутерии и подобных товаров по индивидуальному заказу населения</t>
  </si>
  <si>
    <t>32.13.2</t>
  </si>
  <si>
    <t>Производство музыкальных инструментов</t>
  </si>
  <si>
    <t>32.2</t>
  </si>
  <si>
    <t>32.20</t>
  </si>
  <si>
    <t>Производство спортивных товаров</t>
  </si>
  <si>
    <t>32.3</t>
  </si>
  <si>
    <t>32.30</t>
  </si>
  <si>
    <t>Производство игр и игрушек</t>
  </si>
  <si>
    <t>32.4</t>
  </si>
  <si>
    <t>32.40</t>
  </si>
  <si>
    <t>Производство медицинских инструментов и оборудования</t>
  </si>
  <si>
    <t>32.5</t>
  </si>
  <si>
    <t>32.50</t>
  </si>
  <si>
    <t>Производство изделий, не включенных в другие группировки</t>
  </si>
  <si>
    <t>32.9</t>
  </si>
  <si>
    <t>Производство метел и щеток</t>
  </si>
  <si>
    <t>32.91</t>
  </si>
  <si>
    <t>Производство прочих готовых изделий, не включенных в другие группировки</t>
  </si>
  <si>
    <t>32.99</t>
  </si>
  <si>
    <t>Производство головных защитных уборов и прочих средств защиты</t>
  </si>
  <si>
    <t>32.99.1</t>
  </si>
  <si>
    <t>Производство пишущих принадлежностей</t>
  </si>
  <si>
    <t>32.99.2</t>
  </si>
  <si>
    <t>Производство зонтов, тростей, пуговиц, кнопок, застежек-молний</t>
  </si>
  <si>
    <t>32.99.3</t>
  </si>
  <si>
    <t>Производство изделий из волоса человека или животных; производство аналогичных изделий из текстильных материалов</t>
  </si>
  <si>
    <t>32.99.4</t>
  </si>
  <si>
    <t>Производство зажигалок и прочих курительных принадлежностей</t>
  </si>
  <si>
    <t>32.99.5</t>
  </si>
  <si>
    <t>Производство изделий для праздников, карнавалов или прочих изделий для увеселения</t>
  </si>
  <si>
    <t>32.99.6</t>
  </si>
  <si>
    <t>Производство приборов, аппаратуры и моделей, предназначенных для демонстрационных целей</t>
  </si>
  <si>
    <t>32.99.7</t>
  </si>
  <si>
    <t>Производство изделий народных художественных промыслов</t>
  </si>
  <si>
    <t>32.99.8</t>
  </si>
  <si>
    <t>Производство прочих изделий, не включенных в другие группировки</t>
  </si>
  <si>
    <t>32.99.9</t>
  </si>
  <si>
    <t>Ремонт и монтаж машин и оборудования</t>
  </si>
  <si>
    <t>33</t>
  </si>
  <si>
    <t>Ремонт и монтаж металлических изделий, машин и оборудования</t>
  </si>
  <si>
    <t>33.1</t>
  </si>
  <si>
    <t>Ремонт металлоизделий</t>
  </si>
  <si>
    <t>33.11</t>
  </si>
  <si>
    <t>Ремонт машин и оборудования</t>
  </si>
  <si>
    <t>33.12</t>
  </si>
  <si>
    <t>Ремонт электронного и оптического оборудования</t>
  </si>
  <si>
    <t>33.13</t>
  </si>
  <si>
    <t>Ремонт электрического оборудования</t>
  </si>
  <si>
    <t>33.14</t>
  </si>
  <si>
    <t>Ремонт и техническое обслуживание судов и лодок</t>
  </si>
  <si>
    <t>33.15</t>
  </si>
  <si>
    <t>Ремонт и техническое обслуживание летательных аппаратов, включая космические</t>
  </si>
  <si>
    <t>33.16</t>
  </si>
  <si>
    <t>Ремонт и техническое обслуживание прочих транспортных средств и оборудования</t>
  </si>
  <si>
    <t>33.17</t>
  </si>
  <si>
    <t>Ремонт прочего оборудования</t>
  </si>
  <si>
    <t>33.19</t>
  </si>
  <si>
    <t>Монтаж промышленных машин и оборудования</t>
  </si>
  <si>
    <t>33.2</t>
  </si>
  <si>
    <t>33.20</t>
  </si>
  <si>
    <t>Отрасль: строительство</t>
  </si>
  <si>
    <t>РАЗДЕЛ F</t>
  </si>
  <si>
    <t>Строительство</t>
  </si>
  <si>
    <t>Строительство зданий</t>
  </si>
  <si>
    <t>Разработка строительных проектов</t>
  </si>
  <si>
    <t>41.1</t>
  </si>
  <si>
    <t>41.10</t>
  </si>
  <si>
    <t>Строительство жилых и нежилых зданий</t>
  </si>
  <si>
    <t>41.2</t>
  </si>
  <si>
    <t>41.20</t>
  </si>
  <si>
    <t>Строительство инженерных сооружений</t>
  </si>
  <si>
    <t>Строительство автомобильных и железных дорог</t>
  </si>
  <si>
    <t>42.1</t>
  </si>
  <si>
    <t>Строительство автомобильных дорог и автомагистралей</t>
  </si>
  <si>
    <t>42.11</t>
  </si>
  <si>
    <t>Строительство железных дорог и метро</t>
  </si>
  <si>
    <t>42.12</t>
  </si>
  <si>
    <t>Строительство мостов и тоннелей</t>
  </si>
  <si>
    <t>42.13</t>
  </si>
  <si>
    <t>Строительство инженерных коммуникаций</t>
  </si>
  <si>
    <t>42.2</t>
  </si>
  <si>
    <t>Строительство инженерных коммуникаций для водоснабжения и водоотведения, газоснабжения</t>
  </si>
  <si>
    <t>42.21</t>
  </si>
  <si>
    <t>Строительство коммунальных объектов для обеспечения электроэнергией и телекоммуникациями</t>
  </si>
  <si>
    <t>42.22</t>
  </si>
  <si>
    <t>Строительство междугородних линий электропередачи и связи</t>
  </si>
  <si>
    <t>42.22.1</t>
  </si>
  <si>
    <t>Строительство местных линий электропередачи и связи</t>
  </si>
  <si>
    <t>42.22.2</t>
  </si>
  <si>
    <t>Строительство электростанций</t>
  </si>
  <si>
    <t>42.22.3</t>
  </si>
  <si>
    <t>Строительство прочих инженерных сооружений</t>
  </si>
  <si>
    <t>42.9</t>
  </si>
  <si>
    <t>Строительство водных сооружений</t>
  </si>
  <si>
    <t>42.91</t>
  </si>
  <si>
    <t>Строительство портовых сооружений</t>
  </si>
  <si>
    <t>42.91.1</t>
  </si>
  <si>
    <t>Строительство гидротехнических сооружений</t>
  </si>
  <si>
    <t>42.91.2</t>
  </si>
  <si>
    <t>Строительство ирригационных систем</t>
  </si>
  <si>
    <t>42.91.3</t>
  </si>
  <si>
    <t>Производство дноочистительных, дноуглубительных и берегоукрепительных работ</t>
  </si>
  <si>
    <t>42.91.4</t>
  </si>
  <si>
    <t>Производство подводных работ, включая водолазные</t>
  </si>
  <si>
    <t>42.91.5</t>
  </si>
  <si>
    <t>Строительство прочих инженерных сооружений, не включенных в другие группировки</t>
  </si>
  <si>
    <t>42.99</t>
  </si>
  <si>
    <t>Работы строительные специализированные</t>
  </si>
  <si>
    <t>Разборка и снос зданий, подготовка строительного участка</t>
  </si>
  <si>
    <t>43.1</t>
  </si>
  <si>
    <t>Разборка и снос зданий</t>
  </si>
  <si>
    <t>43.11</t>
  </si>
  <si>
    <t>Подготовка строительной площадки</t>
  </si>
  <si>
    <t>43.12</t>
  </si>
  <si>
    <t>Расчистка территории строительной площадки</t>
  </si>
  <si>
    <t>43.12.1</t>
  </si>
  <si>
    <t>Производство дренажных работ на сельскохозяйственных землях, землях лесных территорий, а также на строительных площадках</t>
  </si>
  <si>
    <t>43.12.2</t>
  </si>
  <si>
    <t>Производство земляных работ</t>
  </si>
  <si>
    <t>43.12.3</t>
  </si>
  <si>
    <t>Подготовка участка к разработке и добыче полезных ископаемых, за исключением нефтяных и газовых участков</t>
  </si>
  <si>
    <t>43.12.4</t>
  </si>
  <si>
    <t>Разведочное бурение</t>
  </si>
  <si>
    <t>43.13</t>
  </si>
  <si>
    <t>Производство электромонтажных, санитарно-технических и прочих строительно-монтажных работ</t>
  </si>
  <si>
    <t>43.2</t>
  </si>
  <si>
    <t>Производство электромонтажных работ</t>
  </si>
  <si>
    <t>43.21</t>
  </si>
  <si>
    <t>Производство санитарно-технических работ, монтаж отопительных систем и систем кондиционирования воздуха</t>
  </si>
  <si>
    <t>43.22</t>
  </si>
  <si>
    <t>Производство прочих строительно-монтажных работ</t>
  </si>
  <si>
    <t>43.29</t>
  </si>
  <si>
    <t>Работы строительные отделочные</t>
  </si>
  <si>
    <t>43.3</t>
  </si>
  <si>
    <t>Производство штукатурных работ</t>
  </si>
  <si>
    <t>43.31</t>
  </si>
  <si>
    <t>Работы столярные и плотничные</t>
  </si>
  <si>
    <t>43.32</t>
  </si>
  <si>
    <t>Установка дверей (кроме автоматических и вращающихся), окон, дверных и оконных рам из дерева или прочих материалов</t>
  </si>
  <si>
    <t>43.32.1</t>
  </si>
  <si>
    <t>Работы по установке внутренних лестниц, встроенных шкафов, встроенного кухонного оборудования</t>
  </si>
  <si>
    <t>43.32.2</t>
  </si>
  <si>
    <t>Производство работ по внутренней отделке зданий (включая потолки, раздвижные и съемные перегородки и т.д.)</t>
  </si>
  <si>
    <t>43.32.3</t>
  </si>
  <si>
    <t>Работы по устройству покрытий полов и облицовке стен</t>
  </si>
  <si>
    <t>43.33</t>
  </si>
  <si>
    <t>Производство малярных и стекольных работ</t>
  </si>
  <si>
    <t>43.34</t>
  </si>
  <si>
    <t>Производство малярных работ</t>
  </si>
  <si>
    <t>43.34.1</t>
  </si>
  <si>
    <t>Производство стекольных работ</t>
  </si>
  <si>
    <t>43.34.2</t>
  </si>
  <si>
    <t>Производство прочих отделочных и завершающих работ</t>
  </si>
  <si>
    <t>43.39</t>
  </si>
  <si>
    <t>Работы строительные специализированные прочие</t>
  </si>
  <si>
    <t>43.9</t>
  </si>
  <si>
    <t>Производство кровельных работ</t>
  </si>
  <si>
    <t>43.91</t>
  </si>
  <si>
    <t>Работы строительные специализированные прочие, не включенные в другие группировки</t>
  </si>
  <si>
    <t>43.99</t>
  </si>
  <si>
    <t>Работы гидроизоляционные</t>
  </si>
  <si>
    <t>43.99.1</t>
  </si>
  <si>
    <t>Работы по установке строительных лесов и подмостей</t>
  </si>
  <si>
    <t>43.99.2</t>
  </si>
  <si>
    <t>Работы свайные и работы по строительству фундаментов</t>
  </si>
  <si>
    <t>43.99.3</t>
  </si>
  <si>
    <t>Работы бетонные и железобетонные</t>
  </si>
  <si>
    <t>43.99.4</t>
  </si>
  <si>
    <t>Работы по монтажу стальных строительных конструкций</t>
  </si>
  <si>
    <t>43.99.5</t>
  </si>
  <si>
    <t>Работы каменные и кирпичные</t>
  </si>
  <si>
    <t>43.99.6</t>
  </si>
  <si>
    <t>Работы по сборке и монтажу сборных конструкций</t>
  </si>
  <si>
    <t>43.99.7</t>
  </si>
  <si>
    <t>Работы строительные специализированные, не включенные в другие группировки</t>
  </si>
  <si>
    <t>43.99.9</t>
  </si>
  <si>
    <t>Отрасль: торговля оптовая, кроме оптовой торговли автотранспортными средствами и мотоциклами</t>
  </si>
  <si>
    <t>РАЗДЕЛ G</t>
  </si>
  <si>
    <t>Торговля</t>
  </si>
  <si>
    <t>Торговля оптовая сельскохозяйственным сырьем и живыми животными</t>
  </si>
  <si>
    <t>46.2</t>
  </si>
  <si>
    <t>Торговля оптовая зерном, необработанным табаком, семенами и кормами для сельскохозяйственных животных</t>
  </si>
  <si>
    <t>46.21</t>
  </si>
  <si>
    <t>Торговля оптовая зерном, семенами и кормами для животных</t>
  </si>
  <si>
    <t>46.21.1</t>
  </si>
  <si>
    <t>Торговля оптовая зерном</t>
  </si>
  <si>
    <t>46.21.11</t>
  </si>
  <si>
    <t>Торговля оптовая семенами, кроме семян масличных культур</t>
  </si>
  <si>
    <t>46.21.12</t>
  </si>
  <si>
    <t>Торговля оптовая масличными семенами и маслосодержащими плодами</t>
  </si>
  <si>
    <t>46.21.13</t>
  </si>
  <si>
    <t>Торговля оптовая кормами для сельскохозяйственных животных</t>
  </si>
  <si>
    <t>46.21.14</t>
  </si>
  <si>
    <t>Торговля оптовая сельскохозяйственным сырьем, не включенным в другие группировки</t>
  </si>
  <si>
    <t>46.21.19</t>
  </si>
  <si>
    <t>Торговля оптовая необработанным табаком</t>
  </si>
  <si>
    <t>46.21.2</t>
  </si>
  <si>
    <t>Торговля оптовая цветами и растениями</t>
  </si>
  <si>
    <t>46.22</t>
  </si>
  <si>
    <t>Торговля оптовая живыми животными</t>
  </si>
  <si>
    <t>46.23</t>
  </si>
  <si>
    <t>Торговля оптовая шкурами и кожей</t>
  </si>
  <si>
    <t>46.24</t>
  </si>
  <si>
    <t>Торговля оптовая пищевыми продуктами, напитками и табачными изделиями</t>
  </si>
  <si>
    <t>46.3</t>
  </si>
  <si>
    <t>Торговля оптовая фруктами и овощами</t>
  </si>
  <si>
    <t>46.31</t>
  </si>
  <si>
    <t>Торговля оптовая свежими овощами, фруктами и орехами</t>
  </si>
  <si>
    <t>46.31.1</t>
  </si>
  <si>
    <t>Торговля оптовая свежим картофелем</t>
  </si>
  <si>
    <t>46.31.11</t>
  </si>
  <si>
    <t>Торговля оптовая прочими свежими овощами</t>
  </si>
  <si>
    <t>46.31.12</t>
  </si>
  <si>
    <t>Торговля оптовая свежими фруктами и орехами</t>
  </si>
  <si>
    <t>46.31.13</t>
  </si>
  <si>
    <t>Торговля оптовая консервированными овощами, фруктами и орехами</t>
  </si>
  <si>
    <t>46.31.2</t>
  </si>
  <si>
    <t>Торговля оптовая мясом и мясными продуктами</t>
  </si>
  <si>
    <t>46.32</t>
  </si>
  <si>
    <t>Торговля оптовая мясом и мясом птицы, включая субпродукты</t>
  </si>
  <si>
    <t>46.32.1</t>
  </si>
  <si>
    <t>Торговля оптовая продуктами из мяса и мяса птицы</t>
  </si>
  <si>
    <t>46.32.2</t>
  </si>
  <si>
    <t>Торговля оптовая консервами из мяса и мяса птицы</t>
  </si>
  <si>
    <t>46.32.3</t>
  </si>
  <si>
    <t>Торговля оптовая молочными продуктами, яйцами и пищевыми маслами и жирами</t>
  </si>
  <si>
    <t>46.33</t>
  </si>
  <si>
    <t>Торговля оптовая молочными продуктами</t>
  </si>
  <si>
    <t>46.33.1</t>
  </si>
  <si>
    <t>Торговля оптовая яйцами</t>
  </si>
  <si>
    <t>46.33.2</t>
  </si>
  <si>
    <t>Торговля оптовая пищевыми маслами и жирами</t>
  </si>
  <si>
    <t>46.33.3</t>
  </si>
  <si>
    <t>Торговля оптовая соками, минеральной водой и прочими безалкогольными напитками</t>
  </si>
  <si>
    <t>46.34.1</t>
  </si>
  <si>
    <t>Торговля оптовая сахаром, шоколадом и сахаристыми кондитерскими</t>
  </si>
  <si>
    <t>46.36</t>
  </si>
  <si>
    <t>Торговля оптовая сахаром</t>
  </si>
  <si>
    <t>46.36.1</t>
  </si>
  <si>
    <t>Торговля оптовая шоколадом и сахаристыми кондитерскими изделиями</t>
  </si>
  <si>
    <t>46.36.2</t>
  </si>
  <si>
    <t>Торговля оптовая мучными кондитерскими изделиями</t>
  </si>
  <si>
    <t>46.36.3</t>
  </si>
  <si>
    <t>Торговля оптовая хлебобулочными изделиями</t>
  </si>
  <si>
    <t>46.36.4</t>
  </si>
  <si>
    <t>Торговля оптовая кофе, чаем, какао и пряностями</t>
  </si>
  <si>
    <t>46.37</t>
  </si>
  <si>
    <t>Торговля оптовая прочими пищевыми продуктами, включая рыбу, ракообразных и моллюсков</t>
  </si>
  <si>
    <t>46.38</t>
  </si>
  <si>
    <t>Торговля оптовая рыбой, ракообразными и моллюсками, консервами и пресервами из рыбы и морепродуктов</t>
  </si>
  <si>
    <t>46.38.1</t>
  </si>
  <si>
    <t>Торговля оптовая прочими пищевыми продуктами</t>
  </si>
  <si>
    <t>46.38.2</t>
  </si>
  <si>
    <t>Торговля оптовая гомогенизированными пищевыми продуктами, детским и диетическим питанием</t>
  </si>
  <si>
    <t>46.38.21</t>
  </si>
  <si>
    <t>Торговля оптовая кормами для домашних животных</t>
  </si>
  <si>
    <t>46.38.22</t>
  </si>
  <si>
    <t>Торговля оптовая мукой и макаронными изделиями</t>
  </si>
  <si>
    <t>46.38.23</t>
  </si>
  <si>
    <t>Торговля оптовая крупами</t>
  </si>
  <si>
    <t>46.38.24</t>
  </si>
  <si>
    <t>Торговля оптовая солью</t>
  </si>
  <si>
    <t>46.38.25</t>
  </si>
  <si>
    <t>Торговля оптовая мороженым и замороженными десертами</t>
  </si>
  <si>
    <t>46.38.26</t>
  </si>
  <si>
    <t>Торговля оптовая прочими пищевыми продуктами, не включенными в другие группировки</t>
  </si>
  <si>
    <t>46.38.29</t>
  </si>
  <si>
    <t>Торговля оптовая неспециализированная пищевыми продуктами, напитками и табачными изделиями</t>
  </si>
  <si>
    <t>46.39</t>
  </si>
  <si>
    <t>Торговля оптовая неспециализированная замороженными пищевыми продуктами</t>
  </si>
  <si>
    <t>46.39.1</t>
  </si>
  <si>
    <t>Торговля оптовая неспециализированная незамороженными пищевыми продуктами, напитками и табачными изделиями</t>
  </si>
  <si>
    <t>46.39.2</t>
  </si>
  <si>
    <t>Торговля оптовая непродовольственными потребительскими товарами</t>
  </si>
  <si>
    <t>46.4</t>
  </si>
  <si>
    <t>Торговля оптовая текстильными изделиями</t>
  </si>
  <si>
    <t>46.41</t>
  </si>
  <si>
    <t>Торговля оптовая текстильными изделиями, кроме текстильных галантерейных изделий</t>
  </si>
  <si>
    <t>46.41.1</t>
  </si>
  <si>
    <t>Торговля оптовая галантерейными изделиями</t>
  </si>
  <si>
    <t>46.41.2</t>
  </si>
  <si>
    <t>Торговля оптовая одеждой и обувью</t>
  </si>
  <si>
    <t>46.42</t>
  </si>
  <si>
    <t>Торговля оптовая одеждой</t>
  </si>
  <si>
    <t>46.42.1</t>
  </si>
  <si>
    <t>Торговля оптовая одеждой, включая спортивную, кроме нательного белья</t>
  </si>
  <si>
    <t>46.42.11</t>
  </si>
  <si>
    <t>Торговля оптовая нательным бельем</t>
  </si>
  <si>
    <t>46.42.12</t>
  </si>
  <si>
    <t>Торговля оптовая изделиями из меха</t>
  </si>
  <si>
    <t>46.42.13</t>
  </si>
  <si>
    <t>Торговля оптовая аксессуарами одежды и головными уборами, кроме меховых</t>
  </si>
  <si>
    <t>46.42.14</t>
  </si>
  <si>
    <t>Торговля оптовая обувью</t>
  </si>
  <si>
    <t>46.42.2</t>
  </si>
  <si>
    <t>Торговля оптовая бытовыми электротоварами</t>
  </si>
  <si>
    <t>46.43</t>
  </si>
  <si>
    <t>Торговля оптовая электрической бытовой техникой</t>
  </si>
  <si>
    <t>46.43.1</t>
  </si>
  <si>
    <t>Торговля оптовая радио-, теле- и видеоаппаратурой и аппаратурой для цифровых видеодисков (DVD)</t>
  </si>
  <si>
    <t>46.43.2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</si>
  <si>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</si>
  <si>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46.43.3</t>
  </si>
  <si>
    <t>Торговля оптовая фототоварами и оптическими товарами</t>
  </si>
  <si>
    <t>46.43.4</t>
  </si>
  <si>
    <t>Торговля оптовая изделиями из керамики и стекла и чистящими средствами</t>
  </si>
  <si>
    <t>46.44</t>
  </si>
  <si>
    <t>Торговля оптовая изделиями из керамики и стекла</t>
  </si>
  <si>
    <t>46.44.1</t>
  </si>
  <si>
    <t>Торговля оптовая чистящими средствами</t>
  </si>
  <si>
    <t>46.44.2</t>
  </si>
  <si>
    <t>Торговля оптовая парфюмерными и косметическими товарами</t>
  </si>
  <si>
    <t>46.45</t>
  </si>
  <si>
    <t>Торговля оптовая парфюмерными и косметическими товарами, кроме мыла</t>
  </si>
  <si>
    <t>46.45.1</t>
  </si>
  <si>
    <t>Торговля оптовая туалетным и хозяйственным мылом</t>
  </si>
  <si>
    <t>46.45.2</t>
  </si>
  <si>
    <t>Торговля оптовая фармацевтической продукцией</t>
  </si>
  <si>
    <t>46.46</t>
  </si>
  <si>
    <t>46.46.1</t>
  </si>
  <si>
    <t>Торговля оптовая изделиями, применяемыми в медицинских целях</t>
  </si>
  <si>
    <t>46.46.2</t>
  </si>
  <si>
    <t>Торговля оптовая мебелью, коврами и осветительным оборудованием</t>
  </si>
  <si>
    <t>46.47</t>
  </si>
  <si>
    <t>Торговля оптовая бытовой мебелью</t>
  </si>
  <si>
    <t>46.47.1</t>
  </si>
  <si>
    <t>Торговля оптовая осветительным оборудованием</t>
  </si>
  <si>
    <t>46.47.2</t>
  </si>
  <si>
    <t>Торговля оптовая коврами и ковровыми изделиями</t>
  </si>
  <si>
    <t>46.47.3</t>
  </si>
  <si>
    <t>Торговля оптовая часами и ювелирными изделиями</t>
  </si>
  <si>
    <t>46.48</t>
  </si>
  <si>
    <t>Торговля оптовая часами</t>
  </si>
  <si>
    <t>46.48.1</t>
  </si>
  <si>
    <t>Торговля оптовая ювелирными изделиями</t>
  </si>
  <si>
    <t>46.48.2</t>
  </si>
  <si>
    <t>Торговля оптовая прочими бытовыми товарами</t>
  </si>
  <si>
    <t>46.49</t>
  </si>
  <si>
    <t>Торговля оптовая ножевыми изделиями и бытовой металлической посудой</t>
  </si>
  <si>
    <t>46.49.1</t>
  </si>
  <si>
    <t>Торговля оптовая плетеными изделиями, изделиями из пробки, бондарными изделиями и прочими бытовыми деревянными изделиями</t>
  </si>
  <si>
    <t>46.49.2</t>
  </si>
  <si>
    <t>Торговля оптовая книгами, газетами и журналами, писчебумажными и канцелярскими товарами</t>
  </si>
  <si>
    <t>46.49.3</t>
  </si>
  <si>
    <t>Торговля оптовая книгами</t>
  </si>
  <si>
    <t>46.49.31</t>
  </si>
  <si>
    <t>Торговля оптовая газетами и журналами</t>
  </si>
  <si>
    <t>46.49.32</t>
  </si>
  <si>
    <t>Торговля оптовая писчебумажными и канцелярскими товарами</t>
  </si>
  <si>
    <t>46.49.33</t>
  </si>
  <si>
    <t>Торговля оптовая прочими потребительскими товарами</t>
  </si>
  <si>
    <t>46.49.4</t>
  </si>
  <si>
    <t>Торговля оптовая музыкальными инструментами и нотными изданиями</t>
  </si>
  <si>
    <t>46.49.41</t>
  </si>
  <si>
    <t>Торговля оптовая играми и игрушками</t>
  </si>
  <si>
    <t>46.49.42</t>
  </si>
  <si>
    <t>Торговля оптовая спортивными товарами, включая велосипеды</t>
  </si>
  <si>
    <t>46.49.43</t>
  </si>
  <si>
    <t>Торговля оптовая изделиями из кожи и дорожными аксессуарами</t>
  </si>
  <si>
    <t>46.49.44</t>
  </si>
  <si>
    <t>Торговля оптовая прочими потребительскими товарами, не включенными в другие группировки</t>
  </si>
  <si>
    <t>46.49.49</t>
  </si>
  <si>
    <t>Торговля оптовая неэлектрическими бытовыми приборами</t>
  </si>
  <si>
    <t>46.49.5</t>
  </si>
  <si>
    <t>Торговля оптовая информационным и коммуникационным оборудованием</t>
  </si>
  <si>
    <t>46.5</t>
  </si>
  <si>
    <t>Торговля оптовая компьютерами, периферийными устройствами к компьютерам и программным обеспечением</t>
  </si>
  <si>
    <t>46.51</t>
  </si>
  <si>
    <t>Торговля оптовая компьютерами и периферийными устройствами</t>
  </si>
  <si>
    <t>46.51.1</t>
  </si>
  <si>
    <t>Торговля оптовая программным обеспечением</t>
  </si>
  <si>
    <t>46.51.2</t>
  </si>
  <si>
    <t>Торговля оптовая электронным и телекоммуникационным оборудованием и его запасными частями</t>
  </si>
  <si>
    <t>46.52</t>
  </si>
  <si>
    <t>Торговля оптовая телекоммуникационным оборудованием и его запасными частями</t>
  </si>
  <si>
    <t>46.52.1</t>
  </si>
  <si>
    <t>Торговля оптовая электронным оборудованием и его запасными частями</t>
  </si>
  <si>
    <t>46.52.2</t>
  </si>
  <si>
    <t>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</si>
  <si>
    <t>46.52.3</t>
  </si>
  <si>
    <t>Торговля оптовая прочими машинами, оборудованием и принадлежностями</t>
  </si>
  <si>
    <t>46.6</t>
  </si>
  <si>
    <t>Торговля оптовая машинами, оборудованием и инструментами для сельского хозяйства</t>
  </si>
  <si>
    <t>46.61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</si>
  <si>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</si>
  <si>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</t>
  </si>
  <si>
    <t>Торговля оптовая садово-огородной техникой и инвентарем</t>
  </si>
  <si>
    <t>46.61.2</t>
  </si>
  <si>
    <t>Торговля оптовая станками</t>
  </si>
  <si>
    <t>46.62</t>
  </si>
  <si>
    <t>Торговля оптовая деревообрабатывающими станками</t>
  </si>
  <si>
    <t>46.62.1</t>
  </si>
  <si>
    <t>Торговля оптовая металлообрабатывающими станками</t>
  </si>
  <si>
    <t>46.62.2</t>
  </si>
  <si>
    <t>Торговля оптовая станками для обработки прочих материалов</t>
  </si>
  <si>
    <t>46.62.3</t>
  </si>
  <si>
    <t>Торговля оптовая машинами и оборудованием для добычи полезных ископаемых и строительства</t>
  </si>
  <si>
    <t>46.63</t>
  </si>
  <si>
    <t>Торговля оптовая машинами и оборудованием для текстильного, швейного и трикотажного производств</t>
  </si>
  <si>
    <t>46.64</t>
  </si>
  <si>
    <t>Торговля оптовая офисной мебелью</t>
  </si>
  <si>
    <t>46.65</t>
  </si>
  <si>
    <t>Торговля оптовая прочей офисной техникой и оборудованием</t>
  </si>
  <si>
    <t>46.66</t>
  </si>
  <si>
    <t>Торговля оптовая прочими машинами и оборудованием</t>
  </si>
  <si>
    <t>46.69</t>
  </si>
  <si>
    <t>Торговля оптовая транспортными средствами, кроме автомобилей, мотоциклов и велосипедов</t>
  </si>
  <si>
    <t>46.69.1</t>
  </si>
  <si>
    <t>Торговля оптовая эксплуатационными материалами и принадлежностями машин</t>
  </si>
  <si>
    <t>46.69.2</t>
  </si>
  <si>
    <t>Торговля оптовая подъемно-транспортными машинами и оборудованием</t>
  </si>
  <si>
    <t>46.69.3</t>
  </si>
  <si>
    <t>Торговля оптовая машинами и оборудованием для производства пищевых продуктов, напитков и табачных изделий</t>
  </si>
  <si>
    <t>46.69.4</t>
  </si>
  <si>
    <t>Торговля оптовая производственным электротехническим оборудованием, машинами, аппаратурой и материалами</t>
  </si>
  <si>
    <t>46.69.5</t>
  </si>
  <si>
    <t>Торговля оптовая оружием и боеприпасами</t>
  </si>
  <si>
    <t>46.69.6</t>
  </si>
  <si>
    <t>Торговля оптовая измерительными приборами и оборудованием</t>
  </si>
  <si>
    <t>46.69.7</t>
  </si>
  <si>
    <t>Торговля оптовая техникой, оборудованием и инструментами, применяемыми в медицинских целях</t>
  </si>
  <si>
    <t>46.69.8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</si>
  <si>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</si>
  <si>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</t>
  </si>
  <si>
    <t>Торговля оптовая специализированная прочая</t>
  </si>
  <si>
    <t>46.7</t>
  </si>
  <si>
    <t>Торговля оптовая металлами и металлическими рудами</t>
  </si>
  <si>
    <t>46.72</t>
  </si>
  <si>
    <t>Торговля оптовая металлическими рудами</t>
  </si>
  <si>
    <t>46.72.1</t>
  </si>
  <si>
    <t>Торговля оптовая железными рудами</t>
  </si>
  <si>
    <t>46.72.11</t>
  </si>
  <si>
    <t>Торговля оптовая рудами цветных металлов</t>
  </si>
  <si>
    <t>46.72.12</t>
  </si>
  <si>
    <t>Торговля оптовая металлами в первичных формах</t>
  </si>
  <si>
    <t>46.72.2</t>
  </si>
  <si>
    <t>Торговля оптовая черными металлами в первичных формах</t>
  </si>
  <si>
    <t>46.72.21</t>
  </si>
  <si>
    <t>Торговля оптовая цветными металлами в первичных формах, кроме драгоценных</t>
  </si>
  <si>
    <t>46.72.22</t>
  </si>
  <si>
    <t>Торговля оптовая золотом и другими драгоценными металлами</t>
  </si>
  <si>
    <t>46.72.23</t>
  </si>
  <si>
    <t>Торговля оптовая лесоматериалами, строительными материалами и санитарно-техническим оборудованием</t>
  </si>
  <si>
    <t>46.73</t>
  </si>
  <si>
    <t>Торговля оптовая древесным сырьем и необработанными лесоматериалами</t>
  </si>
  <si>
    <t>46.73.1</t>
  </si>
  <si>
    <t>Торговля оптовая пиломатериалами</t>
  </si>
  <si>
    <t>46.73.2</t>
  </si>
  <si>
    <t>Торговля оптовая санитарно-техническим оборудованием</t>
  </si>
  <si>
    <t>46.73.3</t>
  </si>
  <si>
    <t>Торговля оптовая лакокрасочными материалами</t>
  </si>
  <si>
    <t>46.73.4</t>
  </si>
  <si>
    <t>Торговля оптовая листовым стеклом</t>
  </si>
  <si>
    <t>46.73.5</t>
  </si>
  <si>
    <t>Торговля оптовая прочими строительными материалами и изделиями</t>
  </si>
  <si>
    <t>46.73.6</t>
  </si>
  <si>
    <t>Торговля оптовая обоями</t>
  </si>
  <si>
    <t>46.73.7</t>
  </si>
  <si>
    <t>Торговля оптовая напольными покрытиями (кроме ковров)</t>
  </si>
  <si>
    <t>46.73.8</t>
  </si>
  <si>
    <t>Торговля оптовая скобяными изделиями, водопроводным и отопительным оборудованием и принадлежностями</t>
  </si>
  <si>
    <t>46.74</t>
  </si>
  <si>
    <t>Торговля оптовая скобяными изделиями</t>
  </si>
  <si>
    <t>46.74.1</t>
  </si>
  <si>
    <t>Торговля оптовая водопроводным и отопительным оборудованием и санитарно-технической арматурой</t>
  </si>
  <si>
    <t>46.74.2</t>
  </si>
  <si>
    <t>Торговля оптовая ручными инструментами</t>
  </si>
  <si>
    <t>46.74.3</t>
  </si>
  <si>
    <t>Торговля оптовая химическими продуктами</t>
  </si>
  <si>
    <t>46.75</t>
  </si>
  <si>
    <t>Торговля оптовая удобрениями и агрохимическими продуктами</t>
  </si>
  <si>
    <t>46.75.1</t>
  </si>
  <si>
    <t>Торговля оптовая промышленными химикатами</t>
  </si>
  <si>
    <t>46.75.2</t>
  </si>
  <si>
    <t>Торговля оптовая прочими промежуточными продуктами</t>
  </si>
  <si>
    <t>46.76</t>
  </si>
  <si>
    <t>Торговля оптовая бумагой и картоном</t>
  </si>
  <si>
    <t>46.76.1</t>
  </si>
  <si>
    <t>Торговля оптовая текстильными волокнами</t>
  </si>
  <si>
    <t>46.76.2</t>
  </si>
  <si>
    <t>Торговля оптовая пластмассами и резиной в первичных формах</t>
  </si>
  <si>
    <t>46.76.3</t>
  </si>
  <si>
    <t>Торговля оптовая драгоценными камнями</t>
  </si>
  <si>
    <t>46.76.4</t>
  </si>
  <si>
    <t>Торговля оптовая отходами и ломом</t>
  </si>
  <si>
    <t>46.77</t>
  </si>
  <si>
    <t>Торговля оптовая неспециализированная</t>
  </si>
  <si>
    <t>46.9</t>
  </si>
  <si>
    <t>46.90</t>
  </si>
  <si>
    <t>Торговля розничная в неспециализированных магазинах</t>
  </si>
  <si>
    <t>47.1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</si>
  <si>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</si>
  <si>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</t>
  </si>
  <si>
    <t>Торговля розничная замороженными продуктами в неспециализированных магазинах</t>
  </si>
  <si>
    <t>47.11.1</t>
  </si>
  <si>
    <t>Торговля розничная незамороженными продуктами, включая напитки и табачные изделия, в неспециализированных магазинах</t>
  </si>
  <si>
    <t>47.11.2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</si>
  <si>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</si>
  <si>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</t>
  </si>
  <si>
    <t>Торговля розничная прочая в неспециализированных магазинах</t>
  </si>
  <si>
    <t>47.19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</si>
  <si>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</si>
  <si>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47.19.1</t>
  </si>
  <si>
    <t>Деятельность универсальных магазинов, торгующих товарами общего ассортимента</t>
  </si>
  <si>
    <t>47.19.2</t>
  </si>
  <si>
    <t>Торговля розничная пищевыми продуктами, напитками и табачными изделиями в специализированных магазинах</t>
  </si>
  <si>
    <t>47.2</t>
  </si>
  <si>
    <t>Торговля розничная фруктами и овощами в специализированных магазинах</t>
  </si>
  <si>
    <t>47.21</t>
  </si>
  <si>
    <t>Торговля розничная свежими фруктами, овощами, картофелем и орехами в специализированных магазинах</t>
  </si>
  <si>
    <t>47.21.1</t>
  </si>
  <si>
    <t>Торговля розничная консервированными фруктами и овощами и орехами в специализированных магазинах</t>
  </si>
  <si>
    <t>47.21.2</t>
  </si>
  <si>
    <t>Торговля розничная мясом и мясными продуктами в специализированных магазинах</t>
  </si>
  <si>
    <t>47.22</t>
  </si>
  <si>
    <t>Торговля розничная мясом и мясом птицы, включая субпродукты в специализированных магазинах</t>
  </si>
  <si>
    <t>47.22.1</t>
  </si>
  <si>
    <t>Торговля розничная продуктами из мяса и мяса птицы в специализированных магазинах</t>
  </si>
  <si>
    <t>47.22.2</t>
  </si>
  <si>
    <t>Торговля розничная консервами из мяса и мяса птицы в специализированных магазинах</t>
  </si>
  <si>
    <t>47.22.3</t>
  </si>
  <si>
    <t>Торговля розничная рыбой, ракообразными и моллюсками в специализированных магазинах</t>
  </si>
  <si>
    <t>47.23</t>
  </si>
  <si>
    <t>Торговля розничная рыбой и морепродуктами в специализированных магазинах</t>
  </si>
  <si>
    <t>47.23.1</t>
  </si>
  <si>
    <t>Торговля розничная консервами из рыбы и морепродуктов в специализированных магазинах</t>
  </si>
  <si>
    <t>47.23.2</t>
  </si>
  <si>
    <t>Торговля розничная хлебом и хлебобулочными изделиями и кондитерскими изделиями в специализированных магазинах</t>
  </si>
  <si>
    <t>47.24</t>
  </si>
  <si>
    <t>Торговля розничная хлебом и хлебобулочными изделиями в специализированных магазинах</t>
  </si>
  <si>
    <t>47.24.1</t>
  </si>
  <si>
    <t>Торговля розничная кондитерскими изделиями в специализированных магазинах</t>
  </si>
  <si>
    <t>47.24.2</t>
  </si>
  <si>
    <t>Торговля розничная мучными кондитерскими изделиями в специализированных магазинах</t>
  </si>
  <si>
    <t>47.24.21</t>
  </si>
  <si>
    <t>Торговля розничная кондитерскими изделиями, включая шоколад, в специализированных магазинах</t>
  </si>
  <si>
    <t>47.24.22</t>
  </si>
  <si>
    <t>Торговля розничная мороженым и замороженными десертами в специализированных магазинах</t>
  </si>
  <si>
    <t>47.24.3</t>
  </si>
  <si>
    <t>Торговля розничная безалкогольными напитками в специализированных магазинах</t>
  </si>
  <si>
    <t>47.25.2</t>
  </si>
  <si>
    <t>Торговля розничная прочими пищевыми продуктами в специализированных магазинах</t>
  </si>
  <si>
    <t>47.29</t>
  </si>
  <si>
    <t>Торговля розничная молочными продуктами и яйцами в специализированных магазинах</t>
  </si>
  <si>
    <t>47.29.1</t>
  </si>
  <si>
    <t>Торговля розничная молочными продуктами в специализированных магазинах</t>
  </si>
  <si>
    <t>47.29.11</t>
  </si>
  <si>
    <t>Торговля розничная яйцами в специализированных магазинах</t>
  </si>
  <si>
    <t>47.29.12</t>
  </si>
  <si>
    <t>Торговля розничная пищевыми маслами и жирами в специализированных магазинах</t>
  </si>
  <si>
    <t>47.29.2</t>
  </si>
  <si>
    <t>Торговля розничная животными маслами и жирами в специализированных магазинах</t>
  </si>
  <si>
    <t>47.29.21</t>
  </si>
  <si>
    <t>Торговля розничная растительными маслами в специализированных магазинах</t>
  </si>
  <si>
    <t>47.29.22</t>
  </si>
  <si>
    <t>47.29.3</t>
  </si>
  <si>
    <t>Торговля розничная мукой и макаронными изделиями в специализированных магазинах</t>
  </si>
  <si>
    <t>47.29.31</t>
  </si>
  <si>
    <t>Торговля розничная крупами в специализированных магазинах</t>
  </si>
  <si>
    <t>47.29.32</t>
  </si>
  <si>
    <t>Торговля розничная сахаром в специализированных магазинах</t>
  </si>
  <si>
    <t>47.29.33</t>
  </si>
  <si>
    <t>Торговля розничная солью в специализированных магазинах</t>
  </si>
  <si>
    <t>47.29.34</t>
  </si>
  <si>
    <t>Торговля розничная чаем, кофе, какао в специализированных магазинах</t>
  </si>
  <si>
    <t>47.29.35</t>
  </si>
  <si>
    <t>Торговля розничная гомогенизированными пищевыми продуктами, детским и диетическим питанием в специализированных магазинах</t>
  </si>
  <si>
    <t>47.29.36</t>
  </si>
  <si>
    <t>Торговля розничная прочими пищевыми продуктами в специализированных магазинах, не включенными в другие группировки</t>
  </si>
  <si>
    <t>47.29.39</t>
  </si>
  <si>
    <t>Торговля розничная смазочными материалами и охлаждающими жидкостями для автотранспортных средств</t>
  </si>
  <si>
    <t>47.30.2</t>
  </si>
  <si>
    <t>Торговля розничная информационным и коммуникационным оборудованием в специализированных магазинах</t>
  </si>
  <si>
    <t>47.4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</si>
  <si>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</si>
  <si>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47.41</t>
  </si>
  <si>
    <t>Торговля розничная компьютерами в специализированных магазинах</t>
  </si>
  <si>
    <t>47.41.1</t>
  </si>
  <si>
    <t>Торговля розничная программным обеспечением в специализированных магазинах</t>
  </si>
  <si>
    <t>47.41.2</t>
  </si>
  <si>
    <t>Торговля розничная периферийными устройствами в специализированных магазинах</t>
  </si>
  <si>
    <t>47.41.3</t>
  </si>
  <si>
    <t>Торговля розничная офисными машинами и оборудованием в специализированных магазинах</t>
  </si>
  <si>
    <t>47.41.4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</si>
  <si>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</si>
  <si>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47.42</t>
  </si>
  <si>
    <t>Торговля розничная аудио- и видеотехникой в специализированных магазинах</t>
  </si>
  <si>
    <t>47.43</t>
  </si>
  <si>
    <t>Торговля розничная прочими бытовыми изделиями в специализированных магазинах</t>
  </si>
  <si>
    <t>47.5</t>
  </si>
  <si>
    <t>Торговля розничная текстильными изделиями в специализированных магазинах</t>
  </si>
  <si>
    <t>47.51</t>
  </si>
  <si>
    <t>47.51.1</t>
  </si>
  <si>
    <t>Торговля розничная галантерейными изделиями в специализированных магазинах</t>
  </si>
  <si>
    <t>47.51.2</t>
  </si>
  <si>
    <t>Торговля розничная скобяными изделиями, лакокрасочными материалами и стеклом в специализированных магазинах</t>
  </si>
  <si>
    <t>47.52</t>
  </si>
  <si>
    <t>Торговля розничная скобяными изделиями в специализированных магазинах</t>
  </si>
  <si>
    <t>47.52.1</t>
  </si>
  <si>
    <t>Торговля розничная лакокрасочными материалами в специализированных магазинах</t>
  </si>
  <si>
    <t>47.52.2</t>
  </si>
  <si>
    <t>Торговля розничная стеклом в специализированных магазинах</t>
  </si>
  <si>
    <t>47.52.3</t>
  </si>
  <si>
    <t>Торговля розничная материалами и оборудованием для изготовления поделок в специализированных магазинах</t>
  </si>
  <si>
    <t>47.52.4</t>
  </si>
  <si>
    <t>Торговля розничная санитарно-техническим оборудованием в специализированных магазинах</t>
  </si>
  <si>
    <t>47.52.5</t>
  </si>
  <si>
    <t>Торговля розничная садово-огородной техникой и инвентарем в специализированных магазинах</t>
  </si>
  <si>
    <t>47.52.6</t>
  </si>
  <si>
    <t>Торговля розничная строительными материалами, не включенными в другие группировки, в специализированных магазинах</t>
  </si>
  <si>
    <t>47.52.7</t>
  </si>
  <si>
    <t>Торговля розничная пиломатериалами в специализированных магазинах</t>
  </si>
  <si>
    <t>47.52.71</t>
  </si>
  <si>
    <t>Торговля розничная кирпичом в специализированных магазинах</t>
  </si>
  <si>
    <t>47.52.72</t>
  </si>
  <si>
    <t>Торговля розничная металлическими и неметаллическими конструкциями в специализированных магазинах</t>
  </si>
  <si>
    <t>47.52.73</t>
  </si>
  <si>
    <t>Торговля розничная сборными деревянными строениями в специализированных магазинах</t>
  </si>
  <si>
    <t>47.52.74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</si>
  <si>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</si>
  <si>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>47.52.79</t>
  </si>
  <si>
    <t>Торговля розничная коврами, ковровыми изделиями, покрытиями для пола и стен в специализированных магазинах</t>
  </si>
  <si>
    <t>47.53</t>
  </si>
  <si>
    <t>Торговля розничная коврами и ковровыми изделиями в специализированных магазинах</t>
  </si>
  <si>
    <t>47.53.1</t>
  </si>
  <si>
    <t>Торговля розничная портьерами, тюлевыми занавесями в специализированных магазинах</t>
  </si>
  <si>
    <t>47.53.2</t>
  </si>
  <si>
    <t>Торговля розничная обоями и напольными покрытиями в специализированных магазинах</t>
  </si>
  <si>
    <t>47.53.3</t>
  </si>
  <si>
    <t>Торговля розничная бытовыми электротоварами в специализированных магазинах</t>
  </si>
  <si>
    <t>47.54</t>
  </si>
  <si>
    <t>Торговля розничная мебелью, осветительными приборами и прочими бытовыми изделиями в специализированных магазинах</t>
  </si>
  <si>
    <t>47.59</t>
  </si>
  <si>
    <t>Торговля розничная мебелью в специализированных магазинах</t>
  </si>
  <si>
    <t>47.59.1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</si>
  <si>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</si>
  <si>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</t>
  </si>
  <si>
    <t>Торговля розничная осветительными приборами в специализированных магазинах</t>
  </si>
  <si>
    <t>47.59.3</t>
  </si>
  <si>
    <t>Торговля розничная изделиями из дерева, пробки и плетеными изделиями в специализированных магазинах</t>
  </si>
  <si>
    <t>47.59.4</t>
  </si>
  <si>
    <t>Торговля розничная музыкальными инструментами и нотными изданиями в специализированных магазинах</t>
  </si>
  <si>
    <t>47.59.5</t>
  </si>
  <si>
    <t>Торговля розничная неэлектрическими бытовыми приборами в специализированных магазинах</t>
  </si>
  <si>
    <t>47.59.6</t>
  </si>
  <si>
    <t>Торговля розничная электрическими системами охранной сигнализации, такими как запорные устройства, сейфы и хранилища</t>
  </si>
  <si>
    <t>47.59.7</t>
  </si>
  <si>
    <t>Торговля розничная бытовыми изделиями и приборами, не включенными в другие группировки, в специализированных магазинах</t>
  </si>
  <si>
    <t>47.59.9</t>
  </si>
  <si>
    <t>Торговля розничная товарами культурно-развлекательного назначения в специализированных магазинах</t>
  </si>
  <si>
    <t>47.6</t>
  </si>
  <si>
    <t>Торговля розничная книгами в специализированных магазинах</t>
  </si>
  <si>
    <t>47.61</t>
  </si>
  <si>
    <t>Торговля розничная газетами и канцелярскими товарами в специализированных магазинах</t>
  </si>
  <si>
    <t>47.62</t>
  </si>
  <si>
    <t>Торговля розничная газетами и журналами в специализированных магазинах</t>
  </si>
  <si>
    <t>47.62.1</t>
  </si>
  <si>
    <t>Торговля розничная писчебумажными и канцелярскими товарами в специализированных магазинах</t>
  </si>
  <si>
    <t>47.62.2</t>
  </si>
  <si>
    <t>Торговля розничная музыкальными и видеозаписями в специализированных магазинах</t>
  </si>
  <si>
    <t>47.63</t>
  </si>
  <si>
    <t>Торговля розничная музыкальными записями, аудиолентами, компакт-дисками и кассетами в специализированных магазинах</t>
  </si>
  <si>
    <t>47.63.1</t>
  </si>
  <si>
    <t>Торговля розничная лентами и дисками без записей в специализированных магазинах</t>
  </si>
  <si>
    <t>47.63.2</t>
  </si>
  <si>
    <t>Торговля розничная спортивным оборудованием и спортивными товарами в специализированных магазинах</t>
  </si>
  <si>
    <t>47.64</t>
  </si>
  <si>
    <t>47.64.1</t>
  </si>
  <si>
    <t>Торговля розничная рыболовными принадлежностями в специализированных магазинах</t>
  </si>
  <si>
    <t>47.64.2</t>
  </si>
  <si>
    <t>Торговля розничная туристическим снаряжением в специализированных магазинах</t>
  </si>
  <si>
    <t>47.64.3</t>
  </si>
  <si>
    <t>Торговля розничная лодками в специализированных магазинах</t>
  </si>
  <si>
    <t>47.64.4</t>
  </si>
  <si>
    <t>Торговля розничная велосипедами в специализированных магазинах</t>
  </si>
  <si>
    <t>47.64.5</t>
  </si>
  <si>
    <t>Торговля розничная играми и игрушками в специализированных магазинах</t>
  </si>
  <si>
    <t>47.65</t>
  </si>
  <si>
    <t>Торговля розничная прочими товарами в специализированных магазинах</t>
  </si>
  <si>
    <t>47.7</t>
  </si>
  <si>
    <t>Торговля розничная одеждой в специализированных магазинах</t>
  </si>
  <si>
    <t>47.71</t>
  </si>
  <si>
    <t>Торговля розничная мужской, женской и детской одеждой в специализированных магазинах</t>
  </si>
  <si>
    <t>47.71.1</t>
  </si>
  <si>
    <t>Торговля розничная нательным бельем в специализированных магазинах</t>
  </si>
  <si>
    <t>47.71.2</t>
  </si>
  <si>
    <t>Торговля розничная изделиями из меха в специализированных магазинах</t>
  </si>
  <si>
    <t>47.71.3</t>
  </si>
  <si>
    <t>Торговля розничная одеждой из кожи в специализированных магазинах</t>
  </si>
  <si>
    <t>47.71.4</t>
  </si>
  <si>
    <t>Торговля розничная спортивной одеждой в специализированных магазинах</t>
  </si>
  <si>
    <t>47.71.5</t>
  </si>
  <si>
    <t>Торговля розничная чулочно-носочными изделиями в специализированных магазинах</t>
  </si>
  <si>
    <t>47.71.6</t>
  </si>
  <si>
    <t>Торговля розничная головными уборами в специализированных магазинах</t>
  </si>
  <si>
    <t>47.71.7</t>
  </si>
  <si>
    <t>Торговля розничная аксессуарами одежды (перчатками, галстуками, шарфами, ремнями, подтяжками и т.п.) в специализированных магазинах</t>
  </si>
  <si>
    <t>47.71.8</t>
  </si>
  <si>
    <t>Торговля розничная обувью и изделиями из кожи в специализированных магазинах</t>
  </si>
  <si>
    <t>47.72</t>
  </si>
  <si>
    <t>Торговля розничная обувью в специализированных магазинах</t>
  </si>
  <si>
    <t>47.72.1</t>
  </si>
  <si>
    <t>Торговля розничная изделиями из кожи и дорожными принадлежностями в специализированных магазинах</t>
  </si>
  <si>
    <t>47.72.2</t>
  </si>
  <si>
    <t>Торговля розничная лекарственными средствами в специализированных магазинах (аптеках)</t>
  </si>
  <si>
    <t>47.73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</si>
  <si>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</si>
  <si>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</t>
  </si>
  <si>
    <t>Торговля розничная изделиями, применяемыми в медицинских целях, в специализированных магазинах</t>
  </si>
  <si>
    <t>47.74.1</t>
  </si>
  <si>
    <t>Торговля розничная ортопедическими изделиями в специализированных магазинах</t>
  </si>
  <si>
    <t>47.74.2</t>
  </si>
  <si>
    <t>Торговля розничная косметическими и товарами личной гигиены в специализированных магазинах</t>
  </si>
  <si>
    <t>47.75</t>
  </si>
  <si>
    <t>Торговля розничная косметическими и парфюмерными товарами, кроме мыла в специализированных магазинах</t>
  </si>
  <si>
    <t>47.75.1</t>
  </si>
  <si>
    <t>Торговля розничная туалетным и хозяйственным мылом в специализированных магазинах</t>
  </si>
  <si>
    <t>47.75.2</t>
  </si>
  <si>
    <t>Торговля розничная предметами личной гигиены в специализированных магазинах</t>
  </si>
  <si>
    <t>47.75.3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</si>
  <si>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</si>
  <si>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</t>
  </si>
  <si>
    <t>Торговля розничная цветами и другими растениями, семенами и удобрениями в специализированных магазинах</t>
  </si>
  <si>
    <t>47.76.1</t>
  </si>
  <si>
    <t>Торговля розничная домашними животными и кормами для домашних животных в специализированных магазинах</t>
  </si>
  <si>
    <t>47.76.2</t>
  </si>
  <si>
    <t>Торговля розничная часами и ювелирными изделиями в специализированных магазинах</t>
  </si>
  <si>
    <t>47.77</t>
  </si>
  <si>
    <t>Торговля розничная часами в специализированных магазинах</t>
  </si>
  <si>
    <t>47.77.1</t>
  </si>
  <si>
    <t>Торговля розничная ювелирными изделиями в специализированных магазинах</t>
  </si>
  <si>
    <t>47.77.2</t>
  </si>
  <si>
    <t>Торговля розничная прочая в специализированных магазинах</t>
  </si>
  <si>
    <t>47.78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</si>
  <si>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</si>
  <si>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47.78.1</t>
  </si>
  <si>
    <t>Торговля розничная очками, включая сборку и ремонт очков в специализированных магазинах</t>
  </si>
  <si>
    <t>47.78.2</t>
  </si>
  <si>
    <t>Торговля розничная очками в специализированных магазинах</t>
  </si>
  <si>
    <t>47.78.21</t>
  </si>
  <si>
    <t>Сборка и ремонт очков в специализированных магазинах</t>
  </si>
  <si>
    <t>47.78.22</t>
  </si>
  <si>
    <t>Торговля розничная сувенирами, изделиями народных художественных промыслов</t>
  </si>
  <si>
    <t>47.78.3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</si>
  <si>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</si>
  <si>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47.78.4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</si>
  <si>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</si>
  <si>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47.78.5</t>
  </si>
  <si>
    <t>Торговля розничная вне магазинов, палаток, рынков </t>
  </si>
  <si>
    <t>47.9</t>
  </si>
  <si>
    <t>Торговля розничная по почте или по информационно-коммуникационной сети Интернет</t>
  </si>
  <si>
    <t>47.91</t>
  </si>
  <si>
    <t>Торговля розничная по почте</t>
  </si>
  <si>
    <t>47.91.1</t>
  </si>
  <si>
    <t>Торговля розничная, осуществляемая непосредственно при помощи информационно-коммуникационной сети Интернет</t>
  </si>
  <si>
    <t>47.91.2</t>
  </si>
  <si>
    <t>Торговля розничная, осуществляемая непосредственно при помощи телевидения, радио, телефона</t>
  </si>
  <si>
    <t>47.91.4</t>
  </si>
  <si>
    <t>Отрасль: транспортировка и хранение</t>
  </si>
  <si>
    <t>РАЗДЕЛ H</t>
  </si>
  <si>
    <t>Транспорт</t>
  </si>
  <si>
    <t>Деятельность сухопутного и трубопроводного транспорта</t>
  </si>
  <si>
    <t>Деятельность железнодорожного транспорта: междугородные и международные пассажирские перевозки</t>
  </si>
  <si>
    <t>49.1</t>
  </si>
  <si>
    <t>49.10</t>
  </si>
  <si>
    <t>Перевозка пассажиров железнодорожным транспортом в междугородном сообщении</t>
  </si>
  <si>
    <t>49.10.1</t>
  </si>
  <si>
    <t>Перевозка пассажиров железнодорожным транспортом в междугородном сообщении в регулируемом секторе</t>
  </si>
  <si>
    <t>49.10.11</t>
  </si>
  <si>
    <t>Перевозка пассажиров железнодорожным транспортом в междугородном сообщении в нерегулируемом секторе</t>
  </si>
  <si>
    <t>49.10.12</t>
  </si>
  <si>
    <t>Перевозка пассажиров железнодорожным транспортом в международном сообщении</t>
  </si>
  <si>
    <t>49.10.2</t>
  </si>
  <si>
    <t>Деятельность железнодорожного транспорта: грузовые перевозки</t>
  </si>
  <si>
    <t>49.2</t>
  </si>
  <si>
    <t>49.20</t>
  </si>
  <si>
    <t>Перевозка опасных грузов</t>
  </si>
  <si>
    <t>49.20.1</t>
  </si>
  <si>
    <t>Перевозка прочих грузов</t>
  </si>
  <si>
    <t>49.20.9</t>
  </si>
  <si>
    <t>Деятельность прочего сухопутного пассажирского транспорта</t>
  </si>
  <si>
    <t>49.3</t>
  </si>
  <si>
    <t>Деятельность сухопутного пассажирского транспорта: перевозки пассажиров в городском и пригородном сообщении</t>
  </si>
  <si>
    <t>49.31</t>
  </si>
  <si>
    <t>Перевозка пассажиров железнодорожным транспортом в пригородном сообщении</t>
  </si>
  <si>
    <t>49.31.1</t>
  </si>
  <si>
    <t>Перевозка пассажиров железнодорожным транспортом в пригородном сообщении в регулируемом секторе</t>
  </si>
  <si>
    <t>49.31.11</t>
  </si>
  <si>
    <t>Перевозка пассажиров железнодорожным транспортом в пригородном сообщении в нерегулируемом секторе</t>
  </si>
  <si>
    <t>49.31.12</t>
  </si>
  <si>
    <t>Регулярные перевозки пассажиров прочим сухопутным транспортом в городском и пригородном сообщении</t>
  </si>
  <si>
    <t>49.31.2</t>
  </si>
  <si>
    <t>Регулярные перевозки пассажиров автобусами в городском и пригородном сообщении</t>
  </si>
  <si>
    <t>49.31.21</t>
  </si>
  <si>
    <t>Регулярные перевозки пассажиров троллейбусами в городском и пригородном сообщении</t>
  </si>
  <si>
    <t>49.31.22</t>
  </si>
  <si>
    <t>Регулярные перевозки пассажиров трамваями в городском и пригородном сообщении</t>
  </si>
  <si>
    <t>49.31.23</t>
  </si>
  <si>
    <t>Перевозка пассажиров метрополитеном</t>
  </si>
  <si>
    <t>49.31.24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</si>
  <si>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</si>
  <si>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49.31.25</t>
  </si>
  <si>
    <t>Деятельность легкового такси и арендованных легковых автомобилей с водителем</t>
  </si>
  <si>
    <t>49.32</t>
  </si>
  <si>
    <t>Деятельность прочего сухопутного пассажирского транспорта, не включенная в другие группировки</t>
  </si>
  <si>
    <t>49.39</t>
  </si>
  <si>
    <t>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</si>
  <si>
    <t>49.39.1</t>
  </si>
  <si>
    <t>Регулярные перевозки пассажиров автобусами в междугородном сообщении</t>
  </si>
  <si>
    <t>49.39.11</t>
  </si>
  <si>
    <t>Регулярные перевозки пассажиров автобусами в международном сообщении</t>
  </si>
  <si>
    <t>49.39.12</t>
  </si>
  <si>
    <t>Специальные перевозки (для собственных нужд) автобусами</t>
  </si>
  <si>
    <t>49.39.13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</si>
  <si>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</si>
  <si>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>49.39.2</t>
  </si>
  <si>
    <t>Перевозки пассажиров сухопутным транспортом по заказам</t>
  </si>
  <si>
    <t>49.39.3</t>
  </si>
  <si>
    <t>Перевозки пассажиров арендованными автобусами с водителем</t>
  </si>
  <si>
    <t>49.39.31</t>
  </si>
  <si>
    <t>Перевозка пассажиров автобусами по туристическим или экскурсионным маршрутам</t>
  </si>
  <si>
    <t>49.39.32</t>
  </si>
  <si>
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</si>
  <si>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>49.39.33</t>
  </si>
  <si>
    <t>Перевозка пассажиров автобусами в междугородном и международном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</si>
  <si>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>49.39.34</t>
  </si>
  <si>
    <t>Перевозка пассажиров транспортными средствами, приводимыми в движение человеком или животными</t>
  </si>
  <si>
    <t>49.39.35</t>
  </si>
  <si>
    <t>Перевозки пассажиров сухопутным транспортом прочие, не включенные в другие группировки</t>
  </si>
  <si>
    <t>49.39.39</t>
  </si>
  <si>
    <t>Деятельность автомобильного грузового транспорта и услуги по перевозкам</t>
  </si>
  <si>
    <t>49.4</t>
  </si>
  <si>
    <t>Деятельность автомобильного грузового транспорта</t>
  </si>
  <si>
    <t>49.41</t>
  </si>
  <si>
    <t>Перевозка грузов специализированными автотранспортными средствами</t>
  </si>
  <si>
    <t>49.41.1</t>
  </si>
  <si>
    <t>Перевозка грузов неспециализированными автотранспортными средствами</t>
  </si>
  <si>
    <t>49.41.2</t>
  </si>
  <si>
    <t>Аренда грузового автомобильного транспорта с водителем</t>
  </si>
  <si>
    <t>49.41.3</t>
  </si>
  <si>
    <t>Предоставление услуг по перевозкам</t>
  </si>
  <si>
    <t>49.42</t>
  </si>
  <si>
    <t>Деятельность трубопроводного транспорта</t>
  </si>
  <si>
    <t>49.5</t>
  </si>
  <si>
    <t>Деятельность водного транспорта</t>
  </si>
  <si>
    <t>Деятельность морского пассажирского транспорта</t>
  </si>
  <si>
    <t>50.1</t>
  </si>
  <si>
    <t>50.10</t>
  </si>
  <si>
    <t>Перевозка пассажиров морскими судами заграничного плавания</t>
  </si>
  <si>
    <t>50.10.1</t>
  </si>
  <si>
    <t>Перевозка пассажиров морскими судами заграничного плавания, подчиняющимися расписанию</t>
  </si>
  <si>
    <t>50.10.11</t>
  </si>
  <si>
    <t>Перевозка пассажиров морскими судами заграничного плавания, не подчиняющимися расписанию</t>
  </si>
  <si>
    <t>50.10.12</t>
  </si>
  <si>
    <t>Перевозка пассажиров морскими судами каботажного плавания</t>
  </si>
  <si>
    <t>50.10.2</t>
  </si>
  <si>
    <t>Перевозка пассажиров морскими судами каботажного плавания, подчиняющимися расписанию</t>
  </si>
  <si>
    <t>50.10.21</t>
  </si>
  <si>
    <t>Перевозка пассажиров морскими судами каботажного плавания, не подчиняющимися расписанию</t>
  </si>
  <si>
    <t>50.10.22</t>
  </si>
  <si>
    <t>Аренда морских судов заграничного и каботажного плавания для перевозки пассажиров с экипажем</t>
  </si>
  <si>
    <t>50.10.3</t>
  </si>
  <si>
    <t>Аренда морских судов заграничного плавания для перевозки пассажиров с экипажем</t>
  </si>
  <si>
    <t>50.10.31</t>
  </si>
  <si>
    <t>Аренда морских судов каботажного плавания для перевозки пассажиров с экипажем</t>
  </si>
  <si>
    <t>50.10.32</t>
  </si>
  <si>
    <t>Аренда прочих морских судов для перевозки пассажиров с экипажем</t>
  </si>
  <si>
    <t>50.10.39</t>
  </si>
  <si>
    <t>Деятельность морского грузового транспорта</t>
  </si>
  <si>
    <t>50.2</t>
  </si>
  <si>
    <t>50.20</t>
  </si>
  <si>
    <t>Перевозка грузов морскими судами заграничного плавания</t>
  </si>
  <si>
    <t>50.20.1</t>
  </si>
  <si>
    <t>Перевозка замороженных или охлажденных грузов судами-рефрижераторами заграничного плавания</t>
  </si>
  <si>
    <t>50.20.11</t>
  </si>
  <si>
    <t>Перевозка сырой нефти морскими судами-танкерами заграничного плавания</t>
  </si>
  <si>
    <t>50.20.12</t>
  </si>
  <si>
    <t>Перевозка прочих жидкостей или газов морскими судами-танкерами заграничного плавания</t>
  </si>
  <si>
    <t>50.20.13</t>
  </si>
  <si>
    <t>Перевозка контейнерных грузов судами-контейнеровозами заграничного плавания</t>
  </si>
  <si>
    <t>50.20.14</t>
  </si>
  <si>
    <t>Перевозка сухих сыпучих грузов морскими судами заграничного плавания</t>
  </si>
  <si>
    <t>50.20.15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</si>
  <si>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</t>
  </si>
  <si>
    <t>50.20.16</t>
  </si>
  <si>
    <t>Перевозка прочих грузов морскими судами заграничного плавания</t>
  </si>
  <si>
    <t>50.20.19</t>
  </si>
  <si>
    <t>Перевозка грузов морскими судами каботажного плавания</t>
  </si>
  <si>
    <t>50.20.2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</si>
  <si>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</t>
  </si>
  <si>
    <t>50.20.26</t>
  </si>
  <si>
    <t>Перевозка замороженных или охлажденных грузов судами-рефрижераторами каботажного плавания</t>
  </si>
  <si>
    <t>50.20.21</t>
  </si>
  <si>
    <t>Перевозка сырой нефти морскими судами-танкерами каботажного плавания</t>
  </si>
  <si>
    <t>50.20.22</t>
  </si>
  <si>
    <t>Перевозка прочих жидкостей или газов морскими судами-танкерами каботажного плавания</t>
  </si>
  <si>
    <t>50.20.23</t>
  </si>
  <si>
    <t>Перевозка контейнерных грузов судами-контейнеровозами каботажного плавания</t>
  </si>
  <si>
    <t>50.20.24</t>
  </si>
  <si>
    <t>Перевозка сухих сыпучих грузов морскими судами каботажного плавания</t>
  </si>
  <si>
    <t>50.20.25</t>
  </si>
  <si>
    <t>Перевозка прочих грузов морскими судами каботажного плавания</t>
  </si>
  <si>
    <t>50.20.29</t>
  </si>
  <si>
    <t>Аренда морских судов заграничного и каботажного плавания для перевозки грузов с экипажем</t>
  </si>
  <si>
    <t>50.20.3</t>
  </si>
  <si>
    <t>Аренда морских судов заграничного плавания для перевозки грузов с экипажем</t>
  </si>
  <si>
    <t>50.20.31</t>
  </si>
  <si>
    <t>Аренда морских судов каботажного плавания для перевозки грузов с экипажем</t>
  </si>
  <si>
    <t>50.20.32</t>
  </si>
  <si>
    <t>Буксировка и маневровые услуги, оказываемые судами заграничного и каботажного плавания</t>
  </si>
  <si>
    <t>50.20.4</t>
  </si>
  <si>
    <t>Буксировка судами заграничного и каботажного плавания</t>
  </si>
  <si>
    <t>50.20.41</t>
  </si>
  <si>
    <t>Деятельность по оказанию маневровых услуг судами заграничного и каботажного плавания</t>
  </si>
  <si>
    <t>50.20.42</t>
  </si>
  <si>
    <t>Деятельность внутреннего водного пассажирского транспорта</t>
  </si>
  <si>
    <t>50.3</t>
  </si>
  <si>
    <t>50.30</t>
  </si>
  <si>
    <t>Перевозка пассажиров по внутренним водным путям</t>
  </si>
  <si>
    <t>50.30.1</t>
  </si>
  <si>
    <t>Аренда судов внутреннего водного транспорта для перевозки пассажиров с экипажем</t>
  </si>
  <si>
    <t>50.30.2</t>
  </si>
  <si>
    <t>Деятельность внутреннего водного грузового транспорта</t>
  </si>
  <si>
    <t>50.4</t>
  </si>
  <si>
    <t>50.40</t>
  </si>
  <si>
    <t>Перевозка грузов по внутренним водным путям</t>
  </si>
  <si>
    <t>50.40.1</t>
  </si>
  <si>
    <t>Буксировка и маневровые услуги на внутренних водных путях</t>
  </si>
  <si>
    <t>50.40.2</t>
  </si>
  <si>
    <t>Аренда судов внутреннего водного транспорта для перевозки грузов с экипажем</t>
  </si>
  <si>
    <t>50.40.3</t>
  </si>
  <si>
    <t>Деятельность воздушного и космического транспорта</t>
  </si>
  <si>
    <t>Деятельность пассажирского воздушного транспорта</t>
  </si>
  <si>
    <t>51.1</t>
  </si>
  <si>
    <t>51.10</t>
  </si>
  <si>
    <t>Перевозка воздушным пассажирским транспортом, подчиняющимся расписанию</t>
  </si>
  <si>
    <t>51.10.1</t>
  </si>
  <si>
    <t>Перевозка воздушным пассажирским транспортом, не подчиняющимся расписанию</t>
  </si>
  <si>
    <t>51.10.2</t>
  </si>
  <si>
    <t>Аренда воздушного судна с экипажем для перевозки пассажиров</t>
  </si>
  <si>
    <t>51.10.3</t>
  </si>
  <si>
    <t>Деятельность грузового воздушного транспорта и космического транспорта</t>
  </si>
  <si>
    <t>51.2</t>
  </si>
  <si>
    <t>Деятельность грузового воздушного транспорта</t>
  </si>
  <si>
    <t>51.21</t>
  </si>
  <si>
    <t>Перевозка воздушным грузовым транспортом, подчиняющимся расписанию</t>
  </si>
  <si>
    <t>51.21.1</t>
  </si>
  <si>
    <t>Перевозка воздушным грузовым транспортом, не подчиняющимся расписанию</t>
  </si>
  <si>
    <t>51.21.2</t>
  </si>
  <si>
    <t>Аренда грузовых воздушных судов с экипажем</t>
  </si>
  <si>
    <t>51.21.3</t>
  </si>
  <si>
    <t>Деятельность космического транспорта</t>
  </si>
  <si>
    <t>51.22</t>
  </si>
  <si>
    <t>Перевозка пассажиров космическим транспортом</t>
  </si>
  <si>
    <t>51.22.1</t>
  </si>
  <si>
    <t>Перевозка грузов космическим транспортом</t>
  </si>
  <si>
    <t>51.22.2</t>
  </si>
  <si>
    <t>Запуск ракет космического назначения и выведение космических объектов на орбиту</t>
  </si>
  <si>
    <t>51.22.3</t>
  </si>
  <si>
    <t>Деятельность космических лабораторий</t>
  </si>
  <si>
    <t>51.22.4</t>
  </si>
  <si>
    <t>Складское хозяйство и вспомогательная транспортная деятельность</t>
  </si>
  <si>
    <t>Деятельность по складированию и хранению</t>
  </si>
  <si>
    <t>52.1</t>
  </si>
  <si>
    <t>52.10</t>
  </si>
  <si>
    <t>Хранение и складирование замороженных или охлажденных грузов</t>
  </si>
  <si>
    <t>52.10.1</t>
  </si>
  <si>
    <t>Хранение и складирование жидких или газообразных грузов</t>
  </si>
  <si>
    <t>52.10.2</t>
  </si>
  <si>
    <t>Хранение и складирование прочих жидких или газообразных грузов</t>
  </si>
  <si>
    <t>52.10.23</t>
  </si>
  <si>
    <t>Хранение и складирование зерна</t>
  </si>
  <si>
    <t>52.10.3</t>
  </si>
  <si>
    <t>Хранение ядерных материалов и радиоактивных веществ</t>
  </si>
  <si>
    <t>52.10.4</t>
  </si>
  <si>
    <t>Хранение и складирование прочих грузов</t>
  </si>
  <si>
    <t>52.10.9</t>
  </si>
  <si>
    <t>Деятельность транспортная вспомогательная</t>
  </si>
  <si>
    <t>52.2</t>
  </si>
  <si>
    <t>Деятельность вспомогательная, связанная с сухопутным транспортом</t>
  </si>
  <si>
    <t>52.21</t>
  </si>
  <si>
    <t>Деятельность вспомогательная, связанная с железнодорожным транспортом</t>
  </si>
  <si>
    <t>52.21.1</t>
  </si>
  <si>
    <t>Предоставление железнодорожных маневровых или буксировочных услуг</t>
  </si>
  <si>
    <t>52.21.11</t>
  </si>
  <si>
    <t>Деятельность железнодорожных пассажирских вокзалов и грузовых терминалов</t>
  </si>
  <si>
    <t>52.21.12</t>
  </si>
  <si>
    <t>Деятельность железнодорожной инфраструктуры</t>
  </si>
  <si>
    <t>52.21.13</t>
  </si>
  <si>
    <t>Деятельность вспомогательная прочая, связанная с железнодорожным транспортом</t>
  </si>
  <si>
    <t>52.21.19</t>
  </si>
  <si>
    <t>Деятельность вспомогательная, связанная с автомобильным транспортом</t>
  </si>
  <si>
    <t>52.21.2</t>
  </si>
  <si>
    <t>Деятельность автовокзалов и автостанций</t>
  </si>
  <si>
    <t>52.21.21</t>
  </si>
  <si>
    <t>Деятельность по эксплуатации автомобильных дорог и автомагистралей</t>
  </si>
  <si>
    <t>52.21.22</t>
  </si>
  <si>
    <t>Деятельность по эксплуатации мостов и тоннелей</t>
  </si>
  <si>
    <t>52.21.23</t>
  </si>
  <si>
    <t>Деятельность стоянок для транспортных средств</t>
  </si>
  <si>
    <t>52.21.24</t>
  </si>
  <si>
    <t>Деятельность по буксировке автотранспортных средств</t>
  </si>
  <si>
    <t>52.21.25</t>
  </si>
  <si>
    <t>Деятельность вспомогательная прочая, связанная с автомобильным транспортом</t>
  </si>
  <si>
    <t>52.21.29</t>
  </si>
  <si>
    <t>Деятельность вспомогательная, связанная с трубопроводным транспортом</t>
  </si>
  <si>
    <t>52.21.3</t>
  </si>
  <si>
    <t>Деятельность вспомогательная, связанная с водным транспортом</t>
  </si>
  <si>
    <t>52.22</t>
  </si>
  <si>
    <t>Деятельность вспомогательная, связанная с морским транспортом</t>
  </si>
  <si>
    <t>52.22.1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</si>
  <si>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</si>
  <si>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>52.22.11</t>
  </si>
  <si>
    <t>Обеспечение судоходства в морских и прибрежных водах, включая лоцманскую проводку судов</t>
  </si>
  <si>
    <t>52.22.12</t>
  </si>
  <si>
    <t>Деятельность по постановке судов к причалу, осуществление швартовых операций с судами в морских портах</t>
  </si>
  <si>
    <t>52.22.13</t>
  </si>
  <si>
    <t>Деятельность по навигационному обеспечению судоходства на морском транспорте</t>
  </si>
  <si>
    <t>52.22.14</t>
  </si>
  <si>
    <t>Деятельность аварийно-спасательная и судоподъемная на морском транспорте</t>
  </si>
  <si>
    <t>52.22.15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</si>
  <si>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</si>
  <si>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52.22.16</t>
  </si>
  <si>
    <t>Производство водолазных работ по обслуживанию морских судов</t>
  </si>
  <si>
    <t>52.22.17</t>
  </si>
  <si>
    <t>Деятельность ледокольного флота на морском транспорте</t>
  </si>
  <si>
    <t>52.22.18</t>
  </si>
  <si>
    <t>Деятельность вспомогательная, связанная с морским транспортом, прочая, не включенная в другие группировки</t>
  </si>
  <si>
    <t>52.22.19</t>
  </si>
  <si>
    <t>Деятельность вспомогательная, связанная с внутренним водным транспортом</t>
  </si>
  <si>
    <t>52.22.2</t>
  </si>
  <si>
    <t>Деятельность инфраструктуры речных портов и гидротехнических сооружений</t>
  </si>
  <si>
    <t>52.22.21</t>
  </si>
  <si>
    <t>Обеспечение судоходства по внутренним водным путям, в том числе лоцманская проводка судов</t>
  </si>
  <si>
    <t>52.22.22</t>
  </si>
  <si>
    <t>Деятельность по постановке судов к причалу, осуществление швартовых операций в речных портах на внутреннем водном транспорте</t>
  </si>
  <si>
    <t>52.22.23</t>
  </si>
  <si>
    <t>Деятельность по навигационному обеспечению судоходства на внутреннем водном транспорте</t>
  </si>
  <si>
    <t>52.22.24</t>
  </si>
  <si>
    <t>Деятельность аварийно-спасательная и судоподъемная на внутреннем водном транспорте</t>
  </si>
  <si>
    <t>52.22.25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</si>
  <si>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</si>
  <si>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52.22.26</t>
  </si>
  <si>
    <t>Производство водолазных работ по обслуживанию судов на внутреннем водном транспорте</t>
  </si>
  <si>
    <t>52.22.27</t>
  </si>
  <si>
    <t>Деятельность ледокольного флота на внутреннем водном транспорте</t>
  </si>
  <si>
    <t>52.22.28</t>
  </si>
  <si>
    <t>Деятельность вспомогательная, связанная с внутренним водным транспортом, прочая, не включенная в другие группировки</t>
  </si>
  <si>
    <t>52.22.29</t>
  </si>
  <si>
    <t>Деятельность вспомогательная, связанная с воздушным и космическим транспортом</t>
  </si>
  <si>
    <t>52.23</t>
  </si>
  <si>
    <t>Деятельность вспомогательная, связанная с воздушным транспортом</t>
  </si>
  <si>
    <t>52.23.1</t>
  </si>
  <si>
    <t>Деятельность аэропортовая</t>
  </si>
  <si>
    <t>52.23.11</t>
  </si>
  <si>
    <t>Обеспечение обслуживания (управления) воздушного движения</t>
  </si>
  <si>
    <t>52.23.12</t>
  </si>
  <si>
    <t>Выполнение авиационных работ</t>
  </si>
  <si>
    <t>52.23.13</t>
  </si>
  <si>
    <t>Деятельность вспомогательная прочая, связанная с воздушным транспортом</t>
  </si>
  <si>
    <t>52.23.19</t>
  </si>
  <si>
    <t>Деятельность вспомогательная, связанная с космическим транспортом</t>
  </si>
  <si>
    <t>52.23.2</t>
  </si>
  <si>
    <t>Деятельность наземных центров управления полетами космических объектов в космическом пространстве и центров (пунктов) космической связи</t>
  </si>
  <si>
    <t>52.23.21</t>
  </si>
  <si>
    <t>Деятельность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</si>
  <si>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52.23.22</t>
  </si>
  <si>
    <t>Деятельность, связанная с подготовкой космонавтов для работы непосредственно в космическом пространстве</t>
  </si>
  <si>
    <t>52.23.23</t>
  </si>
  <si>
    <t>Деятельность вспомогательная прочая, связанная с космическим транспортом</t>
  </si>
  <si>
    <t>52.23.29</t>
  </si>
  <si>
    <t>Транспортная обработка грузов</t>
  </si>
  <si>
    <t>52.24</t>
  </si>
  <si>
    <t>Транспортная обработка контейнеров</t>
  </si>
  <si>
    <t>52.24.1</t>
  </si>
  <si>
    <t>Транспортная обработка прочих грузов</t>
  </si>
  <si>
    <t>52.24.2</t>
  </si>
  <si>
    <t>Деятельность вспомогательная прочая, связанная с перевозками</t>
  </si>
  <si>
    <t>52.29</t>
  </si>
  <si>
    <t>Деятельность почтовой связи и курьерская деятельность</t>
  </si>
  <si>
    <t>Деятельность почтовой связи общего пользования</t>
  </si>
  <si>
    <t>53.1</t>
  </si>
  <si>
    <t>53.10</t>
  </si>
  <si>
    <t>Деятельность почтовой связи, связанная с пересылкой газет и других периодических изданий</t>
  </si>
  <si>
    <t>53.10.1</t>
  </si>
  <si>
    <t>Деятельность почтовой связи, связанная с пересылкой письменной корреспонденции</t>
  </si>
  <si>
    <t>53.10.2</t>
  </si>
  <si>
    <t>Деятельность почтовой связи, связанная с пересылкой посылочной почты</t>
  </si>
  <si>
    <t>53.10.3</t>
  </si>
  <si>
    <t>Деятельность почтовой связи дополнительная</t>
  </si>
  <si>
    <t>53.10.4</t>
  </si>
  <si>
    <t>Деятельность почтовой связи общего пользования прочая</t>
  </si>
  <si>
    <t>53.10.9</t>
  </si>
  <si>
    <t>Деятельность почтовой связи прочая и курьерская деятельность</t>
  </si>
  <si>
    <t>53.2</t>
  </si>
  <si>
    <t>53.20</t>
  </si>
  <si>
    <t>Деятельность специальной почтовой связи</t>
  </si>
  <si>
    <t>53.20.1</t>
  </si>
  <si>
    <t>Деятельность фельдъегерской связи</t>
  </si>
  <si>
    <t>53.20.2</t>
  </si>
  <si>
    <t>Деятельность федеральной фельдъегерской связи</t>
  </si>
  <si>
    <t>53.20.21</t>
  </si>
  <si>
    <t>Деятельность фельдъегерско-почтовой связи</t>
  </si>
  <si>
    <t>53.20.22</t>
  </si>
  <si>
    <t>Деятельность почтовой связи прочая, не включенная в другие группировки</t>
  </si>
  <si>
    <t>53.20.29</t>
  </si>
  <si>
    <t>Деятельность курьерская</t>
  </si>
  <si>
    <t>53.20.3</t>
  </si>
  <si>
    <t>Деятельность по курьерской доставке различными видами транспорта</t>
  </si>
  <si>
    <t>53.20.31</t>
  </si>
  <si>
    <t>Деятельность по доставке еды на дом</t>
  </si>
  <si>
    <t>53.20.32</t>
  </si>
  <si>
    <t>Деятельность курьерская прочая</t>
  </si>
  <si>
    <t>53.20.39</t>
  </si>
  <si>
    <t>Неактуальные</t>
  </si>
  <si>
    <t>Распределение электроэнергии</t>
  </si>
  <si>
    <t>35.13</t>
  </si>
  <si>
    <t>ЖКХ (неактуальный)</t>
  </si>
  <si>
    <t>Торговля электроэнергией</t>
  </si>
  <si>
    <r>
      <t>35.</t>
    </r>
    <r>
      <rPr>
        <sz val="9.5"/>
        <color rgb="FF030303"/>
        <rFont val="Times New Roman"/>
        <family val="1"/>
        <charset val="204"/>
      </rPr>
      <t>1</t>
    </r>
    <r>
      <rPr>
        <sz val="9.5"/>
        <color rgb="FF1C1C1C"/>
        <rFont val="Times New Roman"/>
        <family val="1"/>
        <charset val="204"/>
      </rPr>
      <t>4</t>
    </r>
  </si>
  <si>
    <t>Распределение газообразного топлива по газораспределительнымсетям</t>
  </si>
  <si>
    <t>35.22</t>
  </si>
  <si>
    <t>Распределение природного, сvхого (отбензиненного) газа по газораспределительным сетям</t>
  </si>
  <si>
    <r>
      <t>3</t>
    </r>
    <r>
      <rPr>
        <sz val="9.5"/>
        <color rgb="FF030303"/>
        <rFont val="Times New Roman"/>
        <family val="1"/>
        <charset val="204"/>
      </rPr>
      <t>5.</t>
    </r>
    <r>
      <rPr>
        <sz val="9.5"/>
        <color rgb="FF1C1C1C"/>
        <rFont val="Times New Roman"/>
        <family val="1"/>
        <charset val="204"/>
      </rPr>
      <t>22.1</t>
    </r>
  </si>
  <si>
    <t>Распределение природного, сухого (отбензиненного) газа по газораспределительнымсетям по тарифам, регулиоvемым государством</t>
  </si>
  <si>
    <r>
      <t>35</t>
    </r>
    <r>
      <rPr>
        <sz val="9.5"/>
        <color rgb="FF030303"/>
        <rFont val="Times New Roman"/>
        <family val="1"/>
        <charset val="204"/>
      </rPr>
      <t>.</t>
    </r>
    <r>
      <rPr>
        <sz val="9.5"/>
        <color rgb="FF1C1C1C"/>
        <rFont val="Times New Roman"/>
        <family val="1"/>
        <charset val="204"/>
      </rPr>
      <t>22.11</t>
    </r>
  </si>
  <si>
    <t>Распределение природного, сухого (отбензиненного) газа по газораспределительным сетям по тарифам, не регvлиvvемым государством</t>
  </si>
  <si>
    <r>
      <t>3</t>
    </r>
    <r>
      <rPr>
        <sz val="9.5"/>
        <color rgb="FF1C1C1C"/>
        <rFont val="Times New Roman"/>
        <family val="1"/>
        <charset val="204"/>
      </rPr>
      <t>5.22</t>
    </r>
    <r>
      <rPr>
        <sz val="9.5"/>
        <color rgb="FF3D3D3D"/>
        <rFont val="Times New Roman"/>
        <family val="1"/>
        <charset val="204"/>
      </rPr>
      <t xml:space="preserve">. </t>
    </r>
    <r>
      <rPr>
        <sz val="9.5"/>
        <color rgb="FF1C1C1C"/>
        <rFont val="Times New Roman"/>
        <family val="1"/>
        <charset val="204"/>
      </rPr>
      <t>12</t>
    </r>
  </si>
  <si>
    <t>Распределение сжиженных углеводородных газов по газораспределительным сетям</t>
  </si>
  <si>
    <t>35.22.2</t>
  </si>
  <si>
    <t>Распределение сжиженных углеводородных газов по газораспределительным сетю.1 по тарифам, регулиvvемы.м государством</t>
  </si>
  <si>
    <t>35.22.21</t>
  </si>
  <si>
    <t>Распределение сжиженных углеводородных газов по газораспределительным сетям по тарифам, не регvлиvvемы.м государством</t>
  </si>
  <si>
    <r>
      <t>35.22</t>
    </r>
    <r>
      <rPr>
        <sz val="9.5"/>
        <color rgb="FF030303"/>
        <rFont val="Times New Roman"/>
        <family val="1"/>
        <charset val="204"/>
      </rPr>
      <t>.</t>
    </r>
    <r>
      <rPr>
        <sz val="9.5"/>
        <color rgb="FF1C1C1C"/>
        <rFont val="Times New Roman"/>
        <family val="1"/>
        <charset val="204"/>
      </rPr>
      <t>22</t>
    </r>
  </si>
  <si>
    <t>Торговля газообразным топливом, подаваемым по распределительным сетям</t>
  </si>
  <si>
    <r>
      <t>3</t>
    </r>
    <r>
      <rPr>
        <sz val="9.5"/>
        <color rgb="FF030303"/>
        <rFont val="Times New Roman"/>
        <family val="1"/>
        <charset val="204"/>
      </rPr>
      <t>5</t>
    </r>
    <r>
      <rPr>
        <sz val="9.5"/>
        <color rgb="FF1C1C1C"/>
        <rFont val="Times New Roman"/>
        <family val="1"/>
        <charset val="204"/>
      </rPr>
      <t>.23</t>
    </r>
  </si>
  <si>
    <t>Торговля пттодным, сvхи.м (отбензиненным) газом, подаваемым по распределительным сетям</t>
  </si>
  <si>
    <r>
      <t>3</t>
    </r>
    <r>
      <rPr>
        <sz val="9.5"/>
        <color rgb="FF030303"/>
        <rFont val="Times New Roman"/>
        <family val="1"/>
        <charset val="204"/>
      </rPr>
      <t>5</t>
    </r>
    <r>
      <rPr>
        <sz val="9.5"/>
        <color rgb="FF1C1C1C"/>
        <rFont val="Times New Roman"/>
        <family val="1"/>
        <charset val="204"/>
      </rPr>
      <t>.23.1</t>
    </r>
  </si>
  <si>
    <t>Торговля природным, сухим (отбензиненным) газом, подаваемым по распределительным сетям по регулиvvемым государством ценам (тарифам)</t>
  </si>
  <si>
    <t>35.23.11</t>
  </si>
  <si>
    <t>Торговля природным, сухим (отбензиненным) газом, подаваемым по распределительным сетям по не регvлиоv емым государствомценам (тарифам)</t>
  </si>
  <si>
    <t>35.23.12</t>
  </si>
  <si>
    <t>Торговля сжиженными углеводородными газами, подаваемыми по распределительным сетям</t>
  </si>
  <si>
    <t>35.23.2</t>
  </si>
  <si>
    <t>35.23.21</t>
  </si>
  <si>
    <t>Торговля сжиженными углеводородными газами, подаваемыми по распределительным сетям по не регулиоvемым государством ценам (тарифам)</t>
  </si>
  <si>
    <t>35.23.22</t>
  </si>
  <si>
    <t>Передача пара и горячей воды (те,vювой энергии)</t>
  </si>
  <si>
    <r>
      <t>35</t>
    </r>
    <r>
      <rPr>
        <sz val="9.5"/>
        <color rgb="FF2A2A2A"/>
        <rFont val="Times New Roman"/>
        <family val="1"/>
        <charset val="204"/>
      </rPr>
      <t>.</t>
    </r>
    <r>
      <rPr>
        <sz val="9.5"/>
        <color rgb="FF080808"/>
        <rFont val="Times New Roman"/>
        <family val="1"/>
        <charset val="204"/>
      </rPr>
      <t>30.2</t>
    </r>
  </si>
  <si>
    <t>Распределение пара и горячей воды (те,vювой энергии)</t>
  </si>
  <si>
    <t>35.30.3</t>
  </si>
  <si>
    <t>Обеспечение работоспособности котельных</t>
  </si>
  <si>
    <r>
      <t>35</t>
    </r>
    <r>
      <rPr>
        <sz val="9.5"/>
        <color rgb="FF3D3D3D"/>
        <rFont val="Times New Roman"/>
        <family val="1"/>
        <charset val="204"/>
      </rPr>
      <t>.</t>
    </r>
    <r>
      <rPr>
        <sz val="9.5"/>
        <color rgb="FF080808"/>
        <rFont val="Times New Roman"/>
        <family val="1"/>
        <charset val="204"/>
      </rPr>
      <t>30.4</t>
    </r>
  </si>
  <si>
    <t>Обеспечение работоспособности тепловых сетей</t>
  </si>
  <si>
    <t>35.30.5</t>
  </si>
  <si>
    <t>Забор, очистка и распределение воды</t>
  </si>
  <si>
    <t>36.00</t>
  </si>
  <si>
    <t>Забор и очистка воды для питьевых и промышленных нужд</t>
  </si>
  <si>
    <t>36.00.1</t>
  </si>
  <si>
    <t>Распределение воды для питьевых и промышленных нужд</t>
  </si>
  <si>
    <t>36.00.2</t>
  </si>
  <si>
    <t>Сбор и обработка сточных вод</t>
  </si>
  <si>
    <t>37.0</t>
  </si>
  <si>
    <t>Сбор неопасных отходов</t>
  </si>
  <si>
    <t>38.11</t>
  </si>
  <si>
    <t>Утилизация отсортированных материалов</t>
  </si>
  <si>
    <t>38.32</t>
  </si>
  <si>
    <t>Сортировка материалов для дальнейшего использования</t>
  </si>
  <si>
    <t>38.32.1</t>
  </si>
  <si>
    <t>Сортировка металлических материалов для дальнейшего использования</t>
  </si>
  <si>
    <t>38.32.11</t>
  </si>
  <si>
    <t>Сортировка неметаллических материалов для дальнейшего использования</t>
  </si>
  <si>
    <t>38.32.12</t>
  </si>
  <si>
    <t>Обработка отходов и лома драгоценных металлов</t>
  </si>
  <si>
    <t>38.32.2</t>
  </si>
  <si>
    <t>Обработка отходов и лома черных металлов</t>
  </si>
  <si>
    <t>38.32.3</t>
  </si>
  <si>
    <t>Обработка отходов и лома цветных металлов</t>
  </si>
  <si>
    <t>38.32.4</t>
  </si>
  <si>
    <t>Обработка отходов и лома металлов, содержащих медь</t>
  </si>
  <si>
    <t>38.32.41</t>
  </si>
  <si>
    <t>Обработка отходов и лома металлов, содержащих никель</t>
  </si>
  <si>
    <t>38.32.42</t>
  </si>
  <si>
    <t>Обработка отходов и лома металлов, содержащих алюминий</t>
  </si>
  <si>
    <t>38.32.43</t>
  </si>
  <si>
    <t>Обработка вторичного сырья, содержащего прочие цветные металлы</t>
  </si>
  <si>
    <t>38.32.49</t>
  </si>
  <si>
    <t>Обработка вторичного неметаллического сырья</t>
  </si>
  <si>
    <t>38.32.5</t>
  </si>
  <si>
    <t>Обработка отходов и лома стекла</t>
  </si>
  <si>
    <t>38.32.51</t>
  </si>
  <si>
    <t>Обработка отходов бумаги и картона</t>
  </si>
  <si>
    <t>38.32.52</t>
  </si>
  <si>
    <t>Обработка отходов и лома пластмасс</t>
  </si>
  <si>
    <t>38.32.53</t>
  </si>
  <si>
    <t>Обработка отходов резины</t>
  </si>
  <si>
    <t>38.32.54</t>
  </si>
  <si>
    <t>Обработка отходов текстильных материалов</t>
  </si>
  <si>
    <t>38.32.55</t>
  </si>
  <si>
    <t>Обработка прочего вторичного неметаллического сырья</t>
  </si>
  <si>
    <t>38.32.59</t>
  </si>
  <si>
    <t>Деятельность по комплексному обслуживанmо помещений</t>
  </si>
  <si>
    <r>
      <t>81</t>
    </r>
    <r>
      <rPr>
        <sz val="9.5"/>
        <color rgb="FF2A2A2A"/>
        <rFont val="Times New Roman"/>
        <family val="1"/>
        <charset val="204"/>
      </rPr>
      <t>.</t>
    </r>
    <r>
      <rPr>
        <sz val="9.5"/>
        <color rgb="FF080808"/>
        <rFont val="Times New Roman"/>
        <family val="1"/>
        <charset val="204"/>
      </rPr>
      <t>1</t>
    </r>
  </si>
  <si>
    <t>Деятельность по общей уборке зданий</t>
  </si>
  <si>
    <t>81.21</t>
  </si>
  <si>
    <t>Деятельность по уборке квартир и частных домов</t>
  </si>
  <si>
    <t>81.21.1</t>
  </si>
  <si>
    <t>Деятельность по уборке прочих типов зданий и помещений</t>
  </si>
  <si>
    <t>81.21.9</t>
  </si>
  <si>
    <t>Деятельность по чистке и уборке жилых зданий и нежилых помещений прочая</t>
  </si>
  <si>
    <t>81.22</t>
  </si>
  <si>
    <t>Деятельность по чистке и уборке прочая</t>
  </si>
  <si>
    <t>81.29</t>
  </si>
  <si>
    <t>Дезинфекция, дезинсекция, дератизация зданий, промышленного обооvдования</t>
  </si>
  <si>
    <t>81.29.1</t>
  </si>
  <si>
    <t>Подметание улиц и уборка снега</t>
  </si>
  <si>
    <t>81.29.2</t>
  </si>
  <si>
    <t>Деятельность по чистке и уборке прочая, не включенная в доvгие группировки</t>
  </si>
  <si>
    <t>81.29.9</t>
  </si>
  <si>
    <t>Предприятия - лидеры по приросту производительности труда за время участия в проекте</t>
  </si>
  <si>
    <t>№</t>
  </si>
  <si>
    <t>Предприятие</t>
  </si>
  <si>
    <t>ОКВЭД</t>
  </si>
  <si>
    <t>Вид деятельности</t>
  </si>
  <si>
    <t>ИПТ</t>
  </si>
  <si>
    <t>Комментарий</t>
  </si>
  <si>
    <t>Аномально высокий рост связан с «низкой» базой (ПТ в 2019 2 213 р/чел, а в 2021 году 1 643 750 р/чел).
В базовом году  (2019) был произведен рекордный объем сахара. Цена сахара в 2019 году была крайне низкой (на уровне 2011 г), в связи с чем предприятие не осуществляло продаж на рынке. в 2020-2021г. цена реализации выросла более чем на 130%, что значительно улучшило финансовые показатели предприятия</t>
  </si>
  <si>
    <t xml:space="preserve">АО «АЗСМ» в период 2020-2021 г. реализовало проект «Развитие производственных мощностей на предприятии машиностроительной отрасли АО «АЗСМ», в рамках которого было приобретено высокопроизводительное оборудование и открыто обособленное подразделение в г. Челябинск, что позволило обеспечить рост объемов производства и поддержать конкурентоспособность продукции на рынке.
Расширение бизнеса и увеличения стоимости чистых активов с 47,7 млн руб. до 286,3 млн руб. (рост стоимости ЧА 499%). На начальном этапе расширения бизнеса это обеспечило рост выручки на 104 %. Рентабельность продаж увеличилась на 12%, что в 9,4 раз больше, чем в 2020 г. По итогам года полученная прибыль в 5,7 раз больше, чем в 2020 году. </t>
  </si>
  <si>
    <t>Рост выручки за счёт ввода новых производственных линий и модернизации старых (повышение уровня автоматизации), повышенный спрос на производство антиковидных препаратов.
Выручка предприятия в 2021г. по отношению к базовому году выросла на 1067%, а расходы только на 297%. Высокомаржинальный бизнес: в 2021г. выручка составила 25 млрд руб., расходы - 6,5 млрд руб.</t>
  </si>
  <si>
    <t xml:space="preserve">Базовый год для предприятия был убыточным в части доходов от реализации при слабо положительной добавленной стоимости. В отчетном году  вследствие перераспределения затрат, связанных с изменением маркетинговой политики предприятия, на 122 млн руб. (с 875 до 753) соразмерно увеличились внереализационные расходы, не участвующие в расчете ПТ, на 125 млн руб. (23 до 148). </t>
  </si>
  <si>
    <t>Отрицательная прибыль в базовом году. Снижение численности на 20% в отчетном году (перевод внутри холдинга). Увеличению выручки в 2021 г. способствовала сдача в субаренду помещений под офисы сторонним организациям.</t>
  </si>
  <si>
    <t>Произошел значительный рост производительности труда (ПТ в 2020 1 924 051 р/чел, а в 2021 году 14 634 251 р/чел). Цена плиты MDF в 2020 году была крайне низкой для предприятия (на уровне себестоимости производства). В 2021 году цены на плиту MDF выросли на 161 %, как и объем выпуска продукции +41 %, в совокупности со снижением кредитной нагрузки, значительно улучшило финансовые показатели предприятия в 2021 г.</t>
  </si>
  <si>
    <t>В 2021 г. значительно расширилась линейка выпускаемой продукции. Это обеспечило рост выручки на 37 % и значительное снижение себестоимости за счет автоматизации основных и вспомогательных производственных процессов. Увеличение рентабельности продаж на 33%.</t>
  </si>
  <si>
    <t>Увеличение объема реализации металлопроката и изменение его структуры в сторону дорогостоящего ассортимента. Значительную роль также сыграло увеличение стоимости стали (например, сталь листовая) с 50 000 рублей за тонну в 2019 году, до 80 000 рублей в 2021 году (пиковые значения в мае-июне 2021 года 120 000 рублей), что значительно увеличило прибыль предприятия.</t>
  </si>
  <si>
    <t>В 2021 году по сравнению с базовым 2019 годом рост производства фанеры составил 43%. Рост ПТ обусловлен увеличением цены на фанеру на 87%. Также в ООО "СФК" постоянно проводилась модернизация и техническое оснащение производства новым высокотехнологичным оборудованием, совершенствовалась технология производства, что позволило сократить время внутрицеховых операций и увеличить объем производства фанеры. В 2020 году была запущена новая линия по производству пеллетных гранул, что принесло ООО "СФК" дополнительную выручку от продаж.</t>
  </si>
  <si>
    <t>Основная часть административного персонала (17%) в 2021 году была переведена в головное предприятие, что обеспечило рост ПТ.</t>
  </si>
  <si>
    <t>1.	Увеличение выручки за счет увеличения пассажиропотока в поездах дальнего следования (совместный проект ФЦК и ПКС). В рамках проекта ПКС активно внедряла новые идеи по привлечению пассажиропотока: меняла расписание, сокращала время в пути, работала с министерством туризма по привлечению доп. пассажиров, разрабатывала новые туристические маршруты. Стали уделять больше внимания созданию доп услуг, расширять каналы коммуникации и рассказывать о себе.
2.	Оптимизация графика и расписание поездов.
3.	Модернизация подвижного состава (в связи с этим рост показателя амортизации)
4.	Оптимизирован процесс уборки поездов.
5.	Оптимизирован процесс ремонта подвижного состава.</t>
  </si>
  <si>
    <t>БГ</t>
  </si>
  <si>
    <t>Год отчетности</t>
  </si>
  <si>
    <t>Письмо на предприятие</t>
  </si>
  <si>
    <t>Письмо в РОИВ</t>
  </si>
  <si>
    <t>Статус</t>
  </si>
  <si>
    <t>Город федерального значения Санкт-Петербург</t>
  </si>
  <si>
    <t>7801549243</t>
  </si>
  <si>
    <t>ПК "Севкабель"</t>
  </si>
  <si>
    <t>2020, 2021</t>
  </si>
  <si>
    <t>да</t>
  </si>
  <si>
    <t>не пишем</t>
  </si>
  <si>
    <t>Исключаем из расчета</t>
  </si>
  <si>
    <t>Деятельность не ведется, производится реализация имущества по долговым обязательствам</t>
  </si>
  <si>
    <t>7825128597</t>
  </si>
  <si>
    <t>ООО ФДО "СКОРОХОД"</t>
  </si>
  <si>
    <t>В отношении юридического лица в деле о несостоятельности (банкротстве) введено наблюдение · ЕГРЮЛ 08.10.2021</t>
  </si>
  <si>
    <t>Подтверждение введения процедуры банкротства</t>
  </si>
  <si>
    <t>7411000881</t>
  </si>
  <si>
    <t>ООО "Копейский ПК "НИСМА"</t>
  </si>
  <si>
    <r>
      <t xml:space="preserve">Соглашение не предусматривает штраф за непредоставление.
</t>
    </r>
    <r>
      <rPr>
        <sz val="11"/>
        <rFont val="Calibri"/>
        <family val="2"/>
        <charset val="204"/>
        <scheme val="minor"/>
      </rPr>
      <t xml:space="preserve">Получено письмо от РОИВ о расторжении соглашения с предприятием
На предприятии 10.03.21 введена процедура банкротства.
</t>
    </r>
    <r>
      <rPr>
        <sz val="11"/>
        <color rgb="FFFF0000"/>
        <rFont val="Calibri"/>
        <family val="2"/>
        <charset val="204"/>
        <scheme val="minor"/>
      </rPr>
      <t xml:space="preserve">Юридическое лицо признано несостоятельным (банкротом) и в отношении него открыто конкурсное производство · ЕГРЮЛ 19.09.2021 </t>
    </r>
  </si>
  <si>
    <t>Письмо РОИВ о расторжении</t>
  </si>
  <si>
    <t>3123067875</t>
  </si>
  <si>
    <t>АО "ЗНО И М"</t>
  </si>
  <si>
    <t>нет</t>
  </si>
  <si>
    <t>Ожидаем отчетность</t>
  </si>
  <si>
    <t>РЦК совместно с РОИВ затребовало отчётные материалы за 2021 год, обещают предоставить до 01.07.2022</t>
  </si>
  <si>
    <t>Республика Татарстан</t>
  </si>
  <si>
    <t>1655241023</t>
  </si>
  <si>
    <t>ООО "Эйдос-Медицина"</t>
  </si>
  <si>
    <r>
      <t xml:space="preserve">Освобождены от исполнения обязанностей налогоплательщика в силу ст.246.1 НК РФ. Налоговую декларацию по налогу на прибыль не предоставляют. </t>
    </r>
    <r>
      <rPr>
        <sz val="11"/>
        <color rgb="FFFF0000"/>
        <rFont val="Calibri"/>
        <family val="2"/>
        <charset val="204"/>
        <scheme val="minor"/>
      </rPr>
      <t xml:space="preserve"> Расчет показателей не предусмотрен Методикой</t>
    </r>
    <r>
      <rPr>
        <sz val="11"/>
        <color theme="1"/>
        <rFont val="Calibri"/>
        <family val="2"/>
        <charset val="204"/>
        <scheme val="minor"/>
      </rPr>
      <t xml:space="preserve">.  тел +7 (843) 227 4063. </t>
    </r>
  </si>
  <si>
    <t xml:space="preserve"> Освобождены от исполнения обязанностей налогоплательщика в силу ст.246.1 НК РФ. Предоставили подтверждающий документ</t>
  </si>
  <si>
    <t>6311012779</t>
  </si>
  <si>
    <t>АО Самарский Трансформатор</t>
  </si>
  <si>
    <t>Нет 6-НДФЛ, РСВ за 1,2,3 кварталы. Остальное получено</t>
  </si>
  <si>
    <t>Томская область</t>
  </si>
  <si>
    <t>7017307579</t>
  </si>
  <si>
    <t>ООО "ТОМСККАБЕЛЬ"</t>
  </si>
  <si>
    <t xml:space="preserve">Предприятие расторгло соглашние с РОИВ. 
Статус на 13.07: письмо в адрес предприятия находится на подписи у министра. </t>
  </si>
  <si>
    <t>Количество</t>
  </si>
  <si>
    <t>ООО "ПРОВАНС"</t>
  </si>
  <si>
    <t>Тюменская область</t>
  </si>
  <si>
    <t>10/15/30</t>
  </si>
  <si>
    <t>Общества с ограниченной ответственностью</t>
  </si>
  <si>
    <t>ООО "СОГЛАСИЕ"</t>
  </si>
  <si>
    <t>АО НПАТП №2</t>
  </si>
  <si>
    <t>ХМАО</t>
  </si>
  <si>
    <t>Акционерные общества</t>
  </si>
  <si>
    <t>МУП "Ижгорэлектротранс"</t>
  </si>
  <si>
    <t>Муниципальные унитарные предприятия</t>
  </si>
  <si>
    <t>ООО "Новый Дом"</t>
  </si>
  <si>
    <t>ООО "Радонеж"</t>
  </si>
  <si>
    <t>ООО "ТЭС"</t>
  </si>
  <si>
    <t>ООО «Ижевский завод тепловой техники»</t>
  </si>
  <si>
    <t>ООО Завод "Буммаш"</t>
  </si>
  <si>
    <t>ООО "Иждрил Холдинг"</t>
  </si>
  <si>
    <t>10/10/10</t>
  </si>
  <si>
    <t>ООО "ПМП "Металлургмонтаж"</t>
  </si>
  <si>
    <t>Закрытое акционерное общество "Рубцовский завод запасных частей"</t>
  </si>
  <si>
    <t>ООО "Барнаульское ДСУ-4"</t>
  </si>
  <si>
    <t>АО "Алтайский завод сельскохозяйственного машиностроения"</t>
  </si>
  <si>
    <t>ООО "БАРНАУЛЬСКИЙ ЗАВОД АТИ"</t>
  </si>
  <si>
    <t>ООО "Павловский деревообрабатывающий комбинат"</t>
  </si>
  <si>
    <t>ООО «Устьянская молочная компания» УМК</t>
  </si>
  <si>
    <t>Архангельская область</t>
  </si>
  <si>
    <t>5/5/5</t>
  </si>
  <si>
    <t>ПАО "Метафракс"</t>
  </si>
  <si>
    <t>Публичные акционерные общества</t>
  </si>
  <si>
    <t>АО "Верещагинский завод "РЕМПУТЬМАШ" по ремонту путевых машин и производству запасных частей"</t>
  </si>
  <si>
    <t>ООО "МИЧУРИНСКЗЕРНОСТАНДАРТ"</t>
  </si>
  <si>
    <t>Тамбовская область</t>
  </si>
  <si>
    <t>ООО Тамбовстроймеханизация</t>
  </si>
  <si>
    <t>ОГУЭП "ЭК ЭСС "ОБЛКОММУНЭНЕРГО"</t>
  </si>
  <si>
    <t>Иркутская область</t>
  </si>
  <si>
    <t>Государственные унитарные предприятия субъектов Российской Федерации</t>
  </si>
  <si>
    <t>ООО "Каравай"</t>
  </si>
  <si>
    <t>АО "ВОСТСИБМАШ"</t>
  </si>
  <si>
    <t>ООО "Ангарский Азотно-туковый завод"</t>
  </si>
  <si>
    <t>ООО ФИРМА "САВА СЕРВИС"</t>
  </si>
  <si>
    <t>КБЖБ</t>
  </si>
  <si>
    <t>АО "ТРУД"</t>
  </si>
  <si>
    <t>АктехЭнергияТрэйд</t>
  </si>
  <si>
    <t>ООО "Мороз"</t>
  </si>
  <si>
    <t>ООО "Ренессанс косметик"</t>
  </si>
  <si>
    <t>Акционерное общество "Барнаульский молочный комбинат"</t>
  </si>
  <si>
    <t>АО Алтайский научно-исследовательский институт технологии машиностроения</t>
  </si>
  <si>
    <t>ООО "Конти"</t>
  </si>
  <si>
    <t>ООО "Сибэнергомаш-БКЗ"</t>
  </si>
  <si>
    <t>ООО ПК "Сибиряк"</t>
  </si>
  <si>
    <t>ООО "АГРОФИРМА "АНЯК"</t>
  </si>
  <si>
    <t>ООО "Полиматиз"</t>
  </si>
  <si>
    <t>ООО "Сатурн"</t>
  </si>
  <si>
    <t>ООО "Промвест"</t>
  </si>
  <si>
    <t>ООО "ХАЙЕР ИНДАСТРИ РУС" (ИНН 1650371043, правопреемник по данным ЕГРЮЛ)</t>
  </si>
  <si>
    <t>ООО "РМЗ-НКНХ"</t>
  </si>
  <si>
    <t>ООО "Тосол-Синтез-Инвест"</t>
  </si>
  <si>
    <t>ООО "Челны-Бройлер"</t>
  </si>
  <si>
    <t>ПАО "Казанский вертолетный завод"</t>
  </si>
  <si>
    <t>АО «Международный аэропорт «Казань»</t>
  </si>
  <si>
    <t>ООО "Казанский домостроительный комбинат"</t>
  </si>
  <si>
    <t>ООО "БЕЛАЯ ДАЧА АЛАБУГА"</t>
  </si>
  <si>
    <t>ООО НПП "Ру-Инжиниринг"</t>
  </si>
  <si>
    <t>ПАО АСКОЛЬД</t>
  </si>
  <si>
    <t>ООО "ПТИЦЕВОДЧЕСКИЙ КОМПЛЕКС "ПРОДУКТЫ ПИТАНИЯ"</t>
  </si>
  <si>
    <t>ООО "ТПК "БАЛТПТИЦЕПРОМ"</t>
  </si>
  <si>
    <t>ООО "Май"</t>
  </si>
  <si>
    <t>ООО ФайберТрейд</t>
  </si>
  <si>
    <t>ООО "Байт-Транзит-Континент"</t>
  </si>
  <si>
    <t>ООО НЭРЗ</t>
  </si>
  <si>
    <t>ООО Вармекс</t>
  </si>
  <si>
    <t>АО Новосибирский патронный завод</t>
  </si>
  <si>
    <t>ООО "Ока пласт"</t>
  </si>
  <si>
    <t>Рязанская область</t>
  </si>
  <si>
    <t>ОАО "Лато"</t>
  </si>
  <si>
    <t>Республика Мордовия</t>
  </si>
  <si>
    <t>ООО "Эпромет"</t>
  </si>
  <si>
    <t>ООО "ХЕЛИОС-РЕСУРС"</t>
  </si>
  <si>
    <t>ОАО "Находкинский судоремонтный завод"</t>
  </si>
  <si>
    <t>ООО "ПРИМОРСКИЙ ТАРНЫЙ КОМБИНАТ"</t>
  </si>
  <si>
    <t>ПАО Славянский СРЗ</t>
  </si>
  <si>
    <t>ЗАО "БЕЛГОРОДСКИЙ ЦЕМЕНТ"</t>
  </si>
  <si>
    <t>АО "МАНАК-АВТО"</t>
  </si>
  <si>
    <t>ООО "АЛТЕК"</t>
  </si>
  <si>
    <t>ООО "ФИД Групп"</t>
  </si>
  <si>
    <t>ООО "СФАТ - РЯЗАНЬ"</t>
  </si>
  <si>
    <t>ООО ПК "ТЕХНОСЕРВИС"</t>
  </si>
  <si>
    <t>ТЕПЛОПРИБОР</t>
  </si>
  <si>
    <t>ООО МЕХСТРОЙ</t>
  </si>
  <si>
    <t>Ямало-Ненецкий автономный округ</t>
  </si>
  <si>
    <t>ООО ГАЗХОЛОДМАШ</t>
  </si>
  <si>
    <t>АО ЯМАЛАВТОДОР</t>
  </si>
  <si>
    <t xml:space="preserve">МУПАТ г. Новый Уренгой
</t>
  </si>
  <si>
    <t>ООО "Муравленковская Транспортная Компания"</t>
  </si>
  <si>
    <t>АО «Металкомп»</t>
  </si>
  <si>
    <t>г. Санкт-Петербург</t>
  </si>
  <si>
    <t>АО "Завод ЭЛЕКТРОПУЛЬТ"</t>
  </si>
  <si>
    <t>ЗАО "Невский Завод"</t>
  </si>
  <si>
    <t>ЗАО "Первая мебельная фабрика"</t>
  </si>
  <si>
    <t>ООО "ВЫБОР-СПБ"</t>
  </si>
  <si>
    <t>АО "ПТК "МОДЕРАМ"</t>
  </si>
  <si>
    <t>ЗАО "СПБ ОБРАЗЦОВАЯ ТИПОГРАФИЯ"</t>
  </si>
  <si>
    <t>ЗАО " ПЕНЗЕНСКАЯ КОНДИТЕРСКАЯ ФАБРИКА "</t>
  </si>
  <si>
    <t>Пензенская область</t>
  </si>
  <si>
    <t>ООО Адверс</t>
  </si>
  <si>
    <t>АО СККМ</t>
  </si>
  <si>
    <t>ООО Росавтопласт</t>
  </si>
  <si>
    <t>ООО СВПЗ</t>
  </si>
  <si>
    <t>ООО ДСК</t>
  </si>
  <si>
    <t>ООО ЭТЗ "ГЭКСАР"</t>
  </si>
  <si>
    <t>АО "ФРИТЕКС"</t>
  </si>
  <si>
    <t>АО "ЯРПОЖИНВЕСТ"</t>
  </si>
  <si>
    <t>ООО "РГК"</t>
  </si>
  <si>
    <t>ООО "СОБРАНИЕ"</t>
  </si>
  <si>
    <t>АО "ЯРДОРМОСТ"</t>
  </si>
  <si>
    <t>ООО "КМК"</t>
  </si>
  <si>
    <t>СХПК Племенной завод Восток</t>
  </si>
  <si>
    <t>Сельскохозяйственные производственные кооперативы</t>
  </si>
  <si>
    <t>ОАО Ставропольский пивоваренный завод СПЗ</t>
  </si>
  <si>
    <t>ООО "ЛИГО-ДИЗАЙН ТРЕЙДИНГ"</t>
  </si>
  <si>
    <t>МУП "Транспортная компания городского округа" город Южно-Сахалинск</t>
  </si>
  <si>
    <t>АО "ПКС"</t>
  </si>
  <si>
    <t xml:space="preserve"> ГУП "Долинское дорожное ремонтно-строительное управление"</t>
  </si>
  <si>
    <t>ООО "АЛТАЙХЛЕБ"</t>
  </si>
  <si>
    <t>ООО "ПО "Межрегионэнергосервис"</t>
  </si>
  <si>
    <t>ООО УК "АЗПИ"</t>
  </si>
  <si>
    <t xml:space="preserve">ООО «ЗИАС МАШИНЕРИ» </t>
  </si>
  <si>
    <t>ООО "Регион"</t>
  </si>
  <si>
    <t>ООО Самарский Стройфарфор</t>
  </si>
  <si>
    <t>ООО Хлеб-сервис</t>
  </si>
  <si>
    <t>АО НПК ПАНХ</t>
  </si>
  <si>
    <t>АО "КОМБИНАТ ХЛЕБОПРОДУКТОВ "ТИХОРЕЦКИЙ"</t>
  </si>
  <si>
    <t>ОАО АПСК Гулькевичи</t>
  </si>
  <si>
    <t>АО "ДОРОЖНО-СТРОИТЕЛЬНОЕ УПРАВЛЕНИЕ-7"</t>
  </si>
  <si>
    <t>ОАО КОНДИТЕРСКИЙ КОМБИНАТ "КУБАНЬ"</t>
  </si>
  <si>
    <t>ОАО "ПТИЦЕФАБРИКА "РЕФТИНСКАЯ"</t>
  </si>
  <si>
    <t>АО «Уралгидромаш»</t>
  </si>
  <si>
    <t>ООО "СИЛУР"</t>
  </si>
  <si>
    <t>МУНИЦИПАЛЬНОЕ ВОДОКАНАЛИЗАЦИОННОЕ ПРЕДПРИЯТИЕ МУНИЦИПАЛЬНОГО ОБРАЗОВАНИЯ ГОРОД ХАНТЫ-МАНСИЙСК</t>
  </si>
  <si>
    <t>АО «ГК Северавтодор»</t>
  </si>
  <si>
    <t>АКЦИОНЕРНОЕ ОБЩЕСТВО "НИЖНЕВАРТОВСКРЕМСЕРВИС"</t>
  </si>
  <si>
    <t>ООО "Сургутмебель"</t>
  </si>
  <si>
    <t>АО "Череповецкий мясокомбинат"</t>
  </si>
  <si>
    <t>Вологодская область</t>
  </si>
  <si>
    <t>ООО "МИРТЕКС"</t>
  </si>
  <si>
    <t>Ивановская область</t>
  </si>
  <si>
    <t>ООО "Черметснаб"</t>
  </si>
  <si>
    <t>АО "Ногинский завод топливной аппаратуры"</t>
  </si>
  <si>
    <t>ЗАО "ОПК"</t>
  </si>
  <si>
    <t>АО НПП "Респиратор"</t>
  </si>
  <si>
    <t>Судостроительный завод "Янтарь"</t>
  </si>
  <si>
    <t>МП КХ "ВОДОКАНАЛ"</t>
  </si>
  <si>
    <t>Региональная энергетическая компания "РЭК"</t>
  </si>
  <si>
    <t>35.14</t>
  </si>
  <si>
    <t>ООО "СРП ПРЕГОЛЬ"</t>
  </si>
  <si>
    <t>ООО "НОВИК ЛОГИСТИК"</t>
  </si>
  <si>
    <t>ООО Судостроительный завод Залив</t>
  </si>
  <si>
    <t>ГУП КРЫМЭКОРЕСУРСЫ</t>
  </si>
  <si>
    <t>ГУП Республики Крым «КРЫМГАЗСЕТИ»</t>
  </si>
  <si>
    <t>АО Фиолент</t>
  </si>
  <si>
    <t>ГУП РК Крымтроллейбус</t>
  </si>
  <si>
    <t>ООО Новатор</t>
  </si>
  <si>
    <t>АО «ДРУЖБА НАРОДОВ НОВА»</t>
  </si>
  <si>
    <t>ООО «МЯСОКОМБИНАТ «ДРУЖБА НАРОДОВ»</t>
  </si>
  <si>
    <t>ООО "ДК "МЕГАТРЕЙД-ЮГ"</t>
  </si>
  <si>
    <t>Завод точного литья</t>
  </si>
  <si>
    <t>ООО "Славянка текстиль"</t>
  </si>
  <si>
    <t>ООО "Владимиртеплогаз"</t>
  </si>
  <si>
    <t>ООО "Технокомф СТ"</t>
  </si>
  <si>
    <t>ООО "Авангард"</t>
  </si>
  <si>
    <t>13.20</t>
  </si>
  <si>
    <t>ООО "Экспо Гласс"</t>
  </si>
  <si>
    <t>ЗАО "Сеспель"</t>
  </si>
  <si>
    <t>Чувашская Республика</t>
  </si>
  <si>
    <t>АО "ЛЕНТА"</t>
  </si>
  <si>
    <t>ОАО "Завод ЖБИ-2"</t>
  </si>
  <si>
    <t>АО "ЭКОПЭТ"</t>
  </si>
  <si>
    <t>ООО «СВЕТЛОВСКИЙ СУДОРЕМОНТНЫЙ ЗАВОД» ССРЗ</t>
  </si>
  <si>
    <t>ООО "Агрофабрика Натурово"</t>
  </si>
  <si>
    <t>ООО Птицеводческое предприятие "Дивеевское"</t>
  </si>
  <si>
    <t xml:space="preserve">АО "Сосновскагропромтехника" </t>
  </si>
  <si>
    <t>ООО "РусКомТранс"</t>
  </si>
  <si>
    <t>ФКП "Завод имени Я.М.Свердлова"</t>
  </si>
  <si>
    <t>Федеральные казенные предприятия</t>
  </si>
  <si>
    <t>ОАО "Дзержинский мясокомбинат"</t>
  </si>
  <si>
    <t>ООО "ПАРТНЕР ЭЛЕКТРО НН"</t>
  </si>
  <si>
    <t>ПАО "ПАВЛОВСКИЙ ЗАВОД ИМ. КИРОВА"</t>
  </si>
  <si>
    <t>ООО Агрофирма "Павловская"</t>
  </si>
  <si>
    <t>АО "Нижегородский масло-жировой комбинат"</t>
  </si>
  <si>
    <t>АО "Теплоэнерго"</t>
  </si>
  <si>
    <t>35.30.2</t>
  </si>
  <si>
    <t>ООО "ЭГИДА ПОВОЛЖЬЕ"</t>
  </si>
  <si>
    <t>ООО "Балахнинская картонная фабрика"</t>
  </si>
  <si>
    <t>ООО "Завод Инком"</t>
  </si>
  <si>
    <t>ООО "ТСН-Электро"</t>
  </si>
  <si>
    <t>ООО "Фокстанк моторс"</t>
  </si>
  <si>
    <t>ООО "Славянский двор"</t>
  </si>
  <si>
    <t>ООО "БИКОМ"</t>
  </si>
  <si>
    <t>ООО "Завод акустических материалов "Автотехника"</t>
  </si>
  <si>
    <t>ООО "ГРУППА ПРОМАВТО"</t>
  </si>
  <si>
    <t>ООО ГК "Эстет"</t>
  </si>
  <si>
    <t>АО "КОМБИНАТ АВТОМОБИЛЬНЫХ ФУРГОНОВ"</t>
  </si>
  <si>
    <t>АО "Чувашкабель"</t>
  </si>
  <si>
    <t>ООО "ЧЕБОКСАРСКИЙ ЗАВОД СИЛОВЫХ АГРЕГАТОВ"</t>
  </si>
  <si>
    <t>ЗАО "ЗИСО"</t>
  </si>
  <si>
    <t>АО "ЧУВАШТОРГТЕХНИКА"</t>
  </si>
  <si>
    <t>АО "ЧЕБОКСАРСКИЙ ЭЛЕКТРОМЕХАНИЧЕСКИЙ ЗАВОД"</t>
  </si>
  <si>
    <t>ООО Элинокс</t>
  </si>
  <si>
    <t>ООО"Фросто"</t>
  </si>
  <si>
    <t>АО "Омскоблавтотранс"</t>
  </si>
  <si>
    <t>ЗАО "Омский завод инновационных технологий"</t>
  </si>
  <si>
    <t>МП "ЯМАЛЬСКИЕ ОЛЕНИ"</t>
  </si>
  <si>
    <t>ООО "АЛЕКСИНСКАЯ БУМАЖНО-КАРТОННАЯ ФАБРИКА"</t>
  </si>
  <si>
    <t>АО "НОВОМОСКОВСКИЙ ЗАВОД КЕРАМИЧЕСКИХ МАТЕРИАЛОВ"</t>
  </si>
  <si>
    <t>ООО "ПОЛИПЛАСТ НОВОМОСКОВСК"</t>
  </si>
  <si>
    <t>ООО «Спасское»</t>
  </si>
  <si>
    <t>ДСК "Грас"</t>
  </si>
  <si>
    <t>Племсовхоз "Трудовой"</t>
  </si>
  <si>
    <t>АО "Энгельское оптико-конструкторское бюро "Сигнал"</t>
  </si>
  <si>
    <t>Металл-Инвест Поволжье</t>
  </si>
  <si>
    <t>ООО "ЭЛЕКТРОСБЫТ"</t>
  </si>
  <si>
    <t>АО "Саратовский завод энергетического машиностроения"</t>
  </si>
  <si>
    <t>ООО Сухонский КБК</t>
  </si>
  <si>
    <t>ООО Процион (Вологодский колбасный завод)</t>
  </si>
  <si>
    <t>ООО "Севмашзавод"</t>
  </si>
  <si>
    <t>АО "ЧФМК"</t>
  </si>
  <si>
    <t>ООО "Стальэмаль"</t>
  </si>
  <si>
    <t>ОАО "Оленегорский механический завод"ОМЗ</t>
  </si>
  <si>
    <t>Мурманская область</t>
  </si>
  <si>
    <t>АО "ЦЕНТР СУДОРЕМОНТА "ДАЛЬЗАВОД"</t>
  </si>
  <si>
    <t>АО Нежинское</t>
  </si>
  <si>
    <t>ОАО Вэлан</t>
  </si>
  <si>
    <t>ООО "АЛЮМАР"</t>
  </si>
  <si>
    <t>ОАО Пятигорский завод Импульс</t>
  </si>
  <si>
    <t>ОАО "Волгоградский Керамический завод"</t>
  </si>
  <si>
    <t>АО "БГМЗ"</t>
  </si>
  <si>
    <t>ООО "Бергауф Строительные Технологии"</t>
  </si>
  <si>
    <t>ООО "САЯНМОЛОКО"</t>
  </si>
  <si>
    <t>МП " УЗС"</t>
  </si>
  <si>
    <t>АО "КРАСНОЯРСКИЙ ЭЛЕКТРОВАГОНОРЕМОНТНЫЙ
ЗАВОД"</t>
  </si>
  <si>
    <t>ООО "ПК ДСУ"</t>
  </si>
  <si>
    <t>Федеральные государственные унитарные предприятия</t>
  </si>
  <si>
    <t>АО Домостроитель</t>
  </si>
  <si>
    <t>ООО "КУБАНЬЭКОПРОДУКТ"</t>
  </si>
  <si>
    <t>ООО "ФОТОТЕХ"</t>
  </si>
  <si>
    <t>ООО "Мастер-Пак"</t>
  </si>
  <si>
    <t>ООО "АВГУСТ-АЛАБУГА"</t>
  </si>
  <si>
    <t>ФКП "НПО "КЗТМ"</t>
  </si>
  <si>
    <t>АО "КОМЗ"</t>
  </si>
  <si>
    <t>ООО "ПЕНЗНЕФТЕХИММАШ"</t>
  </si>
  <si>
    <t>АО "Сарапульский электрогенераторный завод"</t>
  </si>
  <si>
    <t>АО «Конструкторское бюро электроизделий XXI века»</t>
  </si>
  <si>
    <t>АО «Сарапульский радиозавод»</t>
  </si>
  <si>
    <t>ООО "Техновек"</t>
  </si>
  <si>
    <t>ОАО "Воткинская промышленная компания"</t>
  </si>
  <si>
    <t>ООО "Сарапульский хлебокомбинат"</t>
  </si>
  <si>
    <t>ООО "Кемеровский ДСК"</t>
  </si>
  <si>
    <t>ООО "ОК"Сибшахтострой"</t>
  </si>
  <si>
    <t>ООО "УК "КУЗБАССТРАНСМЕТ"</t>
  </si>
  <si>
    <t>ПАО "Выборгский судостроительный завод"</t>
  </si>
  <si>
    <t>Ленинградская область</t>
  </si>
  <si>
    <t>ООО "ЗАВОД ВЫСОТНЫХ КОНСТРУКЦИЙ"</t>
  </si>
  <si>
    <t>АО "Мерси Агро Сахалин"</t>
  </si>
  <si>
    <t>МКП "Городской водоканал"</t>
  </si>
  <si>
    <t>Муниципальные казенные предприятия</t>
  </si>
  <si>
    <t>АО "Птицефабрика Островная"</t>
  </si>
  <si>
    <t>ООО "БРИЗ - Центр"</t>
  </si>
  <si>
    <t>ООО "ЗАВОД ГЕОСИНТЕТИЧЕСКИХ МАТЕРИАЛОВ"</t>
  </si>
  <si>
    <t>"СПЕЦИАЛИЗИРОВАННОЕ АВТОТРАНСПОРТНОЕ ПРЕДПРИЯТИЕ"</t>
  </si>
  <si>
    <t>ООО "ИЛАН-НОРИЛЬСК"</t>
  </si>
  <si>
    <t>АО "ФИРМА "КУЛЬТБЫТСТРОЙ"</t>
  </si>
  <si>
    <t>ЗАО Техполимер</t>
  </si>
  <si>
    <t>ООО Сибгласс</t>
  </si>
  <si>
    <t>ООО Аксайская птицефабрика</t>
  </si>
  <si>
    <t>АО "ТАГАНРОГСКИЙ ЗАВОД "ПРИБОЙ"</t>
  </si>
  <si>
    <t>ОАО "Селенгинский ЦКК"</t>
  </si>
  <si>
    <t>Республика Бурятия</t>
  </si>
  <si>
    <t>АО "Бурятхлебпром"</t>
  </si>
  <si>
    <t>ООО "Бурятмяспром"</t>
  </si>
  <si>
    <t>ООО МПФ "Селенга"</t>
  </si>
  <si>
    <t>ПАО Криогенного машиностроения</t>
  </si>
  <si>
    <t>ООО НПП "ТИК"</t>
  </si>
  <si>
    <t>ООО «ЭРИС»</t>
  </si>
  <si>
    <t>АО Чайковский филиал "ГАЗПРОМ БЫТОВЫЕ СИСТЕМЫ"</t>
  </si>
  <si>
    <t>МУП г. Сочи Водоканал</t>
  </si>
  <si>
    <t>ЗАО Кореновский Молочно-консервный комбинат</t>
  </si>
  <si>
    <t>ООО "Полёт-Сервис"</t>
  </si>
  <si>
    <t>Калужская область</t>
  </si>
  <si>
    <t xml:space="preserve"> ООО "ФИРМА ВЕСТА"</t>
  </si>
  <si>
    <t>ООО "ИАС"</t>
  </si>
  <si>
    <t>ООО "Меркатор Калуга"</t>
  </si>
  <si>
    <t>АО Инфотранс</t>
  </si>
  <si>
    <t>МП Трамвайно-Троллейбусное управление</t>
  </si>
  <si>
    <t>ЗАО Самарская кабельная компания</t>
  </si>
  <si>
    <t>ООО «СПЕЦНЕФТЕСЕРВИС»</t>
  </si>
  <si>
    <t>АО Промсинтез</t>
  </si>
  <si>
    <t>АО "РОССКАТ"</t>
  </si>
  <si>
    <t>ООО Техкомплекс</t>
  </si>
  <si>
    <t>ООО Медовый дом</t>
  </si>
  <si>
    <t>АО "ВЛАДХЛЕБ"</t>
  </si>
  <si>
    <t>ООО «ЛИВАДИЙСКИЙ РСЗ»</t>
  </si>
  <si>
    <t>ООО "КСМК-СЕВЕР"</t>
  </si>
  <si>
    <t>ООО "Колбасный Завод "ДОНСКИЕ ТРАДИЦИИ"</t>
  </si>
  <si>
    <t>ООО "КУЗБАССДОРСТРОЙ"</t>
  </si>
  <si>
    <t>ЗАО  "ИНДУСТРИЯ СЕРВИС"</t>
  </si>
  <si>
    <t>ООО "Тулажелдормаш"</t>
  </si>
  <si>
    <t>ООО «ТУЛАОБОРОНСТРОЙ»</t>
  </si>
  <si>
    <t>ООО "Яснополянская фабрика тары и упаковки"</t>
  </si>
  <si>
    <t>ООО "Кубаньмасло - Ефремовский маслозавод"</t>
  </si>
  <si>
    <t>ООО "АЭРОЗОЛЬ НОВОМОСКОВСК"</t>
  </si>
  <si>
    <t>ООО "НОВОМОСКОВСК-РЕМСТРОЙСЕРВИС"</t>
  </si>
  <si>
    <t>АО «ГОТЭК-Центр»</t>
  </si>
  <si>
    <t>ООО "АРКТИКА"</t>
  </si>
  <si>
    <t>ООО "ПХ "ЛАЗАРЕВСКОЕ"</t>
  </si>
  <si>
    <t>ЗАО "Производственное объединение "Тулаэлектропривод"</t>
  </si>
  <si>
    <t>ОАО "Кузбасский скарабей"</t>
  </si>
  <si>
    <t>ОАО Кемеровоспецстрой</t>
  </si>
  <si>
    <t>ООО "Инженерный центр АСИ"</t>
  </si>
  <si>
    <t>ОАО "Кемеровский опытный ремонтно-механический завод"</t>
  </si>
  <si>
    <t>ОАО "ВАГАНОВО"</t>
  </si>
  <si>
    <t>ООО «Современные технологии в энергетике и производстве»</t>
  </si>
  <si>
    <t>ООО «Группа Ермак»</t>
  </si>
  <si>
    <t>ООО "Уральский завод трубной изоляции"</t>
  </si>
  <si>
    <t>АО  "БИОТЕХ"</t>
  </si>
  <si>
    <t>ООО "СтройТехИнвест"</t>
  </si>
  <si>
    <t>ООО "МГ"</t>
  </si>
  <si>
    <t>ООО "ЦАРИЦЫНСКИЙ КОМБИНАТ"</t>
  </si>
  <si>
    <t>ООО Арс Пром</t>
  </si>
  <si>
    <t>ПАО "ТЮМЕНСКИЕ МОТОРОСТРОИТЕЛИ"</t>
  </si>
  <si>
    <t>АО ПартнерСтрой</t>
  </si>
  <si>
    <t>ООО "ТЮМЕНЬМОЛОКО"</t>
  </si>
  <si>
    <t>ЗАО "ЗАВОД ТЮМЕНЬРЕМДОРМАШ"</t>
  </si>
  <si>
    <t>ООО "ЭКСПРОФ"</t>
  </si>
  <si>
    <t>ООО ЗАВОД "ГОФРОПАКТЮМЕНЬ"</t>
  </si>
  <si>
    <t>ООО "Тюмень водоканал"</t>
  </si>
  <si>
    <t>АО Аэропорт Рощино</t>
  </si>
  <si>
    <t>ООО Ишимский мясокомбинат</t>
  </si>
  <si>
    <t>ООО Ишимский Механический Завод</t>
  </si>
  <si>
    <t>ООО "Стройимпульс"</t>
  </si>
  <si>
    <t>ООО ПФ "Пышминская"</t>
  </si>
  <si>
    <t>ПАО ПФ Боровская</t>
  </si>
  <si>
    <t>АО "СИБНЕФТЕМАШ"</t>
  </si>
  <si>
    <t>ООО "Завод "Газпроммаш"</t>
  </si>
  <si>
    <t>АО "Саратовский электроприборностроительный завод им. Серго Орджоникидзе"</t>
  </si>
  <si>
    <t>АО "КОНСТРУКТОРСКОЕ БЮРО ПРОМЫШЛЕННОЙ АВТОМАТИКИ"</t>
  </si>
  <si>
    <t>ООО "Энгельское приборостроительное объединение "Сигнал"</t>
  </si>
  <si>
    <t>ООО "Алмаз"</t>
  </si>
  <si>
    <t>АО "ЭЛИС ФЭШН РУС"</t>
  </si>
  <si>
    <t>ООО "ЛИЛИАНИ"</t>
  </si>
  <si>
    <t>ООО "РММП"</t>
  </si>
  <si>
    <t>ООО "ЗАВОД КОНОРД"</t>
  </si>
  <si>
    <t>АО "РОСТОВСКИЙ ПОРТ"</t>
  </si>
  <si>
    <t>ООО "Хлебозавод Юг Руси"</t>
  </si>
  <si>
    <t>СП ООО "ВАККОР"</t>
  </si>
  <si>
    <t>ПАО СЗ "СЕВЕРНАЯ ВЕРФЬ"</t>
  </si>
  <si>
    <t>ООО "ВИРИАЛ"</t>
  </si>
  <si>
    <t>ООО "ВОСТОК"</t>
  </si>
  <si>
    <t>Республика Тыва</t>
  </si>
  <si>
    <t>ООО Шоколенд</t>
  </si>
  <si>
    <t>ОАО Светлоградагромаш</t>
  </si>
  <si>
    <t>ООО Мясокомбинат Олимпия</t>
  </si>
  <si>
    <t>АО Арнест</t>
  </si>
  <si>
    <t>ООО Невинномысск-ремстройсервис</t>
  </si>
  <si>
    <t>ООО ДЕПО-ЕВРОХИМ</t>
  </si>
  <si>
    <t>ООО Межхозяйственное предприятие Орион</t>
  </si>
  <si>
    <t xml:space="preserve">ООО "ИНТЕРПАК"  </t>
  </si>
  <si>
    <t>ЗАО "Асептичиеские Медицинские системы" АМС</t>
  </si>
  <si>
    <t>ООО "Озерский завод энергоустановок"</t>
  </si>
  <si>
    <t>ООО «Племенной конный завод «Дубровский»</t>
  </si>
  <si>
    <t>ООО "РАВИС - ПТИЦЕФАБРИКА СОСНОВСКАЯ"</t>
  </si>
  <si>
    <t>ООО "УРАЛЬСКАЯ МЯСНАЯ КОМПАНИЯ" УМК</t>
  </si>
  <si>
    <t>ООО "Завод Спецагрегат"</t>
  </si>
  <si>
    <t>ООО НТЦ "Приводная Техника"</t>
  </si>
  <si>
    <t>ОАО "ЧРЗ "Полет"</t>
  </si>
  <si>
    <t>ООО «МетМашУфалей» Оранжстил</t>
  </si>
  <si>
    <t>ЗАО "Редукционно-охладительные установки"</t>
  </si>
  <si>
    <t>ООО "ЖБИ Сибири"</t>
  </si>
  <si>
    <t>ООО Южно-Уральский Завод Спасательного Оборудования</t>
  </si>
  <si>
    <t>ОАО Медногорский электротехнический завод Уралэлектро</t>
  </si>
  <si>
    <t>ООО ПЛАСТИК</t>
  </si>
  <si>
    <t>ООО  "Полимерстрой"</t>
  </si>
  <si>
    <t>ООО "А7 АГРО - ОМК"</t>
  </si>
  <si>
    <t>ОАО "ЗАВОД БУРОВОГО ОБОРУДОВАНИЯ" ЗБО</t>
  </si>
  <si>
    <t>ООО "Технология"</t>
  </si>
  <si>
    <t>ЗАО Птицефабрика Оренбургская</t>
  </si>
  <si>
    <t>ГУП ОРЕНБУРГСКОЙ ОБЛАСТИ "МЕЖДУНАРОДНЫЙ АЭРОПОРТ "ОРЕНБУРГ"</t>
  </si>
  <si>
    <t>ООО «Текстильная компания «Русский Дом»</t>
  </si>
  <si>
    <t>ООО "Штандарт Пласт"</t>
  </si>
  <si>
    <t>АО "Ивановоискож"</t>
  </si>
  <si>
    <t>ООО «ЛиматонУпаковка»</t>
  </si>
  <si>
    <t>ООО "Зеленые линии"</t>
  </si>
  <si>
    <t>ООО "РЭМОС-АЛЬФА"</t>
  </si>
  <si>
    <t>АО Лактис</t>
  </si>
  <si>
    <t>ОАО Великоновгородский мясной двор</t>
  </si>
  <si>
    <t>ООО Основа Безопасности</t>
  </si>
  <si>
    <t>"Пивкомбинат Балаковски"</t>
  </si>
  <si>
    <t>ООО "Аргон"</t>
  </si>
  <si>
    <t>АО "ЗЕЛЕНОДОЛЬСКИЙ ЗАВОД ИМЕНИ А.М. ГОРЬКОГО"</t>
  </si>
  <si>
    <t>ОАО "КАЗАНСКИЙ ЗАВОД КОМПРЕССОРНОГО МАШИНОСТРОЕНИЯ"</t>
  </si>
  <si>
    <t>АО "Русская кожа"</t>
  </si>
  <si>
    <t>АО "Точинвест"</t>
  </si>
  <si>
    <t>ООО "ТТМ центр"</t>
  </si>
  <si>
    <t>ООО "ТОПКИНСКИЙ ЦЕМЕНТ"</t>
  </si>
  <si>
    <t>ООО КЗЛМ "МАЯК"</t>
  </si>
  <si>
    <t>ООО "ФИЛИМОНОВСКИЙ МОЛОЧНОКОНСЕРВНЫЙ КОМБИНАТ"</t>
  </si>
  <si>
    <t>ОАО МОЛОКО Минусинск</t>
  </si>
  <si>
    <t>ООО ЛПЗ Сегал</t>
  </si>
  <si>
    <t>АО "Красноярский комбинат железобетонных и металлических конструкций"</t>
  </si>
  <si>
    <t>АО "КРАСМАШ"</t>
  </si>
  <si>
    <t>АО "КРАСАВИА"</t>
  </si>
  <si>
    <t>ООО "Орион-Р"</t>
  </si>
  <si>
    <t>ООО "ФАТЕЖСКАЯ ЯГНЯТИНА"</t>
  </si>
  <si>
    <t>Курская область</t>
  </si>
  <si>
    <t>АО «ГЕОМАШ»</t>
  </si>
  <si>
    <t>ОАО ГОТЭК-ПРИНТ</t>
  </si>
  <si>
    <t>ООО ПО "ВАГОНМАШ"</t>
  </si>
  <si>
    <t>АО НПО КУРГАНПРИБОР</t>
  </si>
  <si>
    <t>Курганская область</t>
  </si>
  <si>
    <t>ООО "ЛОБНЕНСКИЙ ВОДОКАНАЛ"</t>
  </si>
  <si>
    <t>ООО "АЛБЕС МЕТ"</t>
  </si>
  <si>
    <t>АО "ГЛИМС-ПРОДАКШН"</t>
  </si>
  <si>
    <t>ООО Апполиинария</t>
  </si>
  <si>
    <t>ООО Краснодарводоканал</t>
  </si>
  <si>
    <t>ООО Юнона-Инвест Лтд</t>
  </si>
  <si>
    <t>ГУП КК Кубаньводокомплекс</t>
  </si>
  <si>
    <t>ООО "СЕРВИС-ЮГ-ККМ"</t>
  </si>
  <si>
    <t>Новороссийский морской торговый порт</t>
  </si>
  <si>
    <t>ООО "Фирма ТОРЕС"</t>
  </si>
  <si>
    <t xml:space="preserve"> АО Темрюкское ДРСУ</t>
  </si>
  <si>
    <t>ООО "НПО " СЕМЕНОВОДСТВО КУБАНИ"</t>
  </si>
  <si>
    <t>ООО "Континент-Сервис"</t>
  </si>
  <si>
    <t>"ЗКПД Томской домостроительной компании"</t>
  </si>
  <si>
    <t>ООО"Томлесдрев"</t>
  </si>
  <si>
    <t>ООО НПО  "Томская электронная компания"</t>
  </si>
  <si>
    <t>ООО "СПК"</t>
  </si>
  <si>
    <t>ООО "ЯСТРО-АГРО"</t>
  </si>
  <si>
    <t>АО «Златоустовский машиностроительный завод» Златмаш</t>
  </si>
  <si>
    <t>Акционерное общество "Обувная фирма "Юничел"</t>
  </si>
  <si>
    <t>ООО ЧЕЛЯБИНСКИЙ ЛАКОКРАСОЧНЫЙ ЗАВОД "ФЕСТ ПРО"</t>
  </si>
  <si>
    <t>ОАО "Шуйские ситцы"</t>
  </si>
  <si>
    <t>ООО "Верхневолжский сервисный металлоцентр"</t>
  </si>
  <si>
    <t>ООО РТП</t>
  </si>
  <si>
    <t>АО "ЗППТНП "Дебют"</t>
  </si>
  <si>
    <t>ООО "ВЕЗА"</t>
  </si>
  <si>
    <t>ООО "СТИЛ ТЕХНОЛОДЖИ"</t>
  </si>
  <si>
    <t>АО "ГЕОРГ ПОЛИМЕР"</t>
  </si>
  <si>
    <t>АО "ДПО "Пластик"</t>
  </si>
  <si>
    <t>АО "Нижегородский водоканал"</t>
  </si>
  <si>
    <t>ООО "ВФД"</t>
  </si>
  <si>
    <t>МП "НИЖЕГОРОДПАССАЖИРАВТОТРАНС"</t>
  </si>
  <si>
    <t>ООО "КМ ПРЕКАСТЪ"</t>
  </si>
  <si>
    <t>ООО "Ластра"</t>
  </si>
  <si>
    <t>АО "ГОТЭК СЕВЕРО-ЗАПАД"</t>
  </si>
  <si>
    <t>ООО Респираторный комплекс</t>
  </si>
  <si>
    <t>ООО "МПК "ТОСНЕНСКИЙ"</t>
  </si>
  <si>
    <t>ООО "СК"</t>
  </si>
  <si>
    <t>ООО "ДСК АБЗ-ДОРСТРОЙ"</t>
  </si>
  <si>
    <t>АО "РСК"</t>
  </si>
  <si>
    <t>ООО "Пальмира"</t>
  </si>
  <si>
    <t>ЗАО "ПЕТЕРПАЙП"</t>
  </si>
  <si>
    <t>АО "НПП Сигнал"</t>
  </si>
  <si>
    <t>АО "Фирма Изотерм"</t>
  </si>
  <si>
    <t>АО "ЛЮДИНОВОКАБЕЛЬ"</t>
  </si>
  <si>
    <t>ООО "ЕРМОЛИНО"</t>
  </si>
  <si>
    <t>ООО "Агрисовгаз"</t>
  </si>
  <si>
    <t>АО "Людиновский тепловозный завод (ЛТЗ)"</t>
  </si>
  <si>
    <t>АО "Прогресс-Экология"</t>
  </si>
  <si>
    <t>ООО " Фабрика Мебели"</t>
  </si>
  <si>
    <t>ОАО "КАЛУЖСКИЙ ТУРБИННЫЙ ЗАВОД"</t>
  </si>
  <si>
    <t>ООО "КАЛУЖСКИЙ ЦЕНТР СВАРНОЙ СЕТКИ"</t>
  </si>
  <si>
    <t>ООО "Полотняно-Заводская бумажная мануфактура"</t>
  </si>
  <si>
    <t>АО "КАЛУЖСКИЙ ЗАВОД ПУТЕВЫХ МАШИН И ГИДРОПРИВОДОВ"</t>
  </si>
  <si>
    <t>ООО "Аквасити"</t>
  </si>
  <si>
    <t>АО "НОВОСИБИРСКИЙ КАРТОННО-БУМАЖНЫЙ КОМБИНАТ"</t>
  </si>
  <si>
    <t>ООО "ЛИССИБ"</t>
  </si>
  <si>
    <t>ООО КПД-ГАЗСТРОЙ</t>
  </si>
  <si>
    <t>ООО "ПКФ ТЕПЛОДАР"</t>
  </si>
  <si>
    <t>АО ПО Север</t>
  </si>
  <si>
    <t>ООО "КО ТЕПЛОДАР"</t>
  </si>
  <si>
    <t>ПАО "ЛЫСЬВЕНСКИЙ ЗАВОД ЭМАЛИРОВАННОЙ ПОСУДЫ"</t>
  </si>
  <si>
    <t>АО "ОЧЕРСКИЙ МАШИНОСТРОИТЕЛЬНЫЙ ЗАВОД"</t>
  </si>
  <si>
    <t>ОАО "Молочный завод Мясниковский"</t>
  </si>
  <si>
    <t>ООО "Турбулентность Дон"</t>
  </si>
  <si>
    <t>ООО "БОНУМ"</t>
  </si>
  <si>
    <t>ЗАО "КОМЗ-ЭКСПОРТ"</t>
  </si>
  <si>
    <t>ООО Полимерпром</t>
  </si>
  <si>
    <t>ООО РКЗ ТАВР</t>
  </si>
  <si>
    <t>ООО "ИНТЕХПЛАСТ"</t>
  </si>
  <si>
    <t>ООО ИД  Проф-пресс</t>
  </si>
  <si>
    <t>ООО "Ингениум"</t>
  </si>
  <si>
    <t>АО Клевер</t>
  </si>
  <si>
    <t>ОАО ГПЗ-10</t>
  </si>
  <si>
    <t>АО КОМБИНАТ КРУПНОПАНЕЛЬНОГО ДОМОСТРОЕНИЯ</t>
  </si>
  <si>
    <t>ООО "ПОКРОВСКИЙ ЗРМ"</t>
  </si>
  <si>
    <t>ЗАО "ЗАВОД ПРЕМИКСОВ 
№ 1"</t>
  </si>
  <si>
    <t>ООО "СКИФ-М"</t>
  </si>
  <si>
    <t>ООО "ГОФРОТАРА"</t>
  </si>
  <si>
    <t>ООО "Транспортная компания" Экотранс"</t>
  </si>
  <si>
    <t>ОАО "Завод ЖБК-1"</t>
  </si>
  <si>
    <t>ООО Белгородский Ювелирный Завод "Арт-КАРАТ"</t>
  </si>
  <si>
    <t>Фасад-комплект</t>
  </si>
  <si>
    <t>ЗАО "ИРТЫШСКОЕ"</t>
  </si>
  <si>
    <t>АО "ИСКОЖ"</t>
  </si>
  <si>
    <t>ПАО "Туймазинский завод автобетоновозов"</t>
  </si>
  <si>
    <t xml:space="preserve">АО «Уралтехнострой – Туймазыхиммаш» </t>
  </si>
  <si>
    <t>ООО «Сервис-Мастер»</t>
  </si>
  <si>
    <t>ООО "ГСФ КПД"</t>
  </si>
  <si>
    <t>ПАО "АК ВНЗМ"</t>
  </si>
  <si>
    <t>ООО СК "Сальвия"</t>
  </si>
  <si>
    <t>АО "НПФ "Геофизика"</t>
  </si>
  <si>
    <t xml:space="preserve">ООО "НПП Озна-Инжиниринг" </t>
  </si>
  <si>
    <t>ООО "Русские амортизаторы"</t>
  </si>
  <si>
    <t>ОАО «Сетевая компания Алтайкрайэнерго»</t>
  </si>
  <si>
    <t>ПАО Завод Атлант</t>
  </si>
  <si>
    <t>ООО Спецстройбезопасность</t>
  </si>
  <si>
    <t>АО "ЭлеСи"</t>
  </si>
  <si>
    <t>ООО ТПК "САВА"</t>
  </si>
  <si>
    <t>Элком+</t>
  </si>
  <si>
    <t xml:space="preserve"> АО "КЭАЗ"</t>
  </si>
  <si>
    <t>ОАО  "СОВТЕСТ АТЕ"</t>
  </si>
  <si>
    <t>Курскобувь</t>
  </si>
  <si>
    <t>АО "БЕЛИНСКСЕЛЬМАШ"</t>
  </si>
  <si>
    <t>ЗАО "ФЗ "Власть труда"</t>
  </si>
  <si>
    <t>ЗАО "Пензаспецавтомаш"</t>
  </si>
  <si>
    <t>АО ППО ЭВТ</t>
  </si>
  <si>
    <t>ООО "СТАНКОМАШСТРОЙ"</t>
  </si>
  <si>
    <t>ООО «СВАР»</t>
  </si>
  <si>
    <t>ЗАО "ЦеСИС НИКИРЭТ"</t>
  </si>
  <si>
    <t>ЗАО "Мед-Инж"</t>
  </si>
  <si>
    <t>ООО "ТАМБОВСКИЙ БЕКОН"</t>
  </si>
  <si>
    <t>ОАО Кондитерская фирма Такф</t>
  </si>
  <si>
    <t>АО Деметра</t>
  </si>
  <si>
    <t>ООО "ТРУБОПРОВОДНЫЕ ПОКРЫТИЯ И ТЕХНОЛОГИИ"</t>
  </si>
  <si>
    <t>ЗАО Средне – Волжский Механический Завод</t>
  </si>
  <si>
    <t>ООО "САМАРАВОЛГОМАШ"</t>
  </si>
  <si>
    <t>АО "САМАРА-ВЭМ"</t>
  </si>
  <si>
    <t>МП ТПАТП-3</t>
  </si>
  <si>
    <t>ОАО Волгоцеммаш</t>
  </si>
  <si>
    <t>АО АвтовазТранс</t>
  </si>
  <si>
    <t>ООО Азотремстрой</t>
  </si>
  <si>
    <t>АО "АКОМ"</t>
  </si>
  <si>
    <t>ООО "МЕТАЛЛОПРОДУКЦИЯ"</t>
  </si>
  <si>
    <t>ООО Богатовский маслозавод</t>
  </si>
  <si>
    <t>АО "Транс-Альфа"</t>
  </si>
  <si>
    <t>МУП Вологдагорводоканал ВГВК</t>
  </si>
  <si>
    <t>АО "Сокольский ДОК"</t>
  </si>
  <si>
    <t>ООО "АВТОМАСТЕР"</t>
  </si>
  <si>
    <t>ООО «НПО «РОСТАР»</t>
  </si>
  <si>
    <t>ООО "АК БАРС МЕТАЛЛ"</t>
  </si>
  <si>
    <t>АО "КАМСКО-ВОЛЖСКОЕ АО РЕЗИНОТЕХНИКИ "КВАРТ"</t>
  </si>
  <si>
    <t>ЗАО "ЧЕЛЯБКРАНСБЫТ" ЧКС</t>
  </si>
  <si>
    <t>ОАО "Асфальтобетонный завод №1"</t>
  </si>
  <si>
    <t>АО "НПО ЗАВОД "ВОЛНА"</t>
  </si>
  <si>
    <t>АО "ОКБ "Электроавтоматика"</t>
  </si>
  <si>
    <t>ООО "МИТ СТАР"</t>
  </si>
  <si>
    <t>МУП "ТО УТВИВ №1" МО СР</t>
  </si>
  <si>
    <t>АО "ЗАВОД "ЗНАМЯ ТРУДА"</t>
  </si>
  <si>
    <t>АО "ЛКХП имени Кирова"</t>
  </si>
  <si>
    <t>ООО "Неотехника"</t>
  </si>
  <si>
    <t>АО «ТомскРТС»</t>
  </si>
  <si>
    <t>ОАО "Манотомь"</t>
  </si>
  <si>
    <t>ООО "Компания Эскимос"</t>
  </si>
  <si>
    <t>ООО «Стрежевой теплоэнергоснабжение»</t>
  </si>
  <si>
    <t>АО "Сибирская Аграрная группа мясопереработка"</t>
  </si>
  <si>
    <t>ООО "Мастер Гриб"</t>
  </si>
  <si>
    <t>ООО "БЗМП"</t>
  </si>
  <si>
    <t>"Кондитерско-макаронная фабрика АО «Краскон»</t>
  </si>
  <si>
    <t>АО "Борисовский завод мостовых металлоконструкций имени В.А. Скляренко"</t>
  </si>
  <si>
    <t>ОАО "Белгородские молочные фермы"</t>
  </si>
  <si>
    <t>ООО "МИХАЙЛОВСКОЕ"</t>
  </si>
  <si>
    <t>ООО «Негабаритика»</t>
  </si>
  <si>
    <t>ООО "Яковлевский комбикормовый завод"</t>
  </si>
  <si>
    <t>ЗАО «Томмолоко»</t>
  </si>
  <si>
    <t xml:space="preserve">ООО "БУТОВО-АГРО" </t>
  </si>
  <si>
    <t>АО "Завод котельного оборудования"</t>
  </si>
  <si>
    <t>ООО "Завод красок КВИЛ"</t>
  </si>
  <si>
    <t>ООО "Белгородский завод металлоизделий"</t>
  </si>
  <si>
    <t>ООО "Полиграфия - Славянка"</t>
  </si>
  <si>
    <t>ООО "АГРОФИРМА ТРИО"</t>
  </si>
  <si>
    <t>ООО«ЕЛЕЦКИЙ»</t>
  </si>
  <si>
    <t>ООО "Агрофирма Липецк"</t>
  </si>
  <si>
    <t>АО "Елецгидроагрегат"</t>
  </si>
  <si>
    <t>ООО "ФОРВАРД"</t>
  </si>
  <si>
    <t>ООО Электрома</t>
  </si>
  <si>
    <t>ПАО Нептун</t>
  </si>
  <si>
    <t>ООО НПК "ПРИМАТЕК"</t>
  </si>
  <si>
    <t>ООО "МПЗ РУССКО-ВЫСОЦКОЕ"</t>
  </si>
  <si>
    <t>ООО Элегия</t>
  </si>
  <si>
    <t>АО Новгородхлеб</t>
  </si>
  <si>
    <t>МУП Великоновгородский Водоканал</t>
  </si>
  <si>
    <t>ОАО СКТБРТ</t>
  </si>
  <si>
    <t>ООО "ЕВРОХИМ БМУ"</t>
  </si>
  <si>
    <t>ООО ИСК Будмар</t>
  </si>
  <si>
    <t>ООО "Строительно-инжиниринговая компания ВЫБОР-С"</t>
  </si>
  <si>
    <t>ООО "НМТ"</t>
  </si>
  <si>
    <t>ООО "Туапсинский Балкерный Терминал"</t>
  </si>
  <si>
    <t>АО Дружба</t>
  </si>
  <si>
    <t>ОАО АФП "Нива"</t>
  </si>
  <si>
    <t>ООО " МЯСОПТИЦЕКОМБИНАТ " КАНЕВСКОЙ "</t>
  </si>
  <si>
    <t>ООО Фирма Калория</t>
  </si>
  <si>
    <t>ООО "КАНЕВСКОЙ ЭЛЕВАТОР"</t>
  </si>
  <si>
    <t>ООО "КРУГ-21"</t>
  </si>
  <si>
    <t>ООО "ЭнергоПромРесурс"</t>
  </si>
  <si>
    <t>ОАО "НМЗ "Искра"</t>
  </si>
  <si>
    <t>АО Тепличное</t>
  </si>
  <si>
    <t>ООО "ЧСЗ-ЛИПЕЦК"</t>
  </si>
  <si>
    <t>ОАО "Строймаш"</t>
  </si>
  <si>
    <t>ООО "Фрагария"</t>
  </si>
  <si>
    <t>ОАО "Компания Росинка"</t>
  </si>
  <si>
    <t>ООО  "ЛАСАР"</t>
  </si>
  <si>
    <t>АО «Липецкцемент»</t>
  </si>
  <si>
    <t xml:space="preserve">ООО ЛПО "Электроаппарат" </t>
  </si>
  <si>
    <t>ОГУП  "Липецкдоравтоцентр"</t>
  </si>
  <si>
    <t>ООО "РЕМИЗ"</t>
  </si>
  <si>
    <t>ООО "СЗ ОДСК Липецк"</t>
  </si>
  <si>
    <t>ООО "Кузнецкие металлоконструкции"</t>
  </si>
  <si>
    <t>ООО "Евроэлемент"</t>
  </si>
  <si>
    <t>ООО "СЗМК"</t>
  </si>
  <si>
    <t>ООО "Рубцовский ЛДК"</t>
  </si>
  <si>
    <t>АО "Алтай-Пригород"</t>
  </si>
  <si>
    <t>ООО "КРУПЯНОЙ ЗАВОД"</t>
  </si>
  <si>
    <t>ООО "АСЛЗ"</t>
  </si>
  <si>
    <t>ООО "СФК"</t>
  </si>
  <si>
    <t>ОАО ЭХМЗ им. Н.Д. Зелинского</t>
  </si>
  <si>
    <t>АО "ПЕРМСКИЙ МУКОМОЛЬНЫЙ ЗАВОД"</t>
  </si>
  <si>
    <t>АО Новомет-Пермь</t>
  </si>
  <si>
    <t>ООО "ПЕРСПЕКТИВНЫЕ ТЕХНОЛОГИИ"</t>
  </si>
  <si>
    <t>АО КМЗКО</t>
  </si>
  <si>
    <t>ПАО КУРГАНДОРМАШ</t>
  </si>
  <si>
    <t>Варгашинский завод ППСО</t>
  </si>
  <si>
    <t>ООО ТЕМПЕР</t>
  </si>
  <si>
    <t>АО "МИХАЙЛОВЦЕМЕНТ"</t>
  </si>
  <si>
    <t>МП "ВОДОКАНАЛ ГОРОДА РЯЗАНИ"</t>
  </si>
  <si>
    <t>ОАО "ОмЗМ - металл"</t>
  </si>
  <si>
    <t>АО "Ярославское АТП"</t>
  </si>
  <si>
    <t>АО "РАСКАТ"</t>
  </si>
  <si>
    <t>ООО "ГЛЭЙСКО"</t>
  </si>
  <si>
    <t>АО "Свет"</t>
  </si>
  <si>
    <t>АО "ВРТ"</t>
  </si>
  <si>
    <t>ООО НАУЧНО-ПРОИЗВОДСТВЕННОЕ ПРЕДПРИЯТИЕ "КФ"</t>
  </si>
  <si>
    <t>ООО "Волжский комбинат строительных материалов"</t>
  </si>
  <si>
    <t>ООО "АРЧЕДА-ПРОДУКТ"</t>
  </si>
  <si>
    <t>МП "Нижегородэлектротранс"</t>
  </si>
  <si>
    <t>ООО "Заинский сахар"</t>
  </si>
  <si>
    <t>ФКП "Казанский пороховой завод"</t>
  </si>
  <si>
    <t>ООО "МОСКАРТ"</t>
  </si>
  <si>
    <t>ООО "САЛЮС"</t>
  </si>
  <si>
    <t>ООО  "Раевский мясокомбинот Альшей Мясо"</t>
  </si>
  <si>
    <t>АО "МЕЛЕУЗОВСКИЕ МИНЕРАЛЬНЫЕ УДОБРЕНИЯ"</t>
  </si>
  <si>
    <t>ООО ЗПИ  «Альтернатива»</t>
  </si>
  <si>
    <t>АО «ОЗНА – Измерительные системы»</t>
  </si>
  <si>
    <t>ОАО "Туймазытехуглерод"</t>
  </si>
  <si>
    <t>АО «Стеклонит»</t>
  </si>
  <si>
    <t>ООО «Домостроительный комбинат каркасно-панельного домостроения»</t>
  </si>
  <si>
    <t>Галерея окон</t>
  </si>
  <si>
    <t>ООО НПП "НГИ"</t>
  </si>
  <si>
    <t>АО "КУРГАНАВТОРЕМОНТ"</t>
  </si>
  <si>
    <t>ЗАО "АГРОФИРМА БОРОВСКАЯ"</t>
  </si>
  <si>
    <t>АО "Елатомский приборный завод"</t>
  </si>
  <si>
    <t>АО "Окское"</t>
  </si>
  <si>
    <t>ООО "СААЗ Комплект"</t>
  </si>
  <si>
    <t>МУП РМ ПТС</t>
  </si>
  <si>
    <t>ЗАО "МПК"КРЗ"</t>
  </si>
  <si>
    <t>ООО "Эра"</t>
  </si>
  <si>
    <t>ООО "Бордер"</t>
  </si>
  <si>
    <t>ООО "Полимердор"</t>
  </si>
  <si>
    <t>ООО "Галтекс"</t>
  </si>
  <si>
    <t>ООО "Ивановский кабельный завод"</t>
  </si>
  <si>
    <t>ООО Торговый Дом Меланж-Текстиль</t>
  </si>
  <si>
    <t>ООО "Ньюфарм"</t>
  </si>
  <si>
    <t>ООО "Кинешма Аутомотив Компонентс"</t>
  </si>
  <si>
    <t>ООО "ХБК"Навтекс"</t>
  </si>
  <si>
    <t>ООО "ТЕПЛИЧНЫЙ КОМБИНАТ ЛИПЕЦКАГРО"</t>
  </si>
  <si>
    <t>ООО "ТЕПЛИЧНЫЙ КОМБИНАТ ЕЛЕЦКИЕ ОВОЩИ</t>
  </si>
  <si>
    <t>ООО "МЕДИКО-ПРОИЗВОДСТВЕННАЯ КОМПАНИЯ "ЕЛЕЦ"</t>
  </si>
  <si>
    <t>МУП "ЛИПЕЦКПАССАЖИРТРАНС"</t>
  </si>
  <si>
    <t>АО Мичуринский ЛЗ Милорем</t>
  </si>
  <si>
    <t>ПАО Пигмент</t>
  </si>
  <si>
    <t>АО ТАМБОВМАШ</t>
  </si>
  <si>
    <t>АО Тамбовгальванотехника имени С.И.Лившица</t>
  </si>
  <si>
    <t>ОАО "ЗАВОД ПРОДМАШ"</t>
  </si>
  <si>
    <t>ООО "ПЕГАС-АГРО"</t>
  </si>
  <si>
    <t>ООО Завод Приборных Подшипников</t>
  </si>
  <si>
    <t>АО "ПТИЦЕФАБРИКА РОСКАР"</t>
  </si>
  <si>
    <t>ООО "ТПП-ПАРТНЕР"</t>
  </si>
  <si>
    <t>ООО СКБТ</t>
  </si>
  <si>
    <t>АО "АГРОФИРМА ОЛЬДЕЕВСКАЯ"</t>
  </si>
  <si>
    <t>ПСК "Геодор"</t>
  </si>
  <si>
    <t>АО "Автогрейд"</t>
  </si>
  <si>
    <t>ООО "НИТА-ФАРМ"</t>
  </si>
  <si>
    <t>Саратовкий комбинат хлебопродуктов</t>
  </si>
  <si>
    <t>ООО "СХ Донское"</t>
  </si>
  <si>
    <t>ЗАО «Птицефабрика «Волжская»</t>
  </si>
  <si>
    <t>ООО "ВОЛГОПРОМТРАНС"</t>
  </si>
  <si>
    <t>МУП "Водопроводно-канализационное хозяйство"  - город Волжский</t>
  </si>
  <si>
    <t>ООО "ВОЛГАБАС ВОЛЖСКИЙ"</t>
  </si>
  <si>
    <t>АО "ТЕКСКОР"</t>
  </si>
  <si>
    <t>ООО "Камышинский завод слесарно-монтажного инструмента"</t>
  </si>
  <si>
    <t>ООО "Камышинский текстиль"</t>
  </si>
  <si>
    <t>ООО "Корпорация Красный Октябрь"</t>
  </si>
  <si>
    <t>ООО "ТД ГРАСС"</t>
  </si>
  <si>
    <t>ООО Келаст</t>
  </si>
  <si>
    <t>ООО Комбинат Волна</t>
  </si>
  <si>
    <t>ООО "ФАРЕС"</t>
  </si>
  <si>
    <t>ООО Премиум</t>
  </si>
  <si>
    <t>ООО "СТРОЙПРОЕКТСЕРВИС"</t>
  </si>
  <si>
    <t>ООО "НВДС</t>
  </si>
  <si>
    <t>ООО «УК «Монолит»</t>
  </si>
  <si>
    <t>ООО Дельта-пак</t>
  </si>
  <si>
    <t>ООО ПК Ангстрем</t>
  </si>
  <si>
    <t>ООО Воронежсельмаш</t>
  </si>
  <si>
    <t>ООО РОМАКС</t>
  </si>
  <si>
    <t>АО "Омский научно-исследовательский институт приборостроения" ОНИИП</t>
  </si>
  <si>
    <t>ООО "Научно-производственное объединение "Мир"</t>
  </si>
  <si>
    <t>АО "ОМСКОБЛВОДОПРОВОД"</t>
  </si>
  <si>
    <t>ООО  ПО «Высоковольтные Электротехнические аппараты» ВЭЛТА</t>
  </si>
  <si>
    <t>ОАО "Ярославский электромашиностроительный завод" (ОАО "ЭЛДИН")</t>
  </si>
  <si>
    <t>ООО "УГЛИЧКАБЕЛЬ"</t>
  </si>
  <si>
    <t>ООО "Владимирская дверная компания" ВДК</t>
  </si>
  <si>
    <t>ООО "Дёке ХС" ДХС</t>
  </si>
  <si>
    <t>ООО "КУРСКОЕ МОЛОКО"</t>
  </si>
  <si>
    <t>АО "Готэк-Полипак"</t>
  </si>
  <si>
    <t>ООО "Стройтехсервис"</t>
  </si>
  <si>
    <t>ООО "Русь"</t>
  </si>
  <si>
    <t>ООО Баксанский бройлер</t>
  </si>
  <si>
    <t>ООО ЮГРОСПРОМ</t>
  </si>
  <si>
    <t>ПАО СТАВРОПОЛЬСКИЙ РАДИОЗАВОД "СИГНАЛ"</t>
  </si>
  <si>
    <t>ОАО "ЭЛЕКОНД"</t>
  </si>
  <si>
    <t>АО "Глазовский завод Металлист"</t>
  </si>
  <si>
    <t>ПАО "ЯРОСЛАВСКИЙ ЗАВОД "КРАСНЫЙ МАЯК"</t>
  </si>
  <si>
    <t>ЗАО "ЯРОСЛАВСКИЙ ЗАВОД УПАКОВОЧНЫХ МАТЕРИАЛОВ"</t>
  </si>
  <si>
    <t>АО "РУССКИЕ КРАСКИ"</t>
  </si>
  <si>
    <t>ООО "ПОЛИГРАФ ПРИНТ"</t>
  </si>
  <si>
    <t>ООО "ПОЛИЭР"</t>
  </si>
  <si>
    <t>ООО "КРАСНЫЙ МАЯК"</t>
  </si>
  <si>
    <t>ГП ЯО "СЕВЕРНЫЙ ВОДОКАНАЛ"</t>
  </si>
  <si>
    <t>АО "Русская механика"</t>
  </si>
  <si>
    <t>ООО "ЗАВОД "ДОРОЖНЫХ МАШИН"</t>
  </si>
  <si>
    <t>ООО "Ковровские котлы"</t>
  </si>
  <si>
    <t>ООО "НПО "Вояж"</t>
  </si>
  <si>
    <t>ООО "МЗТА"</t>
  </si>
  <si>
    <t>ООО "ЗЕРНО"</t>
  </si>
  <si>
    <t>ОАО "АСТЗ"</t>
  </si>
  <si>
    <t>АО "Кадошкинский электротехнический завод" КЭТЗ</t>
  </si>
  <si>
    <t>ООО "Ромодановосахар"</t>
  </si>
  <si>
    <t>АО "МОРДОВЦЕМЕНТ"</t>
  </si>
  <si>
    <t>АО "РУЗХИММАШ"</t>
  </si>
  <si>
    <t>ПАО "Саранский приборостроительный завод"</t>
  </si>
  <si>
    <t>АО "Медоборудование"</t>
  </si>
  <si>
    <t>АО "Биохимик"</t>
  </si>
  <si>
    <t>АО "Лидер-Компаунд"</t>
  </si>
  <si>
    <t>АО "Сарансккабель-Оптика"</t>
  </si>
  <si>
    <t>ОАО "Саранский завод "Резинотехника"</t>
  </si>
  <si>
    <t>Дортрансстрой</t>
  </si>
  <si>
    <t>ООО ПХ "АРТЕМИДА"</t>
  </si>
  <si>
    <t>ООО "НЕФТЕПРОДУКТСЕРВИС"</t>
  </si>
  <si>
    <t>Хабибрахманова Шафоат Маматкуловна</t>
  </si>
  <si>
    <t>Индивидуальный предприниматель</t>
  </si>
  <si>
    <t>АО "ЧЕБОКСАРСКИЙ ЭЛЕКТРОАППАРАТНЫЙ ЗАВОД"</t>
  </si>
  <si>
    <t>ООО ЛМЗ "МашСталь"</t>
  </si>
  <si>
    <t>ООО "МуромЭнергоМаш" МЭМ</t>
  </si>
  <si>
    <t>ООО "Магистраль"</t>
  </si>
  <si>
    <t>ООО "Бакулинмоторс" БМГ</t>
  </si>
  <si>
    <t>АО "МПЗ"</t>
  </si>
  <si>
    <t>АО "ГОТЭК"</t>
  </si>
  <si>
    <t>ГУП РК "ВОДОКАНАЛ ЮБК"</t>
  </si>
  <si>
    <t>АО "ТЖБИ-4"</t>
  </si>
  <si>
    <t>Тверская область</t>
  </si>
  <si>
    <t>ГУП РК Крымавтодор</t>
  </si>
  <si>
    <t>АО КрымХлеб</t>
  </si>
  <si>
    <t>АО БРОМ</t>
  </si>
  <si>
    <t>АО КУРГАНСКИЕ ПРИЦЕПЫ</t>
  </si>
  <si>
    <t>ООО ЗДТ РЕГИОН 45</t>
  </si>
  <si>
    <t>АО Катайский насосный завод</t>
  </si>
  <si>
    <t>ООО "Сергиево-Посадский ЗСМК"</t>
  </si>
  <si>
    <t>АО "ЭНЕРГОСИСТЕМЫ"</t>
  </si>
  <si>
    <t>МУП "ПОВВ"</t>
  </si>
  <si>
    <t>ООО "Нагайбакский птицеводческий комплекс"</t>
  </si>
  <si>
    <t>ОАО "ЧМЗ"</t>
  </si>
  <si>
    <t>OOO «Modern Glass»</t>
  </si>
  <si>
    <t>ООО ЗАВОД "СИЛАЧ"</t>
  </si>
  <si>
    <t>ООО ЗАВОД ПРОМЫШЛЕННОГО ОБОРУДОВАНИЯ ЗПО</t>
  </si>
  <si>
    <t>ООО "ФАБРИКА ЮУК"</t>
  </si>
  <si>
    <t>ООО "ЧКЗ"</t>
  </si>
  <si>
    <t>АО "Фармасинтез"</t>
  </si>
  <si>
    <t>Радиан</t>
  </si>
  <si>
    <t>АО "Ремдизель"</t>
  </si>
  <si>
    <t>АО "ВАКУУММАШ"</t>
  </si>
  <si>
    <t>АО "Казметрострой"</t>
  </si>
  <si>
    <t>АО "ТАТЭЛЕКТРОМОНТАЖ"</t>
  </si>
  <si>
    <t>ООО "Казанский агрегатный завод"</t>
  </si>
  <si>
    <t>ООО "СервисМонтажИнтеграция"</t>
  </si>
  <si>
    <t>ОАО "БМК"</t>
  </si>
  <si>
    <t>ОАО "Верхнехавский элеватор"</t>
  </si>
  <si>
    <t>ООО "Дон"</t>
  </si>
  <si>
    <t>ОАО "ВОРОНЕЖСКАЯ КОНДИТЕРСКАЯ ФАБРИКА"</t>
  </si>
  <si>
    <t>ООО УК «Рудгормаш»</t>
  </si>
  <si>
    <t>АО «ИНЖЕНЕРНО-ПРОИЗВОДСТВЕННАЯ ФИРМА «СИБНЕФТЕАВТОМАТИКА»</t>
  </si>
  <si>
    <t>ООО ТЗМЗ "ТОИР"</t>
  </si>
  <si>
    <t>АО "БАЛАХТИНСКОЕ ДОРОЖНОЕ РЕМОНТНО-СТРОИТЕЛЬНОЕ УПРАВЛЕНИЕ"</t>
  </si>
  <si>
    <t>АО "АЧИНСКОЕ ДРСУ"</t>
  </si>
  <si>
    <t>МП Г. КРАСНОЯРСКА "КПАТП-7"</t>
  </si>
  <si>
    <t>ЗАО Минусинская кондитерская фабрика</t>
  </si>
  <si>
    <t>ООО "ККЗ"</t>
  </si>
  <si>
    <t>ООО Русский профиль</t>
  </si>
  <si>
    <t>МП "Красноярское пассажирское автотранспортное предприятие №5"</t>
  </si>
  <si>
    <t>ооо "Асбестовский Ремонтно-Машиностроительный завод"</t>
  </si>
  <si>
    <t>АО "КОМБИНАТ ПИЩЕВОЙ "ХОРОШИЙ ВКУС"</t>
  </si>
  <si>
    <t>ООО "СКЗ"</t>
  </si>
  <si>
    <t>ЗАКРЫТОЕ АКЦИОНЕРНОЕ ОБЩЕСТВО "ЗАВОД ЭМА"</t>
  </si>
  <si>
    <t>АО "СМАК"</t>
  </si>
  <si>
    <t>АО "Старт"</t>
  </si>
  <si>
    <t>ООО Завод пожарных автомобилей Спецавтотехника"</t>
  </si>
  <si>
    <t>АО «ЗДРАВМЕДТЕХ-ЕКАТЕРИНБУРГ»</t>
  </si>
  <si>
    <t>ООО " СОВМЕСТНОЕ ПРЕДПРИЯТИЕ ЗАРТЕКС"</t>
  </si>
  <si>
    <t>ООО "Росэнерготранс"</t>
  </si>
  <si>
    <t>ООО ЗАВОД "БЕРИТ"</t>
  </si>
  <si>
    <t>АО "ПРОИЗВОДСТВЕННОЕ ОБЪЕДИНЕНИЕ "УРАЛЬСКИЙ ОПТИКО-МЕХАНИЧЕСКИЙ ЗАВОД" ИМЕНИ Э. С. ЯЛАМОВА"</t>
  </si>
  <si>
    <t>ООО "УМЗ", ООО "УРАЛЬСКИЙ МЕТАЛЛУРГИЧЕСКИЙ ЗАВОД"</t>
  </si>
  <si>
    <t>ООО «СВЭЛ – Силовые трансформаторы»</t>
  </si>
  <si>
    <t>ООО "Полевской 3авод Предизолированных Тру6"</t>
  </si>
  <si>
    <t>АО "СТРОЙДОРМАШ"</t>
  </si>
  <si>
    <t>АО «УКЗ»</t>
  </si>
  <si>
    <t>АО "ФОРАТЕК ЭТС"</t>
  </si>
  <si>
    <t>ООО "Талспецстрой"</t>
  </si>
  <si>
    <t>ООО "Уральский завод спецтехники" УЗСТ</t>
  </si>
  <si>
    <t>ООО МПК Ромкор</t>
  </si>
  <si>
    <t>ООО "Уральский маслозавод" УМЗ</t>
  </si>
  <si>
    <t>ООО "РЕСУРС"</t>
  </si>
  <si>
    <t>ЗАО "УРАЛБРОЙЛЕР"</t>
  </si>
  <si>
    <t>ООО ПКФ "ПОЛИТРАНС"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</si>
</sst>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0.0%"/>
    <numFmt numFmtId="165" formatCode="#,##0_ ;\-#,##0\ "/>
    <numFmt numFmtId="166" formatCode="_-* #,##0_-;\-* #,##0_-;_-* &quot;-&quot;??_-;_-@_-"/>
    <numFmt numFmtId="167" formatCode="0.0;\-0.0;\-"/>
    <numFmt numFmtId="168" formatCode="#,##0%"/>
    <numFmt numFmtId="169" formatCode="#,##0.0_ ;\-#,##0.0\ "/>
    <numFmt numFmtId="170" formatCode="0.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10"/>
      <color theme="1"/>
      <name val="Arial Narrow"/>
      <family val="2"/>
      <charset val="204"/>
    </font>
    <font>
      <sz val="8"/>
      <color theme="1"/>
      <name val="Arial"/>
      <family val="2"/>
      <charset val="204"/>
    </font>
    <font>
      <i/>
      <sz val="10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9.5"/>
      <color rgb="FF030303"/>
      <name val="Times New Roman"/>
      <family val="1"/>
      <charset val="204"/>
    </font>
    <font>
      <sz val="9.5"/>
      <color rgb="FF1C1C1C"/>
      <name val="Times New Roman"/>
      <family val="1"/>
      <charset val="204"/>
    </font>
    <font>
      <sz val="9.5"/>
      <color rgb="FF3D3D3D"/>
      <name val="Times New Roman"/>
      <family val="1"/>
      <charset val="204"/>
    </font>
    <font>
      <sz val="9.5"/>
      <color rgb="FF2A2A2A"/>
      <name val="Times New Roman"/>
      <family val="1"/>
      <charset val="204"/>
    </font>
    <font>
      <sz val="9.5"/>
      <color rgb="FF080808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rgb="FF00B05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rgb="FF00B05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b/>
      <sz val="16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lightGray"/>
    </fill>
    <fill>
      <patternFill patternType="lightGray">
        <bgColor theme="0" tint="-0.149998474074526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Gray">
        <bgColor theme="5" tint="0.7999511703848384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B68A8"/>
        <bgColor rgb="FF1B68A8"/>
      </patternFill>
    </fill>
    <fill>
      <patternFill patternType="solid">
        <fgColor rgb="FFF3F3F3"/>
        <bgColor rgb="FFF3F3F3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theme="8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1B68A8"/>
        <bgColor indexed="64"/>
      </patternFill>
    </fill>
    <fill>
      <patternFill patternType="solid">
        <fgColor rgb="FFA9A9A9"/>
        <bgColor indexed="64"/>
      </patternFill>
    </fill>
  </fills>
  <borders count="9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medium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6" fillId="0" borderId="1" xfId="0" applyFont="1" applyBorder="1"/>
    <xf numFmtId="3" fontId="2" fillId="5" borderId="10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 wrapText="1"/>
    </xf>
    <xf numFmtId="9" fontId="2" fillId="5" borderId="2" xfId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10" borderId="8" xfId="0" applyFill="1" applyBorder="1" applyAlignment="1">
      <alignment wrapText="1"/>
    </xf>
    <xf numFmtId="0" fontId="0" fillId="10" borderId="8" xfId="0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164" fontId="11" fillId="5" borderId="2" xfId="1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8" xfId="0" applyBorder="1"/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2" fillId="0" borderId="1" xfId="0" applyFont="1" applyBorder="1"/>
    <xf numFmtId="0" fontId="11" fillId="3" borderId="2" xfId="0" applyFont="1" applyFill="1" applyBorder="1" applyAlignment="1">
      <alignment horizontal="center" vertical="center"/>
    </xf>
    <xf numFmtId="9" fontId="0" fillId="11" borderId="2" xfId="1" applyFont="1" applyFill="1" applyBorder="1" applyAlignment="1">
      <alignment horizontal="center" vertical="center"/>
    </xf>
    <xf numFmtId="164" fontId="11" fillId="12" borderId="2" xfId="1" applyNumberFormat="1" applyFont="1" applyFill="1" applyBorder="1" applyAlignment="1">
      <alignment horizontal="center" vertical="center"/>
    </xf>
    <xf numFmtId="0" fontId="11" fillId="0" borderId="1" xfId="0" applyFont="1" applyBorder="1"/>
    <xf numFmtId="0" fontId="0" fillId="14" borderId="8" xfId="0" applyFill="1" applyBorder="1" applyAlignment="1">
      <alignment vertical="top" wrapText="1"/>
    </xf>
    <xf numFmtId="0" fontId="0" fillId="10" borderId="8" xfId="0" applyFill="1" applyBorder="1"/>
    <xf numFmtId="0" fontId="0" fillId="0" borderId="8" xfId="0" applyBorder="1" applyAlignment="1">
      <alignment wrapText="1"/>
    </xf>
    <xf numFmtId="165" fontId="11" fillId="15" borderId="17" xfId="3" applyNumberFormat="1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left" vertical="center" wrapText="1"/>
    </xf>
    <xf numFmtId="164" fontId="11" fillId="12" borderId="8" xfId="1" applyNumberFormat="1" applyFont="1" applyFill="1" applyBorder="1" applyAlignment="1">
      <alignment horizontal="center" vertical="center"/>
    </xf>
    <xf numFmtId="0" fontId="0" fillId="16" borderId="8" xfId="0" applyFill="1" applyBorder="1"/>
    <xf numFmtId="165" fontId="11" fillId="5" borderId="8" xfId="0" applyNumberFormat="1" applyFont="1" applyFill="1" applyBorder="1" applyAlignment="1">
      <alignment horizontal="center" vertical="center"/>
    </xf>
    <xf numFmtId="165" fontId="0" fillId="0" borderId="4" xfId="0" applyNumberFormat="1" applyBorder="1"/>
    <xf numFmtId="0" fontId="0" fillId="16" borderId="8" xfId="0" applyFill="1" applyBorder="1" applyAlignment="1">
      <alignment wrapText="1"/>
    </xf>
    <xf numFmtId="9" fontId="11" fillId="5" borderId="8" xfId="1" applyFont="1" applyFill="1" applyBorder="1" applyAlignment="1">
      <alignment horizontal="center" vertical="center"/>
    </xf>
    <xf numFmtId="166" fontId="0" fillId="0" borderId="1" xfId="3" applyNumberFormat="1" applyFont="1" applyBorder="1"/>
    <xf numFmtId="165" fontId="2" fillId="0" borderId="1" xfId="0" applyNumberFormat="1" applyFont="1" applyBorder="1"/>
    <xf numFmtId="165" fontId="8" fillId="5" borderId="8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5" fontId="14" fillId="0" borderId="1" xfId="0" applyNumberFormat="1" applyFont="1" applyBorder="1"/>
    <xf numFmtId="0" fontId="0" fillId="0" borderId="5" xfId="0" applyBorder="1"/>
    <xf numFmtId="0" fontId="15" fillId="17" borderId="8" xfId="0" applyFont="1" applyFill="1" applyBorder="1" applyAlignment="1">
      <alignment wrapText="1"/>
    </xf>
    <xf numFmtId="165" fontId="15" fillId="17" borderId="8" xfId="3" applyNumberFormat="1" applyFont="1" applyFill="1" applyBorder="1" applyAlignment="1">
      <alignment horizontal="center" vertical="center"/>
    </xf>
    <xf numFmtId="165" fontId="16" fillId="17" borderId="11" xfId="0" applyNumberFormat="1" applyFont="1" applyFill="1" applyBorder="1" applyAlignment="1">
      <alignment horizontal="center" vertical="center"/>
    </xf>
    <xf numFmtId="165" fontId="15" fillId="17" borderId="19" xfId="3" applyNumberFormat="1" applyFont="1" applyFill="1" applyBorder="1" applyAlignment="1">
      <alignment horizontal="center" vertical="center"/>
    </xf>
    <xf numFmtId="165" fontId="17" fillId="17" borderId="20" xfId="0" applyNumberFormat="1" applyFont="1" applyFill="1" applyBorder="1" applyAlignment="1">
      <alignment horizontal="center" vertical="center"/>
    </xf>
    <xf numFmtId="165" fontId="8" fillId="15" borderId="17" xfId="3" applyNumberFormat="1" applyFont="1" applyFill="1" applyBorder="1" applyAlignment="1">
      <alignment horizontal="center" vertical="center"/>
    </xf>
    <xf numFmtId="9" fontId="15" fillId="17" borderId="8" xfId="1" applyFont="1" applyFill="1" applyBorder="1" applyAlignment="1">
      <alignment horizontal="center" vertical="center"/>
    </xf>
    <xf numFmtId="9" fontId="16" fillId="17" borderId="12" xfId="1" applyFont="1" applyFill="1" applyBorder="1" applyAlignment="1">
      <alignment horizontal="center" vertical="center"/>
    </xf>
    <xf numFmtId="0" fontId="0" fillId="0" borderId="21" xfId="0" applyBorder="1"/>
    <xf numFmtId="165" fontId="18" fillId="0" borderId="1" xfId="0" applyNumberFormat="1" applyFont="1" applyBorder="1"/>
    <xf numFmtId="0" fontId="11" fillId="0" borderId="8" xfId="0" applyFont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9" fontId="0" fillId="21" borderId="8" xfId="1" applyFont="1" applyFill="1" applyBorder="1" applyAlignment="1">
      <alignment horizontal="center" vertical="center" wrapText="1"/>
    </xf>
    <xf numFmtId="10" fontId="0" fillId="21" borderId="8" xfId="1" applyNumberFormat="1" applyFont="1" applyFill="1" applyBorder="1" applyAlignment="1">
      <alignment horizontal="center" vertical="center" wrapText="1"/>
    </xf>
    <xf numFmtId="9" fontId="2" fillId="20" borderId="8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9" fontId="0" fillId="20" borderId="8" xfId="1" applyFont="1" applyFill="1" applyBorder="1" applyAlignment="1">
      <alignment horizontal="center" vertical="center" wrapText="1"/>
    </xf>
    <xf numFmtId="3" fontId="4" fillId="19" borderId="11" xfId="0" applyNumberFormat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43" fontId="3" fillId="0" borderId="5" xfId="3" applyFont="1" applyBorder="1" applyAlignment="1">
      <alignment horizontal="center" vertical="center" wrapText="1"/>
    </xf>
    <xf numFmtId="3" fontId="3" fillId="20" borderId="11" xfId="0" applyNumberFormat="1" applyFont="1" applyFill="1" applyBorder="1" applyAlignment="1">
      <alignment horizontal="center" vertical="center" wrapText="1"/>
    </xf>
    <xf numFmtId="3" fontId="3" fillId="21" borderId="11" xfId="0" applyNumberFormat="1" applyFont="1" applyFill="1" applyBorder="1" applyAlignment="1">
      <alignment horizontal="center" vertical="center" wrapText="1"/>
    </xf>
    <xf numFmtId="43" fontId="3" fillId="0" borderId="24" xfId="3" applyFont="1" applyBorder="1" applyAlignment="1">
      <alignment horizontal="center" vertical="center" wrapText="1"/>
    </xf>
    <xf numFmtId="9" fontId="3" fillId="0" borderId="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5" borderId="25" xfId="0" applyNumberFormat="1" applyFont="1" applyFill="1" applyBorder="1" applyAlignment="1">
      <alignment horizontal="center" vertical="center" wrapText="1"/>
    </xf>
    <xf numFmtId="3" fontId="2" fillId="5" borderId="26" xfId="0" applyNumberFormat="1" applyFont="1" applyFill="1" applyBorder="1" applyAlignment="1">
      <alignment horizontal="center" vertical="center" wrapText="1"/>
    </xf>
    <xf numFmtId="3" fontId="2" fillId="5" borderId="27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6" fontId="3" fillId="0" borderId="5" xfId="3" applyNumberFormat="1" applyFont="1" applyBorder="1" applyAlignment="1">
      <alignment horizontal="center" vertical="center" wrapText="1"/>
    </xf>
    <xf numFmtId="166" fontId="3" fillId="0" borderId="23" xfId="3" applyNumberFormat="1" applyFont="1" applyBorder="1" applyAlignment="1">
      <alignment horizontal="center" vertical="center" wrapText="1"/>
    </xf>
    <xf numFmtId="166" fontId="0" fillId="0" borderId="5" xfId="3" applyNumberFormat="1" applyFont="1" applyBorder="1" applyAlignment="1">
      <alignment horizontal="center" vertical="center" wrapText="1"/>
    </xf>
    <xf numFmtId="0" fontId="9" fillId="9" borderId="32" xfId="0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/>
    </xf>
    <xf numFmtId="9" fontId="6" fillId="0" borderId="1" xfId="1" applyFont="1" applyBorder="1"/>
    <xf numFmtId="9" fontId="0" fillId="0" borderId="1" xfId="1" applyFont="1" applyBorder="1"/>
    <xf numFmtId="3" fontId="9" fillId="9" borderId="32" xfId="0" applyNumberFormat="1" applyFont="1" applyFill="1" applyBorder="1" applyAlignment="1">
      <alignment horizontal="center" vertical="center" wrapText="1"/>
    </xf>
    <xf numFmtId="0" fontId="9" fillId="21" borderId="32" xfId="0" applyFont="1" applyFill="1" applyBorder="1" applyAlignment="1">
      <alignment horizontal="center" vertical="center" wrapText="1"/>
    </xf>
    <xf numFmtId="43" fontId="0" fillId="0" borderId="1" xfId="3" applyFont="1" applyBorder="1"/>
    <xf numFmtId="164" fontId="0" fillId="0" borderId="4" xfId="1" applyNumberFormat="1" applyFont="1" applyBorder="1"/>
    <xf numFmtId="164" fontId="11" fillId="5" borderId="8" xfId="1" applyNumberFormat="1" applyFont="1" applyFill="1" applyBorder="1" applyAlignment="1">
      <alignment horizontal="center" vertical="center"/>
    </xf>
    <xf numFmtId="1" fontId="11" fillId="5" borderId="2" xfId="0" applyNumberFormat="1" applyFont="1" applyFill="1" applyBorder="1" applyAlignment="1">
      <alignment horizontal="center" vertical="center"/>
    </xf>
    <xf numFmtId="1" fontId="0" fillId="0" borderId="2" xfId="1" applyNumberFormat="1" applyFont="1" applyFill="1" applyBorder="1" applyAlignment="1">
      <alignment horizontal="center" vertical="center"/>
    </xf>
    <xf numFmtId="9" fontId="0" fillId="0" borderId="2" xfId="1" applyFont="1" applyFill="1" applyBorder="1" applyAlignment="1">
      <alignment horizontal="center" vertical="center"/>
    </xf>
    <xf numFmtId="49" fontId="9" fillId="9" borderId="32" xfId="0" applyNumberFormat="1" applyFont="1" applyFill="1" applyBorder="1" applyAlignment="1">
      <alignment horizontal="left" vertical="center" wrapText="1"/>
    </xf>
    <xf numFmtId="0" fontId="0" fillId="0" borderId="35" xfId="0" applyBorder="1" applyAlignment="1">
      <alignment vertical="center" wrapText="1"/>
    </xf>
    <xf numFmtId="0" fontId="24" fillId="0" borderId="0" xfId="5" applyAlignment="1">
      <alignment vertical="center" wrapText="1"/>
    </xf>
    <xf numFmtId="0" fontId="23" fillId="0" borderId="0" xfId="4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14" borderId="8" xfId="0" applyFill="1" applyBorder="1" applyAlignment="1">
      <alignment horizontal="center" vertical="top"/>
    </xf>
    <xf numFmtId="0" fontId="0" fillId="14" borderId="8" xfId="0" applyFill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49" fontId="8" fillId="5" borderId="36" xfId="0" applyNumberFormat="1" applyFont="1" applyFill="1" applyBorder="1" applyAlignment="1">
      <alignment vertical="center" wrapText="1"/>
    </xf>
    <xf numFmtId="0" fontId="2" fillId="0" borderId="0" xfId="0" applyFont="1"/>
    <xf numFmtId="9" fontId="0" fillId="0" borderId="0" xfId="1" applyFont="1"/>
    <xf numFmtId="0" fontId="27" fillId="22" borderId="31" xfId="0" applyFont="1" applyFill="1" applyBorder="1" applyAlignment="1">
      <alignment horizontal="center" vertical="center" wrapText="1"/>
    </xf>
    <xf numFmtId="0" fontId="27" fillId="22" borderId="30" xfId="0" applyFont="1" applyFill="1" applyBorder="1" applyAlignment="1">
      <alignment horizontal="center" vertical="center" wrapText="1"/>
    </xf>
    <xf numFmtId="0" fontId="27" fillId="8" borderId="29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8" borderId="9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9" fontId="28" fillId="2" borderId="7" xfId="1" applyFont="1" applyFill="1" applyBorder="1" applyAlignment="1">
      <alignment horizontal="center" vertical="center" wrapText="1"/>
    </xf>
    <xf numFmtId="0" fontId="2" fillId="19" borderId="11" xfId="0" applyFont="1" applyFill="1" applyBorder="1" applyAlignment="1">
      <alignment horizontal="center" vertical="center" wrapText="1"/>
    </xf>
    <xf numFmtId="3" fontId="2" fillId="5" borderId="37" xfId="0" applyNumberFormat="1" applyFont="1" applyFill="1" applyBorder="1" applyAlignment="1">
      <alignment horizontal="center" vertical="center" wrapText="1"/>
    </xf>
    <xf numFmtId="9" fontId="2" fillId="5" borderId="25" xfId="1" applyFont="1" applyFill="1" applyBorder="1" applyAlignment="1">
      <alignment horizontal="center" vertical="center" wrapText="1"/>
    </xf>
    <xf numFmtId="164" fontId="2" fillId="5" borderId="25" xfId="1" applyNumberFormat="1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left" vertical="center"/>
    </xf>
    <xf numFmtId="3" fontId="2" fillId="5" borderId="41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9" fontId="2" fillId="5" borderId="13" xfId="1" applyFont="1" applyFill="1" applyBorder="1" applyAlignment="1">
      <alignment horizontal="center" vertical="center" wrapText="1"/>
    </xf>
    <xf numFmtId="0" fontId="30" fillId="2" borderId="42" xfId="0" applyFont="1" applyFill="1" applyBorder="1" applyAlignment="1">
      <alignment horizontal="center" vertical="center" wrapText="1"/>
    </xf>
    <xf numFmtId="10" fontId="0" fillId="0" borderId="6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5" xfId="1" applyNumberFormat="1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 wrapText="1"/>
    </xf>
    <xf numFmtId="0" fontId="2" fillId="5" borderId="13" xfId="1" applyNumberFormat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49" fontId="0" fillId="0" borderId="48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 wrapText="1"/>
    </xf>
    <xf numFmtId="165" fontId="0" fillId="0" borderId="8" xfId="3" applyNumberFormat="1" applyFon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0" applyFont="1" applyFill="1" applyAlignment="1">
      <alignment horizontal="center" vertical="center"/>
    </xf>
    <xf numFmtId="0" fontId="10" fillId="14" borderId="8" xfId="0" applyFont="1" applyFill="1" applyBorder="1" applyAlignment="1">
      <alignment horizontal="center" vertical="top" wrapText="1"/>
    </xf>
    <xf numFmtId="0" fontId="0" fillId="14" borderId="8" xfId="0" applyFill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23" fillId="0" borderId="0" xfId="4" applyAlignment="1">
      <alignment horizontal="left" vertical="top" wrapText="1"/>
    </xf>
    <xf numFmtId="0" fontId="0" fillId="0" borderId="48" xfId="0" applyBorder="1" applyAlignment="1">
      <alignment horizontal="left" vertical="center" wrapText="1"/>
    </xf>
    <xf numFmtId="0" fontId="27" fillId="22" borderId="49" xfId="0" applyFont="1" applyFill="1" applyBorder="1" applyAlignment="1">
      <alignment horizontal="center" vertical="center" wrapText="1"/>
    </xf>
    <xf numFmtId="49" fontId="8" fillId="5" borderId="38" xfId="0" applyNumberFormat="1" applyFont="1" applyFill="1" applyBorder="1" applyAlignment="1">
      <alignment vertical="center" wrapText="1"/>
    </xf>
    <xf numFmtId="49" fontId="8" fillId="5" borderId="50" xfId="0" applyNumberFormat="1" applyFont="1" applyFill="1" applyBorder="1" applyAlignment="1">
      <alignment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49" fontId="0" fillId="0" borderId="51" xfId="0" applyNumberFormat="1" applyBorder="1" applyAlignment="1">
      <alignment horizontal="center" vertical="center" wrapText="1"/>
    </xf>
    <xf numFmtId="0" fontId="0" fillId="0" borderId="51" xfId="0" applyBorder="1" applyAlignment="1">
      <alignment horizontal="left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5" fillId="15" borderId="13" xfId="0" applyFont="1" applyFill="1" applyBorder="1" applyAlignment="1">
      <alignment vertical="center" wrapText="1"/>
    </xf>
    <xf numFmtId="0" fontId="25" fillId="15" borderId="14" xfId="0" applyFont="1" applyFill="1" applyBorder="1" applyAlignment="1">
      <alignment horizontal="center" vertical="center" wrapText="1"/>
    </xf>
    <xf numFmtId="3" fontId="0" fillId="0" borderId="43" xfId="0" applyNumberFormat="1" applyBorder="1" applyAlignment="1">
      <alignment horizontal="center" vertical="center" wrapText="1"/>
    </xf>
    <xf numFmtId="3" fontId="0" fillId="0" borderId="47" xfId="0" applyNumberFormat="1" applyBorder="1" applyAlignment="1">
      <alignment horizontal="center" vertical="center" wrapText="1"/>
    </xf>
    <xf numFmtId="3" fontId="0" fillId="0" borderId="55" xfId="0" applyNumberFormat="1" applyBorder="1" applyAlignment="1">
      <alignment horizontal="center" vertical="center" wrapText="1"/>
    </xf>
    <xf numFmtId="3" fontId="0" fillId="0" borderId="44" xfId="0" applyNumberFormat="1" applyBorder="1" applyAlignment="1">
      <alignment horizontal="center" vertical="center" wrapText="1"/>
    </xf>
    <xf numFmtId="3" fontId="0" fillId="0" borderId="34" xfId="0" applyNumberFormat="1" applyBorder="1" applyAlignment="1">
      <alignment horizontal="center" vertical="center" wrapText="1"/>
    </xf>
    <xf numFmtId="3" fontId="0" fillId="0" borderId="56" xfId="0" applyNumberFormat="1" applyBorder="1" applyAlignment="1">
      <alignment horizontal="center" vertical="center" wrapText="1"/>
    </xf>
    <xf numFmtId="3" fontId="0" fillId="0" borderId="57" xfId="0" applyNumberFormat="1" applyBorder="1" applyAlignment="1">
      <alignment horizontal="center" vertical="center" wrapText="1"/>
    </xf>
    <xf numFmtId="3" fontId="0" fillId="0" borderId="58" xfId="0" applyNumberForma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2" fillId="0" borderId="6" xfId="0" applyFont="1" applyBorder="1"/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 wrapText="1"/>
    </xf>
    <xf numFmtId="0" fontId="2" fillId="23" borderId="19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0" fillId="0" borderId="61" xfId="0" applyBorder="1"/>
    <xf numFmtId="0" fontId="32" fillId="0" borderId="1" xfId="0" applyFont="1" applyBorder="1"/>
    <xf numFmtId="165" fontId="0" fillId="24" borderId="8" xfId="3" applyNumberFormat="1" applyFont="1" applyFill="1" applyBorder="1" applyAlignment="1">
      <alignment horizontal="center" vertical="center"/>
    </xf>
    <xf numFmtId="9" fontId="0" fillId="24" borderId="8" xfId="1" applyFont="1" applyFill="1" applyBorder="1" applyAlignment="1">
      <alignment horizontal="center" vertical="center"/>
    </xf>
    <xf numFmtId="0" fontId="2" fillId="5" borderId="62" xfId="0" applyFont="1" applyFill="1" applyBorder="1" applyAlignment="1">
      <alignment horizontal="center" vertical="center" wrapText="1"/>
    </xf>
    <xf numFmtId="9" fontId="2" fillId="5" borderId="38" xfId="1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5" fontId="1" fillId="0" borderId="1" xfId="3" applyNumberFormat="1" applyFont="1" applyFill="1" applyBorder="1" applyAlignment="1">
      <alignment horizontal="center" vertical="center"/>
    </xf>
    <xf numFmtId="3" fontId="0" fillId="0" borderId="34" xfId="3" applyNumberFormat="1" applyFont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33" fillId="0" borderId="1" xfId="0" applyFont="1" applyBorder="1"/>
    <xf numFmtId="0" fontId="0" fillId="0" borderId="64" xfId="0" applyBorder="1" applyAlignment="1">
      <alignment horizontal="center" vertical="center" wrapText="1"/>
    </xf>
    <xf numFmtId="0" fontId="0" fillId="0" borderId="0" xfId="0" applyAlignment="1">
      <alignment vertical="center"/>
    </xf>
    <xf numFmtId="167" fontId="0" fillId="0" borderId="2" xfId="0" applyNumberFormat="1" applyBorder="1" applyAlignment="1">
      <alignment horizontal="center" vertical="center"/>
    </xf>
    <xf numFmtId="167" fontId="0" fillId="0" borderId="2" xfId="1" applyNumberFormat="1" applyFont="1" applyFill="1" applyBorder="1" applyAlignment="1">
      <alignment horizontal="center" vertical="center"/>
    </xf>
    <xf numFmtId="164" fontId="34" fillId="0" borderId="8" xfId="1" applyNumberFormat="1" applyFont="1" applyBorder="1" applyAlignment="1">
      <alignment horizontal="center" vertical="center"/>
    </xf>
    <xf numFmtId="0" fontId="35" fillId="25" borderId="66" xfId="0" applyFont="1" applyFill="1" applyBorder="1" applyAlignment="1">
      <alignment horizontal="center" vertical="center" wrapText="1"/>
    </xf>
    <xf numFmtId="49" fontId="36" fillId="0" borderId="8" xfId="0" applyNumberFormat="1" applyFont="1" applyBorder="1" applyAlignment="1">
      <alignment horizontal="justify" vertical="center" wrapText="1"/>
    </xf>
    <xf numFmtId="0" fontId="37" fillId="26" borderId="8" xfId="0" applyFont="1" applyFill="1" applyBorder="1" applyAlignment="1" applyProtection="1">
      <alignment vertical="center" wrapText="1"/>
      <protection locked="0"/>
    </xf>
    <xf numFmtId="49" fontId="38" fillId="0" borderId="8" xfId="0" applyNumberFormat="1" applyFont="1" applyBorder="1" applyAlignment="1">
      <alignment horizontal="justify" vertical="center" wrapText="1"/>
    </xf>
    <xf numFmtId="49" fontId="36" fillId="0" borderId="8" xfId="0" applyNumberFormat="1" applyFont="1" applyBorder="1" applyAlignment="1">
      <alignment horizontal="justify" vertical="center"/>
    </xf>
    <xf numFmtId="49" fontId="38" fillId="0" borderId="8" xfId="0" applyNumberFormat="1" applyFont="1" applyBorder="1" applyAlignment="1">
      <alignment horizontal="left" vertical="center" wrapText="1"/>
    </xf>
    <xf numFmtId="49" fontId="39" fillId="0" borderId="8" xfId="0" applyNumberFormat="1" applyFont="1" applyBorder="1" applyAlignment="1">
      <alignment horizontal="justify" vertical="center" wrapText="1"/>
    </xf>
    <xf numFmtId="49" fontId="36" fillId="0" borderId="8" xfId="0" applyNumberFormat="1" applyFont="1" applyBorder="1" applyAlignment="1">
      <alignment horizontal="left" vertical="center" wrapText="1"/>
    </xf>
    <xf numFmtId="49" fontId="36" fillId="0" borderId="8" xfId="0" applyNumberFormat="1" applyFont="1" applyBorder="1" applyAlignment="1">
      <alignment horizontal="left" vertical="center"/>
    </xf>
    <xf numFmtId="49" fontId="38" fillId="18" borderId="0" xfId="0" applyNumberFormat="1" applyFont="1" applyFill="1" applyAlignment="1">
      <alignment horizontal="justify" vertical="center" wrapText="1"/>
    </xf>
    <xf numFmtId="0" fontId="0" fillId="0" borderId="67" xfId="0" applyBorder="1" applyAlignment="1">
      <alignment horizontal="center" vertical="center"/>
    </xf>
    <xf numFmtId="9" fontId="0" fillId="0" borderId="67" xfId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9" fontId="0" fillId="0" borderId="33" xfId="1" applyFont="1" applyBorder="1" applyAlignment="1">
      <alignment horizontal="center" vertical="center"/>
    </xf>
    <xf numFmtId="0" fontId="0" fillId="0" borderId="67" xfId="0" applyBorder="1" applyAlignment="1">
      <alignment horizontal="left" vertical="center"/>
    </xf>
    <xf numFmtId="0" fontId="0" fillId="0" borderId="67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10" borderId="8" xfId="0" applyFill="1" applyBorder="1" applyAlignment="1">
      <alignment horizontal="center" vertical="top" wrapText="1"/>
    </xf>
    <xf numFmtId="9" fontId="11" fillId="5" borderId="11" xfId="1" applyFont="1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top" wrapText="1"/>
    </xf>
    <xf numFmtId="0" fontId="0" fillId="23" borderId="35" xfId="0" applyFill="1" applyBorder="1" applyAlignment="1">
      <alignment vertical="center" wrapText="1"/>
    </xf>
    <xf numFmtId="0" fontId="33" fillId="16" borderId="8" xfId="0" applyFont="1" applyFill="1" applyBorder="1"/>
    <xf numFmtId="165" fontId="33" fillId="24" borderId="8" xfId="3" applyNumberFormat="1" applyFont="1" applyFill="1" applyBorder="1" applyAlignment="1">
      <alignment horizontal="center" vertical="center"/>
    </xf>
    <xf numFmtId="165" fontId="46" fillId="5" borderId="8" xfId="0" applyNumberFormat="1" applyFont="1" applyFill="1" applyBorder="1" applyAlignment="1">
      <alignment horizontal="center" vertical="center"/>
    </xf>
    <xf numFmtId="0" fontId="33" fillId="16" borderId="8" xfId="0" applyFont="1" applyFill="1" applyBorder="1" applyAlignment="1">
      <alignment wrapText="1"/>
    </xf>
    <xf numFmtId="9" fontId="33" fillId="24" borderId="8" xfId="1" applyFont="1" applyFill="1" applyBorder="1" applyAlignment="1">
      <alignment horizontal="center" vertical="center"/>
    </xf>
    <xf numFmtId="9" fontId="46" fillId="5" borderId="8" xfId="1" applyFont="1" applyFill="1" applyBorder="1" applyAlignment="1">
      <alignment horizontal="center" vertical="center"/>
    </xf>
    <xf numFmtId="0" fontId="0" fillId="0" borderId="24" xfId="0" applyBorder="1"/>
    <xf numFmtId="9" fontId="29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9" fontId="0" fillId="0" borderId="38" xfId="1" applyFont="1" applyFill="1" applyBorder="1" applyAlignment="1">
      <alignment horizontal="center" vertical="center"/>
    </xf>
    <xf numFmtId="164" fontId="11" fillId="5" borderId="40" xfId="1" applyNumberFormat="1" applyFont="1" applyFill="1" applyBorder="1" applyAlignment="1">
      <alignment horizontal="center" vertical="center"/>
    </xf>
    <xf numFmtId="1" fontId="11" fillId="5" borderId="13" xfId="0" applyNumberFormat="1" applyFont="1" applyFill="1" applyBorder="1" applyAlignment="1">
      <alignment horizontal="center" vertical="center"/>
    </xf>
    <xf numFmtId="164" fontId="34" fillId="0" borderId="12" xfId="1" applyNumberFormat="1" applyFont="1" applyBorder="1" applyAlignment="1">
      <alignment horizontal="center" vertical="center"/>
    </xf>
    <xf numFmtId="164" fontId="11" fillId="5" borderId="70" xfId="1" applyNumberFormat="1" applyFont="1" applyFill="1" applyBorder="1" applyAlignment="1">
      <alignment horizontal="center" vertical="center"/>
    </xf>
    <xf numFmtId="43" fontId="6" fillId="0" borderId="1" xfId="3" applyFont="1" applyBorder="1"/>
    <xf numFmtId="164" fontId="0" fillId="0" borderId="1" xfId="1" applyNumberFormat="1" applyFont="1" applyBorder="1"/>
    <xf numFmtId="0" fontId="2" fillId="27" borderId="33" xfId="0" applyFont="1" applyFill="1" applyBorder="1" applyAlignment="1">
      <alignment horizontal="center" vertical="center"/>
    </xf>
    <xf numFmtId="9" fontId="2" fillId="27" borderId="33" xfId="1" applyFont="1" applyFill="1" applyBorder="1" applyAlignment="1">
      <alignment horizontal="center" vertical="center"/>
    </xf>
    <xf numFmtId="164" fontId="2" fillId="27" borderId="33" xfId="1" applyNumberFormat="1" applyFont="1" applyFill="1" applyBorder="1" applyAlignment="1">
      <alignment horizontal="center" vertical="center"/>
    </xf>
    <xf numFmtId="9" fontId="29" fillId="27" borderId="0" xfId="0" applyNumberFormat="1" applyFont="1" applyFill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14" borderId="8" xfId="0" applyFill="1" applyBorder="1" applyAlignment="1">
      <alignment horizontal="left" vertical="center" wrapText="1"/>
    </xf>
    <xf numFmtId="0" fontId="0" fillId="14" borderId="8" xfId="0" applyFill="1" applyBorder="1" applyAlignment="1">
      <alignment horizontal="left" vertical="center"/>
    </xf>
    <xf numFmtId="49" fontId="0" fillId="14" borderId="8" xfId="0" applyNumberFormat="1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/>
    </xf>
    <xf numFmtId="49" fontId="0" fillId="10" borderId="8" xfId="0" quotePrefix="1" applyNumberFormat="1" applyFill="1" applyBorder="1" applyAlignment="1">
      <alignment horizontal="left" vertical="center"/>
    </xf>
    <xf numFmtId="49" fontId="0" fillId="14" borderId="8" xfId="0" quotePrefix="1" applyNumberFormat="1" applyFill="1" applyBorder="1" applyAlignment="1">
      <alignment horizontal="left" vertical="center"/>
    </xf>
    <xf numFmtId="0" fontId="0" fillId="23" borderId="35" xfId="0" applyFill="1" applyBorder="1" applyAlignment="1">
      <alignment horizontal="left" vertical="center" wrapText="1"/>
    </xf>
    <xf numFmtId="0" fontId="0" fillId="23" borderId="35" xfId="0" applyFill="1" applyBorder="1" applyAlignment="1">
      <alignment horizontal="left" vertical="center"/>
    </xf>
    <xf numFmtId="49" fontId="0" fillId="23" borderId="35" xfId="0" applyNumberFormat="1" applyFill="1" applyBorder="1" applyAlignment="1">
      <alignment horizontal="left" vertical="center"/>
    </xf>
    <xf numFmtId="49" fontId="0" fillId="10" borderId="8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0" fontId="2" fillId="23" borderId="71" xfId="0" applyFont="1" applyFill="1" applyBorder="1" applyAlignment="1">
      <alignment horizontal="center" vertical="center" wrapText="1"/>
    </xf>
    <xf numFmtId="14" fontId="2" fillId="23" borderId="71" xfId="0" applyNumberFormat="1" applyFont="1" applyFill="1" applyBorder="1" applyAlignment="1">
      <alignment horizontal="center" vertical="center" wrapText="1"/>
    </xf>
    <xf numFmtId="0" fontId="2" fillId="23" borderId="72" xfId="0" applyFont="1" applyFill="1" applyBorder="1" applyAlignment="1">
      <alignment horizontal="center" vertical="center" wrapText="1"/>
    </xf>
    <xf numFmtId="0" fontId="47" fillId="28" borderId="73" xfId="0" applyFont="1" applyFill="1" applyBorder="1" applyAlignment="1">
      <alignment horizontal="left" vertical="center"/>
    </xf>
    <xf numFmtId="0" fontId="48" fillId="28" borderId="73" xfId="0" applyFont="1" applyFill="1" applyBorder="1" applyAlignment="1">
      <alignment horizontal="left" vertical="center" wrapText="1"/>
    </xf>
    <xf numFmtId="49" fontId="47" fillId="28" borderId="73" xfId="0" applyNumberFormat="1" applyFont="1" applyFill="1" applyBorder="1" applyAlignment="1">
      <alignment horizontal="center" vertical="center"/>
    </xf>
    <xf numFmtId="10" fontId="48" fillId="28" borderId="73" xfId="1" applyNumberFormat="1" applyFont="1" applyFill="1" applyBorder="1" applyAlignment="1">
      <alignment horizontal="right" vertical="center" wrapText="1"/>
    </xf>
    <xf numFmtId="14" fontId="48" fillId="28" borderId="73" xfId="1" applyNumberFormat="1" applyFont="1" applyFill="1" applyBorder="1" applyAlignment="1">
      <alignment horizontal="center" vertical="center" wrapText="1"/>
    </xf>
    <xf numFmtId="14" fontId="48" fillId="28" borderId="74" xfId="1" applyNumberFormat="1" applyFont="1" applyFill="1" applyBorder="1" applyAlignment="1">
      <alignment horizontal="center" vertical="center" wrapText="1"/>
    </xf>
    <xf numFmtId="0" fontId="0" fillId="0" borderId="75" xfId="0" applyBorder="1" applyAlignment="1">
      <alignment wrapText="1"/>
    </xf>
    <xf numFmtId="0" fontId="47" fillId="18" borderId="8" xfId="0" applyFont="1" applyFill="1" applyBorder="1" applyAlignment="1">
      <alignment horizontal="left" vertical="center"/>
    </xf>
    <xf numFmtId="0" fontId="48" fillId="18" borderId="8" xfId="0" applyFont="1" applyFill="1" applyBorder="1" applyAlignment="1">
      <alignment horizontal="left" vertical="center" wrapText="1"/>
    </xf>
    <xf numFmtId="49" fontId="47" fillId="18" borderId="8" xfId="0" applyNumberFormat="1" applyFont="1" applyFill="1" applyBorder="1" applyAlignment="1">
      <alignment horizontal="center" vertical="center"/>
    </xf>
    <xf numFmtId="10" fontId="48" fillId="18" borderId="8" xfId="1" applyNumberFormat="1" applyFont="1" applyFill="1" applyBorder="1" applyAlignment="1">
      <alignment horizontal="right" vertical="center" wrapText="1"/>
    </xf>
    <xf numFmtId="14" fontId="48" fillId="18" borderId="8" xfId="1" applyNumberFormat="1" applyFont="1" applyFill="1" applyBorder="1" applyAlignment="1">
      <alignment horizontal="center" vertical="center" wrapText="1"/>
    </xf>
    <xf numFmtId="14" fontId="48" fillId="18" borderId="19" xfId="1" applyNumberFormat="1" applyFont="1" applyFill="1" applyBorder="1" applyAlignment="1">
      <alignment horizontal="center" vertical="center" wrapText="1"/>
    </xf>
    <xf numFmtId="0" fontId="49" fillId="0" borderId="76" xfId="0" applyFont="1" applyBorder="1" applyAlignment="1">
      <alignment wrapText="1"/>
    </xf>
    <xf numFmtId="0" fontId="47" fillId="18" borderId="77" xfId="0" applyFont="1" applyFill="1" applyBorder="1" applyAlignment="1">
      <alignment horizontal="left" vertical="center"/>
    </xf>
    <xf numFmtId="0" fontId="48" fillId="18" borderId="77" xfId="0" applyFont="1" applyFill="1" applyBorder="1" applyAlignment="1">
      <alignment horizontal="left" vertical="center" wrapText="1"/>
    </xf>
    <xf numFmtId="49" fontId="47" fillId="18" borderId="77" xfId="0" applyNumberFormat="1" applyFont="1" applyFill="1" applyBorder="1" applyAlignment="1">
      <alignment horizontal="center" vertical="center"/>
    </xf>
    <xf numFmtId="10" fontId="48" fillId="18" borderId="77" xfId="1" applyNumberFormat="1" applyFont="1" applyFill="1" applyBorder="1" applyAlignment="1">
      <alignment horizontal="right" vertical="center" wrapText="1"/>
    </xf>
    <xf numFmtId="14" fontId="48" fillId="18" borderId="77" xfId="1" applyNumberFormat="1" applyFont="1" applyFill="1" applyBorder="1" applyAlignment="1">
      <alignment horizontal="center" vertical="center" wrapText="1"/>
    </xf>
    <xf numFmtId="14" fontId="48" fillId="18" borderId="78" xfId="1" applyNumberFormat="1" applyFont="1" applyFill="1" applyBorder="1" applyAlignment="1">
      <alignment horizontal="center" vertical="center" wrapText="1"/>
    </xf>
    <xf numFmtId="0" fontId="49" fillId="0" borderId="79" xfId="0" applyFont="1" applyBorder="1" applyAlignment="1">
      <alignment wrapText="1"/>
    </xf>
    <xf numFmtId="0" fontId="47" fillId="29" borderId="73" xfId="0" applyFont="1" applyFill="1" applyBorder="1" applyAlignment="1">
      <alignment horizontal="left" vertical="center"/>
    </xf>
    <xf numFmtId="0" fontId="48" fillId="29" borderId="73" xfId="0" applyFont="1" applyFill="1" applyBorder="1" applyAlignment="1">
      <alignment horizontal="left" vertical="center" wrapText="1"/>
    </xf>
    <xf numFmtId="49" fontId="47" fillId="29" borderId="73" xfId="0" applyNumberFormat="1" applyFont="1" applyFill="1" applyBorder="1" applyAlignment="1">
      <alignment horizontal="center" vertical="center"/>
    </xf>
    <xf numFmtId="10" fontId="48" fillId="29" borderId="73" xfId="1" applyNumberFormat="1" applyFont="1" applyFill="1" applyBorder="1" applyAlignment="1">
      <alignment horizontal="right" vertical="center" wrapText="1"/>
    </xf>
    <xf numFmtId="14" fontId="48" fillId="29" borderId="73" xfId="1" applyNumberFormat="1" applyFont="1" applyFill="1" applyBorder="1" applyAlignment="1">
      <alignment horizontal="center" vertical="center" wrapText="1"/>
    </xf>
    <xf numFmtId="14" fontId="48" fillId="29" borderId="74" xfId="1" applyNumberFormat="1" applyFont="1" applyFill="1" applyBorder="1" applyAlignment="1">
      <alignment horizontal="center" vertical="center" wrapText="1"/>
    </xf>
    <xf numFmtId="0" fontId="47" fillId="28" borderId="8" xfId="0" applyFont="1" applyFill="1" applyBorder="1" applyAlignment="1">
      <alignment horizontal="left" vertical="center"/>
    </xf>
    <xf numFmtId="0" fontId="48" fillId="28" borderId="8" xfId="0" applyFont="1" applyFill="1" applyBorder="1" applyAlignment="1">
      <alignment horizontal="left" vertical="center" wrapText="1"/>
    </xf>
    <xf numFmtId="49" fontId="47" fillId="28" borderId="8" xfId="0" applyNumberFormat="1" applyFont="1" applyFill="1" applyBorder="1" applyAlignment="1">
      <alignment horizontal="center" vertical="center"/>
    </xf>
    <xf numFmtId="10" fontId="48" fillId="28" borderId="8" xfId="1" applyNumberFormat="1" applyFont="1" applyFill="1" applyBorder="1" applyAlignment="1">
      <alignment horizontal="right" vertical="center" wrapText="1"/>
    </xf>
    <xf numFmtId="14" fontId="48" fillId="28" borderId="8" xfId="1" applyNumberFormat="1" applyFont="1" applyFill="1" applyBorder="1" applyAlignment="1">
      <alignment horizontal="center" vertical="center" wrapText="1"/>
    </xf>
    <xf numFmtId="14" fontId="48" fillId="28" borderId="19" xfId="1" applyNumberFormat="1" applyFont="1" applyFill="1" applyBorder="1" applyAlignment="1">
      <alignment horizontal="center" vertical="center" wrapText="1"/>
    </xf>
    <xf numFmtId="0" fontId="0" fillId="0" borderId="76" xfId="0" applyBorder="1" applyAlignment="1">
      <alignment wrapText="1"/>
    </xf>
    <xf numFmtId="0" fontId="47" fillId="29" borderId="8" xfId="0" applyFont="1" applyFill="1" applyBorder="1" applyAlignment="1">
      <alignment horizontal="left" vertical="center"/>
    </xf>
    <xf numFmtId="0" fontId="48" fillId="29" borderId="8" xfId="0" applyFont="1" applyFill="1" applyBorder="1" applyAlignment="1">
      <alignment horizontal="left" vertical="center" wrapText="1"/>
    </xf>
    <xf numFmtId="49" fontId="47" fillId="29" borderId="8" xfId="0" applyNumberFormat="1" applyFont="1" applyFill="1" applyBorder="1" applyAlignment="1">
      <alignment horizontal="center" vertical="center"/>
    </xf>
    <xf numFmtId="10" fontId="48" fillId="29" borderId="8" xfId="1" applyNumberFormat="1" applyFont="1" applyFill="1" applyBorder="1" applyAlignment="1">
      <alignment horizontal="right" vertical="center" wrapText="1"/>
    </xf>
    <xf numFmtId="14" fontId="48" fillId="29" borderId="8" xfId="1" applyNumberFormat="1" applyFont="1" applyFill="1" applyBorder="1" applyAlignment="1">
      <alignment horizontal="center" vertical="center" wrapText="1"/>
    </xf>
    <xf numFmtId="14" fontId="48" fillId="29" borderId="19" xfId="1" applyNumberFormat="1" applyFont="1" applyFill="1" applyBorder="1" applyAlignment="1">
      <alignment horizontal="center" vertical="center" wrapText="1"/>
    </xf>
    <xf numFmtId="0" fontId="47" fillId="30" borderId="8" xfId="0" applyFont="1" applyFill="1" applyBorder="1" applyAlignment="1">
      <alignment horizontal="left" vertical="center"/>
    </xf>
    <xf numFmtId="0" fontId="48" fillId="30" borderId="8" xfId="0" applyFont="1" applyFill="1" applyBorder="1" applyAlignment="1">
      <alignment horizontal="left" vertical="center" wrapText="1"/>
    </xf>
    <xf numFmtId="49" fontId="47" fillId="30" borderId="8" xfId="0" applyNumberFormat="1" applyFont="1" applyFill="1" applyBorder="1" applyAlignment="1">
      <alignment horizontal="center" vertical="center"/>
    </xf>
    <xf numFmtId="10" fontId="48" fillId="30" borderId="8" xfId="1" applyNumberFormat="1" applyFont="1" applyFill="1" applyBorder="1" applyAlignment="1">
      <alignment horizontal="right" vertical="center" wrapText="1"/>
    </xf>
    <xf numFmtId="14" fontId="48" fillId="30" borderId="8" xfId="1" applyNumberFormat="1" applyFont="1" applyFill="1" applyBorder="1" applyAlignment="1">
      <alignment horizontal="center" vertical="center" wrapText="1"/>
    </xf>
    <xf numFmtId="14" fontId="48" fillId="30" borderId="19" xfId="1" applyNumberFormat="1" applyFont="1" applyFill="1" applyBorder="1" applyAlignment="1">
      <alignment horizontal="center" vertical="center" wrapText="1"/>
    </xf>
    <xf numFmtId="0" fontId="47" fillId="29" borderId="73" xfId="0" applyFont="1" applyFill="1" applyBorder="1" applyAlignment="1">
      <alignment horizontal="left" vertical="center" wrapText="1"/>
    </xf>
    <xf numFmtId="10" fontId="47" fillId="29" borderId="73" xfId="1" applyNumberFormat="1" applyFont="1" applyFill="1" applyBorder="1" applyAlignment="1">
      <alignment horizontal="right" vertical="center"/>
    </xf>
    <xf numFmtId="14" fontId="47" fillId="29" borderId="73" xfId="1" applyNumberFormat="1" applyFont="1" applyFill="1" applyBorder="1" applyAlignment="1">
      <alignment horizontal="center" vertical="center"/>
    </xf>
    <xf numFmtId="14" fontId="47" fillId="29" borderId="74" xfId="1" applyNumberFormat="1" applyFont="1" applyFill="1" applyBorder="1" applyAlignment="1">
      <alignment horizontal="center" vertical="center"/>
    </xf>
    <xf numFmtId="0" fontId="0" fillId="0" borderId="75" xfId="0" applyBorder="1"/>
    <xf numFmtId="0" fontId="47" fillId="18" borderId="8" xfId="0" applyFont="1" applyFill="1" applyBorder="1" applyAlignment="1">
      <alignment horizontal="left" vertical="center" wrapText="1"/>
    </xf>
    <xf numFmtId="10" fontId="47" fillId="18" borderId="8" xfId="1" applyNumberFormat="1" applyFont="1" applyFill="1" applyBorder="1" applyAlignment="1">
      <alignment horizontal="right" vertical="center"/>
    </xf>
    <xf numFmtId="14" fontId="47" fillId="18" borderId="8" xfId="1" applyNumberFormat="1" applyFont="1" applyFill="1" applyBorder="1" applyAlignment="1">
      <alignment horizontal="center" vertical="center"/>
    </xf>
    <xf numFmtId="14" fontId="47" fillId="18" borderId="19" xfId="1" applyNumberFormat="1" applyFont="1" applyFill="1" applyBorder="1" applyAlignment="1">
      <alignment horizontal="center" vertical="center"/>
    </xf>
    <xf numFmtId="0" fontId="47" fillId="18" borderId="77" xfId="0" applyFont="1" applyFill="1" applyBorder="1" applyAlignment="1">
      <alignment horizontal="left" vertical="center" wrapText="1"/>
    </xf>
    <xf numFmtId="10" fontId="47" fillId="18" borderId="77" xfId="1" applyNumberFormat="1" applyFont="1" applyFill="1" applyBorder="1" applyAlignment="1">
      <alignment horizontal="right" vertical="center" wrapText="1"/>
    </xf>
    <xf numFmtId="14" fontId="47" fillId="18" borderId="77" xfId="1" applyNumberFormat="1" applyFont="1" applyFill="1" applyBorder="1" applyAlignment="1">
      <alignment horizontal="center" vertical="center" wrapText="1"/>
    </xf>
    <xf numFmtId="14" fontId="47" fillId="18" borderId="78" xfId="1" applyNumberFormat="1" applyFont="1" applyFill="1" applyBorder="1" applyAlignment="1">
      <alignment horizontal="center" vertical="center" wrapText="1"/>
    </xf>
    <xf numFmtId="10" fontId="47" fillId="18" borderId="77" xfId="1" applyNumberFormat="1" applyFont="1" applyFill="1" applyBorder="1" applyAlignment="1">
      <alignment horizontal="right" vertical="center"/>
    </xf>
    <xf numFmtId="14" fontId="47" fillId="18" borderId="77" xfId="1" applyNumberFormat="1" applyFont="1" applyFill="1" applyBorder="1" applyAlignment="1">
      <alignment horizontal="center" vertical="center"/>
    </xf>
    <xf numFmtId="14" fontId="47" fillId="18" borderId="78" xfId="1" applyNumberFormat="1" applyFont="1" applyFill="1" applyBorder="1" applyAlignment="1">
      <alignment horizontal="center" vertical="center"/>
    </xf>
    <xf numFmtId="0" fontId="47" fillId="29" borderId="8" xfId="0" applyFont="1" applyFill="1" applyBorder="1" applyAlignment="1">
      <alignment horizontal="left" vertical="center" wrapText="1"/>
    </xf>
    <xf numFmtId="10" fontId="47" fillId="29" borderId="8" xfId="1" applyNumberFormat="1" applyFont="1" applyFill="1" applyBorder="1" applyAlignment="1">
      <alignment horizontal="right" vertical="center"/>
    </xf>
    <xf numFmtId="14" fontId="47" fillId="29" borderId="8" xfId="1" applyNumberFormat="1" applyFont="1" applyFill="1" applyBorder="1" applyAlignment="1">
      <alignment horizontal="center" vertical="center"/>
    </xf>
    <xf numFmtId="14" fontId="47" fillId="29" borderId="19" xfId="1" applyNumberFormat="1" applyFont="1" applyFill="1" applyBorder="1" applyAlignment="1">
      <alignment horizontal="center" vertical="center"/>
    </xf>
    <xf numFmtId="0" fontId="0" fillId="0" borderId="76" xfId="0" applyBorder="1"/>
    <xf numFmtId="10" fontId="47" fillId="29" borderId="8" xfId="0" applyNumberFormat="1" applyFont="1" applyFill="1" applyBorder="1" applyAlignment="1">
      <alignment horizontal="right" vertical="center"/>
    </xf>
    <xf numFmtId="14" fontId="47" fillId="29" borderId="8" xfId="0" applyNumberFormat="1" applyFont="1" applyFill="1" applyBorder="1" applyAlignment="1">
      <alignment horizontal="center" vertical="center"/>
    </xf>
    <xf numFmtId="14" fontId="47" fillId="29" borderId="19" xfId="0" applyNumberFormat="1" applyFont="1" applyFill="1" applyBorder="1" applyAlignment="1">
      <alignment horizontal="center" vertical="center"/>
    </xf>
    <xf numFmtId="0" fontId="0" fillId="29" borderId="0" xfId="0" applyFill="1"/>
    <xf numFmtId="3" fontId="0" fillId="0" borderId="80" xfId="0" applyNumberFormat="1" applyBorder="1" applyAlignment="1">
      <alignment horizontal="center" vertical="center"/>
    </xf>
    <xf numFmtId="0" fontId="50" fillId="31" borderId="34" xfId="0" applyFont="1" applyFill="1" applyBorder="1" applyAlignment="1">
      <alignment horizontal="center" vertical="center"/>
    </xf>
    <xf numFmtId="0" fontId="47" fillId="0" borderId="34" xfId="0" applyFont="1" applyBorder="1"/>
    <xf numFmtId="0" fontId="47" fillId="0" borderId="34" xfId="0" applyFont="1" applyBorder="1" applyAlignment="1">
      <alignment horizontal="center" vertical="center"/>
    </xf>
    <xf numFmtId="0" fontId="51" fillId="5" borderId="34" xfId="0" applyFont="1" applyFill="1" applyBorder="1" applyAlignment="1">
      <alignment horizontal="center" vertical="center"/>
    </xf>
    <xf numFmtId="164" fontId="47" fillId="0" borderId="34" xfId="1" applyNumberFormat="1" applyFont="1" applyBorder="1" applyAlignment="1">
      <alignment horizontal="center" vertical="center"/>
    </xf>
    <xf numFmtId="164" fontId="52" fillId="5" borderId="34" xfId="1" applyNumberFormat="1" applyFont="1" applyFill="1" applyBorder="1" applyAlignment="1">
      <alignment horizontal="center" vertical="center"/>
    </xf>
    <xf numFmtId="164" fontId="51" fillId="5" borderId="34" xfId="1" applyNumberFormat="1" applyFont="1" applyFill="1" applyBorder="1" applyAlignment="1">
      <alignment horizontal="center" vertical="center"/>
    </xf>
    <xf numFmtId="165" fontId="47" fillId="0" borderId="34" xfId="3" applyNumberFormat="1" applyFont="1" applyBorder="1" applyAlignment="1">
      <alignment horizontal="center" vertical="center"/>
    </xf>
    <xf numFmtId="165" fontId="51" fillId="5" borderId="34" xfId="3" applyNumberFormat="1" applyFont="1" applyFill="1" applyBorder="1" applyAlignment="1">
      <alignment horizontal="center" vertical="center"/>
    </xf>
    <xf numFmtId="165" fontId="47" fillId="0" borderId="34" xfId="3" applyNumberFormat="1" applyFont="1" applyFill="1" applyBorder="1" applyAlignment="1">
      <alignment horizontal="center" vertical="center"/>
    </xf>
    <xf numFmtId="9" fontId="47" fillId="0" borderId="34" xfId="1" applyFont="1" applyFill="1" applyBorder="1" applyAlignment="1">
      <alignment horizontal="center" vertical="center"/>
    </xf>
    <xf numFmtId="164" fontId="47" fillId="0" borderId="34" xfId="1" applyNumberFormat="1" applyFont="1" applyFill="1" applyBorder="1" applyAlignment="1">
      <alignment horizontal="center" vertical="center"/>
    </xf>
    <xf numFmtId="0" fontId="50" fillId="31" borderId="83" xfId="0" applyFont="1" applyFill="1" applyBorder="1" applyAlignment="1">
      <alignment horizontal="left" vertical="center" indent="2"/>
    </xf>
    <xf numFmtId="0" fontId="50" fillId="31" borderId="84" xfId="0" applyFont="1" applyFill="1" applyBorder="1" applyAlignment="1">
      <alignment horizontal="left" vertical="center" indent="2"/>
    </xf>
    <xf numFmtId="0" fontId="50" fillId="31" borderId="80" xfId="0" applyFont="1" applyFill="1" applyBorder="1" applyAlignment="1">
      <alignment horizontal="left" vertical="center" indent="2"/>
    </xf>
    <xf numFmtId="0" fontId="47" fillId="0" borderId="34" xfId="0" applyFont="1" applyBorder="1" applyAlignment="1">
      <alignment vertical="center"/>
    </xf>
    <xf numFmtId="165" fontId="51" fillId="32" borderId="34" xfId="3" applyNumberFormat="1" applyFont="1" applyFill="1" applyBorder="1" applyAlignment="1">
      <alignment horizontal="center" vertical="center"/>
    </xf>
    <xf numFmtId="0" fontId="0" fillId="0" borderId="64" xfId="0" applyBorder="1" applyAlignment="1">
      <alignment horizontal="left" vertical="center" wrapText="1"/>
    </xf>
    <xf numFmtId="0" fontId="0" fillId="0" borderId="85" xfId="0" applyBorder="1" applyAlignment="1">
      <alignment horizontal="center" vertical="center" wrapText="1"/>
    </xf>
    <xf numFmtId="0" fontId="47" fillId="0" borderId="34" xfId="1" applyNumberFormat="1" applyFont="1" applyBorder="1" applyAlignment="1">
      <alignment horizontal="center" vertical="center"/>
    </xf>
    <xf numFmtId="0" fontId="51" fillId="5" borderId="34" xfId="1" applyNumberFormat="1" applyFont="1" applyFill="1" applyBorder="1" applyAlignment="1">
      <alignment horizontal="center" vertical="center"/>
    </xf>
    <xf numFmtId="164" fontId="55" fillId="5" borderId="34" xfId="1" applyNumberFormat="1" applyFont="1" applyFill="1" applyBorder="1" applyAlignment="1">
      <alignment horizontal="center" vertical="center"/>
    </xf>
    <xf numFmtId="167" fontId="47" fillId="0" borderId="34" xfId="1" applyNumberFormat="1" applyFont="1" applyBorder="1" applyAlignment="1">
      <alignment horizontal="center" vertical="center"/>
    </xf>
    <xf numFmtId="164" fontId="56" fillId="5" borderId="34" xfId="1" applyNumberFormat="1" applyFont="1" applyFill="1" applyBorder="1" applyAlignment="1">
      <alignment horizontal="center" vertical="center"/>
    </xf>
    <xf numFmtId="0" fontId="47" fillId="0" borderId="83" xfId="0" applyFont="1" applyBorder="1" applyAlignment="1">
      <alignment vertical="center"/>
    </xf>
    <xf numFmtId="169" fontId="47" fillId="0" borderId="34" xfId="3" applyNumberFormat="1" applyFont="1" applyFill="1" applyBorder="1" applyAlignment="1">
      <alignment horizontal="center" vertical="center"/>
    </xf>
    <xf numFmtId="170" fontId="51" fillId="5" borderId="80" xfId="1" applyNumberFormat="1" applyFont="1" applyFill="1" applyBorder="1" applyAlignment="1">
      <alignment horizontal="center" vertical="center"/>
    </xf>
    <xf numFmtId="1" fontId="47" fillId="0" borderId="84" xfId="1" applyNumberFormat="1" applyFont="1" applyFill="1" applyBorder="1" applyAlignment="1">
      <alignment horizontal="center" vertical="center"/>
    </xf>
    <xf numFmtId="1" fontId="51" fillId="5" borderId="80" xfId="1" applyNumberFormat="1" applyFont="1" applyFill="1" applyBorder="1" applyAlignment="1">
      <alignment horizontal="center" vertical="center"/>
    </xf>
    <xf numFmtId="0" fontId="57" fillId="31" borderId="0" xfId="0" applyFont="1" applyFill="1" applyAlignment="1">
      <alignment horizontal="center" vertical="center"/>
    </xf>
    <xf numFmtId="164" fontId="47" fillId="0" borderId="83" xfId="1" applyNumberFormat="1" applyFont="1" applyBorder="1" applyAlignment="1">
      <alignment horizontal="center" vertical="center"/>
    </xf>
    <xf numFmtId="0" fontId="51" fillId="5" borderId="87" xfId="0" applyFont="1" applyFill="1" applyBorder="1" applyAlignment="1">
      <alignment horizontal="center" vertical="center"/>
    </xf>
    <xf numFmtId="164" fontId="51" fillId="5" borderId="52" xfId="1" applyNumberFormat="1" applyFont="1" applyFill="1" applyBorder="1" applyAlignment="1">
      <alignment horizontal="center" vertical="center"/>
    </xf>
    <xf numFmtId="164" fontId="53" fillId="5" borderId="86" xfId="1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left"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2" fontId="12" fillId="0" borderId="89" xfId="0" applyNumberFormat="1" applyFont="1" applyBorder="1" applyAlignment="1">
      <alignment horizontal="center" vertical="center"/>
    </xf>
    <xf numFmtId="0" fontId="47" fillId="0" borderId="83" xfId="0" applyFont="1" applyBorder="1" applyAlignment="1">
      <alignment vertical="center" wrapText="1"/>
    </xf>
    <xf numFmtId="3" fontId="47" fillId="0" borderId="34" xfId="1" applyNumberFormat="1" applyFont="1" applyFill="1" applyBorder="1" applyAlignment="1">
      <alignment horizontal="center" vertical="center"/>
    </xf>
    <xf numFmtId="3" fontId="51" fillId="5" borderId="34" xfId="1" applyNumberFormat="1" applyFont="1" applyFill="1" applyBorder="1" applyAlignment="1">
      <alignment horizontal="center" vertical="center"/>
    </xf>
    <xf numFmtId="0" fontId="60" fillId="31" borderId="8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8" xfId="0" applyFont="1" applyBorder="1" applyAlignment="1">
      <alignment horizontal="left" vertical="center" wrapText="1"/>
    </xf>
    <xf numFmtId="0" fontId="47" fillId="0" borderId="8" xfId="0" applyFont="1" applyBorder="1" applyAlignment="1">
      <alignment horizontal="left" vertical="center"/>
    </xf>
    <xf numFmtId="0" fontId="47" fillId="0" borderId="8" xfId="0" applyFont="1" applyBorder="1" applyAlignment="1">
      <alignment horizontal="center" vertical="center" wrapText="1"/>
    </xf>
    <xf numFmtId="168" fontId="47" fillId="0" borderId="8" xfId="1" applyNumberFormat="1" applyFont="1" applyBorder="1" applyAlignment="1">
      <alignment horizontal="center" vertical="center"/>
    </xf>
    <xf numFmtId="0" fontId="60" fillId="31" borderId="8" xfId="0" applyFont="1" applyFill="1" applyBorder="1" applyAlignment="1">
      <alignment horizontal="center" vertical="center"/>
    </xf>
    <xf numFmtId="0" fontId="47" fillId="0" borderId="8" xfId="0" applyFont="1" applyBorder="1" applyAlignment="1">
      <alignment wrapText="1"/>
    </xf>
    <xf numFmtId="0" fontId="47" fillId="0" borderId="8" xfId="0" applyFont="1" applyBorder="1" applyAlignment="1">
      <alignment vertical="top" wrapText="1"/>
    </xf>
    <xf numFmtId="164" fontId="47" fillId="0" borderId="8" xfId="1" applyNumberFormat="1" applyFont="1" applyBorder="1" applyAlignment="1">
      <alignment horizontal="center" vertical="center"/>
    </xf>
    <xf numFmtId="0" fontId="0" fillId="0" borderId="54" xfId="0" applyBorder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50" fillId="31" borderId="34" xfId="0" applyFont="1" applyFill="1" applyBorder="1" applyAlignment="1">
      <alignment horizontal="center" vertical="center"/>
    </xf>
    <xf numFmtId="0" fontId="0" fillId="15" borderId="11" xfId="0" applyFill="1" applyBorder="1" applyAlignment="1">
      <alignment horizontal="center" wrapText="1"/>
    </xf>
    <xf numFmtId="0" fontId="0" fillId="15" borderId="18" xfId="0" applyFill="1" applyBorder="1" applyAlignment="1">
      <alignment horizontal="center" wrapText="1"/>
    </xf>
    <xf numFmtId="0" fontId="45" fillId="15" borderId="24" xfId="0" applyFont="1" applyFill="1" applyBorder="1" applyAlignment="1">
      <alignment horizontal="center" vertical="center" wrapText="1"/>
    </xf>
    <xf numFmtId="0" fontId="45" fillId="15" borderId="81" xfId="0" applyFont="1" applyFill="1" applyBorder="1" applyAlignment="1">
      <alignment horizontal="center" vertical="center" wrapText="1"/>
    </xf>
    <xf numFmtId="0" fontId="45" fillId="15" borderId="82" xfId="0" applyFont="1" applyFill="1" applyBorder="1" applyAlignment="1">
      <alignment horizontal="center" vertical="center" wrapText="1"/>
    </xf>
    <xf numFmtId="0" fontId="22" fillId="7" borderId="61" xfId="0" applyFont="1" applyFill="1" applyBorder="1" applyAlignment="1">
      <alignment horizontal="center" vertical="center" wrapText="1"/>
    </xf>
    <xf numFmtId="0" fontId="22" fillId="7" borderId="0" xfId="0" applyFont="1" applyFill="1" applyAlignment="1">
      <alignment horizontal="center" vertical="center" wrapText="1"/>
    </xf>
    <xf numFmtId="0" fontId="50" fillId="31" borderId="34" xfId="0" applyFont="1" applyFill="1" applyBorder="1" applyAlignment="1">
      <alignment horizontal="left" vertical="center" indent="2"/>
    </xf>
    <xf numFmtId="0" fontId="47" fillId="32" borderId="34" xfId="0" applyFont="1" applyFill="1" applyBorder="1" applyAlignment="1">
      <alignment horizontal="left" vertical="center" wrapText="1"/>
    </xf>
    <xf numFmtId="0" fontId="54" fillId="32" borderId="34" xfId="0" applyFont="1" applyFill="1" applyBorder="1" applyAlignment="1">
      <alignment horizontal="left" vertical="center"/>
    </xf>
    <xf numFmtId="0" fontId="58" fillId="0" borderId="0" xfId="0" applyFont="1" applyAlignment="1">
      <alignment horizontal="center" wrapText="1"/>
    </xf>
    <xf numFmtId="0" fontId="58" fillId="0" borderId="0" xfId="0" applyFont="1" applyAlignment="1">
      <alignment horizontal="center"/>
    </xf>
    <xf numFmtId="0" fontId="50" fillId="31" borderId="34" xfId="0" applyFont="1" applyFill="1" applyBorder="1" applyAlignment="1">
      <alignment horizontal="center" vertical="center" wrapText="1"/>
    </xf>
    <xf numFmtId="0" fontId="26" fillId="22" borderId="28" xfId="0" applyFont="1" applyFill="1" applyBorder="1" applyAlignment="1">
      <alignment horizontal="center" vertical="center" wrapText="1"/>
    </xf>
    <xf numFmtId="0" fontId="26" fillId="22" borderId="2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3" borderId="68" xfId="0" applyFont="1" applyFill="1" applyBorder="1" applyAlignment="1">
      <alignment horizontal="center" vertical="center" wrapText="1"/>
    </xf>
    <xf numFmtId="0" fontId="2" fillId="23" borderId="69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2" fillId="23" borderId="19" xfId="0" applyFont="1" applyFill="1" applyBorder="1" applyAlignment="1">
      <alignment horizontal="center" vertical="center" wrapText="1"/>
    </xf>
    <xf numFmtId="0" fontId="2" fillId="23" borderId="59" xfId="0" applyFont="1" applyFill="1" applyBorder="1" applyAlignment="1">
      <alignment horizontal="center" vertical="center" wrapText="1"/>
    </xf>
    <xf numFmtId="0" fontId="2" fillId="23" borderId="60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6">
    <cellStyle name="Hyperlink" xfId="5" xr:uid="{2F8811EE-4E47-44A1-A3F2-67D61D5B0D83}"/>
    <cellStyle name="Гиперссылка" xfId="4" builtinId="8"/>
    <cellStyle name="Обычный" xfId="0" builtinId="0"/>
    <cellStyle name="Обычный 3" xfId="2" xr:uid="{E1A00B3C-39BE-4632-AB1F-DA9843970C15}"/>
    <cellStyle name="Процентный" xfId="1" builtinId="5"/>
    <cellStyle name="Финансовый" xfId="3" builtinId="3"/>
  </cellStyles>
  <dxfs count="107"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499984740745262"/>
        </patternFill>
      </fill>
    </dxf>
    <dxf>
      <fill>
        <gradientFill degree="180">
          <stop position="0">
            <color theme="0"/>
          </stop>
          <stop position="1">
            <color rgb="FF92D050"/>
          </stop>
        </gradientFill>
      </fill>
    </dxf>
    <dxf>
      <fill>
        <gradientFill degree="180">
          <stop position="0">
            <color theme="0"/>
          </stop>
          <stop position="1">
            <color rgb="FF92D050"/>
          </stop>
        </gradientFill>
      </fill>
    </dxf>
    <dxf>
      <fill>
        <patternFill patternType="solid">
          <fgColor rgb="FFFFFF00"/>
          <bgColor rgb="FF000000"/>
        </patternFill>
      </fill>
    </dxf>
    <dxf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charset val="204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thick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ck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thick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medium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medium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medium">
          <color theme="1"/>
        </left>
        <right style="hair">
          <color theme="1"/>
        </right>
        <top/>
        <bottom style="hair">
          <color theme="1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hair">
          <color theme="1"/>
        </left>
        <right style="medium">
          <color theme="1"/>
        </right>
        <top style="hair">
          <color theme="1"/>
        </top>
        <bottom style="hair">
          <color theme="1"/>
        </bottom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hair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1"/>
        </left>
        <right style="thick">
          <color theme="1"/>
        </right>
        <top/>
        <bottom/>
      </border>
    </dxf>
  </dxfs>
  <tableStyles count="1" defaultTableStyle="TableStyleMedium2" defaultPivotStyle="PivotStyleLight16">
    <tableStyle name="Invisible" pivot="0" table="0" count="0" xr9:uid="{A42DD034-DBDB-4D3F-8165-990DA92BE529}"/>
  </tableStyles>
  <colors>
    <mruColors>
      <color rgb="FF1B68A8"/>
      <color rgb="FF0073CF"/>
      <color rgb="FFA9A9A9"/>
      <color rgb="FFDDEBF7"/>
      <color rgb="FF00A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</xdr:colOff>
      <xdr:row>23</xdr:row>
      <xdr:rowOff>43544</xdr:rowOff>
    </xdr:from>
    <xdr:to>
      <xdr:col>3</xdr:col>
      <xdr:colOff>10885</xdr:colOff>
      <xdr:row>26</xdr:row>
      <xdr:rowOff>108858</xdr:rowOff>
    </xdr:to>
    <xdr:sp macro="" textlink="">
      <xdr:nvSpPr>
        <xdr:cNvPr id="2" name="Стрелка: вниз 1">
          <a:extLst>
            <a:ext uri="{FF2B5EF4-FFF2-40B4-BE49-F238E27FC236}">
              <a16:creationId xmlns:a16="http://schemas.microsoft.com/office/drawing/2014/main" id="{B1F81F08-DD0F-7A46-9B6D-6679D1F99D8F}"/>
            </a:ext>
          </a:extLst>
        </xdr:cNvPr>
        <xdr:cNvSpPr/>
      </xdr:nvSpPr>
      <xdr:spPr>
        <a:xfrm>
          <a:off x="4136571" y="4147458"/>
          <a:ext cx="1208314" cy="707571"/>
        </a:xfrm>
        <a:prstGeom prst="downArrow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547006</xdr:colOff>
      <xdr:row>2</xdr:row>
      <xdr:rowOff>40821</xdr:rowOff>
    </xdr:from>
    <xdr:to>
      <xdr:col>11</xdr:col>
      <xdr:colOff>1555006</xdr:colOff>
      <xdr:row>3</xdr:row>
      <xdr:rowOff>55500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>
          <a:grpSpLocks noChangeAspect="1"/>
        </xdr:cNvGrpSpPr>
      </xdr:nvGrpSpPr>
      <xdr:grpSpPr>
        <a:xfrm>
          <a:off x="14675382" y="1860656"/>
          <a:ext cx="1008000" cy="1009762"/>
          <a:chOff x="13253357" y="696712"/>
          <a:chExt cx="1014637" cy="794529"/>
        </a:xfrm>
      </xdr:grpSpPr>
      <xdr:pic>
        <xdr:nvPicPr>
          <xdr:cNvPr id="12" name="Рисунок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271211" y="696712"/>
            <a:ext cx="950418" cy="718431"/>
          </a:xfrm>
          <a:prstGeom prst="triangle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13253357" y="1211036"/>
            <a:ext cx="101463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ru-RU" sz="1200" b="1"/>
              <a:t>Банкротство</a:t>
            </a:r>
          </a:p>
        </xdr:txBody>
      </xdr:sp>
    </xdr:grpSp>
    <xdr:clientData/>
  </xdr:twoCellAnchor>
  <xdr:twoCellAnchor>
    <xdr:from>
      <xdr:col>11</xdr:col>
      <xdr:colOff>536120</xdr:colOff>
      <xdr:row>4</xdr:row>
      <xdr:rowOff>166008</xdr:rowOff>
    </xdr:from>
    <xdr:to>
      <xdr:col>11</xdr:col>
      <xdr:colOff>1544120</xdr:colOff>
      <xdr:row>4</xdr:row>
      <xdr:rowOff>1174008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>
          <a:grpSpLocks noChangeAspect="1"/>
        </xdr:cNvGrpSpPr>
      </xdr:nvGrpSpPr>
      <xdr:grpSpPr>
        <a:xfrm>
          <a:off x="14664496" y="3276761"/>
          <a:ext cx="1008000" cy="1008000"/>
          <a:chOff x="0" y="0"/>
          <a:chExt cx="1014637" cy="794529"/>
        </a:xfrm>
      </xdr:grpSpPr>
      <xdr:pic>
        <xdr:nvPicPr>
          <xdr:cNvPr id="15" name="Рисунок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854" y="0"/>
            <a:ext cx="950418" cy="718431"/>
          </a:xfrm>
          <a:prstGeom prst="triangle">
            <a:avLst/>
          </a:prstGeom>
        </xdr:spPr>
      </xdr:pic>
      <xdr:sp macro="" textlink="">
        <xdr:nvSpPr>
          <xdr:cNvPr id="16" name="TextBox 12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0" y="514324"/>
            <a:ext cx="101463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ru-RU" sz="1200" b="1"/>
              <a:t>Банкротство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ckpptrf.sharepoint.com/sites/Decomposition/Shared%20Documents/General/!&#1057;&#1074;&#1086;&#1076;%20&#1055;4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и"/>
      <sheetName val="Списки"/>
      <sheetName val="Стар"/>
      <sheetName val="Свод"/>
      <sheetName val="П4 М748"/>
      <sheetName val="П4 М801"/>
      <sheetName val="П4 5-5-5"/>
      <sheetName val="Проверка"/>
      <sheetName val="Должники по отч-ти за '20"/>
      <sheetName val="Архи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Олег Хаустов" id="{840FCD3C-00A3-4AA6-ADCB-B8883E290E99}" userId="Олег Хаустов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C528F-3682-4F89-B754-99E03574E748}" name="СводПТ" displayName="СводПТ" ref="A6:AR830" totalsRowShown="0" headerRowDxfId="106" tableBorderDxfId="105">
  <autoFilter ref="A6:AR830" xr:uid="{CA4C528F-3682-4F89-B754-99E03574E748}"/>
  <tableColumns count="44">
    <tableColumn id="1" xr3:uid="{68736611-885B-437F-9E00-407402DA31F5}" name="ИНН" dataDxfId="104"/>
    <tableColumn id="2" xr3:uid="{695330AF-1CCE-4F14-843B-D30C226F5059}" name="Наименование предприятия" dataDxfId="103"/>
    <tableColumn id="3" xr3:uid="{49F28F18-24B9-4A2B-98EE-F967630F11DC}" name="Базовый год" dataDxfId="102"/>
    <tableColumn id="4" xr3:uid="{C6C58671-F61B-49C2-9D02-0EA0D4E3C976}" name="Регион" dataDxfId="101"/>
    <tableColumn id="5" xr3:uid="{CA021AD3-F623-4AEB-8CE1-113F462CC7F6}" name="РМР" dataDxfId="100"/>
    <tableColumn id="6" xr3:uid="{6D60BEE4-E6A1-4ADC-A08B-B31D4F32C5DE}" name="Ответственный РП" dataDxfId="99"/>
    <tableColumn id="45" xr3:uid="{4920EE54-FEAA-44E7-AC41-2710615C08DA}" name="Версия" dataDxfId="98"/>
    <tableColumn id="7" xr3:uid="{88572FEE-55CC-425C-B241-CD166E91A8D4}" name="Код основного вида деятельности" dataDxfId="97"/>
    <tableColumn id="8" xr3:uid="{787516E0-E8EE-451C-A9ED-C6EFD1B66985}" name="Отрасль" dataDxfId="96"/>
    <tableColumn id="9" xr3:uid="{5D33B83C-B758-4922-8F6B-BD13F16301CC}" name="Организационно-правовая форма" dataDxfId="95"/>
    <tableColumn id="10" xr3:uid="{938BC765-FF58-4129-9BCE-22B01EC01ABB}" name="Выручка (БГ), рублей" dataDxfId="94"/>
    <tableColumn id="11" xr3:uid="{24CB0ABB-D787-4376-A557-990D4A9DA313}" name="Прямые расходы (БГ), рублей" dataDxfId="93"/>
    <tableColumn id="12" xr3:uid="{0B6AADD7-52B4-442C-8A8D-2361052DEA66}" name="Косвенные расходы (БГ), рублей" dataDxfId="92"/>
    <tableColumn id="13" xr3:uid="{C796B3DE-B3CC-4B62-A909-F0D1EA56B4A0}" name="Амортизация (БГ), рублей" dataDxfId="91"/>
    <tableColumn id="14" xr3:uid="{66740B0F-7011-490E-8E9B-071FB5ACD829}" name="ФОТ (БГ), рублей" dataDxfId="90"/>
    <tableColumn id="15" xr3:uid="{65931A95-975B-4896-97AD-631D03E434EA}" name="Сумма страховых взносов (БГ), рублей" dataDxfId="89"/>
    <tableColumn id="16" xr3:uid="{1E2152F8-7E6D-4215-BDFA-437C17E233FA}" name="Налог на имущество (БГ), рублей" dataDxfId="88"/>
    <tableColumn id="17" xr3:uid="{DC0C02CA-B8F0-4B21-867F-163E404F58DF}" name="Затраты труда (численность) (БГ), чел" dataDxfId="87"/>
    <tableColumn id="18" xr3:uid="{9FE2D18E-5911-4C73-95C7-E0568684DCDA}" name="Добавленная стоимость (БГ), рублей" dataDxfId="86"/>
    <tableColumn id="19" xr3:uid="{459A65E4-2ADF-49B7-8986-22E3C5934494}" name="ПТ (БГ), рублей/чел" dataDxfId="85"/>
    <tableColumn id="20" xr3:uid="{276CF4A1-B109-4402-BF18-069D01921B3F}" name="Прибыль (БГ), рублей" dataDxfId="84"/>
    <tableColumn id="21" xr3:uid="{BD7469F0-2B06-4FBB-AFA2-A72776F788C5}" name="Выручка, рублей " dataDxfId="83"/>
    <tableColumn id="22" xr3:uid="{313CBE26-605B-4678-B096-B69346DED391}" name="Прямые расходы, рублей " dataDxfId="82"/>
    <tableColumn id="23" xr3:uid="{D74B707F-E1DB-47BE-A252-F3223620A4DD}" name="Косвенные расходы, рублей " dataDxfId="81"/>
    <tableColumn id="24" xr3:uid="{6F953C23-BCFA-4A84-BDBB-92F6E67DE5A8}" name="Амортизация, рублей " dataDxfId="80"/>
    <tableColumn id="25" xr3:uid="{D6FB6631-AA39-4A12-982C-BD04F1591EDB}" name="ФОТ, рублей" dataDxfId="79"/>
    <tableColumn id="26" xr3:uid="{C39BF002-EA84-49EE-98D0-2F732B5C2F10}" name="Сумма страховых взносов, рублей" dataDxfId="78"/>
    <tableColumn id="27" xr3:uid="{70B2222C-1450-4C79-AB5F-5F18CBBC3C9C}" name="Налог на имущество, рублей" dataDxfId="77"/>
    <tableColumn id="28" xr3:uid="{61F72BD0-562A-4EE8-B19E-25F24DB85335}" name="Затраты труда (численность), чел" dataDxfId="76"/>
    <tableColumn id="29" xr3:uid="{A1CA329E-135D-4A66-A64B-DF0B909EBC4C}" name="Добавленная стоимость, рублей" dataDxfId="75"/>
    <tableColumn id="30" xr3:uid="{87F44737-F00A-4569-AEAD-BD4A4C0A2B5B}" name="ПТ, рублей/чел" dataDxfId="74"/>
    <tableColumn id="31" xr3:uid="{B7684485-C719-47F5-A2E1-00BF45BC8B57}" name="Прибыль, рублей" dataDxfId="73"/>
    <tableColumn id="32" xr3:uid="{A405960F-52FB-45A5-B814-55A0982F5699}" name="Δ ДС (21/БГ), рублей" dataDxfId="72"/>
    <tableColumn id="33" xr3:uid="{38283E54-7614-4616-BEF9-7A4C857D77A4}" name="Δ численность (21/БГ), человек" dataDxfId="71"/>
    <tableColumn id="43" xr3:uid="{F8370C16-A670-4455-83BB-E5CA7A90BB61}" name="Прирост ПТ_x000a_(все 10/15/30)" dataDxfId="70" dataCellStyle="Процентный"/>
    <tableColumn id="44" xr3:uid="{D61B5BB9-0878-45B1-B3F2-59F8442B9B56}" name="Прирост ПТ _x000a_(все 5/5/5)" dataDxfId="69" dataCellStyle="Процентный"/>
    <tableColumn id="42" xr3:uid="{B53B9843-C71B-4AE4-ACBB-21BED4D45CFB}" name="Цель по приросту ПТ" dataDxfId="68" dataCellStyle="Процентный"/>
    <tableColumn id="35" xr3:uid="{D644CB38-96E2-4CC1-A7B4-CFB3C3A64D06}" name="Прирост ПТ (21/БГ),%" dataDxfId="67" dataCellStyle="Процентный"/>
    <tableColumn id="36" xr3:uid="{5DFD694E-9429-4F40-AB8B-C18E8DEF0962}" name="Выполнение цели (1-Да;0-Нет)" dataDxfId="66"/>
    <tableColumn id="37" xr3:uid="{5BC7145E-2EEF-45D0-BC41-8B39ABC841E5}" name="Невыполнение (0-Да;-1-Нет)" dataDxfId="65"/>
    <tableColumn id="38" xr3:uid="{5DCD1381-B8D6-40C8-9178-95A5112EBE6D}" name="Средняя ЗП БГ" dataDxfId="64"/>
    <tableColumn id="39" xr3:uid="{8C22089E-D315-4F79-8065-389311F250CA}" name="Средняя ЗП 2020" dataDxfId="63"/>
    <tableColumn id="40" xr3:uid="{A159E825-7DF7-4C61-B971-C65EA15F5811}" name="Динамика средняя ЗП" dataDxfId="62"/>
    <tableColumn id="41" xr3:uid="{EB613944-C1DF-4D28-8100-0F3B9B6EC386}" name="Динамика ЗП, %" dataDxfId="61" dataCellStyle="Процентн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DA6A4-132F-40A2-BE4E-71C730815599}" name="Таблица143" displayName="Таблица143" ref="A1:J13" totalsRowShown="0" dataDxfId="10">
  <autoFilter ref="A1:J13" xr:uid="{520749A9-E5FC-4B2D-837A-8CCEA95CB430}"/>
  <tableColumns count="10">
    <tableColumn id="1" xr3:uid="{8BD728F9-BB4F-46FB-95E5-F8959008C8E8}" name="Регион" dataDxfId="9"/>
    <tableColumn id="2" xr3:uid="{83F49BC6-402F-4EB1-AE50-B70587321BD7}" name="РМР" dataDxfId="8"/>
    <tableColumn id="3" xr3:uid="{97DCBDBC-9108-48D6-A412-6F74A6835286}" name="ИНН" dataDxfId="7"/>
    <tableColumn id="4" xr3:uid="{0332EF8A-BAAB-4119-984C-FDE3DBF69DEE}" name="Предприятие" dataDxfId="6"/>
    <tableColumn id="8" xr3:uid="{C5B2EC84-EEA4-4CD4-838D-A366550DFCC3}" name="БГ" dataDxfId="5"/>
    <tableColumn id="7" xr3:uid="{C6BE3006-1C7C-4C7E-8589-C2D251189EF8}" name="Год отчетности" dataDxfId="4"/>
    <tableColumn id="11" xr3:uid="{0270CC38-50AD-401C-A1A8-37644A344F33}" name="Письмо на предприятие" dataDxfId="3"/>
    <tableColumn id="10" xr3:uid="{75B9F5D7-5592-4C74-B6E4-6B4F5302D1E2}" name="Письмо в РОИВ" dataDxfId="2"/>
    <tableColumn id="9" xr3:uid="{6AEC4646-DF78-478E-9414-ED5BF36D4DEF}" name="Статус" dataDxfId="1"/>
    <tableColumn id="6" xr3:uid="{28BC1350-41C8-40A6-9186-31ADDA5C15C7}" name="Комментари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22T10:25:08.79" personId="{840FCD3C-00A3-4AA6-ADCB-B8883E290E99}" id="{5565607A-D0C5-4A98-8960-31B3F64D6764}">
    <text>Зеленый - согласовано, ДЦ сохранено, приказ сохранен
Оранжевый - файлы ДЦ не сохранены
Желтый - приказ о ДЦ не сохранен
Серый - проект завершен, дц не согласовано и нет отказа
Красный - проект завершен, нет ос декомпозитора и категории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file:///\\fck.pptrf.ru\files\&#1054;&#1041;&#1065;&#1048;&#1045;%20&#1055;&#1040;&#1055;&#1050;&#1048;%20&#1060;&#1062;&#1050;\11.%20&#1054;&#1090;&#1095;&#1077;&#1090;&#1085;&#1072;&#1103;%20&#1076;&#1086;&#1082;&#1091;&#1084;&#1077;&#1085;&#1090;&#1072;&#1094;&#1080;&#1103;\&#1057;&#1072;&#1085;&#1082;&#1090;%20-%20&#1055;&#1077;&#1090;&#1077;&#1088;&#1073;&#1091;&#1088;&#1075;\&#1057;&#1082;&#1086;&#1088;&#1086;&#1093;&#1086;&#1076;\&#1057;&#1055;&#1040;&#1056;&#1050;-&#1054;&#1090;&#1095;&#1077;&#1090;_&#1054;&#1054;&#1054;_&#1060;&#1044;&#1054;_&#1057;&#1050;&#1054;&#1056;&#1054;&#1061;&#1054;&#1044;_7825128597_20220620_145816.pdf" TargetMode="External"/><Relationship Id="rId7" Type="http://schemas.openxmlformats.org/officeDocument/2006/relationships/table" Target="../tables/table2.xml"/><Relationship Id="rId2" Type="http://schemas.openxmlformats.org/officeDocument/2006/relationships/hyperlink" Target="file:///\\fck.pptrf.ru\files\&#1054;&#1041;&#1065;&#1048;&#1045;%20&#1055;&#1040;&#1055;&#1050;&#1048;%20&#1060;&#1062;&#1050;\11.%20&#1054;&#1090;&#1095;&#1077;&#1090;&#1085;&#1072;&#1103;%20&#1076;&#1086;&#1082;&#1091;&#1084;&#1077;&#1085;&#1090;&#1072;&#1094;&#1080;&#1103;\&#1063;&#1077;&#1083;&#1103;&#1073;&#1080;&#1085;&#1089;&#1082;&#1072;&#1103;%20&#1086;&#1073;&#1083;&#1072;&#1089;&#1090;&#1100;\&#1053;&#1048;&#1057;&#1052;&#1040;\&#1057;&#1055;&#1040;&#1056;&#1050;-&#1054;&#1090;&#1095;&#1077;&#1090;_&#1054;&#1054;&#1054;_&#1050;&#1055;&#1050;_&#1053;&#1048;&#1057;&#1052;&#1040;_7411000881_20210824_183620.pdf" TargetMode="External"/><Relationship Id="rId1" Type="http://schemas.openxmlformats.org/officeDocument/2006/relationships/hyperlink" Target="file:///\\fck.pptrf.ru\files\&#1054;&#1041;&#1065;&#1048;&#1045;%20&#1055;&#1040;&#1055;&#1050;&#1048;%20&#1060;&#1062;&#1050;\11.%20&#1054;&#1090;&#1095;&#1077;&#1090;&#1085;&#1072;&#1103;%20&#1076;&#1086;&#1082;&#1091;&#1084;&#1077;&#1085;&#1090;&#1072;&#1094;&#1080;&#1103;\&#1063;&#1077;&#1083;&#1103;&#1073;&#1080;&#1085;&#1089;&#1082;&#1072;&#1103;%20&#1086;&#1073;&#1083;&#1072;&#1089;&#1090;&#1100;\&#1053;&#1048;&#1057;&#1052;&#1040;\&#1055;&#1080;&#1089;&#1100;&#1084;&#1086;%20&#1086;&#1090;%20&#1056;&#1054;&#1048;&#1042;%20&#1086;%20&#1088;&#1072;&#1089;&#1090;&#1086;&#1088;&#1078;&#1077;&#1085;&#1080;&#1080;%20&#1053;&#1080;&#1089;&#1084;&#1072;.jp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DF64-33FD-40D0-82F2-6A71780334A1}">
  <sheetPr codeName="Лист1">
    <tabColor theme="9" tint="-0.249977111117893"/>
    <pageSetUpPr fitToPage="1"/>
  </sheetPr>
  <dimension ref="A1:O74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3" sqref="A3"/>
      <selection pane="bottomRight" sqref="A1:E1"/>
    </sheetView>
  </sheetViews>
  <sheetFormatPr defaultColWidth="8.6640625" defaultRowHeight="14.4" x14ac:dyDescent="0.3"/>
  <cols>
    <col min="1" max="1" width="41.88671875" style="1" bestFit="1" customWidth="1"/>
    <col min="2" max="4" width="18" style="1" customWidth="1"/>
    <col min="5" max="6" width="28.6640625" style="1" customWidth="1"/>
    <col min="7" max="7" width="21" style="1" customWidth="1"/>
    <col min="8" max="9" width="19" style="1" bestFit="1" customWidth="1"/>
    <col min="10" max="10" width="15.33203125" style="1" bestFit="1" customWidth="1"/>
    <col min="11" max="11" width="8.6640625" style="1"/>
    <col min="12" max="12" width="13.44140625" style="1" bestFit="1" customWidth="1"/>
    <col min="13" max="14" width="8.6640625" style="1"/>
    <col min="15" max="15" width="18" style="1" bestFit="1" customWidth="1"/>
    <col min="16" max="16384" width="8.6640625" style="1"/>
  </cols>
  <sheetData>
    <row r="1" spans="1:12" ht="63.75" customHeight="1" x14ac:dyDescent="0.35">
      <c r="A1" s="385" t="s">
        <v>0</v>
      </c>
      <c r="B1" s="386"/>
      <c r="C1" s="386"/>
      <c r="D1" s="386"/>
      <c r="E1" s="386"/>
      <c r="F1" s="181"/>
      <c r="G1" s="49"/>
    </row>
    <row r="2" spans="1:12" ht="40.5" customHeight="1" x14ac:dyDescent="0.3">
      <c r="A2" s="387" t="s">
        <v>1</v>
      </c>
      <c r="B2" s="387" t="s">
        <v>2</v>
      </c>
      <c r="C2" s="387"/>
      <c r="D2" s="387"/>
      <c r="E2" s="387" t="s">
        <v>3</v>
      </c>
      <c r="F2" s="393" t="s">
        <v>4</v>
      </c>
      <c r="G2" s="228" t="s">
        <v>5</v>
      </c>
      <c r="I2" s="10"/>
      <c r="J2" s="10"/>
      <c r="K2" s="10"/>
    </row>
    <row r="3" spans="1:12" ht="22.5" customHeight="1" x14ac:dyDescent="0.3">
      <c r="A3" s="387"/>
      <c r="B3" s="333">
        <f>G3-3</f>
        <v>2018</v>
      </c>
      <c r="C3" s="333">
        <f>G3-2</f>
        <v>2019</v>
      </c>
      <c r="D3" s="333">
        <f>G3-1</f>
        <v>2020</v>
      </c>
      <c r="E3" s="387"/>
      <c r="F3" s="394"/>
      <c r="G3" s="229">
        <v>2021</v>
      </c>
      <c r="H3" s="2"/>
      <c r="I3" s="10"/>
      <c r="J3" s="10"/>
      <c r="K3" s="10"/>
    </row>
    <row r="4" spans="1:12" ht="17.399999999999999" x14ac:dyDescent="0.3">
      <c r="A4" s="334" t="s">
        <v>6</v>
      </c>
      <c r="B4" s="335">
        <f>IF(B$3&gt;=$G$3,"",COUNTIF(СводПТ[Базовый год],Архив!B$3))</f>
        <v>91</v>
      </c>
      <c r="C4" s="335">
        <f>IF(C$3&gt;=$G$3,"",COUNTIF(СводПТ[Базовый год],Архив!C$3))</f>
        <v>433</v>
      </c>
      <c r="D4" s="335">
        <f>IF(D$3&gt;=$G$3,"",COUNTIF(СводПТ[Базовый год],Архив!D$3))</f>
        <v>300</v>
      </c>
      <c r="E4" s="336">
        <f>SUM(B4:D4)</f>
        <v>824</v>
      </c>
      <c r="F4" s="332" t="str">
        <f>COUNTA(Таблица143[Регион])&amp;" ("&amp;ROUND((COUNTA(Таблица143[Регион])-1)/(E4+COUNTA(Таблица143[Регион])-1)*100,1)&amp;"%)"</f>
        <v>7 (0,7%)</v>
      </c>
      <c r="G4" s="58"/>
      <c r="I4" s="10"/>
      <c r="J4" s="10"/>
      <c r="K4" s="10"/>
    </row>
    <row r="5" spans="1:12" ht="17.399999999999999" x14ac:dyDescent="0.3">
      <c r="A5" s="334" t="s">
        <v>7</v>
      </c>
      <c r="B5" s="335">
        <f>IFERROR(SUMIFS(СводПТ[Выполнение цели (1-Да;0-Нет)],СводПТ[Базовый год],Архив!B$3),"")</f>
        <v>46</v>
      </c>
      <c r="C5" s="335">
        <f>IFERROR(SUMIFS(СводПТ[Выполнение цели (1-Да;0-Нет)],СводПТ[Базовый год],Архив!C$3),"")</f>
        <v>250</v>
      </c>
      <c r="D5" s="335">
        <f>IFERROR(SUMIFS(СводПТ[Выполнение цели (1-Да;0-Нет)],СводПТ[Базовый год],Архив!D$3),"")</f>
        <v>153</v>
      </c>
      <c r="E5" s="336">
        <f>SUM(B5:D5)</f>
        <v>449</v>
      </c>
      <c r="F5" s="58"/>
      <c r="I5" s="10"/>
      <c r="J5" s="10"/>
      <c r="K5" s="10"/>
    </row>
    <row r="6" spans="1:12" ht="22.8" x14ac:dyDescent="0.3">
      <c r="A6" s="334" t="s">
        <v>8</v>
      </c>
      <c r="B6" s="337">
        <f>IFERROR(B5/B4,"")</f>
        <v>0.50549450549450547</v>
      </c>
      <c r="C6" s="337">
        <f>IFERROR(C5/C4,"")</f>
        <v>0.57736720554272514</v>
      </c>
      <c r="D6" s="337">
        <f>IFERROR(D5/D4,"")</f>
        <v>0.51</v>
      </c>
      <c r="E6" s="338">
        <f>E5/E4</f>
        <v>0.54490291262135926</v>
      </c>
      <c r="F6" s="2"/>
      <c r="I6" s="10"/>
      <c r="J6" s="10"/>
      <c r="K6" s="10"/>
    </row>
    <row r="7" spans="1:12" ht="17.399999999999999" x14ac:dyDescent="0.3">
      <c r="A7" s="334" t="s">
        <v>9</v>
      </c>
      <c r="B7" s="337">
        <f>(SUMIF(СводПТ[Базовый год],Архив!B$3,СводПТ[Добавленная стоимость, рублей])/SUMIF(СводПТ[Базовый год],Архив!B$3,СводПТ[Добавленная стоимость (БГ), рублей]))/(SUMIF(СводПТ[Базовый год],Архив!B$3,СводПТ[Затраты труда (численность), чел])/SUMIF(СводПТ[Базовый год],Архив!B$3,СводПТ[Затраты труда (численность) (БГ), чел]))-1</f>
        <v>0.54457037733706692</v>
      </c>
      <c r="C7" s="337">
        <f>(SUMIF(СводПТ[Базовый год],Архив!C$3,СводПТ[Добавленная стоимость, рублей])/SUMIF(СводПТ[Базовый год],Архив!C$3,СводПТ[Добавленная стоимость (БГ), рублей]))/(SUMIF(СводПТ[Базовый год],Архив!C$3,СводПТ[Затраты труда (численность), чел])/SUMIF(СводПТ[Базовый год],Архив!C$3,СводПТ[Затраты труда (численность) (БГ), чел]))-1</f>
        <v>0.31941648873859085</v>
      </c>
      <c r="D7" s="337">
        <f>(SUMIF(СводПТ[Базовый год],Архив!D$3,СводПТ[Добавленная стоимость, рублей])/SUMIF(СводПТ[Базовый год],Архив!D$3,СводПТ[Добавленная стоимость (БГ), рублей]))/(SUMIF(СводПТ[Базовый год],Архив!D$3,СводПТ[Затраты труда (численность), чел])/SUMIF(СводПТ[Базовый год],Архив!D$3,СводПТ[Затраты труда (численность) (БГ), чел]))-1</f>
        <v>0.10868650110578715</v>
      </c>
      <c r="E7" s="339">
        <f>(SUM(СводПТ[Добавленная стоимость, рублей])/SUM(СводПТ[Добавленная стоимость (БГ), рублей]))/(SUM(СводПТ[Затраты труда (численность), чел])/SUM(СводПТ[Затраты труда (численность) (БГ), чел]))-1</f>
        <v>0.26445732430962376</v>
      </c>
      <c r="F7" s="226"/>
      <c r="H7" s="92"/>
      <c r="I7" s="235"/>
      <c r="J7" s="10"/>
      <c r="K7" s="10"/>
      <c r="L7" s="236"/>
    </row>
    <row r="8" spans="1:12" ht="19.5" customHeight="1" x14ac:dyDescent="0.3">
      <c r="A8" s="395" t="s">
        <v>10</v>
      </c>
      <c r="B8" s="395"/>
      <c r="C8" s="395"/>
      <c r="D8" s="395"/>
      <c r="E8" s="395"/>
      <c r="F8" s="226"/>
      <c r="H8" s="92"/>
      <c r="I8" s="235"/>
      <c r="J8" s="10"/>
      <c r="K8" s="10"/>
      <c r="L8" s="236"/>
    </row>
    <row r="9" spans="1:12" ht="18.75" customHeight="1" x14ac:dyDescent="0.3">
      <c r="A9" s="334" t="s">
        <v>11</v>
      </c>
      <c r="B9" s="340">
        <f>IF(B$3&gt;=$G$3,"",SUMIF(СводПТ[Базовый год],Архив!B$3,СводПТ[Выручка, рублей ]))</f>
        <v>372202406686</v>
      </c>
      <c r="C9" s="340">
        <f>IF(C$3&gt;=$G$3,"",SUMIF(СводПТ[Базовый год],Архив!C$3,СводПТ[Выручка, рублей ]))</f>
        <v>1359001277558</v>
      </c>
      <c r="D9" s="340">
        <f>IF(D$3&gt;=$G$3,"",SUMIF(СводПТ[Базовый год],Архив!D$3,СводПТ[Выручка, рублей ]))</f>
        <v>907228780256</v>
      </c>
      <c r="E9" s="341">
        <f>SUM(B9:D9)</f>
        <v>2638432464500</v>
      </c>
      <c r="F9" s="390" t="s">
        <v>12</v>
      </c>
      <c r="H9" s="92"/>
      <c r="I9" s="235"/>
      <c r="J9" s="10"/>
      <c r="K9" s="10"/>
    </row>
    <row r="10" spans="1:12" ht="18.75" customHeight="1" x14ac:dyDescent="0.3">
      <c r="A10" s="334" t="s">
        <v>13</v>
      </c>
      <c r="B10" s="340">
        <f>SUMIF(СводПТ[Базовый год],Архив!B$3,СводПТ[Выручка, рублей ])-SUMIF(СводПТ[Базовый год],Архив!B$3,СводПТ[Выручка (БГ), рублей])</f>
        <v>92577425391</v>
      </c>
      <c r="C10" s="340">
        <f>SUMIF(СводПТ[Базовый год],Архив!C$3,СводПТ[Выручка, рублей ])-SUMIF(СводПТ[Базовый год],Архив!C$3,СводПТ[Выручка (БГ), рублей])</f>
        <v>305607401208</v>
      </c>
      <c r="D10" s="340">
        <f>SUMIF(СводПТ[Базовый год],Архив!D$3,СводПТ[Выручка, рублей ])-SUMIF(СводПТ[Базовый год],Архив!D$3,СводПТ[Выручка (БГ), рублей])</f>
        <v>154854278026.51001</v>
      </c>
      <c r="E10" s="341">
        <f>SUM(B10:D10)</f>
        <v>553039104625.51001</v>
      </c>
      <c r="F10" s="391"/>
      <c r="I10" s="10"/>
      <c r="J10" s="10"/>
      <c r="K10" s="10"/>
    </row>
    <row r="11" spans="1:12" ht="17.399999999999999" x14ac:dyDescent="0.3">
      <c r="A11" s="334" t="s">
        <v>14</v>
      </c>
      <c r="B11" s="337">
        <f>SUMIF(СводПТ[Базовый год],Архив!B$3,СводПТ[Выручка, рублей ])/SUMIF(СводПТ[Базовый год],Архив!B$3,СводПТ[Выручка (БГ), рублей])-1</f>
        <v>0.33107709104621175</v>
      </c>
      <c r="C11" s="337">
        <f>SUMIF(СводПТ[Базовый год],Архив!C$3,СводПТ[Выручка, рублей ])/SUMIF(СводПТ[Базовый год],Архив!C$3,СводПТ[Выручка (БГ), рублей])-1</f>
        <v>0.29011693353195378</v>
      </c>
      <c r="D11" s="337">
        <f>SUMIF(СводПТ[Базовый год],Архив!D$3,СводПТ[Выручка, рублей ])/SUMIF(СводПТ[Базовый год],Архив!D$3,СводПТ[Выручка (БГ), рублей])-1</f>
        <v>0.20582074162220376</v>
      </c>
      <c r="E11" s="339">
        <f>SUM(СводПТ[Выручка, рублей ])/SUM(СводПТ[Выручка (БГ), рублей])-1</f>
        <v>0.265196540502457</v>
      </c>
      <c r="F11" s="391"/>
      <c r="I11" s="10"/>
      <c r="J11" s="10"/>
      <c r="K11" s="10"/>
    </row>
    <row r="12" spans="1:12" ht="15.6" x14ac:dyDescent="0.3">
      <c r="A12" s="395" t="s">
        <v>15</v>
      </c>
      <c r="B12" s="395"/>
      <c r="C12" s="395"/>
      <c r="D12" s="395"/>
      <c r="E12" s="395"/>
      <c r="F12" s="391"/>
      <c r="I12" s="10"/>
      <c r="J12" s="10"/>
      <c r="K12" s="10"/>
    </row>
    <row r="13" spans="1:12" ht="18" thickBot="1" x14ac:dyDescent="0.35">
      <c r="A13" s="334" t="s">
        <v>16</v>
      </c>
      <c r="B13" s="342">
        <f>SUMIF(СводПТ[Базовый год],Архив!B$3,СводПТ[Добавленная стоимость, рублей])</f>
        <v>113988028506.78998</v>
      </c>
      <c r="C13" s="342">
        <f>SUMIF(СводПТ[Базовый год],Архив!C$3,СводПТ[Добавленная стоимость, рублей])</f>
        <v>373668156028.06384</v>
      </c>
      <c r="D13" s="342">
        <f>SUMIF(СводПТ[Базовый год],Архив!D$3,СводПТ[Добавленная стоимость, рублей])</f>
        <v>262579625174.491</v>
      </c>
      <c r="E13" s="341">
        <f>SUM(B13:D13)</f>
        <v>750235809709.34485</v>
      </c>
      <c r="F13" s="392"/>
      <c r="I13" s="10"/>
      <c r="J13" s="10"/>
      <c r="K13" s="10"/>
    </row>
    <row r="14" spans="1:12" ht="18.600000000000001" thickBot="1" x14ac:dyDescent="0.35">
      <c r="A14" s="334" t="s">
        <v>17</v>
      </c>
      <c r="B14" s="342">
        <f>SUMIF(СводПТ[Базовый год],Архив!B$3,СводПТ[Δ ДС (21/БГ), рублей])</f>
        <v>36712392852.970001</v>
      </c>
      <c r="C14" s="342">
        <f>SUMIF(СводПТ[Базовый год],Архив!C$3,СводПТ[Δ ДС (21/БГ), рублей])</f>
        <v>87319149837.402954</v>
      </c>
      <c r="D14" s="342">
        <f>SUMIF(СводПТ[Базовый год],Архив!D$3,СводПТ[Δ ДС (21/БГ), рублей])</f>
        <v>26523027411.413708</v>
      </c>
      <c r="E14" s="341">
        <f>SUM(B14:D14)</f>
        <v>150554570101.78665</v>
      </c>
      <c r="F14" s="35">
        <f>((E4-E34)*5600000)+(E34*16400000)</f>
        <v>4981600000</v>
      </c>
      <c r="G14" s="123">
        <f>E14/F14</f>
        <v>30.222131464145384</v>
      </c>
      <c r="I14" s="10"/>
      <c r="J14" s="10"/>
      <c r="K14" s="10"/>
    </row>
    <row r="15" spans="1:12" ht="17.399999999999999" x14ac:dyDescent="0.3">
      <c r="A15" s="334" t="s">
        <v>18</v>
      </c>
      <c r="B15" s="343">
        <f>SUMIF(СводПТ[Базовый год],Архив!B$3,СводПТ[Добавленная стоимость, рублей])/SUMIF(СводПТ[Базовый год],Архив!B$3,СводПТ[Добавленная стоимость (БГ), рублей])-1</f>
        <v>0.47508367342889879</v>
      </c>
      <c r="C15" s="343">
        <f>SUMIF(СводПТ[Базовый год],Архив!C$3,СводПТ[Добавленная стоимость, рублей])/SUMIF(СводПТ[Базовый год],Архив!C$3,СводПТ[Добавленная стоимость (БГ), рублей])-1</f>
        <v>0.30493959451447483</v>
      </c>
      <c r="D15" s="343">
        <f>SUMIF(СводПТ[Базовый год],Архив!D$3,СводПТ[Добавленная стоимость, рублей])/SUMIF(СводПТ[Базовый год],Архив!D$3,СводПТ[Добавленная стоимость (БГ), рублей])-1</f>
        <v>0.11235876337603612</v>
      </c>
      <c r="E15" s="339">
        <f>SUM(СводПТ[Добавленная стоимость, рублей])/SUM(СводПТ[Добавленная стоимость (БГ), рублей])-1</f>
        <v>0.25105766223454418</v>
      </c>
      <c r="F15" s="2"/>
      <c r="I15" s="10"/>
      <c r="J15" s="10"/>
      <c r="K15" s="10"/>
    </row>
    <row r="16" spans="1:12" ht="15.6" x14ac:dyDescent="0.3">
      <c r="A16" s="395" t="s">
        <v>19</v>
      </c>
      <c r="B16" s="395"/>
      <c r="C16" s="395"/>
      <c r="D16" s="395"/>
      <c r="E16" s="395"/>
      <c r="F16" s="2"/>
      <c r="I16" s="10"/>
      <c r="J16" s="10"/>
      <c r="K16" s="10"/>
    </row>
    <row r="17" spans="1:11" ht="17.399999999999999" x14ac:dyDescent="0.3">
      <c r="A17" s="334" t="s">
        <v>20</v>
      </c>
      <c r="B17" s="342">
        <f>SUMIF(СводПТ[Базовый год],Архив!B$3,СводПТ[Затраты труда (численность), чел])</f>
        <v>81838.583333333343</v>
      </c>
      <c r="C17" s="342">
        <f>SUMIF(СводПТ[Базовый год],Архив!C$3,СводПТ[Затраты труда (численность), чел])</f>
        <v>300472.41666666657</v>
      </c>
      <c r="D17" s="342">
        <f>SUMIF(СводПТ[Базовый год],Архив!D$3,СводПТ[Затраты труда (численность), чел])</f>
        <v>220794.91666666674</v>
      </c>
      <c r="E17" s="341">
        <f>SUM(B17:D17)</f>
        <v>603105.91666666663</v>
      </c>
      <c r="F17" s="2"/>
      <c r="I17" s="10"/>
      <c r="J17" s="88"/>
      <c r="K17" s="10"/>
    </row>
    <row r="18" spans="1:11" ht="18" thickBot="1" x14ac:dyDescent="0.35">
      <c r="A18" s="334" t="s">
        <v>21</v>
      </c>
      <c r="B18" s="342">
        <f>SUMIF(СводПТ[Базовый год],Архив!B$3,СводПТ[Δ численность (21/БГ), человек])</f>
        <v>-3855.166666666667</v>
      </c>
      <c r="C18" s="342">
        <f>SUMIF(СводПТ[Базовый год],Архив!C$3,СводПТ[Δ численность (21/БГ), человек])</f>
        <v>-3333.4166666666679</v>
      </c>
      <c r="D18" s="342">
        <f>SUMIF(СводПТ[Базовый год],Архив!D$3,СводПТ[Δ численность (21/БГ), человек])</f>
        <v>728.91666666666686</v>
      </c>
      <c r="E18" s="341">
        <f>SUM(B18:D18)</f>
        <v>-6459.6666666666679</v>
      </c>
      <c r="F18" s="2"/>
      <c r="I18" s="10"/>
      <c r="J18" s="88"/>
      <c r="K18" s="10"/>
    </row>
    <row r="19" spans="1:11" ht="18" thickBot="1" x14ac:dyDescent="0.35">
      <c r="A19" s="334" t="s">
        <v>22</v>
      </c>
      <c r="B19" s="344">
        <f>SUMIF(СводПТ[Базовый год],Архив!B$3,СводПТ[Затраты труда (численность), чел])/SUMIF(СводПТ[Базовый год],Архив!B$3,СводПТ[Затраты труда (численность) (БГ), чел])-1</f>
        <v>-4.4987722753020432E-2</v>
      </c>
      <c r="C19" s="344">
        <f>SUMIF(СводПТ[Базовый год],Архив!C$3,СводПТ[Затраты труда (численность), чел])/SUMIF(СводПТ[Базовый год],Архив!C$3,СводПТ[Затраты труда (численность) (БГ), чел])-1</f>
        <v>-1.0972194411452696E-2</v>
      </c>
      <c r="D19" s="344">
        <f>SUMIF(СводПТ[Базовый год],Архив!D$3,СводПТ[Затраты труда (численность), чел])/SUMIF(СводПТ[Базовый год],Архив!D$3,СводПТ[Затраты труда (численность) (БГ), чел])-1</f>
        <v>3.3122638965896734E-3</v>
      </c>
      <c r="E19" s="339">
        <f>SUM(СводПТ[Затраты труда (численность), чел])/SUM(СводПТ[Затраты труда (численность) (БГ), чел])-1</f>
        <v>-1.0597164346685672E-2</v>
      </c>
      <c r="F19" s="2"/>
      <c r="G19" s="25"/>
      <c r="I19" s="10"/>
      <c r="J19" s="88"/>
      <c r="K19" s="10"/>
    </row>
    <row r="20" spans="1:11" ht="16.2" thickBot="1" x14ac:dyDescent="0.35">
      <c r="A20" s="395" t="s">
        <v>23</v>
      </c>
      <c r="B20" s="395"/>
      <c r="C20" s="395"/>
      <c r="D20" s="395"/>
      <c r="E20" s="395"/>
      <c r="F20" s="2"/>
      <c r="G20" s="26"/>
      <c r="I20" s="10"/>
      <c r="J20" s="88"/>
      <c r="K20" s="10"/>
    </row>
    <row r="21" spans="1:11" ht="18" thickBot="1" x14ac:dyDescent="0.35">
      <c r="A21" s="334" t="s">
        <v>24</v>
      </c>
      <c r="B21" s="342">
        <f>SUMIF(СводПТ[Базовый год],Архив!B$3,СводПТ[ФОТ, рублей])</f>
        <v>45680497773.410004</v>
      </c>
      <c r="C21" s="342">
        <f>SUMIF(СводПТ[Базовый год],Архив!C$3,СводПТ[ФОТ, рублей])</f>
        <v>161190665623.83798</v>
      </c>
      <c r="D21" s="342">
        <f>SUMIF(СводПТ[Базовый год],Архив!D$3,СводПТ[ФОТ, рублей])</f>
        <v>121754044674.78612</v>
      </c>
      <c r="E21" s="341">
        <f>SUM(B21:D21)</f>
        <v>328625208072.03412</v>
      </c>
      <c r="F21" s="2"/>
      <c r="G21" s="26"/>
      <c r="I21" s="10"/>
      <c r="J21" s="10"/>
      <c r="K21" s="10"/>
    </row>
    <row r="22" spans="1:11" ht="18" thickBot="1" x14ac:dyDescent="0.35">
      <c r="A22" s="334" t="s">
        <v>25</v>
      </c>
      <c r="B22" s="342">
        <f>SUMIF(СводПТ[Базовый год],Архив!B$3,СводПТ[ФОТ, рублей])-SUMIF(СводПТ[Базовый год],Архив!B$3,СводПТ[ФОТ (БГ), рублей])</f>
        <v>7335775709.640007</v>
      </c>
      <c r="C22" s="342">
        <f>SUMIF(СводПТ[Базовый год],Архив!C$3,СводПТ[ФОТ, рублей])-SUMIF(СводПТ[Базовый год],Архив!C$3,СводПТ[ФОТ (БГ), рублей])</f>
        <v>22693729101.207977</v>
      </c>
      <c r="D22" s="342">
        <f>SUMIF(СводПТ[Базовый год],Архив!D$3,СводПТ[ФОТ, рублей])-SUMIF(СводПТ[Базовый год],Архив!D$3,СводПТ[ФОТ (БГ), рублей])</f>
        <v>13956268078.068832</v>
      </c>
      <c r="E22" s="341">
        <f>SUM(B22:D22)</f>
        <v>43985772888.916817</v>
      </c>
      <c r="F22" s="2"/>
      <c r="G22" s="26"/>
      <c r="J22" s="88"/>
      <c r="K22" s="10"/>
    </row>
    <row r="23" spans="1:11" ht="18" thickBot="1" x14ac:dyDescent="0.35">
      <c r="A23" s="334" t="s">
        <v>26</v>
      </c>
      <c r="B23" s="344">
        <f>SUMIF(СводПТ[Базовый год],Архив!B$3,СводПТ[ФОТ, рублей])/SUMIF(СводПТ[Базовый год],Архив!B$3,СводПТ[ФОТ (БГ), рублей])-1</f>
        <v>0.19131122393950561</v>
      </c>
      <c r="C23" s="344">
        <f>SUMIF(СводПТ[Базовый год],Архив!C$3,СводПТ[ФОТ, рублей])/SUMIF(СводПТ[Базовый год],Архив!C$3,СводПТ[ФОТ (БГ), рублей])-1</f>
        <v>0.16385726407385115</v>
      </c>
      <c r="D23" s="344">
        <f>SUMIF(СводПТ[Базовый год],Архив!D$3,СводПТ[ФОТ, рублей])/SUMIF(СводПТ[Базовый год],Архив!D$3,СводПТ[ФОТ (БГ), рублей])-1</f>
        <v>0.12946712370776159</v>
      </c>
      <c r="E23" s="339">
        <f>SUM(СводПТ[ФОТ, рублей])/SUM(СводПТ[ФОТ (БГ), рублей])-1</f>
        <v>0.15453154922338652</v>
      </c>
      <c r="F23" s="2"/>
      <c r="G23" s="26"/>
      <c r="I23" s="10"/>
      <c r="J23" s="10"/>
      <c r="K23" s="10"/>
    </row>
    <row r="24" spans="1:11" ht="21.75" customHeight="1" thickBot="1" x14ac:dyDescent="0.35">
      <c r="A24" s="3"/>
      <c r="B24" s="3"/>
      <c r="C24" s="3"/>
      <c r="D24" s="3"/>
      <c r="E24" s="3"/>
      <c r="G24" s="26"/>
      <c r="I24" s="10"/>
      <c r="J24" s="10"/>
      <c r="K24" s="10"/>
    </row>
    <row r="26" spans="1:11" x14ac:dyDescent="0.3">
      <c r="G26" s="44"/>
      <c r="H26" s="89"/>
    </row>
    <row r="27" spans="1:11" ht="21" x14ac:dyDescent="0.4">
      <c r="A27" s="182" t="s">
        <v>27</v>
      </c>
      <c r="I27" s="88"/>
      <c r="J27" s="10"/>
    </row>
    <row r="28" spans="1:11" ht="18" x14ac:dyDescent="0.3">
      <c r="A28" s="20" t="s">
        <v>1</v>
      </c>
      <c r="B28" s="20">
        <f>B3</f>
        <v>2018</v>
      </c>
      <c r="C28" s="20">
        <f>C3</f>
        <v>2019</v>
      </c>
      <c r="D28" s="20">
        <f>D3</f>
        <v>2020</v>
      </c>
      <c r="E28" s="28" t="s">
        <v>28</v>
      </c>
      <c r="F28" s="28" t="s">
        <v>29</v>
      </c>
      <c r="I28" s="10"/>
      <c r="J28" s="10"/>
    </row>
    <row r="29" spans="1:11" ht="28.8" x14ac:dyDescent="0.3">
      <c r="A29" s="169" t="s">
        <v>30</v>
      </c>
      <c r="B29" s="29"/>
      <c r="C29" s="29"/>
      <c r="D29" s="29"/>
      <c r="E29" s="30"/>
      <c r="F29" s="30"/>
    </row>
    <row r="30" spans="1:11" ht="18" x14ac:dyDescent="0.3">
      <c r="A30" s="170" t="s">
        <v>6</v>
      </c>
      <c r="B30" s="8">
        <f>COUNTIFS(СводПТ[Базовый год],Архив!B$3,СводПТ[Версия],"10/15/30")</f>
        <v>91</v>
      </c>
      <c r="C30" s="8">
        <f>COUNTIFS(СводПТ[Базовый год],Архив!C$3,СводПТ[Версия],"10/15/30")</f>
        <v>433</v>
      </c>
      <c r="D30" s="8">
        <f>COUNTIFS(СводПТ[Базовый год],Архив!D$3,СводПТ[Версия],"10/15/30")</f>
        <v>234</v>
      </c>
      <c r="E30" s="21">
        <f>SUM(B30:D30)</f>
        <v>758</v>
      </c>
      <c r="F30" s="21"/>
    </row>
    <row r="31" spans="1:11" ht="18" x14ac:dyDescent="0.3">
      <c r="A31" s="171" t="s">
        <v>31</v>
      </c>
      <c r="B31" s="96">
        <f>COUNTIFS(СводПТ[Базовый год],Архив!B$3,СводПТ[Версия],"10/15/30",СводПТ[Выполнение цели (1-Да;0-Нет)],1)</f>
        <v>46</v>
      </c>
      <c r="C31" s="96">
        <f>COUNTIFS(СводПТ[Базовый год],Архив!C$3,СводПТ[Версия],"10/15/30",СводПТ[Выполнение цели (1-Да;0-Нет)],1)</f>
        <v>250</v>
      </c>
      <c r="D31" s="96">
        <f>COUNTIFS(СводПТ[Базовый год],Архив!D$3,СводПТ[Версия],"10/15/30",СводПТ[Выполнение цели (1-Да;0-Нет)],1)</f>
        <v>117</v>
      </c>
      <c r="E31" s="95">
        <f>SUM(B31:D31)</f>
        <v>413</v>
      </c>
      <c r="F31" s="95"/>
    </row>
    <row r="32" spans="1:11" ht="18" x14ac:dyDescent="0.3">
      <c r="A32" s="171" t="s">
        <v>32</v>
      </c>
      <c r="B32" s="176">
        <f>IFERROR((B31/B30),0)</f>
        <v>0.50549450549450547</v>
      </c>
      <c r="C32" s="176">
        <f>IFERROR((C31/C30),0)</f>
        <v>0.57736720554272514</v>
      </c>
      <c r="D32" s="176">
        <f>IFERROR((D31/D30),0)</f>
        <v>0.5</v>
      </c>
      <c r="E32" s="22">
        <f>E31/E30</f>
        <v>0.54485488126649073</v>
      </c>
      <c r="F32" s="22">
        <v>0.5</v>
      </c>
    </row>
    <row r="33" spans="1:10" ht="28.8" x14ac:dyDescent="0.3">
      <c r="A33" s="169" t="s">
        <v>33</v>
      </c>
      <c r="B33" s="29"/>
      <c r="C33" s="29"/>
      <c r="D33" s="29"/>
      <c r="E33" s="30"/>
      <c r="F33" s="30"/>
    </row>
    <row r="34" spans="1:10" ht="18" x14ac:dyDescent="0.3">
      <c r="A34" s="170" t="s">
        <v>6</v>
      </c>
      <c r="B34" s="196">
        <f>COUNTIFS(СводПТ[Базовый год],Архив!B$3,СводПТ[Версия],"5/5/5")</f>
        <v>0</v>
      </c>
      <c r="C34" s="196">
        <f>COUNTIFS(СводПТ[Базовый год],Архив!C$3,СводПТ[Версия],"5/5/5")</f>
        <v>0</v>
      </c>
      <c r="D34" s="196">
        <f>COUNTIFS(СводПТ[Базовый год],Архив!D$3,СводПТ[Версия],"5/5/5")</f>
        <v>34</v>
      </c>
      <c r="E34" s="21">
        <f>SUM(B34:D34)</f>
        <v>34</v>
      </c>
      <c r="F34" s="21"/>
    </row>
    <row r="35" spans="1:10" ht="18" x14ac:dyDescent="0.3">
      <c r="A35" s="171" t="s">
        <v>34</v>
      </c>
      <c r="B35" s="197">
        <f>COUNTIFS(СводПТ[Базовый год],Архив!B$3,СводПТ[Версия],"5/5/5",СводПТ[Выполнение цели (1-Да;0-Нет)],1)</f>
        <v>0</v>
      </c>
      <c r="C35" s="197">
        <f>COUNTIFS(СводПТ[Базовый год],Архив!C$3,СводПТ[Версия],"5/5/5",СводПТ[Выполнение цели (1-Да;0-Нет)],1)</f>
        <v>0</v>
      </c>
      <c r="D35" s="197">
        <f>COUNTIFS(СводПТ[Базовый год],Архив!D$3,СводПТ[Версия],"5/5/5",СводПТ[Выполнение цели (1-Да;0-Нет)],1)</f>
        <v>21</v>
      </c>
      <c r="E35" s="95">
        <f>SUM(B35:D35)</f>
        <v>21</v>
      </c>
      <c r="F35" s="95"/>
    </row>
    <row r="36" spans="1:10" ht="18" x14ac:dyDescent="0.3">
      <c r="A36" s="171" t="s">
        <v>32</v>
      </c>
      <c r="B36" s="97" t="str">
        <f>IFERROR((B35/B34),"-")</f>
        <v>-</v>
      </c>
      <c r="C36" s="97" t="str">
        <f>IFERROR((C35/C34),"-")</f>
        <v>-</v>
      </c>
      <c r="D36" s="97">
        <f>IFERROR((D35/D34),0)</f>
        <v>0.61764705882352944</v>
      </c>
      <c r="E36" s="22">
        <f>E35/E34</f>
        <v>0.61764705882352944</v>
      </c>
      <c r="F36" s="22">
        <v>0.5</v>
      </c>
    </row>
    <row r="37" spans="1:10" ht="28.8" x14ac:dyDescent="0.3">
      <c r="A37" s="169" t="s">
        <v>35</v>
      </c>
      <c r="B37" s="29"/>
      <c r="C37" s="29"/>
      <c r="D37" s="29"/>
      <c r="E37" s="30"/>
      <c r="F37" s="30"/>
    </row>
    <row r="38" spans="1:10" ht="18" x14ac:dyDescent="0.3">
      <c r="A38" s="170" t="s">
        <v>6</v>
      </c>
      <c r="B38" s="196">
        <f>COUNTIFS(СводПТ[Базовый год],Архив!B$3,СводПТ[Версия],"10/10/10")</f>
        <v>0</v>
      </c>
      <c r="C38" s="196">
        <f>COUNTIFS(СводПТ[Базовый год],Архив!C$3,СводПТ[Версия],"10/10/10")</f>
        <v>0</v>
      </c>
      <c r="D38" s="196">
        <f>COUNTIFS(СводПТ[Базовый год],Архив!D$3,СводПТ[Версия],"10/10/10")</f>
        <v>32</v>
      </c>
      <c r="E38" s="21">
        <f>SUM(B38:D38)</f>
        <v>32</v>
      </c>
      <c r="F38" s="21"/>
    </row>
    <row r="39" spans="1:10" ht="18.600000000000001" thickBot="1" x14ac:dyDescent="0.35">
      <c r="A39" s="171" t="s">
        <v>31</v>
      </c>
      <c r="B39" s="197">
        <f>COUNTIFS(СводПТ[Базовый год],Архив!B$3,СводПТ[Версия],"10/10/10",СводПТ[Выполнение цели (1-Да;0-Нет)],1)</f>
        <v>0</v>
      </c>
      <c r="C39" s="197">
        <f>COUNTIFS(СводПТ[Базовый год],Архив!C$3,СводПТ[Версия],"10/10/10",СводПТ[Выполнение цели (1-Да;0-Нет)],1)</f>
        <v>0</v>
      </c>
      <c r="D39" s="197">
        <f>COUNTIFS(СводПТ[Базовый год],Архив!D$3,СводПТ[Версия],"10/10/10",СводПТ[Выполнение цели (1-Да;0-Нет)],1)</f>
        <v>15</v>
      </c>
      <c r="E39" s="232">
        <f>SUM(B39:D39)</f>
        <v>15</v>
      </c>
      <c r="F39" s="95"/>
    </row>
    <row r="40" spans="1:10" ht="19.2" thickTop="1" thickBot="1" x14ac:dyDescent="0.35">
      <c r="A40" s="171" t="s">
        <v>32</v>
      </c>
      <c r="B40" s="97" t="str">
        <f>IFERROR((B39/B38),"-")</f>
        <v>-</v>
      </c>
      <c r="C40" s="97" t="str">
        <f>IFERROR((C39/C38),"-")</f>
        <v>-</v>
      </c>
      <c r="D40" s="230">
        <f>IFERROR((D39/D38),0)</f>
        <v>0.46875</v>
      </c>
      <c r="E40" s="234">
        <f>E39/E38</f>
        <v>0.46875</v>
      </c>
      <c r="F40" s="231">
        <v>0.6</v>
      </c>
      <c r="G40" s="188"/>
      <c r="H40" s="188"/>
      <c r="I40" s="188"/>
      <c r="J40" s="2"/>
    </row>
    <row r="41" spans="1:10" ht="18.600000000000001" thickTop="1" x14ac:dyDescent="0.3">
      <c r="C41" s="172"/>
      <c r="D41" s="174" t="s">
        <v>36</v>
      </c>
      <c r="E41" s="233">
        <f>SUM(E31,E35,E39)/SUM(E30,E34,E38)</f>
        <v>0.54490291262135926</v>
      </c>
      <c r="F41" s="198">
        <v>0.5</v>
      </c>
      <c r="H41" s="189"/>
      <c r="I41" s="189"/>
      <c r="J41" s="2"/>
    </row>
    <row r="42" spans="1:10" x14ac:dyDescent="0.3">
      <c r="D42" s="173"/>
      <c r="E42" s="3"/>
      <c r="H42" s="189"/>
      <c r="I42" s="189"/>
      <c r="J42" s="2"/>
    </row>
    <row r="43" spans="1:10" ht="18" hidden="1" x14ac:dyDescent="0.35">
      <c r="A43" s="31" t="s">
        <v>37</v>
      </c>
      <c r="B43" s="89"/>
      <c r="C43" s="89"/>
      <c r="D43" s="89"/>
      <c r="H43" s="190"/>
      <c r="I43" s="190"/>
      <c r="J43" s="41"/>
    </row>
    <row r="44" spans="1:10" ht="18" hidden="1" x14ac:dyDescent="0.3">
      <c r="A44" s="20" t="s">
        <v>1</v>
      </c>
      <c r="B44" s="20">
        <f>B3</f>
        <v>2018</v>
      </c>
      <c r="C44" s="20">
        <f>C3</f>
        <v>2019</v>
      </c>
      <c r="D44" s="20">
        <f>D3</f>
        <v>2020</v>
      </c>
      <c r="E44" s="28" t="s">
        <v>28</v>
      </c>
      <c r="H44" s="189"/>
      <c r="I44" s="189"/>
      <c r="J44" s="2"/>
    </row>
    <row r="45" spans="1:10" ht="18" hidden="1" x14ac:dyDescent="0.3">
      <c r="A45" s="23" t="s">
        <v>6</v>
      </c>
      <c r="B45" s="175">
        <f>B$4</f>
        <v>91</v>
      </c>
      <c r="C45" s="175">
        <f>C$4</f>
        <v>433</v>
      </c>
      <c r="D45" s="175">
        <f>D$4</f>
        <v>300</v>
      </c>
      <c r="E45" s="36">
        <f>SUM(B45:D45)</f>
        <v>824</v>
      </c>
      <c r="H45" s="189"/>
      <c r="I45" s="189"/>
      <c r="J45" s="2"/>
    </row>
    <row r="46" spans="1:10" ht="28.8" hidden="1" x14ac:dyDescent="0.3">
      <c r="A46" s="37" t="s">
        <v>38</v>
      </c>
      <c r="B46" s="140"/>
      <c r="C46" s="140"/>
      <c r="D46" s="140"/>
      <c r="E46" s="38"/>
      <c r="H46" s="190"/>
      <c r="I46" s="190"/>
      <c r="J46" s="2"/>
    </row>
    <row r="47" spans="1:10" ht="18" hidden="1" x14ac:dyDescent="0.3">
      <c r="A47" s="39" t="s">
        <v>39</v>
      </c>
      <c r="B47" s="139">
        <f>SUMIF(СводПТ[Базовый год],Архив!B$3,СводПТ[Прибыль, рублей])*0.2</f>
        <v>9512015210.8000011</v>
      </c>
      <c r="C47" s="139">
        <f>SUMIF(СводПТ[Базовый год],Архив!C$3,СводПТ[Прибыль, рублей])*0.2</f>
        <v>26012843134.800003</v>
      </c>
      <c r="D47" s="139">
        <f>SUMIF(СводПТ[Базовый год],Архив!D$3,СводПТ[Прибыль, рублей])*0.2</f>
        <v>14369727534.800001</v>
      </c>
      <c r="E47" s="40">
        <f>SUM(B47:D47)</f>
        <v>49894585880.400009</v>
      </c>
      <c r="H47" s="190"/>
      <c r="I47" s="190"/>
    </row>
    <row r="48" spans="1:10" ht="18" hidden="1" x14ac:dyDescent="0.3">
      <c r="A48" s="42" t="s">
        <v>40</v>
      </c>
      <c r="B48" s="139">
        <f>(SUMIF(СводПТ[Базовый год],Архив!B$3,СводПТ[Прибыль, рублей])-SUMIF(СводПТ[Базовый год],Архив!B$3,СводПТ[Прибыль (БГ), рублей]))*0.2</f>
        <v>5178455537.6000013</v>
      </c>
      <c r="C48" s="139">
        <f>(SUMIF(СводПТ[Базовый год],Архив!C$3,СводПТ[Прибыль, рублей])-SUMIF(СводПТ[Базовый год],Архив!C$3,СводПТ[Прибыль (БГ), рублей]))*0.2</f>
        <v>10864519087.6</v>
      </c>
      <c r="D48" s="139">
        <f>(SUMIF(СводПТ[Базовый год],Архив!D$3,СводПТ[Прибыль, рублей])-SUMIF(СводПТ[Базовый год],Архив!D$3,СводПТ[Прибыль (БГ), рублей]))*0.2</f>
        <v>1224228541.9820008</v>
      </c>
      <c r="E48" s="40">
        <f>SUM(B48:D48)</f>
        <v>17267203167.182003</v>
      </c>
      <c r="F48" s="93"/>
    </row>
    <row r="49" spans="1:15" ht="18" hidden="1" x14ac:dyDescent="0.3">
      <c r="A49" s="42" t="s">
        <v>41</v>
      </c>
      <c r="B49" s="140">
        <f>(SUMIF(СводПТ[Базовый год],Архив!B$3,СводПТ[Прибыль, рублей])*0.2)/(SUMIF(СводПТ[Базовый год],Архив!B$3,СводПТ[Прибыль (БГ), рублей])*0.2)-1</f>
        <v>1.1949657852008095</v>
      </c>
      <c r="C49" s="140">
        <f>(SUMIF(СводПТ[Базовый год],Архив!C$3,СводПТ[Прибыль, рублей])*0.2)/(SUMIF(СводПТ[Базовый год],Архив!C$3,СводПТ[Прибыль (БГ), рублей])*0.2)-1</f>
        <v>0.71720931330408044</v>
      </c>
      <c r="D49" s="140">
        <f>(SUMIF(СводПТ[Базовый год],Архив!D$3,СводПТ[Прибыль, рублей])*0.2)/(SUMIF(СводПТ[Базовый год],Архив!D$3,СводПТ[Прибыль (БГ), рублей])*0.2)-1</f>
        <v>9.312910393518381E-2</v>
      </c>
      <c r="E49" s="43">
        <f>(E47/(E47-E48))-1</f>
        <v>0.52922428130242616</v>
      </c>
      <c r="F49" s="2"/>
      <c r="G49" s="44"/>
      <c r="H49" s="44"/>
      <c r="I49" s="44"/>
    </row>
    <row r="50" spans="1:15" ht="18" hidden="1" x14ac:dyDescent="0.3">
      <c r="A50" s="39" t="s">
        <v>42</v>
      </c>
      <c r="B50" s="139">
        <f>SUMIF(СводПТ[Базовый год],Архив!B$3,СводПТ[Налог на имущество, рублей])</f>
        <v>471956451</v>
      </c>
      <c r="C50" s="139">
        <f>SUMIF(СводПТ[Базовый год],Архив!C$3,СводПТ[Налог на имущество, рублей])</f>
        <v>2941564052.5700002</v>
      </c>
      <c r="D50" s="139">
        <f>SUMIF(СводПТ[Базовый год],Архив!D$3,СводПТ[Налог на имущество, рублей])</f>
        <v>2626967393</v>
      </c>
      <c r="E50" s="40">
        <f>SUM(B50:D50)</f>
        <v>6040487896.5699997</v>
      </c>
      <c r="F50" s="2"/>
    </row>
    <row r="51" spans="1:15" ht="18" hidden="1" x14ac:dyDescent="0.3">
      <c r="A51" s="42" t="s">
        <v>43</v>
      </c>
      <c r="B51" s="139">
        <f>SUMIF(СводПТ[Базовый год],Архив!B$3,СводПТ[Налог на имущество, рублей])-SUMIF(СводПТ[Базовый год],Архив!B$3,СводПТ[Налог на имущество (БГ), рублей])</f>
        <v>-153615345</v>
      </c>
      <c r="C51" s="139">
        <f>SUMIF(СводПТ[Базовый год],Архив!C$3,СводПТ[Налог на имущество, рублей])-SUMIF(СводПТ[Базовый год],Архив!C$3,СводПТ[Налог на имущество (БГ), рублей])</f>
        <v>326770478.57000017</v>
      </c>
      <c r="D51" s="139">
        <f>SUMIF(СводПТ[Базовый год],Архив!D$3,СводПТ[Налог на имущество, рублей])-SUMIF(СводПТ[Базовый год],Архив!D$3,СводПТ[Налог на имущество (БГ), рублей])</f>
        <v>257103687</v>
      </c>
      <c r="E51" s="40">
        <f>SUM(B51:D51)</f>
        <v>430258820.57000017</v>
      </c>
      <c r="F51" s="2"/>
    </row>
    <row r="52" spans="1:15" ht="18" hidden="1" x14ac:dyDescent="0.3">
      <c r="A52" s="42" t="s">
        <v>44</v>
      </c>
      <c r="B52" s="140">
        <f>(SUMIF(СводПТ[Базовый год],Архив!B$3,СводПТ[Налог на имущество, рублей])/SUMIF(СводПТ[Базовый год],Архив!B$3,СводПТ[Налог на имущество (БГ), рублей]))-1</f>
        <v>-0.24555989573417403</v>
      </c>
      <c r="C52" s="140">
        <f>(SUMIF(СводПТ[Базовый год],Архив!C$3,СводПТ[Налог на имущество, рублей])/SUMIF(СводПТ[Базовый год],Архив!C$3,СводПТ[Налог на имущество (БГ), рублей]))-1</f>
        <v>0.12496989506904765</v>
      </c>
      <c r="D52" s="140">
        <f>(SUMIF(СводПТ[Базовый год],Архив!D$3,СводПТ[Налог на имущество, рублей])/SUMIF(СводПТ[Базовый год],Архив!D$3,СводПТ[Налог на имущество (БГ), рублей]))-1</f>
        <v>0.10848880733059341</v>
      </c>
      <c r="E52" s="94">
        <f>(E50/(E50-E51))-1</f>
        <v>7.6691845331343877E-2</v>
      </c>
      <c r="F52" s="2"/>
      <c r="G52" s="45"/>
      <c r="H52" s="45"/>
      <c r="I52" s="45"/>
      <c r="J52" s="45"/>
    </row>
    <row r="53" spans="1:15" ht="18" hidden="1" x14ac:dyDescent="0.3">
      <c r="A53" s="39" t="s">
        <v>45</v>
      </c>
      <c r="B53" s="139">
        <f>SUMIF(СводПТ[Базовый год],Архив!B$3,СводПТ[Сумма страховых взносов, рублей])</f>
        <v>12825797396.380001</v>
      </c>
      <c r="C53" s="139">
        <f>SUMIF(СводПТ[Базовый год],Архив!C$3,СводПТ[Сумма страховых взносов, рублей])</f>
        <v>45956852122.655998</v>
      </c>
      <c r="D53" s="139">
        <f>SUMIF(СводПТ[Базовый год],Архив!D$3,СводПТ[Сумма страховых взносов, рублей])</f>
        <v>32667889082.705002</v>
      </c>
      <c r="E53" s="40">
        <f>SUM(B53:D53)</f>
        <v>91450538601.740997</v>
      </c>
      <c r="F53" s="2"/>
      <c r="G53" s="27"/>
      <c r="H53" s="27"/>
      <c r="I53" s="27"/>
      <c r="J53" s="27"/>
    </row>
    <row r="54" spans="1:15" ht="18" hidden="1" x14ac:dyDescent="0.3">
      <c r="A54" s="42" t="s">
        <v>46</v>
      </c>
      <c r="B54" s="139">
        <f>SUMIF(СводПТ[Базовый год],Архив!B$3,СводПТ[Сумма страховых взносов, рублей])-SUMIF(СводПТ[Базовый год],Архив!B$3,СводПТ[Сумма страховых взносов (БГ), рублей])</f>
        <v>2445394735.3300018</v>
      </c>
      <c r="C54" s="139">
        <f>SUMIF(СводПТ[Базовый год],Архив!C$3,СводПТ[Сумма страховых взносов, рублей])-SUMIF(СводПТ[Базовый год],Архив!C$3,СводПТ[Сумма страховых взносов (БГ), рублей])</f>
        <v>7672593513.625</v>
      </c>
      <c r="D54" s="139">
        <f>SUMIF(СводПТ[Базовый год],Архив!D$3,СводПТ[Сумма страховых взносов, рублей])-SUMIF(СводПТ[Базовый год],Архив!D$3,СводПТ[Сумма страховых взносов (БГ), рублей])</f>
        <v>4232187695.4349823</v>
      </c>
      <c r="E54" s="40">
        <f>SUM(B54:D54)</f>
        <v>14350175944.389984</v>
      </c>
      <c r="F54" s="2"/>
      <c r="O54" s="92"/>
    </row>
    <row r="55" spans="1:15" ht="18" hidden="1" x14ac:dyDescent="0.3">
      <c r="A55" s="42" t="s">
        <v>47</v>
      </c>
      <c r="B55" s="140">
        <f>(SUMIF(СводПТ[Базовый год],Архив!B$3,СводПТ[Сумма страховых взносов, рублей])/SUMIF(СводПТ[Базовый год],Архив!B$3,СводПТ[Сумма страховых взносов (БГ), рублей]))-1</f>
        <v>0.23557802285510232</v>
      </c>
      <c r="C55" s="140">
        <f>(SUMIF(СводПТ[Базовый год],Архив!C$3,СводПТ[Сумма страховых взносов, рублей])/SUMIF(СводПТ[Базовый год],Архив!C$3,СводПТ[Сумма страховых взносов (БГ), рублей]))-1</f>
        <v>0.20041118183793394</v>
      </c>
      <c r="D55" s="140">
        <f>(SUMIF(СводПТ[Базовый год],Архив!D$3,СводПТ[Сумма страховых взносов, рублей])/SUMIF(СводПТ[Базовый год],Архив!D$3,СводПТ[Сумма страховых взносов (БГ), рублей]))-1</f>
        <v>0.14883359611202107</v>
      </c>
      <c r="E55" s="43">
        <f>(E53/(E53-E54))-1</f>
        <v>0.18612332614004634</v>
      </c>
    </row>
    <row r="56" spans="1:15" ht="18" hidden="1" x14ac:dyDescent="0.3">
      <c r="A56" s="42" t="s">
        <v>48</v>
      </c>
      <c r="B56" s="139">
        <f>B47+B50+B53</f>
        <v>22809769058.18</v>
      </c>
      <c r="C56" s="139">
        <f>C47+C50+C53</f>
        <v>74911259310.026001</v>
      </c>
      <c r="D56" s="139">
        <f>D47+D50+D53</f>
        <v>49664584010.505005</v>
      </c>
      <c r="E56" s="40">
        <f>E47+E50+E53</f>
        <v>147385612378.711</v>
      </c>
      <c r="F56" s="2"/>
      <c r="G56" s="47"/>
      <c r="H56" s="47"/>
      <c r="I56" s="47"/>
      <c r="J56" s="47"/>
    </row>
    <row r="57" spans="1:15" ht="21" hidden="1" x14ac:dyDescent="0.3">
      <c r="A57" s="42" t="s">
        <v>49</v>
      </c>
      <c r="B57" s="139">
        <f>SUM(B48,B51,B54)</f>
        <v>7470234927.9300032</v>
      </c>
      <c r="C57" s="139">
        <f>SUM(C48,C51,C54)</f>
        <v>18863883079.794998</v>
      </c>
      <c r="D57" s="139">
        <f>SUM(D48,D51,D54)</f>
        <v>5713519924.4169827</v>
      </c>
      <c r="E57" s="46">
        <f>SUM(E48,E51,E54)</f>
        <v>32047637932.141987</v>
      </c>
      <c r="G57" s="48"/>
      <c r="H57" s="48"/>
      <c r="I57" s="48"/>
      <c r="J57" s="48"/>
    </row>
    <row r="58" spans="1:15" ht="18" hidden="1" x14ac:dyDescent="0.3">
      <c r="A58" s="42" t="s">
        <v>50</v>
      </c>
      <c r="B58" s="140">
        <f>(B56/(B56-B57))-1</f>
        <v>0.48699229484411055</v>
      </c>
      <c r="C58" s="140">
        <f>(C56/(C56-C57))-1</f>
        <v>0.33657031512601199</v>
      </c>
      <c r="D58" s="140">
        <f>(D56/(D56-D57))-1</f>
        <v>0.12999730594066561</v>
      </c>
      <c r="E58" s="43">
        <f>(E56/(E56-E57))-1</f>
        <v>0.27785851178605747</v>
      </c>
    </row>
    <row r="59" spans="1:15" ht="18" hidden="1" x14ac:dyDescent="0.3">
      <c r="A59" s="24" t="s">
        <v>39</v>
      </c>
      <c r="B59" s="183"/>
      <c r="C59" s="183"/>
      <c r="D59" s="183"/>
      <c r="E59" s="40">
        <f>SUM(B59:D59)</f>
        <v>0</v>
      </c>
    </row>
    <row r="60" spans="1:15" ht="18" hidden="1" x14ac:dyDescent="0.3">
      <c r="A60" s="34" t="s">
        <v>40</v>
      </c>
      <c r="B60" s="183"/>
      <c r="C60" s="183"/>
      <c r="D60" s="183"/>
      <c r="E60" s="40">
        <f>SUM(B60:D60)</f>
        <v>0</v>
      </c>
    </row>
    <row r="61" spans="1:15" ht="18" hidden="1" x14ac:dyDescent="0.3">
      <c r="A61" s="34" t="s">
        <v>41</v>
      </c>
      <c r="B61" s="184"/>
      <c r="C61" s="184"/>
      <c r="D61" s="184"/>
      <c r="E61" s="43" t="e">
        <f>E60/J56</f>
        <v>#DIV/0!</v>
      </c>
      <c r="F61" s="49"/>
    </row>
    <row r="62" spans="1:15" ht="23.25" hidden="1" customHeight="1" x14ac:dyDescent="0.3">
      <c r="A62" s="220" t="s">
        <v>42</v>
      </c>
      <c r="B62" s="221"/>
      <c r="C62" s="221"/>
      <c r="D62" s="221"/>
      <c r="E62" s="222">
        <f>SUM(B62:D62)</f>
        <v>0</v>
      </c>
      <c r="F62" s="388" t="str">
        <f>F9</f>
        <v>Затраты бюджета на реализацию проектов на предприятиях 
(5,6 млн руб./проект стандартной поддержки, 16,4 млн руб./проект расширенной поддержки), руб.</v>
      </c>
    </row>
    <row r="63" spans="1:15" ht="18" hidden="1" x14ac:dyDescent="0.3">
      <c r="A63" s="223" t="s">
        <v>43</v>
      </c>
      <c r="B63" s="221"/>
      <c r="C63" s="221"/>
      <c r="D63" s="221"/>
      <c r="E63" s="222">
        <f>SUM(B63:D63)</f>
        <v>0</v>
      </c>
      <c r="F63" s="389"/>
      <c r="G63" s="193"/>
    </row>
    <row r="64" spans="1:15" ht="18.600000000000001" hidden="1" thickBot="1" x14ac:dyDescent="0.35">
      <c r="A64" s="223" t="s">
        <v>44</v>
      </c>
      <c r="B64" s="224"/>
      <c r="C64" s="224"/>
      <c r="D64" s="224"/>
      <c r="E64" s="225">
        <v>-0.02</v>
      </c>
      <c r="F64" s="389"/>
    </row>
    <row r="65" spans="1:12" ht="21.6" hidden="1" thickBot="1" x14ac:dyDescent="0.35">
      <c r="A65" s="220" t="s">
        <v>45</v>
      </c>
      <c r="B65" s="221"/>
      <c r="C65" s="221"/>
      <c r="D65" s="221"/>
      <c r="E65" s="222">
        <f>SUM(B65:D65)</f>
        <v>0</v>
      </c>
      <c r="F65" s="55">
        <f>F14</f>
        <v>4981600000</v>
      </c>
      <c r="G65" s="45"/>
      <c r="H65" s="45"/>
      <c r="I65" s="45"/>
      <c r="J65" s="45"/>
      <c r="L65" s="47"/>
    </row>
    <row r="66" spans="1:12" ht="18" hidden="1" x14ac:dyDescent="0.3">
      <c r="A66" s="223" t="s">
        <v>46</v>
      </c>
      <c r="B66" s="221"/>
      <c r="C66" s="221"/>
      <c r="D66" s="221"/>
      <c r="E66" s="222">
        <f>SUM(B66:D66)</f>
        <v>0</v>
      </c>
      <c r="F66" s="58"/>
    </row>
    <row r="67" spans="1:12" ht="18" hidden="1" x14ac:dyDescent="0.3">
      <c r="A67" s="223" t="s">
        <v>47</v>
      </c>
      <c r="B67" s="224"/>
      <c r="C67" s="224"/>
      <c r="D67" s="224"/>
      <c r="E67" s="225">
        <v>0.06</v>
      </c>
    </row>
    <row r="68" spans="1:12" ht="18" hidden="1" x14ac:dyDescent="0.3">
      <c r="A68" s="24" t="s">
        <v>51</v>
      </c>
      <c r="B68" s="184"/>
      <c r="C68" s="184"/>
      <c r="D68" s="184"/>
      <c r="E68" s="217"/>
    </row>
    <row r="69" spans="1:12" ht="18" hidden="1" x14ac:dyDescent="0.3">
      <c r="A69" s="34" t="s">
        <v>52</v>
      </c>
      <c r="B69" s="184"/>
      <c r="C69" s="184"/>
      <c r="D69" s="184"/>
      <c r="E69" s="217"/>
    </row>
    <row r="70" spans="1:12" ht="18" hidden="1" x14ac:dyDescent="0.3">
      <c r="A70" s="34" t="s">
        <v>53</v>
      </c>
      <c r="B70" s="184"/>
      <c r="C70" s="184"/>
      <c r="D70" s="184"/>
      <c r="E70" s="217"/>
    </row>
    <row r="71" spans="1:12" ht="16.2" hidden="1" thickBot="1" x14ac:dyDescent="0.35">
      <c r="A71" s="50" t="s">
        <v>48</v>
      </c>
      <c r="B71" s="51">
        <f t="shared" ref="B71:D72" si="0">SUM(B59,B50,B53)</f>
        <v>13297753847.380001</v>
      </c>
      <c r="C71" s="51">
        <f t="shared" si="0"/>
        <v>48898416175.225998</v>
      </c>
      <c r="D71" s="51">
        <f t="shared" si="0"/>
        <v>35294856475.705002</v>
      </c>
      <c r="E71" s="52">
        <f>SUM(B71:D71)</f>
        <v>97491026498.311005</v>
      </c>
      <c r="G71" s="59"/>
      <c r="H71" s="59"/>
      <c r="I71" s="59"/>
      <c r="J71" s="59"/>
    </row>
    <row r="72" spans="1:12" ht="31.8" hidden="1" thickBot="1" x14ac:dyDescent="0.35">
      <c r="A72" s="50" t="s">
        <v>49</v>
      </c>
      <c r="B72" s="51">
        <f t="shared" si="0"/>
        <v>2291779390.3300018</v>
      </c>
      <c r="C72" s="51">
        <f t="shared" si="0"/>
        <v>7999363992.1949997</v>
      </c>
      <c r="D72" s="53">
        <f t="shared" si="0"/>
        <v>4489291382.4349823</v>
      </c>
      <c r="E72" s="54">
        <f>SUM(B72:D72)</f>
        <v>14780434764.959984</v>
      </c>
    </row>
    <row r="73" spans="1:12" ht="31.2" hidden="1" x14ac:dyDescent="0.3">
      <c r="A73" s="50" t="s">
        <v>54</v>
      </c>
      <c r="B73" s="56" t="e">
        <f>B72/G65</f>
        <v>#DIV/0!</v>
      </c>
      <c r="C73" s="56" t="e">
        <f>C72/H65</f>
        <v>#DIV/0!</v>
      </c>
      <c r="D73" s="56" t="e">
        <f>D72/I65</f>
        <v>#DIV/0!</v>
      </c>
      <c r="E73" s="57" t="e">
        <f>E72/J65</f>
        <v>#DIV/0!</v>
      </c>
    </row>
    <row r="74" spans="1:12" x14ac:dyDescent="0.3">
      <c r="A74" s="3"/>
      <c r="B74" s="3"/>
      <c r="C74" s="3"/>
      <c r="D74" s="3"/>
      <c r="E74" s="3"/>
    </row>
  </sheetData>
  <mergeCells count="11">
    <mergeCell ref="A1:E1"/>
    <mergeCell ref="B2:D2"/>
    <mergeCell ref="A2:A3"/>
    <mergeCell ref="E2:E3"/>
    <mergeCell ref="F62:F64"/>
    <mergeCell ref="F9:F13"/>
    <mergeCell ref="F2:F3"/>
    <mergeCell ref="A8:E8"/>
    <mergeCell ref="A12:E12"/>
    <mergeCell ref="A16:E16"/>
    <mergeCell ref="A20:E20"/>
  </mergeCells>
  <dataValidations count="1">
    <dataValidation type="list" allowBlank="1" showInputMessage="1" showErrorMessage="1" sqref="G3" xr:uid="{C6E7AF82-AB69-4FB1-8719-23BAACD09678}">
      <formula1>Год</formula1>
    </dataValidation>
  </dataValidations>
  <pageMargins left="0.7" right="0.7" top="0.75" bottom="0.75" header="0.3" footer="0.3"/>
  <pageSetup paperSize="9" scale="4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363-375E-4598-B03B-9C759A65418F}">
  <sheetPr codeName="Лист2"/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>
        <v>2018</v>
      </c>
    </row>
    <row r="3" spans="1:1" x14ac:dyDescent="0.3">
      <c r="A3">
        <v>2019</v>
      </c>
    </row>
    <row r="4" spans="1:1" x14ac:dyDescent="0.3">
      <c r="A4">
        <v>2020</v>
      </c>
    </row>
    <row r="5" spans="1:1" x14ac:dyDescent="0.3">
      <c r="A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56B6-B29F-4F74-B8CF-AC1FE80A7327}">
  <sheetPr codeName="Лист3">
    <tabColor theme="9" tint="-0.249977111117893"/>
    <pageSetUpPr fitToPage="1"/>
  </sheetPr>
  <dimension ref="A1:N77"/>
  <sheetViews>
    <sheetView zoomScaleNormal="100" workbookViewId="0">
      <pane xSplit="1" ySplit="3" topLeftCell="B24" activePane="bottomRight" state="frozen"/>
      <selection pane="topRight" activeCell="B1" sqref="B1"/>
      <selection pane="bottomLeft" activeCell="A3" sqref="A3"/>
      <selection pane="bottomRight" activeCell="F12" sqref="F11:F12"/>
    </sheetView>
  </sheetViews>
  <sheetFormatPr defaultColWidth="8.6640625" defaultRowHeight="14.4" outlineLevelRow="1" x14ac:dyDescent="0.3"/>
  <cols>
    <col min="1" max="1" width="41.88671875" style="1" bestFit="1" customWidth="1"/>
    <col min="2" max="2" width="13" style="1" customWidth="1"/>
    <col min="3" max="3" width="14.6640625" style="1" customWidth="1"/>
    <col min="4" max="4" width="14.109375" style="1" customWidth="1"/>
    <col min="5" max="5" width="20.6640625" style="1" customWidth="1"/>
    <col min="6" max="6" width="21" style="1" customWidth="1"/>
    <col min="7" max="8" width="19" style="1" bestFit="1" customWidth="1"/>
    <col min="9" max="9" width="15.33203125" style="1" bestFit="1" customWidth="1"/>
    <col min="10" max="10" width="8.6640625" style="1"/>
    <col min="11" max="11" width="13.44140625" style="1" bestFit="1" customWidth="1"/>
    <col min="12" max="13" width="8.6640625" style="1"/>
    <col min="14" max="14" width="18" style="1" bestFit="1" customWidth="1"/>
    <col min="15" max="16384" width="8.6640625" style="1"/>
  </cols>
  <sheetData>
    <row r="1" spans="1:11" ht="47.25" customHeight="1" x14ac:dyDescent="0.3">
      <c r="A1" s="398" t="s">
        <v>56</v>
      </c>
      <c r="B1" s="399"/>
      <c r="C1" s="399"/>
      <c r="D1" s="399"/>
      <c r="E1" s="399"/>
      <c r="F1" s="49"/>
    </row>
    <row r="2" spans="1:11" ht="40.5" customHeight="1" x14ac:dyDescent="0.3">
      <c r="A2" s="387" t="s">
        <v>1</v>
      </c>
      <c r="B2" s="400" t="s">
        <v>2</v>
      </c>
      <c r="C2" s="400"/>
      <c r="D2" s="400"/>
      <c r="E2" s="387" t="s">
        <v>3</v>
      </c>
      <c r="F2" s="228" t="s">
        <v>5</v>
      </c>
      <c r="H2" s="10"/>
      <c r="I2" s="10"/>
      <c r="J2" s="10"/>
    </row>
    <row r="3" spans="1:11" ht="22.5" customHeight="1" x14ac:dyDescent="0.3">
      <c r="A3" s="387"/>
      <c r="B3" s="333">
        <f>F3-3</f>
        <v>2018</v>
      </c>
      <c r="C3" s="333">
        <f>F3-2</f>
        <v>2019</v>
      </c>
      <c r="D3" s="333">
        <f>F3-1</f>
        <v>2020</v>
      </c>
      <c r="E3" s="387"/>
      <c r="F3" s="362">
        <v>2021</v>
      </c>
      <c r="G3" s="2"/>
      <c r="H3" s="10"/>
      <c r="I3" s="10"/>
      <c r="J3" s="10"/>
    </row>
    <row r="4" spans="1:11" ht="17.399999999999999" x14ac:dyDescent="0.3">
      <c r="A4" s="348" t="s">
        <v>57</v>
      </c>
      <c r="B4" s="335">
        <f>IF(B$3&gt;=$F$3,"",COUNTIF(СводПТ[Базовый год],СВОД!B$3))</f>
        <v>91</v>
      </c>
      <c r="C4" s="335">
        <f>IF(C$3&gt;=$F$3,"",COUNTIF(СводПТ[Базовый год],СВОД!C$3))</f>
        <v>433</v>
      </c>
      <c r="D4" s="335">
        <f>IF(D$3&gt;=$F$3,"",COUNTIF(СводПТ[Базовый год],СВОД!D$3))</f>
        <v>300</v>
      </c>
      <c r="E4" s="336">
        <f>SUM(B4:D4)</f>
        <v>824</v>
      </c>
      <c r="F4" s="58"/>
      <c r="H4" s="10"/>
      <c r="I4" s="10"/>
      <c r="J4" s="10"/>
    </row>
    <row r="5" spans="1:11" ht="18" thickBot="1" x14ac:dyDescent="0.35">
      <c r="A5" s="348" t="s">
        <v>7</v>
      </c>
      <c r="B5" s="335">
        <f>IFERROR(SUMIFS(СводПТ[Выполнение цели (1-Да;0-Нет)],СводПТ[Базовый год],СВОД!B$3),"")</f>
        <v>46</v>
      </c>
      <c r="C5" s="335">
        <f>IFERROR(SUMIFS(СводПТ[Выполнение цели (1-Да;0-Нет)],СводПТ[Базовый год],СВОД!C$3),"")</f>
        <v>250</v>
      </c>
      <c r="D5" s="335">
        <f>IFERROR(SUMIFS(СводПТ[Выполнение цели (1-Да;0-Нет)],СводПТ[Базовый год],СВОД!D$3),"")</f>
        <v>153</v>
      </c>
      <c r="E5" s="364">
        <f>SUM(B5:D5)</f>
        <v>449</v>
      </c>
      <c r="F5" s="2"/>
      <c r="H5" s="10"/>
      <c r="I5" s="10"/>
      <c r="J5" s="10"/>
    </row>
    <row r="6" spans="1:11" ht="23.4" thickBot="1" x14ac:dyDescent="0.35">
      <c r="A6" s="348" t="s">
        <v>8</v>
      </c>
      <c r="B6" s="337">
        <f>IFERROR(B5/B4,"")</f>
        <v>0.50549450549450547</v>
      </c>
      <c r="C6" s="337">
        <f>IFERROR(C5/C4,"")</f>
        <v>0.57736720554272514</v>
      </c>
      <c r="D6" s="363">
        <f>IFERROR(D5/D4,"")</f>
        <v>0.51</v>
      </c>
      <c r="E6" s="366">
        <f>E5/E4</f>
        <v>0.54490291262135926</v>
      </c>
      <c r="F6" s="2"/>
      <c r="H6" s="10"/>
      <c r="I6" s="10"/>
      <c r="J6" s="10"/>
    </row>
    <row r="7" spans="1:11" ht="17.399999999999999" x14ac:dyDescent="0.3">
      <c r="A7" s="348" t="s">
        <v>58</v>
      </c>
      <c r="B7" s="337">
        <f>(SUMIF(СводПТ[Базовый год],СВОД!B$3,СводПТ[Добавленная стоимость, рублей])/SUMIF(СводПТ[Базовый год],СВОД!B$3,СводПТ[Добавленная стоимость (БГ), рублей]))/(SUMIF(СводПТ[Базовый год],СВОД!B$3,СводПТ[Затраты труда (численность), чел])/SUMIF(СводПТ[Базовый год],СВОД!B$3,СводПТ[Затраты труда (численность) (БГ), чел]))-1</f>
        <v>0.54457037733706692</v>
      </c>
      <c r="C7" s="337">
        <f>(SUMIF(СводПТ[Базовый год],СВОД!C$3,СводПТ[Добавленная стоимость, рублей])/SUMIF(СводПТ[Базовый год],СВОД!C$3,СводПТ[Добавленная стоимость (БГ), рублей]))/(SUMIF(СводПТ[Базовый год],СВОД!C$3,СводПТ[Затраты труда (численность), чел])/SUMIF(СводПТ[Базовый год],СВОД!C$3,СводПТ[Затраты труда (численность) (БГ), чел]))-1</f>
        <v>0.31941648873859085</v>
      </c>
      <c r="D7" s="337">
        <f>(SUMIF(СводПТ[Базовый год],СВОД!D$3,СводПТ[Добавленная стоимость, рублей])/SUMIF(СводПТ[Базовый год],СВОД!D$3,СводПТ[Добавленная стоимость (БГ), рублей]))/(SUMIF(СводПТ[Базовый год],СВОД!D$3,СводПТ[Затраты труда (численность), чел])/SUMIF(СводПТ[Базовый год],СВОД!D$3,СводПТ[Затраты труда (численность) (БГ), чел]))-1</f>
        <v>0.10868650110578715</v>
      </c>
      <c r="E7" s="365">
        <f>(SUM(СводПТ[Добавленная стоимость, рублей])/SUM(СводПТ[Добавленная стоимость (БГ), рублей]))/(SUM(СводПТ[Затраты труда (численность), чел])/SUM(СводПТ[Затраты труда (численность) (БГ), чел]))-1</f>
        <v>0.26445732430962376</v>
      </c>
      <c r="F7" s="2"/>
      <c r="G7" s="92"/>
      <c r="H7" s="235"/>
      <c r="I7" s="10"/>
      <c r="J7" s="10"/>
      <c r="K7" s="236"/>
    </row>
    <row r="8" spans="1:11" ht="17.25" customHeight="1" x14ac:dyDescent="0.3">
      <c r="A8" s="397" t="s">
        <v>30</v>
      </c>
      <c r="B8" s="397"/>
      <c r="C8" s="397"/>
      <c r="D8" s="397"/>
      <c r="E8" s="397"/>
      <c r="F8" s="2"/>
      <c r="G8" s="92"/>
      <c r="H8" s="235"/>
      <c r="I8" s="10"/>
      <c r="J8" s="10"/>
      <c r="K8" s="236"/>
    </row>
    <row r="9" spans="1:11" ht="17.399999999999999" x14ac:dyDescent="0.3">
      <c r="A9" s="348" t="s">
        <v>57</v>
      </c>
      <c r="B9" s="352">
        <f>COUNTIFS(СводПТ[Базовый год],СВОД!B$3,СводПТ[Версия],"10/15/30")</f>
        <v>91</v>
      </c>
      <c r="C9" s="352">
        <f>COUNTIFS(СводПТ[Базовый год],СВОД!C$3,СводПТ[Версия],"10/15/30")</f>
        <v>433</v>
      </c>
      <c r="D9" s="352">
        <f>COUNTIFS(СводПТ[Базовый год],СВОД!D$3,СводПТ[Версия],"10/15/30")</f>
        <v>234</v>
      </c>
      <c r="E9" s="353">
        <f>SUM(B9:D9)</f>
        <v>758</v>
      </c>
      <c r="F9" s="2"/>
      <c r="G9" s="92"/>
      <c r="H9" s="235"/>
      <c r="I9" s="10"/>
      <c r="J9" s="10"/>
      <c r="K9" s="236"/>
    </row>
    <row r="10" spans="1:11" ht="17.399999999999999" hidden="1" outlineLevel="1" x14ac:dyDescent="0.3">
      <c r="A10" s="348" t="s">
        <v>31</v>
      </c>
      <c r="B10" s="352">
        <f>COUNTIFS(СводПТ[Базовый год],СВОД!B$3,СводПТ[Версия],"10/15/30",СводПТ[Выполнение цели (1-Да;0-Нет)],1)</f>
        <v>46</v>
      </c>
      <c r="C10" s="352">
        <f>COUNTIFS(СводПТ[Базовый год],СВОД!C$3,СводПТ[Версия],"10/15/30",СводПТ[Выполнение цели (1-Да;0-Нет)],1)</f>
        <v>250</v>
      </c>
      <c r="D10" s="352">
        <f>COUNTIFS(СводПТ[Базовый год],СВОД!D$3,СводПТ[Версия],"10/15/30",СводПТ[Выполнение цели (1-Да;0-Нет)],1)</f>
        <v>117</v>
      </c>
      <c r="E10" s="353">
        <f>SUM(B10:D10)</f>
        <v>413</v>
      </c>
      <c r="F10" s="2"/>
      <c r="G10" s="92"/>
      <c r="H10" s="235"/>
      <c r="I10" s="10"/>
      <c r="J10" s="10"/>
      <c r="K10" s="236"/>
    </row>
    <row r="11" spans="1:11" ht="17.399999999999999" collapsed="1" x14ac:dyDescent="0.3">
      <c r="A11" s="348" t="s">
        <v>8</v>
      </c>
      <c r="B11" s="337">
        <f>IFERROR((B10/B9),0)</f>
        <v>0.50549450549450547</v>
      </c>
      <c r="C11" s="337">
        <f>IFERROR((C10/C9),0)</f>
        <v>0.57736720554272514</v>
      </c>
      <c r="D11" s="337">
        <f>IFERROR((D10/D9),0)</f>
        <v>0.5</v>
      </c>
      <c r="E11" s="354">
        <f>E10/E9</f>
        <v>0.54485488126649073</v>
      </c>
      <c r="F11" s="2"/>
      <c r="G11" s="92"/>
      <c r="H11" s="235"/>
      <c r="I11" s="10"/>
      <c r="J11" s="10"/>
      <c r="K11" s="236"/>
    </row>
    <row r="12" spans="1:11" x14ac:dyDescent="0.3">
      <c r="A12" s="397" t="s">
        <v>33</v>
      </c>
      <c r="B12" s="397"/>
      <c r="C12" s="397"/>
      <c r="D12" s="397"/>
      <c r="E12" s="397"/>
      <c r="F12" s="2"/>
      <c r="G12" s="92"/>
      <c r="H12" s="235"/>
      <c r="I12" s="10"/>
      <c r="J12" s="10"/>
      <c r="K12" s="236"/>
    </row>
    <row r="13" spans="1:11" ht="17.399999999999999" x14ac:dyDescent="0.3">
      <c r="A13" s="348" t="s">
        <v>57</v>
      </c>
      <c r="B13" s="355">
        <f>COUNTIFS(СводПТ[Базовый год],СВОД!B$3,СводПТ[Версия],"5/5/5")</f>
        <v>0</v>
      </c>
      <c r="C13" s="355">
        <f>COUNTIFS(СводПТ[Базовый год],СВОД!C$3,СводПТ[Версия],"5/5/5")</f>
        <v>0</v>
      </c>
      <c r="D13" s="352">
        <f>COUNTIFS(СводПТ[Базовый год],СВОД!D$3,СводПТ[Версия],"5/5/5")</f>
        <v>34</v>
      </c>
      <c r="E13" s="353">
        <f>SUM(B13:D13)</f>
        <v>34</v>
      </c>
      <c r="F13" s="2"/>
      <c r="G13" s="92"/>
      <c r="H13" s="235"/>
      <c r="I13" s="10"/>
      <c r="J13" s="10"/>
      <c r="K13" s="236"/>
    </row>
    <row r="14" spans="1:11" ht="17.399999999999999" hidden="1" outlineLevel="1" x14ac:dyDescent="0.3">
      <c r="A14" s="348" t="s">
        <v>31</v>
      </c>
      <c r="B14" s="355">
        <f>COUNTIFS(СводПТ[Базовый год],СВОД!B$3,СводПТ[Версия],"5/5/5",СводПТ[Выполнение цели (1-Да;0-Нет)],1)</f>
        <v>0</v>
      </c>
      <c r="C14" s="355">
        <f>COUNTIFS(СводПТ[Базовый год],СВОД!C$3,СводПТ[Версия],"5/5/5",СводПТ[Выполнение цели (1-Да;0-Нет)],1)</f>
        <v>0</v>
      </c>
      <c r="D14" s="352">
        <f>COUNTIFS(СводПТ[Базовый год],СВОД!D$3,СводПТ[Версия],"5/5/5",СводПТ[Выполнение цели (1-Да;0-Нет)],1)</f>
        <v>21</v>
      </c>
      <c r="E14" s="353">
        <f>SUM(B14:D14)</f>
        <v>21</v>
      </c>
      <c r="F14" s="2"/>
      <c r="G14" s="92"/>
      <c r="H14" s="235"/>
      <c r="I14" s="10"/>
      <c r="J14" s="10"/>
      <c r="K14" s="236"/>
    </row>
    <row r="15" spans="1:11" ht="17.399999999999999" collapsed="1" x14ac:dyDescent="0.3">
      <c r="A15" s="348" t="s">
        <v>8</v>
      </c>
      <c r="B15" s="337" t="str">
        <f>IFERROR((B14/B13),"-")</f>
        <v>-</v>
      </c>
      <c r="C15" s="337" t="str">
        <f>IFERROR((C14/C13),"-")</f>
        <v>-</v>
      </c>
      <c r="D15" s="337">
        <f>IFERROR((D14/D13),0)</f>
        <v>0.61764705882352944</v>
      </c>
      <c r="E15" s="354">
        <f>E14/E13</f>
        <v>0.61764705882352944</v>
      </c>
      <c r="F15" s="2"/>
      <c r="G15" s="92"/>
      <c r="H15" s="235"/>
      <c r="I15" s="10"/>
      <c r="J15" s="10"/>
      <c r="K15" s="236"/>
    </row>
    <row r="16" spans="1:11" x14ac:dyDescent="0.3">
      <c r="A16" s="397" t="s">
        <v>35</v>
      </c>
      <c r="B16" s="397"/>
      <c r="C16" s="397"/>
      <c r="D16" s="397"/>
      <c r="E16" s="397"/>
      <c r="F16" s="2"/>
      <c r="G16" s="92"/>
      <c r="H16" s="235"/>
      <c r="I16" s="10"/>
      <c r="J16" s="10"/>
      <c r="K16" s="236"/>
    </row>
    <row r="17" spans="1:11" ht="17.399999999999999" x14ac:dyDescent="0.3">
      <c r="A17" s="348" t="s">
        <v>57</v>
      </c>
      <c r="B17" s="355">
        <f>COUNTIFS(СводПТ[Базовый год],СВОД!B$3,СводПТ[Версия],"10/10/10")</f>
        <v>0</v>
      </c>
      <c r="C17" s="355">
        <f>COUNTIFS(СводПТ[Базовый год],СВОД!C$3,СводПТ[Версия],"10/10/10")</f>
        <v>0</v>
      </c>
      <c r="D17" s="352">
        <f>COUNTIFS(СводПТ[Базовый год],СВОД!D$3,СводПТ[Версия],"10/10/10")</f>
        <v>32</v>
      </c>
      <c r="E17" s="353">
        <f>SUM(B17:D17)</f>
        <v>32</v>
      </c>
      <c r="F17" s="2"/>
      <c r="G17" s="92"/>
      <c r="H17" s="235"/>
      <c r="I17" s="10"/>
      <c r="J17" s="10"/>
      <c r="K17" s="236"/>
    </row>
    <row r="18" spans="1:11" ht="17.399999999999999" hidden="1" outlineLevel="1" x14ac:dyDescent="0.3">
      <c r="A18" s="348" t="s">
        <v>31</v>
      </c>
      <c r="B18" s="355">
        <f>COUNTIFS(СводПТ[Базовый год],СВОД!B$3,СводПТ[Версия],"10/10/10",СводПТ[Выполнение цели (1-Да;0-Нет)],1)</f>
        <v>0</v>
      </c>
      <c r="C18" s="355">
        <f>COUNTIFS(СводПТ[Базовый год],СВОД!C$3,СводПТ[Версия],"10/10/10",СводПТ[Выполнение цели (1-Да;0-Нет)],1)</f>
        <v>0</v>
      </c>
      <c r="D18" s="352">
        <f>COUNTIFS(СводПТ[Базовый год],СВОД!D$3,СводПТ[Версия],"10/10/10",СводПТ[Выполнение цели (1-Да;0-Нет)],1)</f>
        <v>15</v>
      </c>
      <c r="E18" s="353">
        <f>SUM(B18:D18)</f>
        <v>15</v>
      </c>
      <c r="F18" s="2"/>
      <c r="G18" s="92"/>
      <c r="H18" s="235"/>
      <c r="I18" s="10"/>
      <c r="J18" s="10"/>
      <c r="K18" s="236"/>
    </row>
    <row r="19" spans="1:11" ht="17.399999999999999" collapsed="1" x14ac:dyDescent="0.3">
      <c r="A19" s="348" t="s">
        <v>8</v>
      </c>
      <c r="B19" s="337" t="str">
        <f>IFERROR((B18/B17),"-")</f>
        <v>-</v>
      </c>
      <c r="C19" s="337" t="str">
        <f>IFERROR((C18/C17),"-")</f>
        <v>-</v>
      </c>
      <c r="D19" s="337">
        <f>IFERROR((D18/D17),0)</f>
        <v>0.46875</v>
      </c>
      <c r="E19" s="356">
        <f>E18/E17</f>
        <v>0.46875</v>
      </c>
      <c r="F19" s="2"/>
      <c r="G19" s="92"/>
      <c r="H19" s="235"/>
      <c r="I19" s="10"/>
      <c r="J19" s="10"/>
      <c r="K19" s="236"/>
    </row>
    <row r="20" spans="1:11" ht="19.5" customHeight="1" x14ac:dyDescent="0.3">
      <c r="A20" s="345" t="s">
        <v>10</v>
      </c>
      <c r="B20" s="346"/>
      <c r="C20" s="346"/>
      <c r="D20" s="346"/>
      <c r="E20" s="347"/>
      <c r="F20" s="2"/>
      <c r="G20" s="92"/>
      <c r="H20" s="235"/>
      <c r="I20" s="10"/>
      <c r="J20" s="10"/>
      <c r="K20" s="236"/>
    </row>
    <row r="21" spans="1:11" ht="18.75" customHeight="1" x14ac:dyDescent="0.3">
      <c r="A21" s="348" t="s">
        <v>59</v>
      </c>
      <c r="B21" s="340">
        <f>IF(B$3&gt;=$F$3,"",(SUMIF(СводПТ[Базовый год],СВОД!B$3,СводПТ[Выручка, рублей ]))/1000000)</f>
        <v>372202.406686</v>
      </c>
      <c r="C21" s="340">
        <f>IF(C$3&gt;=$F$3,"",(SUMIF(СводПТ[Базовый год],СВОД!C$3,СводПТ[Выручка, рублей ]))/1000000)</f>
        <v>1359001.2775580001</v>
      </c>
      <c r="D21" s="340">
        <f>IF(D$3&gt;=$F$3,"",(SUMIF(СводПТ[Базовый год],СВОД!D$3,СводПТ[Выручка, рублей ]))/1000000)</f>
        <v>907228.780256</v>
      </c>
      <c r="E21" s="341">
        <f>SUM(B21:D21)</f>
        <v>2638432.4645000002</v>
      </c>
      <c r="F21" s="2"/>
      <c r="G21" s="92"/>
      <c r="H21" s="235"/>
      <c r="I21" s="10"/>
      <c r="J21" s="10"/>
    </row>
    <row r="22" spans="1:11" ht="18.75" customHeight="1" x14ac:dyDescent="0.3">
      <c r="A22" s="348" t="s">
        <v>60</v>
      </c>
      <c r="B22" s="340">
        <f>(SUMIF(СводПТ[Базовый год],СВОД!B$3,СводПТ[Выручка, рублей ])-SUMIF(СводПТ[Базовый год],СВОД!B$3,СводПТ[Выручка (БГ), рублей]))/1000000</f>
        <v>92577.425390999997</v>
      </c>
      <c r="C22" s="340">
        <f>(SUMIF(СводПТ[Базовый год],СВОД!C$3,СводПТ[Выручка, рублей ])-SUMIF(СводПТ[Базовый год],СВОД!C$3,СводПТ[Выручка (БГ), рублей]))/1000000</f>
        <v>305607.40120800002</v>
      </c>
      <c r="D22" s="340">
        <f>(SUMIF(СводПТ[Базовый год],СВОД!D$3,СводПТ[Выручка, рублей ])-SUMIF(СводПТ[Базовый год],СВОД!D$3,СводПТ[Выручка (БГ), рублей]))/1000000</f>
        <v>154854.27802651</v>
      </c>
      <c r="E22" s="341">
        <f>SUM(B22:D22)</f>
        <v>553039.10462551005</v>
      </c>
      <c r="F22" s="2"/>
      <c r="H22" s="10"/>
      <c r="I22" s="10"/>
      <c r="J22" s="10"/>
    </row>
    <row r="23" spans="1:11" ht="17.399999999999999" x14ac:dyDescent="0.3">
      <c r="A23" s="348" t="s">
        <v>14</v>
      </c>
      <c r="B23" s="337">
        <f>SUMIF(СводПТ[Базовый год],СВОД!B$3,СводПТ[Выручка, рублей ])/SUMIF(СводПТ[Базовый год],СВОД!B$3,СводПТ[Выручка (БГ), рублей])-1</f>
        <v>0.33107709104621175</v>
      </c>
      <c r="C23" s="337">
        <f>SUMIF(СводПТ[Базовый год],СВОД!C$3,СводПТ[Выручка, рублей ])/SUMIF(СводПТ[Базовый год],СВОД!C$3,СводПТ[Выручка (БГ), рублей])-1</f>
        <v>0.29011693353195378</v>
      </c>
      <c r="D23" s="337">
        <f>SUMIF(СводПТ[Базовый год],СВОД!D$3,СводПТ[Выручка, рублей ])/SUMIF(СводПТ[Базовый год],СВОД!D$3,СводПТ[Выручка (БГ), рублей])-1</f>
        <v>0.20582074162220376</v>
      </c>
      <c r="E23" s="339">
        <f>SUM(СводПТ[Выручка, рублей ])/SUM(СводПТ[Выручка (БГ), рублей])-1</f>
        <v>0.265196540502457</v>
      </c>
      <c r="F23" s="2"/>
      <c r="H23" s="10"/>
      <c r="I23" s="10"/>
      <c r="J23" s="10"/>
    </row>
    <row r="24" spans="1:11" ht="15.6" x14ac:dyDescent="0.3">
      <c r="A24" s="345" t="s">
        <v>15</v>
      </c>
      <c r="B24" s="346"/>
      <c r="C24" s="346"/>
      <c r="D24" s="346"/>
      <c r="E24" s="347"/>
      <c r="F24" s="2"/>
      <c r="H24" s="10"/>
      <c r="I24" s="10"/>
      <c r="J24" s="10"/>
    </row>
    <row r="25" spans="1:11" ht="17.399999999999999" x14ac:dyDescent="0.3">
      <c r="A25" s="348" t="s">
        <v>61</v>
      </c>
      <c r="B25" s="342">
        <f>SUMIF(СводПТ[Базовый год],СВОД!B$3,СводПТ[Добавленная стоимость, рублей])/1000000</f>
        <v>113988.02850678998</v>
      </c>
      <c r="C25" s="342">
        <f>SUMIF(СводПТ[Базовый год],СВОД!C$3,СводПТ[Добавленная стоимость, рублей])/1000000</f>
        <v>373668.15602806385</v>
      </c>
      <c r="D25" s="342">
        <f>SUMIF(СводПТ[Базовый год],СВОД!D$3,СводПТ[Добавленная стоимость, рублей])/1000000</f>
        <v>262579.62517449103</v>
      </c>
      <c r="E25" s="341">
        <f>SUM(B25:D25)</f>
        <v>750235.80970934487</v>
      </c>
      <c r="F25" s="2"/>
      <c r="H25" s="10"/>
      <c r="I25" s="10"/>
      <c r="J25" s="10"/>
    </row>
    <row r="26" spans="1:11" ht="17.399999999999999" x14ac:dyDescent="0.3">
      <c r="A26" s="348" t="s">
        <v>62</v>
      </c>
      <c r="B26" s="342">
        <f>SUMIF(СводПТ[Базовый год],СВОД!B$3,СводПТ[Δ ДС (21/БГ), рублей])/1000000</f>
        <v>36712.392852969999</v>
      </c>
      <c r="C26" s="342">
        <f>SUMIF(СводПТ[Базовый год],СВОД!C$3,СводПТ[Δ ДС (21/БГ), рублей])/1000000</f>
        <v>87319.149837402947</v>
      </c>
      <c r="D26" s="342">
        <f>SUMIF(СводПТ[Базовый год],СВОД!D$3,СводПТ[Δ ДС (21/БГ), рублей])/1000000</f>
        <v>26523.027411413706</v>
      </c>
      <c r="E26" s="341">
        <f>SUM(B26:D26)</f>
        <v>150554.57010178664</v>
      </c>
      <c r="F26" s="367"/>
      <c r="G26" s="92"/>
      <c r="H26" s="10"/>
      <c r="I26" s="10"/>
      <c r="J26" s="10"/>
    </row>
    <row r="27" spans="1:11" ht="17.399999999999999" x14ac:dyDescent="0.3">
      <c r="A27" s="348" t="s">
        <v>18</v>
      </c>
      <c r="B27" s="343">
        <f>SUMIF(СводПТ[Базовый год],СВОД!B$3,СводПТ[Добавленная стоимость, рублей])/SUMIF(СводПТ[Базовый год],СВОД!B$3,СводПТ[Добавленная стоимость (БГ), рублей])-1</f>
        <v>0.47508367342889879</v>
      </c>
      <c r="C27" s="343">
        <f>SUMIF(СводПТ[Базовый год],СВОД!C$3,СводПТ[Добавленная стоимость, рублей])/SUMIF(СводПТ[Базовый год],СВОД!C$3,СводПТ[Добавленная стоимость (БГ), рублей])-1</f>
        <v>0.30493959451447483</v>
      </c>
      <c r="D27" s="343">
        <f>SUMIF(СводПТ[Базовый год],СВОД!D$3,СводПТ[Добавленная стоимость, рублей])/SUMIF(СводПТ[Базовый год],СВОД!D$3,СводПТ[Добавленная стоимость (БГ), рублей])-1</f>
        <v>0.11235876337603612</v>
      </c>
      <c r="E27" s="339">
        <f>SUM(СводПТ[Добавленная стоимость, рублей])/SUM(СводПТ[Добавленная стоимость (БГ), рублей])-1</f>
        <v>0.25105766223454418</v>
      </c>
      <c r="F27" s="2"/>
      <c r="H27" s="10"/>
      <c r="I27" s="10"/>
      <c r="J27" s="10"/>
    </row>
    <row r="28" spans="1:11" ht="18.75" customHeight="1" x14ac:dyDescent="0.3">
      <c r="A28" s="371" t="s">
        <v>63</v>
      </c>
      <c r="B28" s="358">
        <f>B26/B4/3</f>
        <v>134.4776294980586</v>
      </c>
      <c r="C28" s="358">
        <f>C26/C4/2</f>
        <v>100.83042706397569</v>
      </c>
      <c r="D28" s="358">
        <f>D26/D4</f>
        <v>88.410091371379025</v>
      </c>
      <c r="E28" s="359">
        <f>AVERAGE(B28:D28)</f>
        <v>107.90604931113778</v>
      </c>
      <c r="F28" s="2"/>
      <c r="H28" s="10"/>
      <c r="I28" s="10"/>
      <c r="J28" s="10"/>
    </row>
    <row r="29" spans="1:11" ht="17.399999999999999" hidden="1" outlineLevel="1" x14ac:dyDescent="0.3">
      <c r="A29" s="357" t="s">
        <v>64</v>
      </c>
      <c r="B29" s="360">
        <f>(B28/B31)*1000000</f>
        <v>1643.20573524988</v>
      </c>
      <c r="C29" s="360">
        <f>(C28/C31)*1000000</f>
        <v>335.57298930315255</v>
      </c>
      <c r="D29" s="360">
        <f>(D28/D31)*1000000</f>
        <v>400.41724105836823</v>
      </c>
      <c r="E29" s="361">
        <f>AVERAGE(B29:D29)</f>
        <v>793.06532187046696</v>
      </c>
      <c r="F29" s="2"/>
      <c r="H29" s="10"/>
      <c r="I29" s="10"/>
      <c r="J29" s="10"/>
    </row>
    <row r="30" spans="1:11" ht="15.6" collapsed="1" x14ac:dyDescent="0.3">
      <c r="A30" s="345" t="s">
        <v>19</v>
      </c>
      <c r="B30" s="346"/>
      <c r="C30" s="346"/>
      <c r="D30" s="346"/>
      <c r="E30" s="347"/>
      <c r="F30" s="2"/>
      <c r="H30" s="10"/>
      <c r="I30" s="10"/>
      <c r="J30" s="10"/>
    </row>
    <row r="31" spans="1:11" ht="17.399999999999999" x14ac:dyDescent="0.3">
      <c r="A31" s="348" t="s">
        <v>20</v>
      </c>
      <c r="B31" s="342">
        <f>SUMIF(СводПТ[Базовый год],СВОД!B$3,СводПТ[Затраты труда (численность), чел])</f>
        <v>81838.583333333343</v>
      </c>
      <c r="C31" s="342">
        <f>SUMIF(СводПТ[Базовый год],СВОД!C$3,СводПТ[Затраты труда (численность), чел])</f>
        <v>300472.41666666657</v>
      </c>
      <c r="D31" s="342">
        <f>SUMIF(СводПТ[Базовый год],СВОД!D$3,СводПТ[Затраты труда (численность), чел])</f>
        <v>220794.91666666674</v>
      </c>
      <c r="E31" s="341">
        <f>SUM(B31:D31)</f>
        <v>603105.91666666663</v>
      </c>
      <c r="F31" s="2"/>
      <c r="H31" s="10"/>
      <c r="I31" s="88"/>
      <c r="J31" s="10"/>
    </row>
    <row r="32" spans="1:11" ht="18" thickBot="1" x14ac:dyDescent="0.35">
      <c r="A32" s="348" t="s">
        <v>21</v>
      </c>
      <c r="B32" s="342">
        <f>SUMIF(СводПТ[Базовый год],СВОД!B$3,СводПТ[Δ численность (21/БГ), человек])</f>
        <v>-3855.166666666667</v>
      </c>
      <c r="C32" s="342">
        <f>SUMIF(СводПТ[Базовый год],СВОД!C$3,СводПТ[Δ численность (21/БГ), человек])</f>
        <v>-3333.4166666666679</v>
      </c>
      <c r="D32" s="342">
        <f>SUMIF(СводПТ[Базовый год],СВОД!D$3,СводПТ[Δ численность (21/БГ), человек])</f>
        <v>728.91666666666686</v>
      </c>
      <c r="E32" s="341">
        <f>SUM(B32:D32)</f>
        <v>-6459.6666666666679</v>
      </c>
      <c r="F32" s="2"/>
      <c r="H32" s="10"/>
      <c r="I32" s="88"/>
      <c r="J32" s="10"/>
    </row>
    <row r="33" spans="1:10" ht="18" thickBot="1" x14ac:dyDescent="0.35">
      <c r="A33" s="348" t="s">
        <v>22</v>
      </c>
      <c r="B33" s="344">
        <f>SUMIF(СводПТ[Базовый год],СВОД!B$3,СводПТ[Затраты труда (численность), чел])/SUMIF(СводПТ[Базовый год],СВОД!B$3,СводПТ[Затраты труда (численность) (БГ), чел])-1</f>
        <v>-4.4987722753020432E-2</v>
      </c>
      <c r="C33" s="344">
        <f>SUMIF(СводПТ[Базовый год],СВОД!C$3,СводПТ[Затраты труда (численность), чел])/SUMIF(СводПТ[Базовый год],СВОД!C$3,СводПТ[Затраты труда (численность) (БГ), чел])-1</f>
        <v>-1.0972194411452696E-2</v>
      </c>
      <c r="D33" s="344">
        <f>SUMIF(СводПТ[Базовый год],СВОД!D$3,СводПТ[Затраты труда (численность), чел])/SUMIF(СводПТ[Базовый год],СВОД!D$3,СводПТ[Затраты труда (численность) (БГ), чел])-1</f>
        <v>3.3122638965896734E-3</v>
      </c>
      <c r="E33" s="339">
        <f>SUM(СводПТ[Затраты труда (численность), чел])/SUM(СводПТ[Затраты труда (численность) (БГ), чел])-1</f>
        <v>-1.0597164346685672E-2</v>
      </c>
      <c r="F33" s="368"/>
      <c r="H33" s="10"/>
      <c r="I33" s="88"/>
      <c r="J33" s="10"/>
    </row>
    <row r="34" spans="1:10" ht="16.2" thickBot="1" x14ac:dyDescent="0.35">
      <c r="A34" s="345" t="s">
        <v>23</v>
      </c>
      <c r="B34" s="346"/>
      <c r="C34" s="346"/>
      <c r="D34" s="346"/>
      <c r="E34" s="347"/>
      <c r="F34" s="369"/>
      <c r="H34" s="10"/>
      <c r="I34" s="88"/>
      <c r="J34" s="10"/>
    </row>
    <row r="35" spans="1:10" ht="18" thickBot="1" x14ac:dyDescent="0.35">
      <c r="A35" s="348" t="s">
        <v>65</v>
      </c>
      <c r="B35" s="342">
        <f>SUMIF(СводПТ[Базовый год],СВОД!B$3,СводПТ[ФОТ, рублей])/1000000</f>
        <v>45680.497773410003</v>
      </c>
      <c r="C35" s="342">
        <f>SUMIF(СводПТ[Базовый год],СВОД!C$3,СводПТ[ФОТ, рублей])/1000000</f>
        <v>161190.66562383799</v>
      </c>
      <c r="D35" s="342">
        <f>SUMIF(СводПТ[Базовый год],СВОД!D$3,СводПТ[ФОТ, рублей])/1000000</f>
        <v>121754.04467478611</v>
      </c>
      <c r="E35" s="341">
        <f>SUM(B35:D35)</f>
        <v>328625.20807203412</v>
      </c>
      <c r="F35" s="369"/>
      <c r="H35" s="10"/>
      <c r="I35" s="10"/>
      <c r="J35" s="10"/>
    </row>
    <row r="36" spans="1:10" ht="18" thickBot="1" x14ac:dyDescent="0.35">
      <c r="A36" s="348" t="s">
        <v>66</v>
      </c>
      <c r="B36" s="342">
        <f>(SUMIF(СводПТ[Базовый год],СВОД!B$3,СводПТ[ФОТ, рублей])-SUMIF(СводПТ[Базовый год],СВОД!B$3,СводПТ[ФОТ (БГ), рублей]))/1000000</f>
        <v>7335.7757096400073</v>
      </c>
      <c r="C36" s="342">
        <f>(SUMIF(СводПТ[Базовый год],СВОД!C$3,СводПТ[ФОТ, рублей])-SUMIF(СводПТ[Базовый год],СВОД!C$3,СводПТ[ФОТ (БГ), рублей]))/1000000</f>
        <v>22693.729101207977</v>
      </c>
      <c r="D36" s="342">
        <f>(SUMIF(СводПТ[Базовый год],СВОД!D$3,СводПТ[ФОТ, рублей])-SUMIF(СводПТ[Базовый год],СВОД!D$3,СводПТ[ФОТ (БГ), рублей]))/1000000</f>
        <v>13956.268078068832</v>
      </c>
      <c r="E36" s="341">
        <f>SUM(B36:D36)</f>
        <v>43985.772888916814</v>
      </c>
      <c r="F36" s="369"/>
      <c r="I36" s="88"/>
      <c r="J36" s="10"/>
    </row>
    <row r="37" spans="1:10" ht="18" thickBot="1" x14ac:dyDescent="0.35">
      <c r="A37" s="348" t="s">
        <v>26</v>
      </c>
      <c r="B37" s="344">
        <f>SUMIF(СводПТ[Базовый год],СВОД!B$3,СводПТ[ФОТ, рублей])/SUMIF(СводПТ[Базовый год],СВОД!B$3,СводПТ[ФОТ (БГ), рублей])-1</f>
        <v>0.19131122393950561</v>
      </c>
      <c r="C37" s="344">
        <f>SUMIF(СводПТ[Базовый год],СВОД!C$3,СводПТ[ФОТ, рублей])/SUMIF(СводПТ[Базовый год],СВОД!C$3,СводПТ[ФОТ (БГ), рублей])-1</f>
        <v>0.16385726407385115</v>
      </c>
      <c r="D37" s="344">
        <f>SUMIF(СводПТ[Базовый год],СВОД!D$3,СводПТ[ФОТ, рублей])/SUMIF(СводПТ[Базовый год],СВОД!D$3,СводПТ[ФОТ (БГ), рублей])-1</f>
        <v>0.12946712370776159</v>
      </c>
      <c r="E37" s="339">
        <f>SUM(СводПТ[ФОТ, рублей])/SUM(СводПТ[ФОТ (БГ), рублей])-1</f>
        <v>0.15453154922338652</v>
      </c>
      <c r="F37" s="369"/>
      <c r="H37" s="10"/>
      <c r="I37" s="10"/>
      <c r="J37" s="10"/>
    </row>
    <row r="38" spans="1:10" ht="18" hidden="1" outlineLevel="1" thickBot="1" x14ac:dyDescent="0.35">
      <c r="A38" s="348" t="s">
        <v>67</v>
      </c>
      <c r="B38" s="372">
        <f>(B35/B31/12)*1000000</f>
        <v>46514.834357276464</v>
      </c>
      <c r="C38" s="372">
        <f>(C35/C31/12)*1000000</f>
        <v>44704.787273551185</v>
      </c>
      <c r="D38" s="372">
        <f>(D35/D31/12)*1000000</f>
        <v>45952.916592201917</v>
      </c>
      <c r="E38" s="373">
        <f>(E35/E31/12)*1000000</f>
        <v>45407.337665265557</v>
      </c>
      <c r="F38" s="369"/>
      <c r="H38" s="10"/>
      <c r="I38" s="10"/>
      <c r="J38" s="10"/>
    </row>
    <row r="39" spans="1:10" ht="15" collapsed="1" thickBot="1" x14ac:dyDescent="0.35">
      <c r="A39" s="397" t="s">
        <v>68</v>
      </c>
      <c r="B39" s="397"/>
      <c r="C39" s="397"/>
      <c r="D39" s="397"/>
      <c r="E39" s="397"/>
      <c r="F39" s="369"/>
      <c r="H39" s="10"/>
      <c r="I39" s="10"/>
      <c r="J39" s="10"/>
    </row>
    <row r="40" spans="1:10" ht="43.5" customHeight="1" thickBot="1" x14ac:dyDescent="0.35">
      <c r="A40" s="396" t="s">
        <v>69</v>
      </c>
      <c r="B40" s="396"/>
      <c r="C40" s="396"/>
      <c r="D40" s="396"/>
      <c r="E40" s="349">
        <f>(((E4-E13)*5600000)+(E13*16400000))/1000000</f>
        <v>4981.6000000000004</v>
      </c>
      <c r="F40" s="370">
        <f>E26/E40</f>
        <v>30.222131464145381</v>
      </c>
      <c r="H40" s="10"/>
      <c r="I40" s="10"/>
      <c r="J40" s="10"/>
    </row>
    <row r="41" spans="1:10" ht="18" hidden="1" outlineLevel="1" thickBot="1" x14ac:dyDescent="0.35">
      <c r="A41" s="396" t="s">
        <v>4</v>
      </c>
      <c r="B41" s="396"/>
      <c r="C41" s="396"/>
      <c r="D41" s="396"/>
      <c r="E41" s="349" t="str">
        <f>COUNTA(Таблица143[Регион])&amp;" ("&amp;ROUND((COUNTA(Таблица143[Регион])-1)/(E4+COUNTA(Таблица143[Регион])-1)*100,1)&amp;"%)"</f>
        <v>7 (0,7%)</v>
      </c>
      <c r="F41" s="369"/>
      <c r="H41" s="10"/>
      <c r="I41" s="10"/>
      <c r="J41" s="10"/>
    </row>
    <row r="42" spans="1:10" ht="21.75" customHeight="1" collapsed="1" thickBot="1" x14ac:dyDescent="0.35">
      <c r="A42" s="396" t="s">
        <v>70</v>
      </c>
      <c r="B42" s="396"/>
      <c r="C42" s="396"/>
      <c r="D42" s="396"/>
      <c r="E42" s="349">
        <v>50</v>
      </c>
      <c r="F42" s="369"/>
      <c r="H42" s="10"/>
      <c r="I42" s="10"/>
      <c r="J42" s="10"/>
    </row>
    <row r="43" spans="1:10" x14ac:dyDescent="0.3">
      <c r="A43" s="3"/>
      <c r="B43" s="3"/>
      <c r="C43" s="3"/>
      <c r="D43" s="3"/>
      <c r="E43" s="3"/>
    </row>
    <row r="44" spans="1:10" x14ac:dyDescent="0.3">
      <c r="F44" s="44"/>
      <c r="G44" s="89"/>
    </row>
    <row r="45" spans="1:10" x14ac:dyDescent="0.3">
      <c r="D45" s="173"/>
      <c r="E45" s="3"/>
      <c r="G45" s="189"/>
      <c r="H45" s="189"/>
      <c r="I45" s="2"/>
    </row>
    <row r="46" spans="1:10" ht="18" hidden="1" x14ac:dyDescent="0.35">
      <c r="A46" s="31" t="s">
        <v>37</v>
      </c>
      <c r="B46" s="89"/>
      <c r="C46" s="89"/>
      <c r="D46" s="89"/>
      <c r="G46" s="190"/>
      <c r="H46" s="190"/>
      <c r="I46" s="41"/>
    </row>
    <row r="47" spans="1:10" ht="18" hidden="1" x14ac:dyDescent="0.3">
      <c r="A47" s="20" t="s">
        <v>1</v>
      </c>
      <c r="B47" s="20">
        <f>B3</f>
        <v>2018</v>
      </c>
      <c r="C47" s="20">
        <f>C3</f>
        <v>2019</v>
      </c>
      <c r="D47" s="20">
        <f>D3</f>
        <v>2020</v>
      </c>
      <c r="E47" s="28" t="s">
        <v>28</v>
      </c>
      <c r="G47" s="189"/>
      <c r="H47" s="189"/>
      <c r="I47" s="2"/>
    </row>
    <row r="48" spans="1:10" ht="18" hidden="1" x14ac:dyDescent="0.3">
      <c r="A48" s="23" t="s">
        <v>6</v>
      </c>
      <c r="B48" s="175">
        <f>B$4</f>
        <v>91</v>
      </c>
      <c r="C48" s="175">
        <f>C$4</f>
        <v>433</v>
      </c>
      <c r="D48" s="175">
        <f>D$4</f>
        <v>300</v>
      </c>
      <c r="E48" s="36">
        <f>SUM(B48:D48)</f>
        <v>824</v>
      </c>
      <c r="G48" s="189"/>
      <c r="H48" s="189"/>
      <c r="I48" s="2"/>
    </row>
    <row r="49" spans="1:14" ht="28.8" hidden="1" x14ac:dyDescent="0.3">
      <c r="A49" s="37" t="s">
        <v>38</v>
      </c>
      <c r="B49" s="140"/>
      <c r="C49" s="140"/>
      <c r="D49" s="140"/>
      <c r="E49" s="38"/>
      <c r="G49" s="190"/>
      <c r="H49" s="190"/>
      <c r="I49" s="2"/>
    </row>
    <row r="50" spans="1:14" ht="18" hidden="1" x14ac:dyDescent="0.3">
      <c r="A50" s="39" t="s">
        <v>39</v>
      </c>
      <c r="B50" s="139">
        <f>SUMIF(СводПТ[Базовый год],СВОД!B$3,СводПТ[Прибыль, рублей])*0.2</f>
        <v>9512015210.8000011</v>
      </c>
      <c r="C50" s="139">
        <f>SUMIF(СводПТ[Базовый год],СВОД!C$3,СводПТ[Прибыль, рублей])*0.2</f>
        <v>26012843134.800003</v>
      </c>
      <c r="D50" s="139">
        <f>SUMIF(СводПТ[Базовый год],СВОД!D$3,СводПТ[Прибыль, рублей])*0.2</f>
        <v>14369727534.800001</v>
      </c>
      <c r="E50" s="40">
        <f>SUM(B50:D50)</f>
        <v>49894585880.400009</v>
      </c>
      <c r="G50" s="190"/>
      <c r="H50" s="190"/>
    </row>
    <row r="51" spans="1:14" ht="18" hidden="1" x14ac:dyDescent="0.3">
      <c r="A51" s="42" t="s">
        <v>40</v>
      </c>
      <c r="B51" s="139">
        <f>(SUMIF(СводПТ[Базовый год],СВОД!B$3,СводПТ[Прибыль, рублей])-SUMIF(СводПТ[Базовый год],СВОД!B$3,СводПТ[Прибыль (БГ), рублей]))*0.2</f>
        <v>5178455537.6000013</v>
      </c>
      <c r="C51" s="139">
        <f>(SUMIF(СводПТ[Базовый год],СВОД!C$3,СводПТ[Прибыль, рублей])-SUMIF(СводПТ[Базовый год],СВОД!C$3,СводПТ[Прибыль (БГ), рублей]))*0.2</f>
        <v>10864519087.6</v>
      </c>
      <c r="D51" s="139">
        <f>(SUMIF(СводПТ[Базовый год],СВОД!D$3,СводПТ[Прибыль, рублей])-SUMIF(СводПТ[Базовый год],СВОД!D$3,СводПТ[Прибыль (БГ), рублей]))*0.2</f>
        <v>1224228541.9820008</v>
      </c>
      <c r="E51" s="40">
        <f>SUM(B51:D51)</f>
        <v>17267203167.182003</v>
      </c>
    </row>
    <row r="52" spans="1:14" ht="18" hidden="1" x14ac:dyDescent="0.3">
      <c r="A52" s="42" t="s">
        <v>41</v>
      </c>
      <c r="B52" s="140">
        <f>(SUMIF(СводПТ[Базовый год],СВОД!B$3,СводПТ[Прибыль, рублей])*0.2)/(SUMIF(СводПТ[Базовый год],СВОД!B$3,СводПТ[Прибыль (БГ), рублей])*0.2)-1</f>
        <v>1.1949657852008095</v>
      </c>
      <c r="C52" s="140">
        <f>(SUMIF(СводПТ[Базовый год],СВОД!C$3,СводПТ[Прибыль, рублей])*0.2)/(SUMIF(СводПТ[Базовый год],СВОД!C$3,СводПТ[Прибыль (БГ), рублей])*0.2)-1</f>
        <v>0.71720931330408044</v>
      </c>
      <c r="D52" s="140">
        <f>(SUMIF(СводПТ[Базовый год],СВОД!D$3,СводПТ[Прибыль, рублей])*0.2)/(SUMIF(СводПТ[Базовый год],СВОД!D$3,СводПТ[Прибыль (БГ), рублей])*0.2)-1</f>
        <v>9.312910393518381E-2</v>
      </c>
      <c r="E52" s="43">
        <f>(E50/(E50-E51))-1</f>
        <v>0.52922428130242616</v>
      </c>
      <c r="F52" s="44"/>
      <c r="G52" s="44"/>
      <c r="H52" s="44"/>
    </row>
    <row r="53" spans="1:14" ht="18" hidden="1" x14ac:dyDescent="0.3">
      <c r="A53" s="39" t="s">
        <v>42</v>
      </c>
      <c r="B53" s="139">
        <f>SUMIF(СводПТ[Базовый год],СВОД!B$3,СводПТ[Налог на имущество, рублей])</f>
        <v>471956451</v>
      </c>
      <c r="C53" s="139">
        <f>SUMIF(СводПТ[Базовый год],СВОД!C$3,СводПТ[Налог на имущество, рублей])</f>
        <v>2941564052.5700002</v>
      </c>
      <c r="D53" s="139">
        <f>SUMIF(СводПТ[Базовый год],СВОД!D$3,СводПТ[Налог на имущество, рублей])</f>
        <v>2626967393</v>
      </c>
      <c r="E53" s="40">
        <f>SUM(B53:D53)</f>
        <v>6040487896.5699997</v>
      </c>
    </row>
    <row r="54" spans="1:14" ht="18" hidden="1" x14ac:dyDescent="0.3">
      <c r="A54" s="42" t="s">
        <v>43</v>
      </c>
      <c r="B54" s="139">
        <f>SUMIF(СводПТ[Базовый год],СВОД!B$3,СводПТ[Налог на имущество, рублей])-SUMIF(СводПТ[Базовый год],СВОД!B$3,СводПТ[Налог на имущество (БГ), рублей])</f>
        <v>-153615345</v>
      </c>
      <c r="C54" s="139">
        <f>SUMIF(СводПТ[Базовый год],СВОД!C$3,СводПТ[Налог на имущество, рублей])-SUMIF(СводПТ[Базовый год],СВОД!C$3,СводПТ[Налог на имущество (БГ), рублей])</f>
        <v>326770478.57000017</v>
      </c>
      <c r="D54" s="139">
        <f>SUMIF(СводПТ[Базовый год],СВОД!D$3,СводПТ[Налог на имущество, рублей])-SUMIF(СводПТ[Базовый год],СВОД!D$3,СводПТ[Налог на имущество (БГ), рублей])</f>
        <v>257103687</v>
      </c>
      <c r="E54" s="40">
        <f>SUM(B54:D54)</f>
        <v>430258820.57000017</v>
      </c>
    </row>
    <row r="55" spans="1:14" ht="18" hidden="1" x14ac:dyDescent="0.3">
      <c r="A55" s="42" t="s">
        <v>44</v>
      </c>
      <c r="B55" s="140">
        <f>(SUMIF(СводПТ[Базовый год],СВОД!B$3,СводПТ[Налог на имущество, рублей])/SUMIF(СводПТ[Базовый год],СВОД!B$3,СводПТ[Налог на имущество (БГ), рублей]))-1</f>
        <v>-0.24555989573417403</v>
      </c>
      <c r="C55" s="140">
        <f>(SUMIF(СводПТ[Базовый год],СВОД!C$3,СводПТ[Налог на имущество, рублей])/SUMIF(СводПТ[Базовый год],СВОД!C$3,СводПТ[Налог на имущество (БГ), рублей]))-1</f>
        <v>0.12496989506904765</v>
      </c>
      <c r="D55" s="140">
        <f>(SUMIF(СводПТ[Базовый год],СВОД!D$3,СводПТ[Налог на имущество, рублей])/SUMIF(СводПТ[Базовый год],СВОД!D$3,СводПТ[Налог на имущество (БГ), рублей]))-1</f>
        <v>0.10848880733059341</v>
      </c>
      <c r="E55" s="94">
        <f>(E53/(E53-E54))-1</f>
        <v>7.6691845331343877E-2</v>
      </c>
      <c r="F55" s="45"/>
      <c r="G55" s="45"/>
      <c r="H55" s="45"/>
      <c r="I55" s="45"/>
    </row>
    <row r="56" spans="1:14" ht="18" hidden="1" x14ac:dyDescent="0.3">
      <c r="A56" s="39" t="s">
        <v>45</v>
      </c>
      <c r="B56" s="139">
        <f>SUMIF(СводПТ[Базовый год],СВОД!B$3,СводПТ[Сумма страховых взносов, рублей])</f>
        <v>12825797396.380001</v>
      </c>
      <c r="C56" s="139">
        <f>SUMIF(СводПТ[Базовый год],СВОД!C$3,СводПТ[Сумма страховых взносов, рублей])</f>
        <v>45956852122.655998</v>
      </c>
      <c r="D56" s="139">
        <f>SUMIF(СводПТ[Базовый год],СВОД!D$3,СводПТ[Сумма страховых взносов, рублей])</f>
        <v>32667889082.705002</v>
      </c>
      <c r="E56" s="40">
        <f>SUM(B56:D56)</f>
        <v>91450538601.740997</v>
      </c>
      <c r="F56" s="27"/>
      <c r="G56" s="27"/>
      <c r="H56" s="27"/>
      <c r="I56" s="27"/>
    </row>
    <row r="57" spans="1:14" ht="18" hidden="1" x14ac:dyDescent="0.3">
      <c r="A57" s="42" t="s">
        <v>46</v>
      </c>
      <c r="B57" s="139">
        <f>SUMIF(СводПТ[Базовый год],СВОД!B$3,СводПТ[Сумма страховых взносов, рублей])-SUMIF(СводПТ[Базовый год],СВОД!B$3,СводПТ[Сумма страховых взносов (БГ), рублей])</f>
        <v>2445394735.3300018</v>
      </c>
      <c r="C57" s="139">
        <f>SUMIF(СводПТ[Базовый год],СВОД!C$3,СводПТ[Сумма страховых взносов, рублей])-SUMIF(СводПТ[Базовый год],СВОД!C$3,СводПТ[Сумма страховых взносов (БГ), рублей])</f>
        <v>7672593513.625</v>
      </c>
      <c r="D57" s="139">
        <f>SUMIF(СводПТ[Базовый год],СВОД!D$3,СводПТ[Сумма страховых взносов, рублей])-SUMIF(СводПТ[Базовый год],СВОД!D$3,СводПТ[Сумма страховых взносов (БГ), рублей])</f>
        <v>4232187695.4349823</v>
      </c>
      <c r="E57" s="40">
        <f>SUM(B57:D57)</f>
        <v>14350175944.389984</v>
      </c>
      <c r="N57" s="92"/>
    </row>
    <row r="58" spans="1:14" ht="18" hidden="1" x14ac:dyDescent="0.3">
      <c r="A58" s="42" t="s">
        <v>47</v>
      </c>
      <c r="B58" s="140">
        <f>(SUMIF(СводПТ[Базовый год],СВОД!B$3,СводПТ[Сумма страховых взносов, рублей])/SUMIF(СводПТ[Базовый год],СВОД!B$3,СводПТ[Сумма страховых взносов (БГ), рублей]))-1</f>
        <v>0.23557802285510232</v>
      </c>
      <c r="C58" s="140">
        <f>(SUMIF(СводПТ[Базовый год],СВОД!C$3,СводПТ[Сумма страховых взносов, рублей])/SUMIF(СводПТ[Базовый год],СВОД!C$3,СводПТ[Сумма страховых взносов (БГ), рублей]))-1</f>
        <v>0.20041118183793394</v>
      </c>
      <c r="D58" s="140">
        <f>(SUMIF(СводПТ[Базовый год],СВОД!D$3,СводПТ[Сумма страховых взносов, рублей])/SUMIF(СводПТ[Базовый год],СВОД!D$3,СводПТ[Сумма страховых взносов (БГ), рублей]))-1</f>
        <v>0.14883359611202107</v>
      </c>
      <c r="E58" s="43">
        <f>(E56/(E56-E57))-1</f>
        <v>0.18612332614004634</v>
      </c>
    </row>
    <row r="59" spans="1:14" ht="18" hidden="1" x14ac:dyDescent="0.3">
      <c r="A59" s="42" t="s">
        <v>48</v>
      </c>
      <c r="B59" s="139">
        <f>B50+B53+B56</f>
        <v>22809769058.18</v>
      </c>
      <c r="C59" s="139">
        <f>C50+C53+C56</f>
        <v>74911259310.026001</v>
      </c>
      <c r="D59" s="139">
        <f>D50+D53+D56</f>
        <v>49664584010.505005</v>
      </c>
      <c r="E59" s="40">
        <f>E50+E53+E56</f>
        <v>147385612378.711</v>
      </c>
      <c r="F59" s="47"/>
      <c r="G59" s="47"/>
      <c r="H59" s="47"/>
      <c r="I59" s="47"/>
    </row>
    <row r="60" spans="1:14" ht="21" hidden="1" x14ac:dyDescent="0.3">
      <c r="A60" s="42" t="s">
        <v>49</v>
      </c>
      <c r="B60" s="139">
        <f>SUM(B51,B54,B57)</f>
        <v>7470234927.9300032</v>
      </c>
      <c r="C60" s="139">
        <f>SUM(C51,C54,C57)</f>
        <v>18863883079.794998</v>
      </c>
      <c r="D60" s="139">
        <f>SUM(D51,D54,D57)</f>
        <v>5713519924.4169827</v>
      </c>
      <c r="E60" s="46">
        <f>SUM(E51,E54,E57)</f>
        <v>32047637932.141987</v>
      </c>
      <c r="F60" s="48"/>
      <c r="G60" s="48"/>
      <c r="H60" s="48"/>
      <c r="I60" s="48"/>
    </row>
    <row r="61" spans="1:14" ht="18" hidden="1" x14ac:dyDescent="0.3">
      <c r="A61" s="42" t="s">
        <v>50</v>
      </c>
      <c r="B61" s="140">
        <f>(B59/(B59-B60))-1</f>
        <v>0.48699229484411055</v>
      </c>
      <c r="C61" s="140">
        <f>(C59/(C59-C60))-1</f>
        <v>0.33657031512601199</v>
      </c>
      <c r="D61" s="140">
        <f>(D59/(D59-D60))-1</f>
        <v>0.12999730594066561</v>
      </c>
      <c r="E61" s="43">
        <f>(E59/(E59-E60))-1</f>
        <v>0.27785851178605747</v>
      </c>
    </row>
    <row r="62" spans="1:14" ht="18" hidden="1" x14ac:dyDescent="0.3">
      <c r="A62" s="24" t="s">
        <v>39</v>
      </c>
      <c r="B62" s="183"/>
      <c r="C62" s="183"/>
      <c r="D62" s="183"/>
      <c r="E62" s="40">
        <f>SUM(B62:D62)</f>
        <v>0</v>
      </c>
    </row>
    <row r="63" spans="1:14" ht="18" hidden="1" x14ac:dyDescent="0.3">
      <c r="A63" s="34" t="s">
        <v>40</v>
      </c>
      <c r="B63" s="183"/>
      <c r="C63" s="183"/>
      <c r="D63" s="183"/>
      <c r="E63" s="40">
        <f>SUM(B63:D63)</f>
        <v>0</v>
      </c>
    </row>
    <row r="64" spans="1:14" ht="18" hidden="1" x14ac:dyDescent="0.3">
      <c r="A64" s="34" t="s">
        <v>41</v>
      </c>
      <c r="B64" s="184"/>
      <c r="C64" s="184"/>
      <c r="D64" s="184"/>
      <c r="E64" s="43" t="e">
        <f>E63/I59</f>
        <v>#DIV/0!</v>
      </c>
    </row>
    <row r="65" spans="1:11" ht="23.25" hidden="1" customHeight="1" x14ac:dyDescent="0.3">
      <c r="A65" s="220" t="s">
        <v>42</v>
      </c>
      <c r="B65" s="221"/>
      <c r="C65" s="221"/>
      <c r="D65" s="221"/>
      <c r="E65" s="222">
        <f>SUM(B65:D65)</f>
        <v>0</v>
      </c>
    </row>
    <row r="66" spans="1:11" ht="18" hidden="1" x14ac:dyDescent="0.3">
      <c r="A66" s="223" t="s">
        <v>43</v>
      </c>
      <c r="B66" s="221"/>
      <c r="C66" s="221"/>
      <c r="D66" s="221"/>
      <c r="E66" s="222">
        <f>SUM(B66:D66)</f>
        <v>0</v>
      </c>
      <c r="F66" s="193"/>
    </row>
    <row r="67" spans="1:11" ht="18" hidden="1" x14ac:dyDescent="0.3">
      <c r="A67" s="223" t="s">
        <v>44</v>
      </c>
      <c r="B67" s="224"/>
      <c r="C67" s="224"/>
      <c r="D67" s="224"/>
      <c r="E67" s="225">
        <v>-0.02</v>
      </c>
    </row>
    <row r="68" spans="1:11" ht="18" hidden="1" x14ac:dyDescent="0.3">
      <c r="A68" s="220" t="s">
        <v>45</v>
      </c>
      <c r="B68" s="221"/>
      <c r="C68" s="221"/>
      <c r="D68" s="221"/>
      <c r="E68" s="222">
        <f>SUM(B68:D68)</f>
        <v>0</v>
      </c>
      <c r="F68" s="45"/>
      <c r="G68" s="45"/>
      <c r="H68" s="45"/>
      <c r="I68" s="45"/>
      <c r="K68" s="47"/>
    </row>
    <row r="69" spans="1:11" ht="18" hidden="1" x14ac:dyDescent="0.3">
      <c r="A69" s="223" t="s">
        <v>46</v>
      </c>
      <c r="B69" s="221"/>
      <c r="C69" s="221"/>
      <c r="D69" s="221"/>
      <c r="E69" s="222">
        <f>SUM(B69:D69)</f>
        <v>0</v>
      </c>
    </row>
    <row r="70" spans="1:11" ht="18" hidden="1" x14ac:dyDescent="0.3">
      <c r="A70" s="223" t="s">
        <v>47</v>
      </c>
      <c r="B70" s="224"/>
      <c r="C70" s="224"/>
      <c r="D70" s="224"/>
      <c r="E70" s="225">
        <v>0.06</v>
      </c>
    </row>
    <row r="71" spans="1:11" ht="18" hidden="1" x14ac:dyDescent="0.3">
      <c r="A71" s="24" t="s">
        <v>51</v>
      </c>
      <c r="B71" s="184"/>
      <c r="C71" s="184"/>
      <c r="D71" s="184"/>
      <c r="E71" s="217"/>
    </row>
    <row r="72" spans="1:11" ht="18" hidden="1" x14ac:dyDescent="0.3">
      <c r="A72" s="34" t="s">
        <v>52</v>
      </c>
      <c r="B72" s="184"/>
      <c r="C72" s="184"/>
      <c r="D72" s="184"/>
      <c r="E72" s="217"/>
    </row>
    <row r="73" spans="1:11" ht="18" hidden="1" x14ac:dyDescent="0.3">
      <c r="A73" s="34" t="s">
        <v>53</v>
      </c>
      <c r="B73" s="184"/>
      <c r="C73" s="184"/>
      <c r="D73" s="184"/>
      <c r="E73" s="217"/>
    </row>
    <row r="74" spans="1:11" ht="15.6" hidden="1" x14ac:dyDescent="0.3">
      <c r="A74" s="50" t="s">
        <v>48</v>
      </c>
      <c r="B74" s="51">
        <f t="shared" ref="B74:D75" si="0">SUM(B62,B53,B56)</f>
        <v>13297753847.380001</v>
      </c>
      <c r="C74" s="51">
        <f t="shared" si="0"/>
        <v>48898416175.225998</v>
      </c>
      <c r="D74" s="51">
        <f t="shared" si="0"/>
        <v>35294856475.705002</v>
      </c>
      <c r="E74" s="52">
        <f>SUM(B74:D74)</f>
        <v>97491026498.311005</v>
      </c>
      <c r="F74" s="59"/>
      <c r="G74" s="59"/>
      <c r="H74" s="59"/>
      <c r="I74" s="59"/>
    </row>
    <row r="75" spans="1:11" ht="31.8" hidden="1" thickBot="1" x14ac:dyDescent="0.35">
      <c r="A75" s="50" t="s">
        <v>49</v>
      </c>
      <c r="B75" s="51">
        <f t="shared" si="0"/>
        <v>2291779390.3300018</v>
      </c>
      <c r="C75" s="51">
        <f t="shared" si="0"/>
        <v>7999363992.1949997</v>
      </c>
      <c r="D75" s="53">
        <f t="shared" si="0"/>
        <v>4489291382.4349823</v>
      </c>
      <c r="E75" s="54">
        <f>SUM(B75:D75)</f>
        <v>14780434764.959984</v>
      </c>
    </row>
    <row r="76" spans="1:11" ht="31.2" hidden="1" x14ac:dyDescent="0.3">
      <c r="A76" s="50" t="s">
        <v>54</v>
      </c>
      <c r="B76" s="56" t="e">
        <f>B75/F68</f>
        <v>#DIV/0!</v>
      </c>
      <c r="C76" s="56" t="e">
        <f>C75/G68</f>
        <v>#DIV/0!</v>
      </c>
      <c r="D76" s="56" t="e">
        <f>D75/H68</f>
        <v>#DIV/0!</v>
      </c>
      <c r="E76" s="57" t="e">
        <f>E75/I68</f>
        <v>#DIV/0!</v>
      </c>
    </row>
    <row r="77" spans="1:11" x14ac:dyDescent="0.3">
      <c r="A77" s="3"/>
      <c r="B77" s="3"/>
      <c r="C77" s="3"/>
      <c r="D77" s="3"/>
      <c r="E77" s="3"/>
    </row>
  </sheetData>
  <mergeCells count="11">
    <mergeCell ref="A1:E1"/>
    <mergeCell ref="A2:A3"/>
    <mergeCell ref="B2:D2"/>
    <mergeCell ref="E2:E3"/>
    <mergeCell ref="A12:E12"/>
    <mergeCell ref="A42:D42"/>
    <mergeCell ref="A16:E16"/>
    <mergeCell ref="A8:E8"/>
    <mergeCell ref="A40:D40"/>
    <mergeCell ref="A41:D41"/>
    <mergeCell ref="A39:E39"/>
  </mergeCells>
  <dataValidations count="1">
    <dataValidation type="list" allowBlank="1" showInputMessage="1" showErrorMessage="1" sqref="F3" xr:uid="{40423D80-E328-49E1-B72E-6FD4C92D24B2}">
      <formula1>Год</formula1>
    </dataValidation>
  </dataValidations>
  <pageMargins left="0.7" right="0.7" top="0.75" bottom="0.75" header="0.3" footer="0.3"/>
  <pageSetup paperSize="9" scale="46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6D81-7D91-491B-AC59-66DC364DFE45}">
  <sheetPr codeName="Лист4">
    <tabColor rgb="FF7030A0"/>
  </sheetPr>
  <dimension ref="A1:AS830"/>
  <sheetViews>
    <sheetView tabSelected="1" zoomScale="85" zoomScaleNormal="85" workbookViewId="0">
      <pane xSplit="3" ySplit="6" topLeftCell="K25" activePane="bottomRight" state="frozen"/>
      <selection pane="topRight" activeCell="D1" sqref="D1"/>
      <selection pane="bottomLeft" activeCell="A7" sqref="A7"/>
      <selection pane="bottomRight" activeCell="L26" sqref="L26"/>
    </sheetView>
  </sheetViews>
  <sheetFormatPr defaultColWidth="8.6640625" defaultRowHeight="14.4" outlineLevelCol="2" x14ac:dyDescent="0.3"/>
  <cols>
    <col min="1" max="1" width="13.6640625" style="4" customWidth="1"/>
    <col min="2" max="2" width="25.6640625" style="4" customWidth="1"/>
    <col min="3" max="3" width="13.5546875" style="4" customWidth="1"/>
    <col min="4" max="4" width="18.33203125" style="4" customWidth="1" outlineLevel="1"/>
    <col min="5" max="7" width="18.6640625" style="4" customWidth="1" outlineLevel="1"/>
    <col min="8" max="8" width="12.6640625" style="4" customWidth="1" outlineLevel="1"/>
    <col min="9" max="9" width="22.6640625" style="4" customWidth="1" outlineLevel="1"/>
    <col min="10" max="10" width="29.44140625" style="4" customWidth="1" outlineLevel="1"/>
    <col min="11" max="11" width="19" style="4" customWidth="1"/>
    <col min="12" max="12" width="23.5546875" style="4" customWidth="1"/>
    <col min="13" max="13" width="18.88671875" style="4" customWidth="1"/>
    <col min="14" max="14" width="15.33203125" style="4" customWidth="1"/>
    <col min="15" max="15" width="19.44140625" style="4" customWidth="1"/>
    <col min="16" max="16" width="22.88671875" style="4" customWidth="1"/>
    <col min="17" max="17" width="19.109375" style="4" customWidth="1"/>
    <col min="18" max="18" width="13.88671875" style="4" customWidth="1"/>
    <col min="19" max="19" width="20.33203125" style="4" customWidth="1"/>
    <col min="20" max="20" width="15.88671875" style="4" customWidth="1"/>
    <col min="21" max="21" width="16.5546875" style="4" customWidth="1"/>
    <col min="22" max="22" width="21" style="4" customWidth="1"/>
    <col min="23" max="23" width="23.6640625" style="4" customWidth="1"/>
    <col min="24" max="24" width="25.88671875" style="4" customWidth="1"/>
    <col min="25" max="25" width="21.109375" style="4" customWidth="1"/>
    <col min="26" max="26" width="19.44140625" style="4" customWidth="1"/>
    <col min="27" max="27" width="22.6640625" style="4" customWidth="1"/>
    <col min="28" max="28" width="20.44140625" style="4" customWidth="1"/>
    <col min="29" max="29" width="17" style="4" customWidth="1"/>
    <col min="30" max="30" width="21.5546875" style="4" customWidth="1"/>
    <col min="31" max="31" width="16.88671875" style="4" customWidth="1"/>
    <col min="32" max="32" width="18.44140625" style="4" customWidth="1"/>
    <col min="33" max="33" width="18.109375" style="4" customWidth="1"/>
    <col min="34" max="34" width="19.6640625" style="4" customWidth="1"/>
    <col min="35" max="36" width="15.33203125" style="67" customWidth="1" outlineLevel="2"/>
    <col min="37" max="37" width="15.33203125" style="67" customWidth="1"/>
    <col min="38" max="38" width="17.44140625" style="4" customWidth="1"/>
    <col min="39" max="39" width="18.33203125" style="4" customWidth="1"/>
    <col min="40" max="40" width="15.44140625" style="4" hidden="1" customWidth="1" outlineLevel="1"/>
    <col min="41" max="41" width="11.33203125" style="4" hidden="1" customWidth="1" outlineLevel="1"/>
    <col min="42" max="42" width="12.6640625" style="4" hidden="1" customWidth="1" outlineLevel="1"/>
    <col min="43" max="43" width="11.33203125" style="4" hidden="1" customWidth="1" outlineLevel="1"/>
    <col min="44" max="44" width="0" style="4" hidden="1" customWidth="1" outlineLevel="1"/>
    <col min="45" max="45" width="8.6640625" style="4" collapsed="1"/>
    <col min="46" max="16384" width="8.6640625" style="4"/>
  </cols>
  <sheetData>
    <row r="1" spans="1:44" ht="43.2" x14ac:dyDescent="0.3">
      <c r="A1" s="60" t="s">
        <v>5</v>
      </c>
      <c r="D1" s="6"/>
      <c r="Q1" s="5"/>
      <c r="U1" s="61" t="s">
        <v>71</v>
      </c>
      <c r="V1" s="62"/>
      <c r="W1" s="62"/>
      <c r="X1" s="62"/>
      <c r="Y1" s="63">
        <f>Y3/$AD$3</f>
        <v>3.6215085389395794E-2</v>
      </c>
      <c r="Z1" s="63">
        <f>Z3/$AD$3</f>
        <v>0.29215833740004588</v>
      </c>
      <c r="AA1" s="63">
        <f>AA3/$AD$3</f>
        <v>9.5315445653281497E-2</v>
      </c>
      <c r="AB1" s="64">
        <f>AB3/$AD$3</f>
        <v>2.8578263700604336E-3</v>
      </c>
      <c r="AC1" s="65"/>
      <c r="AD1" s="65"/>
      <c r="AE1" s="65"/>
      <c r="AF1" s="63">
        <f>AF3/$AD$3</f>
        <v>0.57345330518721338</v>
      </c>
      <c r="AG1" s="66"/>
      <c r="AH1" s="6"/>
      <c r="AI1" s="4"/>
      <c r="AJ1" s="4"/>
      <c r="AK1" s="4"/>
      <c r="AL1" s="67"/>
    </row>
    <row r="2" spans="1:44" ht="57.6" x14ac:dyDescent="0.3">
      <c r="A2" s="68">
        <f>СВОД!$F$3</f>
        <v>2021</v>
      </c>
      <c r="C2" s="9"/>
      <c r="D2" s="6"/>
      <c r="E2" s="9"/>
      <c r="F2" s="9"/>
      <c r="G2" s="9"/>
      <c r="H2" s="9"/>
      <c r="I2" s="9"/>
      <c r="J2" s="9"/>
      <c r="K2" s="9"/>
      <c r="Q2" s="5"/>
      <c r="S2" s="69"/>
      <c r="U2" s="61" t="s">
        <v>72</v>
      </c>
      <c r="V2" s="63">
        <f t="shared" ref="V2:AD2" si="0">V4/K4-1</f>
        <v>0.265196540502457</v>
      </c>
      <c r="W2" s="63">
        <f t="shared" si="0"/>
        <v>0.27891784941026443</v>
      </c>
      <c r="X2" s="63">
        <f t="shared" si="0"/>
        <v>0.12051476308215436</v>
      </c>
      <c r="Y2" s="63">
        <f t="shared" si="0"/>
        <v>7.8797627563945705E-2</v>
      </c>
      <c r="Z2" s="63">
        <f t="shared" si="0"/>
        <v>0.15453154922338652</v>
      </c>
      <c r="AA2" s="63">
        <f t="shared" si="0"/>
        <v>0.18612332614004723</v>
      </c>
      <c r="AB2" s="63">
        <f t="shared" si="0"/>
        <v>7.6691845331343877E-2</v>
      </c>
      <c r="AC2" s="63">
        <f t="shared" si="0"/>
        <v>-1.0597164346685672E-2</v>
      </c>
      <c r="AD2" s="63">
        <f t="shared" si="0"/>
        <v>0.25105766223454418</v>
      </c>
      <c r="AE2" s="70"/>
      <c r="AF2" s="63">
        <f>AF4/U4-1</f>
        <v>0.52922428130242616</v>
      </c>
      <c r="AG2" s="71" t="s">
        <v>73</v>
      </c>
      <c r="AH2" s="6"/>
      <c r="AI2" s="4"/>
      <c r="AJ2" s="4"/>
      <c r="AK2" s="4"/>
      <c r="AL2" s="67"/>
    </row>
    <row r="3" spans="1:44" s="7" customFormat="1" ht="57.6" x14ac:dyDescent="0.3">
      <c r="B3" s="72"/>
      <c r="C3" s="73"/>
      <c r="K3" s="83"/>
      <c r="L3" s="83"/>
      <c r="M3" s="83"/>
      <c r="N3" s="83"/>
      <c r="O3" s="83"/>
      <c r="P3" s="83"/>
      <c r="Q3" s="83"/>
      <c r="R3" s="83"/>
      <c r="S3" s="84"/>
      <c r="T3" s="85"/>
      <c r="U3" s="117" t="s">
        <v>74</v>
      </c>
      <c r="V3" s="75">
        <f t="shared" ref="V3:AD3" si="1">V4-K4</f>
        <v>553039104625.51001</v>
      </c>
      <c r="W3" s="75">
        <f t="shared" si="1"/>
        <v>413865892439.6001</v>
      </c>
      <c r="X3" s="75">
        <f t="shared" si="1"/>
        <v>52837196350</v>
      </c>
      <c r="Y3" s="75">
        <f t="shared" si="1"/>
        <v>5452346612</v>
      </c>
      <c r="Z3" s="75">
        <f t="shared" si="1"/>
        <v>43985772888.916809</v>
      </c>
      <c r="AA3" s="75">
        <f t="shared" si="1"/>
        <v>14350175944.39006</v>
      </c>
      <c r="AB3" s="75">
        <f t="shared" si="1"/>
        <v>430258820.56999969</v>
      </c>
      <c r="AC3" s="75">
        <f t="shared" si="1"/>
        <v>-6459.6666666666279</v>
      </c>
      <c r="AD3" s="75">
        <f t="shared" si="1"/>
        <v>150554570101.78723</v>
      </c>
      <c r="AE3" s="74"/>
      <c r="AF3" s="75">
        <f>V3-W3-X3</f>
        <v>86336015835.909912</v>
      </c>
      <c r="AG3" s="75">
        <f>AF3*0.2</f>
        <v>17267203167.181984</v>
      </c>
      <c r="AH3" s="76"/>
      <c r="AI3" s="73"/>
      <c r="AJ3" s="73"/>
      <c r="AK3" s="73"/>
      <c r="AL3" s="77"/>
      <c r="AM3" s="78" t="s">
        <v>75</v>
      </c>
    </row>
    <row r="4" spans="1:44" s="15" customFormat="1" ht="21.6" thickBot="1" x14ac:dyDescent="0.35">
      <c r="A4" s="151" t="s">
        <v>76</v>
      </c>
      <c r="B4" s="107"/>
      <c r="C4" s="107"/>
      <c r="D4" s="107"/>
      <c r="E4" s="152"/>
      <c r="F4" s="107"/>
      <c r="G4" s="107"/>
      <c r="H4" s="153"/>
      <c r="I4" s="122"/>
      <c r="J4" s="154"/>
      <c r="K4" s="118">
        <f>SUBTOTAL(9,СводПТ[Выручка (БГ), рублей])</f>
        <v>2085393359874.49</v>
      </c>
      <c r="L4" s="79">
        <f>SUBTOTAL(9,СводПТ[Прямые расходы (БГ), рублей])</f>
        <v>1483827203295.3999</v>
      </c>
      <c r="M4" s="79">
        <f>SUBTOTAL(9,СводПТ[Косвенные расходы (БГ), рублей])</f>
        <v>438429243013</v>
      </c>
      <c r="N4" s="79">
        <f>SUBTOTAL(9,СводПТ[Амортизация (БГ), рублей])</f>
        <v>69194299125</v>
      </c>
      <c r="O4" s="79">
        <f>SUBTOTAL(9,СводПТ[ФОТ (БГ), рублей])</f>
        <v>284639435183.11737</v>
      </c>
      <c r="P4" s="79">
        <f>SUBTOTAL(9,СводПТ[Сумма страховых взносов (БГ), рублей])</f>
        <v>77100362657.351028</v>
      </c>
      <c r="Q4" s="79">
        <f>SUBTOTAL(9,СводПТ[Налог на имущество (БГ), рублей])</f>
        <v>5610229076</v>
      </c>
      <c r="R4" s="79">
        <f>SUBTOTAL(9,СводПТ[Затраты труда (численность) (БГ), чел])</f>
        <v>609565.58333333326</v>
      </c>
      <c r="S4" s="79">
        <f>SUBTOTAL(9,СводПТ[Добавленная стоимость (БГ), рублей])</f>
        <v>599681239607.55859</v>
      </c>
      <c r="T4" s="79"/>
      <c r="U4" s="81">
        <f>SUBTOTAL(9,СводПТ[Прибыль (БГ), рублей])</f>
        <v>163136913566.09</v>
      </c>
      <c r="V4" s="118">
        <f>SUBTOTAL(9,СводПТ[Выручка, рублей ])</f>
        <v>2638432464500</v>
      </c>
      <c r="W4" s="79">
        <f>SUBTOTAL(9,СводПТ[Прямые расходы, рублей ])</f>
        <v>1897693095735</v>
      </c>
      <c r="X4" s="79">
        <f>SUBTOTAL(9,СводПТ[Косвенные расходы, рублей ])</f>
        <v>491266439363</v>
      </c>
      <c r="Y4" s="79">
        <f>SUBTOTAL(9,СводПТ[Амортизация, рублей ])</f>
        <v>74646645737</v>
      </c>
      <c r="Z4" s="79">
        <f>SUBTOTAL(9,СводПТ[ФОТ, рублей])</f>
        <v>328625208072.03418</v>
      </c>
      <c r="AA4" s="79">
        <f>SUBTOTAL(9,СводПТ[Сумма страховых взносов, рублей])</f>
        <v>91450538601.741089</v>
      </c>
      <c r="AB4" s="79">
        <f>SUBTOTAL(9,СводПТ[Налог на имущество, рублей])</f>
        <v>6040487896.5699997</v>
      </c>
      <c r="AC4" s="79">
        <f>SUBTOTAL(9,СводПТ[Затраты труда (численность), чел])</f>
        <v>603105.91666666663</v>
      </c>
      <c r="AD4" s="79">
        <f>SUBTOTAL(9,СводПТ[Добавленная стоимость, рублей])</f>
        <v>750235809709.34583</v>
      </c>
      <c r="AE4" s="80"/>
      <c r="AF4" s="81">
        <f>SUBTOTAL(9,СводПТ[Прибыль, рублей])</f>
        <v>249472929402</v>
      </c>
      <c r="AG4" s="118">
        <f>SUBTOTAL(9,СводПТ[Δ ДС (21/БГ), рублей])</f>
        <v>150554570101.78671</v>
      </c>
      <c r="AH4" s="79">
        <f>SUBTOTAL(9,СводПТ[Δ численность (21/БГ), человек])</f>
        <v>-6459.6666666666615</v>
      </c>
      <c r="AI4" s="120">
        <f>SUBTOTAL(9,СводПТ[Прирост ПТ
(все 10/15/30)])/SUBTOTAL(3,СводПТ[Прирост ПТ
(все 10/15/30)])</f>
        <v>0.5436893203883495</v>
      </c>
      <c r="AJ4" s="120">
        <f>SUBTOTAL(9,СводПТ[Прирост ПТ 
(все 5/5/5)])/SUBTOTAL(3,СводПТ[Прирост ПТ 
(все 5/5/5)])</f>
        <v>0.58859223300970875</v>
      </c>
      <c r="AK4" s="119"/>
      <c r="AL4" s="120">
        <f>SUBTOTAL(9,СводПТ[Выполнение цели (1-Да;0-Нет)])/SUBTOTAL(3,СводПТ[Выполнение цели (1-Да;0-Нет)])</f>
        <v>0.54490291262135926</v>
      </c>
      <c r="AM4" s="121" t="str">
        <f>SUBTOTAL(9,СводПТ[Выполнение цели (1-Да;0-Нет)])&amp;" из "&amp;SUBTOTAL(3,СводПТ[Выполнение цели (1-Да;0-Нет)])</f>
        <v>449 из 824</v>
      </c>
    </row>
    <row r="5" spans="1:44" ht="16.5" customHeight="1" thickTop="1" thickBot="1" x14ac:dyDescent="0.35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401" t="s">
        <v>77</v>
      </c>
      <c r="L5" s="401"/>
      <c r="M5" s="401"/>
      <c r="N5" s="401"/>
      <c r="O5" s="401"/>
      <c r="P5" s="401"/>
      <c r="Q5" s="401"/>
      <c r="R5" s="401"/>
      <c r="S5" s="401"/>
      <c r="T5" s="401"/>
      <c r="U5" s="402"/>
      <c r="V5" s="403" t="str">
        <f>CONCATENATE("Данные налоговой отчетности (",A2,")")</f>
        <v>Данные налоговой отчетности (2021)</v>
      </c>
      <c r="W5" s="404"/>
      <c r="X5" s="404"/>
      <c r="Y5" s="404"/>
      <c r="Z5" s="404"/>
      <c r="AA5" s="404"/>
      <c r="AB5" s="404"/>
      <c r="AC5" s="404"/>
      <c r="AD5" s="404"/>
      <c r="AE5" s="404"/>
      <c r="AF5" s="405"/>
      <c r="AG5" s="406" t="s">
        <v>78</v>
      </c>
      <c r="AH5" s="406"/>
      <c r="AI5" s="406"/>
      <c r="AJ5" s="406"/>
      <c r="AK5" s="406"/>
      <c r="AL5" s="406"/>
      <c r="AM5" s="406"/>
    </row>
    <row r="6" spans="1:44" ht="78" customHeight="1" thickTop="1" thickBot="1" x14ac:dyDescent="0.35">
      <c r="A6" s="160" t="s">
        <v>79</v>
      </c>
      <c r="B6" s="160" t="s">
        <v>80</v>
      </c>
      <c r="C6" s="160" t="s">
        <v>81</v>
      </c>
      <c r="D6" s="160" t="s">
        <v>82</v>
      </c>
      <c r="E6" s="160" t="s">
        <v>83</v>
      </c>
      <c r="F6" s="160" t="s">
        <v>84</v>
      </c>
      <c r="G6" s="160" t="s">
        <v>85</v>
      </c>
      <c r="H6" s="160" t="s">
        <v>86</v>
      </c>
      <c r="I6" s="160" t="s">
        <v>87</v>
      </c>
      <c r="J6" s="160" t="s">
        <v>88</v>
      </c>
      <c r="K6" s="150" t="s">
        <v>89</v>
      </c>
      <c r="L6" s="110" t="s">
        <v>90</v>
      </c>
      <c r="M6" s="110" t="s">
        <v>91</v>
      </c>
      <c r="N6" s="110" t="s">
        <v>92</v>
      </c>
      <c r="O6" s="110" t="s">
        <v>93</v>
      </c>
      <c r="P6" s="110" t="s">
        <v>94</v>
      </c>
      <c r="Q6" s="110" t="s">
        <v>95</v>
      </c>
      <c r="R6" s="110" t="s">
        <v>96</v>
      </c>
      <c r="S6" s="110" t="s">
        <v>97</v>
      </c>
      <c r="T6" s="110" t="s">
        <v>98</v>
      </c>
      <c r="U6" s="111" t="s">
        <v>99</v>
      </c>
      <c r="V6" s="112" t="s">
        <v>100</v>
      </c>
      <c r="W6" s="113" t="s">
        <v>101</v>
      </c>
      <c r="X6" s="113" t="s">
        <v>102</v>
      </c>
      <c r="Y6" s="113" t="s">
        <v>103</v>
      </c>
      <c r="Z6" s="113" t="s">
        <v>104</v>
      </c>
      <c r="AA6" s="113" t="s">
        <v>105</v>
      </c>
      <c r="AB6" s="113" t="s">
        <v>106</v>
      </c>
      <c r="AC6" s="113" t="s">
        <v>107</v>
      </c>
      <c r="AD6" s="113" t="s">
        <v>108</v>
      </c>
      <c r="AE6" s="114" t="s">
        <v>109</v>
      </c>
      <c r="AF6" s="114" t="s">
        <v>110</v>
      </c>
      <c r="AG6" s="115" t="s">
        <v>111</v>
      </c>
      <c r="AH6" s="115" t="s">
        <v>112</v>
      </c>
      <c r="AI6" s="116" t="s">
        <v>113</v>
      </c>
      <c r="AJ6" s="116" t="s">
        <v>114</v>
      </c>
      <c r="AK6" s="116" t="s">
        <v>115</v>
      </c>
      <c r="AL6" s="115" t="s">
        <v>116</v>
      </c>
      <c r="AM6" s="115" t="s">
        <v>117</v>
      </c>
      <c r="AN6" s="115" t="s">
        <v>118</v>
      </c>
      <c r="AO6" s="127" t="s">
        <v>119</v>
      </c>
      <c r="AP6" s="127" t="s">
        <v>120</v>
      </c>
      <c r="AQ6" s="127" t="s">
        <v>121</v>
      </c>
      <c r="AR6" s="127" t="s">
        <v>122</v>
      </c>
    </row>
    <row r="7" spans="1:44" ht="29.4" thickTop="1" x14ac:dyDescent="0.3">
      <c r="A7" s="155" t="s">
        <v>123</v>
      </c>
      <c r="B7" s="350" t="s">
        <v>4771</v>
      </c>
      <c r="C7" s="351">
        <v>2019</v>
      </c>
      <c r="D7" s="156" t="s">
        <v>4772</v>
      </c>
      <c r="E7" s="157" t="s">
        <v>1152</v>
      </c>
      <c r="F7" s="384" t="s">
        <v>124</v>
      </c>
      <c r="G7" s="194" t="s">
        <v>4773</v>
      </c>
      <c r="H7" s="194" t="s">
        <v>1638</v>
      </c>
      <c r="I7" s="158" t="s">
        <v>1566</v>
      </c>
      <c r="J7" s="157" t="s">
        <v>4774</v>
      </c>
      <c r="K7" s="161">
        <v>505859038</v>
      </c>
      <c r="L7" s="162">
        <v>331532510</v>
      </c>
      <c r="M7" s="162">
        <v>111300787</v>
      </c>
      <c r="N7" s="162">
        <v>7100771</v>
      </c>
      <c r="O7" s="162">
        <v>36693140</v>
      </c>
      <c r="P7" s="162">
        <v>9933409</v>
      </c>
      <c r="Q7" s="162">
        <v>0</v>
      </c>
      <c r="R7" s="162">
        <v>126.16666666666667</v>
      </c>
      <c r="S7" s="162">
        <v>116753061</v>
      </c>
      <c r="T7" s="162">
        <v>925387.53764861287</v>
      </c>
      <c r="U7" s="163">
        <v>63025741</v>
      </c>
      <c r="V7" s="167">
        <v>774610933</v>
      </c>
      <c r="W7" s="162">
        <v>530940269</v>
      </c>
      <c r="X7" s="162">
        <v>130102939</v>
      </c>
      <c r="Y7" s="162">
        <v>4660708</v>
      </c>
      <c r="Z7" s="162">
        <v>20159947</v>
      </c>
      <c r="AA7" s="162">
        <v>5177521</v>
      </c>
      <c r="AB7" s="162">
        <v>0</v>
      </c>
      <c r="AC7" s="162">
        <v>99.583333333333329</v>
      </c>
      <c r="AD7" s="162">
        <v>143565901</v>
      </c>
      <c r="AE7" s="162">
        <v>1441665.9514644353</v>
      </c>
      <c r="AF7" s="163">
        <v>113567725</v>
      </c>
      <c r="AG7" s="11">
        <v>26812840</v>
      </c>
      <c r="AH7" s="12">
        <v>-26.583333333333343</v>
      </c>
      <c r="AI7" s="132">
        <v>1</v>
      </c>
      <c r="AJ7" s="132">
        <v>1</v>
      </c>
      <c r="AK7" s="13">
        <v>0.15</v>
      </c>
      <c r="AL7" s="13">
        <v>0.55790508050281273</v>
      </c>
      <c r="AM7" s="185">
        <v>1</v>
      </c>
      <c r="AN7" s="14">
        <v>0</v>
      </c>
      <c r="AO7" s="82">
        <v>290830.70013210038</v>
      </c>
      <c r="AP7" s="82">
        <v>202442.98242677824</v>
      </c>
      <c r="AQ7" s="82">
        <v>-88387.717705322138</v>
      </c>
      <c r="AR7" s="128">
        <v>-0.30391467498161262</v>
      </c>
    </row>
    <row r="8" spans="1:44" ht="28.8" x14ac:dyDescent="0.3">
      <c r="A8" s="136" t="s">
        <v>125</v>
      </c>
      <c r="B8" s="137" t="s">
        <v>4775</v>
      </c>
      <c r="C8" s="134">
        <v>2018</v>
      </c>
      <c r="D8" s="149" t="s">
        <v>4772</v>
      </c>
      <c r="E8" s="135" t="s">
        <v>1152</v>
      </c>
      <c r="F8" s="384" t="s">
        <v>124</v>
      </c>
      <c r="G8" s="138" t="s">
        <v>4773</v>
      </c>
      <c r="H8" s="138" t="s">
        <v>1223</v>
      </c>
      <c r="I8" s="138" t="s">
        <v>1217</v>
      </c>
      <c r="J8" s="135" t="s">
        <v>4774</v>
      </c>
      <c r="K8" s="164">
        <v>1915920557</v>
      </c>
      <c r="L8" s="165">
        <v>1447590145</v>
      </c>
      <c r="M8" s="165">
        <v>249258612</v>
      </c>
      <c r="N8" s="165">
        <v>120505961</v>
      </c>
      <c r="O8" s="165">
        <v>485586035</v>
      </c>
      <c r="P8" s="165">
        <v>127939378</v>
      </c>
      <c r="Q8" s="165">
        <v>0</v>
      </c>
      <c r="R8" s="165">
        <v>1147.1666666666665</v>
      </c>
      <c r="S8" s="165">
        <v>953103174</v>
      </c>
      <c r="T8" s="165">
        <v>830832.3469417406</v>
      </c>
      <c r="U8" s="166">
        <v>219071800</v>
      </c>
      <c r="V8" s="168">
        <v>2582386712</v>
      </c>
      <c r="W8" s="165">
        <v>2091402554</v>
      </c>
      <c r="X8" s="165">
        <v>201685085</v>
      </c>
      <c r="Y8" s="165">
        <v>227444992</v>
      </c>
      <c r="Z8" s="165">
        <v>747624885</v>
      </c>
      <c r="AA8" s="165">
        <v>203369602</v>
      </c>
      <c r="AB8" s="165">
        <v>0</v>
      </c>
      <c r="AC8" s="165">
        <v>1246.0833333333333</v>
      </c>
      <c r="AD8" s="165">
        <v>1467738552</v>
      </c>
      <c r="AE8" s="165">
        <v>1177881.5370828598</v>
      </c>
      <c r="AF8" s="166">
        <v>289299073</v>
      </c>
      <c r="AG8" s="11">
        <v>514635378</v>
      </c>
      <c r="AH8" s="12">
        <v>98.916666666666742</v>
      </c>
      <c r="AI8" s="132">
        <v>1</v>
      </c>
      <c r="AJ8" s="132">
        <v>1</v>
      </c>
      <c r="AK8" s="13">
        <v>0.3</v>
      </c>
      <c r="AL8" s="13">
        <v>0.41771265887757036</v>
      </c>
      <c r="AM8" s="14">
        <v>1</v>
      </c>
      <c r="AN8" s="14">
        <v>0</v>
      </c>
      <c r="AO8" s="82">
        <v>423291.61848031386</v>
      </c>
      <c r="AP8" s="82">
        <v>599979.84484718787</v>
      </c>
      <c r="AQ8" s="82">
        <v>176688.22636687401</v>
      </c>
      <c r="AR8" s="129">
        <v>0.41741489472721827</v>
      </c>
    </row>
    <row r="9" spans="1:44" x14ac:dyDescent="0.3">
      <c r="A9" s="136" t="s">
        <v>126</v>
      </c>
      <c r="B9" s="137" t="s">
        <v>4776</v>
      </c>
      <c r="C9" s="134">
        <v>2020</v>
      </c>
      <c r="D9" s="149" t="s">
        <v>4777</v>
      </c>
      <c r="E9" s="135" t="s">
        <v>1152</v>
      </c>
      <c r="F9" s="384"/>
      <c r="G9" s="138" t="s">
        <v>4773</v>
      </c>
      <c r="H9" s="138" t="s">
        <v>4286</v>
      </c>
      <c r="I9" s="138" t="s">
        <v>4255</v>
      </c>
      <c r="J9" s="135" t="s">
        <v>4778</v>
      </c>
      <c r="K9" s="164">
        <v>608750400</v>
      </c>
      <c r="L9" s="165">
        <v>511464203</v>
      </c>
      <c r="M9" s="165">
        <v>66027017</v>
      </c>
      <c r="N9" s="165">
        <v>10499883</v>
      </c>
      <c r="O9" s="165">
        <v>260811249</v>
      </c>
      <c r="P9" s="165">
        <v>70075013</v>
      </c>
      <c r="Q9" s="165">
        <v>517039</v>
      </c>
      <c r="R9" s="165">
        <v>424.08333333333331</v>
      </c>
      <c r="S9" s="165">
        <v>373162364</v>
      </c>
      <c r="T9" s="165">
        <v>879926.97347219498</v>
      </c>
      <c r="U9" s="166">
        <v>31259180</v>
      </c>
      <c r="V9" s="168">
        <v>680333600</v>
      </c>
      <c r="W9" s="165">
        <v>615399648</v>
      </c>
      <c r="X9" s="165">
        <v>63926335</v>
      </c>
      <c r="Y9" s="165">
        <v>9656727</v>
      </c>
      <c r="Z9" s="165">
        <v>292782162</v>
      </c>
      <c r="AA9" s="165">
        <v>92408165</v>
      </c>
      <c r="AB9" s="165">
        <v>622099</v>
      </c>
      <c r="AC9" s="165">
        <v>438.5</v>
      </c>
      <c r="AD9" s="165">
        <v>396476770</v>
      </c>
      <c r="AE9" s="165">
        <v>904165.95210946409</v>
      </c>
      <c r="AF9" s="166">
        <v>1007617</v>
      </c>
      <c r="AG9" s="11">
        <v>23314406</v>
      </c>
      <c r="AH9" s="12">
        <v>14.416666666666686</v>
      </c>
      <c r="AI9" s="132">
        <v>0</v>
      </c>
      <c r="AJ9" s="132">
        <v>0</v>
      </c>
      <c r="AK9" s="13">
        <v>0.1</v>
      </c>
      <c r="AL9" s="13">
        <v>2.7546581507781331E-2</v>
      </c>
      <c r="AM9" s="14">
        <v>0</v>
      </c>
      <c r="AN9" s="14">
        <v>-1</v>
      </c>
      <c r="AO9" s="82">
        <v>614999.99764197296</v>
      </c>
      <c r="AP9" s="82">
        <v>667690.22120866587</v>
      </c>
      <c r="AQ9" s="82">
        <v>52690.223566692905</v>
      </c>
      <c r="AR9" s="129">
        <v>8.5675160599540279E-2</v>
      </c>
    </row>
    <row r="10" spans="1:44" ht="28.8" x14ac:dyDescent="0.3">
      <c r="A10" s="136" t="s">
        <v>127</v>
      </c>
      <c r="B10" s="137" t="s">
        <v>4779</v>
      </c>
      <c r="C10" s="134">
        <v>2019</v>
      </c>
      <c r="D10" s="149" t="s">
        <v>1149</v>
      </c>
      <c r="E10" s="135" t="s">
        <v>1140</v>
      </c>
      <c r="F10" s="384" t="s">
        <v>128</v>
      </c>
      <c r="G10" s="138" t="s">
        <v>4773</v>
      </c>
      <c r="H10" s="138" t="s">
        <v>4292</v>
      </c>
      <c r="I10" s="138" t="s">
        <v>4255</v>
      </c>
      <c r="J10" s="135" t="s">
        <v>4780</v>
      </c>
      <c r="K10" s="164">
        <v>1439950361</v>
      </c>
      <c r="L10" s="165">
        <v>1342697030</v>
      </c>
      <c r="M10" s="165">
        <v>87066507</v>
      </c>
      <c r="N10" s="165">
        <v>33782221</v>
      </c>
      <c r="O10" s="165">
        <v>759407612</v>
      </c>
      <c r="P10" s="165">
        <v>205738179</v>
      </c>
      <c r="Q10" s="165">
        <v>3173653</v>
      </c>
      <c r="R10" s="165">
        <v>2273.25</v>
      </c>
      <c r="S10" s="165">
        <v>1012288489</v>
      </c>
      <c r="T10" s="165">
        <v>445304.51512152207</v>
      </c>
      <c r="U10" s="166">
        <v>10186824</v>
      </c>
      <c r="V10" s="168">
        <v>1599767973</v>
      </c>
      <c r="W10" s="165">
        <v>1625166616</v>
      </c>
      <c r="X10" s="165">
        <v>89433284</v>
      </c>
      <c r="Y10" s="165">
        <v>33371444</v>
      </c>
      <c r="Z10" s="165">
        <v>797340398</v>
      </c>
      <c r="AA10" s="165">
        <v>247385917</v>
      </c>
      <c r="AB10" s="165">
        <v>2556952</v>
      </c>
      <c r="AC10" s="165">
        <v>2059.3333333333335</v>
      </c>
      <c r="AD10" s="165">
        <v>965822784</v>
      </c>
      <c r="AE10" s="165">
        <v>468997.79087083193</v>
      </c>
      <c r="AF10" s="166">
        <v>-114831927</v>
      </c>
      <c r="AG10" s="11">
        <v>-46465705</v>
      </c>
      <c r="AH10" s="12">
        <v>-213.91666666666652</v>
      </c>
      <c r="AI10" s="132">
        <v>0</v>
      </c>
      <c r="AJ10" s="132">
        <v>1</v>
      </c>
      <c r="AK10" s="13">
        <v>0.15</v>
      </c>
      <c r="AL10" s="13">
        <v>5.3206893116647391E-2</v>
      </c>
      <c r="AM10" s="14">
        <v>0</v>
      </c>
      <c r="AN10" s="14">
        <v>-1</v>
      </c>
      <c r="AO10" s="82">
        <v>334062.51490157266</v>
      </c>
      <c r="AP10" s="82">
        <v>387183.74781482678</v>
      </c>
      <c r="AQ10" s="82">
        <v>53121.23291325412</v>
      </c>
      <c r="AR10" s="129">
        <v>0.15901584447122308</v>
      </c>
    </row>
    <row r="11" spans="1:44" ht="28.8" x14ac:dyDescent="0.3">
      <c r="A11" s="136" t="s">
        <v>129</v>
      </c>
      <c r="B11" s="137" t="s">
        <v>4781</v>
      </c>
      <c r="C11" s="134">
        <v>2019</v>
      </c>
      <c r="D11" s="149" t="s">
        <v>1149</v>
      </c>
      <c r="E11" s="135" t="s">
        <v>1140</v>
      </c>
      <c r="F11" s="384" t="s">
        <v>128</v>
      </c>
      <c r="G11" s="138" t="s">
        <v>4773</v>
      </c>
      <c r="H11" s="138" t="s">
        <v>2345</v>
      </c>
      <c r="I11" s="138" t="s">
        <v>1566</v>
      </c>
      <c r="J11" s="135" t="s">
        <v>4774</v>
      </c>
      <c r="K11" s="164">
        <v>751716720</v>
      </c>
      <c r="L11" s="165">
        <v>633227335</v>
      </c>
      <c r="M11" s="165">
        <v>144160073</v>
      </c>
      <c r="N11" s="165">
        <v>13877613</v>
      </c>
      <c r="O11" s="165">
        <v>180600162</v>
      </c>
      <c r="P11" s="165">
        <v>30140160</v>
      </c>
      <c r="Q11" s="165">
        <v>2786830</v>
      </c>
      <c r="R11" s="165">
        <v>240.91666666666666</v>
      </c>
      <c r="S11" s="165">
        <v>201734077</v>
      </c>
      <c r="T11" s="165">
        <v>837360.40262884821</v>
      </c>
      <c r="U11" s="166">
        <v>-25670688</v>
      </c>
      <c r="V11" s="168">
        <v>1087295999</v>
      </c>
      <c r="W11" s="165">
        <v>686699912</v>
      </c>
      <c r="X11" s="165">
        <v>280792774</v>
      </c>
      <c r="Y11" s="165">
        <v>51093943</v>
      </c>
      <c r="Z11" s="165">
        <v>132947874.36000001</v>
      </c>
      <c r="AA11" s="165">
        <v>25189553.43</v>
      </c>
      <c r="AB11" s="165">
        <v>2453516</v>
      </c>
      <c r="AC11" s="165">
        <v>273.5</v>
      </c>
      <c r="AD11" s="165">
        <v>331488199.79000002</v>
      </c>
      <c r="AE11" s="165">
        <v>1212022.6683363803</v>
      </c>
      <c r="AF11" s="166">
        <v>119803313</v>
      </c>
      <c r="AG11" s="11">
        <v>129754122.79000002</v>
      </c>
      <c r="AH11" s="12">
        <v>32.583333333333343</v>
      </c>
      <c r="AI11" s="132">
        <v>1</v>
      </c>
      <c r="AJ11" s="132">
        <v>0</v>
      </c>
      <c r="AK11" s="13">
        <v>0.15</v>
      </c>
      <c r="AL11" s="13">
        <v>0.44743251531837402</v>
      </c>
      <c r="AM11" s="14">
        <v>1</v>
      </c>
      <c r="AN11" s="14">
        <v>0</v>
      </c>
      <c r="AO11" s="82">
        <v>749637.47630577662</v>
      </c>
      <c r="AP11" s="82">
        <v>486098.26091407682</v>
      </c>
      <c r="AQ11" s="82">
        <v>-263539.21539169981</v>
      </c>
      <c r="AR11" s="129">
        <v>-0.35155555014461726</v>
      </c>
    </row>
    <row r="12" spans="1:44" ht="28.8" x14ac:dyDescent="0.3">
      <c r="A12" s="136" t="s">
        <v>130</v>
      </c>
      <c r="B12" s="137" t="s">
        <v>4782</v>
      </c>
      <c r="C12" s="134">
        <v>2019</v>
      </c>
      <c r="D12" s="149" t="s">
        <v>1149</v>
      </c>
      <c r="E12" s="135" t="s">
        <v>1140</v>
      </c>
      <c r="F12" s="384" t="s">
        <v>128</v>
      </c>
      <c r="G12" s="138" t="s">
        <v>4773</v>
      </c>
      <c r="H12" s="138" t="s">
        <v>3564</v>
      </c>
      <c r="I12" s="138" t="s">
        <v>3557</v>
      </c>
      <c r="J12" s="135" t="s">
        <v>4774</v>
      </c>
      <c r="K12" s="164">
        <v>595620855</v>
      </c>
      <c r="L12" s="165">
        <v>313690261</v>
      </c>
      <c r="M12" s="165">
        <v>278376425</v>
      </c>
      <c r="N12" s="165">
        <v>7471234</v>
      </c>
      <c r="O12" s="165">
        <v>24989876</v>
      </c>
      <c r="P12" s="165">
        <v>6714870</v>
      </c>
      <c r="Q12" s="165">
        <v>41976</v>
      </c>
      <c r="R12" s="165">
        <v>126.33333333333333</v>
      </c>
      <c r="S12" s="165">
        <v>42772125</v>
      </c>
      <c r="T12" s="165">
        <v>338565.63324538257</v>
      </c>
      <c r="U12" s="166">
        <v>3554169</v>
      </c>
      <c r="V12" s="168">
        <v>640868503</v>
      </c>
      <c r="W12" s="165">
        <v>394619681</v>
      </c>
      <c r="X12" s="165">
        <v>226703448</v>
      </c>
      <c r="Y12" s="165">
        <v>14293613</v>
      </c>
      <c r="Z12" s="165">
        <v>36560086</v>
      </c>
      <c r="AA12" s="165">
        <v>10929872</v>
      </c>
      <c r="AB12" s="165">
        <v>39306</v>
      </c>
      <c r="AC12" s="165">
        <v>150.25</v>
      </c>
      <c r="AD12" s="165">
        <v>81368251</v>
      </c>
      <c r="AE12" s="165">
        <v>541552.41930116469</v>
      </c>
      <c r="AF12" s="166">
        <v>19545374</v>
      </c>
      <c r="AG12" s="11">
        <v>38596126</v>
      </c>
      <c r="AH12" s="12">
        <v>23.916666666666671</v>
      </c>
      <c r="AI12" s="132">
        <v>1</v>
      </c>
      <c r="AJ12" s="132">
        <v>0</v>
      </c>
      <c r="AK12" s="13">
        <v>0.15</v>
      </c>
      <c r="AL12" s="13">
        <v>0.59954931042468784</v>
      </c>
      <c r="AM12" s="14">
        <v>1</v>
      </c>
      <c r="AN12" s="14">
        <v>0</v>
      </c>
      <c r="AO12" s="82">
        <v>197809.04485488127</v>
      </c>
      <c r="AP12" s="82">
        <v>243328.35940099834</v>
      </c>
      <c r="AQ12" s="82">
        <v>45519.314546117064</v>
      </c>
      <c r="AR12" s="129">
        <v>0.23011745787211813</v>
      </c>
    </row>
    <row r="13" spans="1:44" ht="28.8" x14ac:dyDescent="0.3">
      <c r="A13" s="136" t="s">
        <v>131</v>
      </c>
      <c r="B13" s="137" t="s">
        <v>4783</v>
      </c>
      <c r="C13" s="134">
        <v>2019</v>
      </c>
      <c r="D13" s="149" t="s">
        <v>1149</v>
      </c>
      <c r="E13" s="135" t="s">
        <v>1140</v>
      </c>
      <c r="F13" s="384" t="s">
        <v>128</v>
      </c>
      <c r="G13" s="138" t="s">
        <v>4773</v>
      </c>
      <c r="H13" s="138" t="s">
        <v>3622</v>
      </c>
      <c r="I13" s="138" t="s">
        <v>3557</v>
      </c>
      <c r="J13" s="135" t="s">
        <v>4774</v>
      </c>
      <c r="K13" s="164">
        <v>1107516836</v>
      </c>
      <c r="L13" s="165">
        <v>486118092</v>
      </c>
      <c r="M13" s="165">
        <v>636851107</v>
      </c>
      <c r="N13" s="165">
        <v>15602335</v>
      </c>
      <c r="O13" s="165">
        <v>423966208.63</v>
      </c>
      <c r="P13" s="165">
        <v>115076473.32000001</v>
      </c>
      <c r="Q13" s="165">
        <v>4555000</v>
      </c>
      <c r="R13" s="165">
        <v>909.33333333333337</v>
      </c>
      <c r="S13" s="165">
        <v>543747653.95000005</v>
      </c>
      <c r="T13" s="165">
        <v>597962.96255498531</v>
      </c>
      <c r="U13" s="166">
        <v>-15452363</v>
      </c>
      <c r="V13" s="168">
        <v>301232609</v>
      </c>
      <c r="W13" s="165">
        <v>200922955</v>
      </c>
      <c r="X13" s="165">
        <v>161396128</v>
      </c>
      <c r="Y13" s="165">
        <v>333667</v>
      </c>
      <c r="Z13" s="165">
        <v>85181387</v>
      </c>
      <c r="AA13" s="165">
        <v>24964864.539999999</v>
      </c>
      <c r="AB13" s="165">
        <v>16153</v>
      </c>
      <c r="AC13" s="165">
        <v>177.58333333333334</v>
      </c>
      <c r="AD13" s="165">
        <v>49409597.539999999</v>
      </c>
      <c r="AE13" s="165">
        <v>278233.3038385734</v>
      </c>
      <c r="AF13" s="166">
        <v>-61086474</v>
      </c>
      <c r="AG13" s="11">
        <v>-494338056.41000003</v>
      </c>
      <c r="AH13" s="12">
        <v>-731.75</v>
      </c>
      <c r="AI13" s="132">
        <v>0</v>
      </c>
      <c r="AJ13" s="132">
        <v>1</v>
      </c>
      <c r="AK13" s="13">
        <v>0.15</v>
      </c>
      <c r="AL13" s="13">
        <v>-0.53469810237075555</v>
      </c>
      <c r="AM13" s="14">
        <v>0</v>
      </c>
      <c r="AN13" s="14">
        <v>-1</v>
      </c>
      <c r="AO13" s="82">
        <v>466238.49922653957</v>
      </c>
      <c r="AP13" s="82">
        <v>479669.94087282964</v>
      </c>
      <c r="AQ13" s="82">
        <v>13431.44164629007</v>
      </c>
      <c r="AR13" s="129">
        <v>2.8808092142909691E-2</v>
      </c>
    </row>
    <row r="14" spans="1:44" ht="28.8" x14ac:dyDescent="0.3">
      <c r="A14" s="136" t="s">
        <v>132</v>
      </c>
      <c r="B14" s="137" t="s">
        <v>4784</v>
      </c>
      <c r="C14" s="134">
        <v>2019</v>
      </c>
      <c r="D14" s="149" t="s">
        <v>1149</v>
      </c>
      <c r="E14" s="135" t="s">
        <v>1140</v>
      </c>
      <c r="F14" s="384" t="s">
        <v>128</v>
      </c>
      <c r="G14" s="138" t="s">
        <v>4773</v>
      </c>
      <c r="H14" s="138" t="s">
        <v>3108</v>
      </c>
      <c r="I14" s="138" t="s">
        <v>1566</v>
      </c>
      <c r="J14" s="135" t="s">
        <v>4774</v>
      </c>
      <c r="K14" s="164">
        <v>2589149259</v>
      </c>
      <c r="L14" s="165">
        <v>1929579985</v>
      </c>
      <c r="M14" s="165">
        <v>657289420</v>
      </c>
      <c r="N14" s="165">
        <v>48548715</v>
      </c>
      <c r="O14" s="165">
        <v>471001331</v>
      </c>
      <c r="P14" s="165">
        <v>117669485</v>
      </c>
      <c r="Q14" s="165">
        <v>103318</v>
      </c>
      <c r="R14" s="165">
        <v>946.41666666666663</v>
      </c>
      <c r="S14" s="165">
        <v>639602703</v>
      </c>
      <c r="T14" s="165">
        <v>675815.13040415605</v>
      </c>
      <c r="U14" s="166">
        <v>2279854</v>
      </c>
      <c r="V14" s="168">
        <v>5417840367</v>
      </c>
      <c r="W14" s="165">
        <v>4005753381</v>
      </c>
      <c r="X14" s="165">
        <v>683671591</v>
      </c>
      <c r="Y14" s="165">
        <v>47910218</v>
      </c>
      <c r="Z14" s="165">
        <v>559084739.12</v>
      </c>
      <c r="AA14" s="165">
        <v>159090773</v>
      </c>
      <c r="AB14" s="165">
        <v>163075</v>
      </c>
      <c r="AC14" s="165">
        <v>975.25</v>
      </c>
      <c r="AD14" s="165">
        <v>1494664200.1199999</v>
      </c>
      <c r="AE14" s="165">
        <v>1532595.949879518</v>
      </c>
      <c r="AF14" s="166">
        <v>728415395</v>
      </c>
      <c r="AG14" s="11">
        <v>855061497.11999989</v>
      </c>
      <c r="AH14" s="12">
        <v>28.833333333333371</v>
      </c>
      <c r="AI14" s="132">
        <v>1</v>
      </c>
      <c r="AJ14" s="132">
        <v>1</v>
      </c>
      <c r="AK14" s="13">
        <v>0.15</v>
      </c>
      <c r="AL14" s="13">
        <v>1.267773954690834</v>
      </c>
      <c r="AM14" s="14">
        <v>1</v>
      </c>
      <c r="AN14" s="14">
        <v>0</v>
      </c>
      <c r="AO14" s="82">
        <v>497668.04367350537</v>
      </c>
      <c r="AP14" s="82">
        <v>573273.25210971548</v>
      </c>
      <c r="AQ14" s="82">
        <v>75605.208436210116</v>
      </c>
      <c r="AR14" s="129">
        <v>0.15191895360235508</v>
      </c>
    </row>
    <row r="15" spans="1:44" ht="28.8" x14ac:dyDescent="0.3">
      <c r="A15" s="136" t="s">
        <v>133</v>
      </c>
      <c r="B15" s="137" t="s">
        <v>4785</v>
      </c>
      <c r="C15" s="134">
        <v>2020</v>
      </c>
      <c r="D15" s="149" t="s">
        <v>1149</v>
      </c>
      <c r="E15" s="135" t="s">
        <v>1140</v>
      </c>
      <c r="F15" s="384" t="s">
        <v>128</v>
      </c>
      <c r="G15" s="138" t="s">
        <v>4773</v>
      </c>
      <c r="H15" s="138" t="s">
        <v>2757</v>
      </c>
      <c r="I15" s="138" t="s">
        <v>1566</v>
      </c>
      <c r="J15" s="135" t="s">
        <v>4774</v>
      </c>
      <c r="K15" s="164">
        <v>1775690541</v>
      </c>
      <c r="L15" s="165">
        <v>1507299453</v>
      </c>
      <c r="M15" s="165">
        <v>245585557</v>
      </c>
      <c r="N15" s="165">
        <v>1381923</v>
      </c>
      <c r="O15" s="165">
        <v>352719750</v>
      </c>
      <c r="P15" s="165">
        <v>99682923</v>
      </c>
      <c r="Q15" s="165">
        <v>0</v>
      </c>
      <c r="R15" s="165">
        <v>806.58333333333337</v>
      </c>
      <c r="S15" s="165">
        <v>476590127</v>
      </c>
      <c r="T15" s="165">
        <v>590875.24785618344</v>
      </c>
      <c r="U15" s="166">
        <v>22805531</v>
      </c>
      <c r="V15" s="168">
        <v>2002194105</v>
      </c>
      <c r="W15" s="165">
        <v>1674791182</v>
      </c>
      <c r="X15" s="165">
        <v>284723920</v>
      </c>
      <c r="Y15" s="165">
        <v>2049323</v>
      </c>
      <c r="Z15" s="165">
        <v>383156511</v>
      </c>
      <c r="AA15" s="165">
        <v>120807536</v>
      </c>
      <c r="AB15" s="165">
        <v>0</v>
      </c>
      <c r="AC15" s="165">
        <v>828.41666666666663</v>
      </c>
      <c r="AD15" s="165">
        <v>548692373</v>
      </c>
      <c r="AE15" s="165">
        <v>662338.64560909371</v>
      </c>
      <c r="AF15" s="166">
        <v>42679003</v>
      </c>
      <c r="AG15" s="11">
        <v>72102246</v>
      </c>
      <c r="AH15" s="12">
        <v>21.833333333333258</v>
      </c>
      <c r="AI15" s="132">
        <v>1</v>
      </c>
      <c r="AJ15" s="132">
        <v>1</v>
      </c>
      <c r="AK15" s="13">
        <v>0.1</v>
      </c>
      <c r="AL15" s="13">
        <v>0.12094498796488762</v>
      </c>
      <c r="AM15" s="14">
        <v>1</v>
      </c>
      <c r="AN15" s="14">
        <v>0</v>
      </c>
      <c r="AO15" s="82">
        <v>437301.06415952061</v>
      </c>
      <c r="AP15" s="82">
        <v>462516.66150286695</v>
      </c>
      <c r="AQ15" s="82">
        <v>25215.597343346337</v>
      </c>
      <c r="AR15" s="129">
        <v>5.7661870528053605E-2</v>
      </c>
    </row>
    <row r="16" spans="1:44" ht="28.8" x14ac:dyDescent="0.3">
      <c r="A16" s="136" t="s">
        <v>134</v>
      </c>
      <c r="B16" s="137" t="s">
        <v>4786</v>
      </c>
      <c r="C16" s="134">
        <v>2020</v>
      </c>
      <c r="D16" s="149" t="s">
        <v>1149</v>
      </c>
      <c r="E16" s="135" t="s">
        <v>1140</v>
      </c>
      <c r="F16" s="384" t="s">
        <v>128</v>
      </c>
      <c r="G16" s="138" t="s">
        <v>4773</v>
      </c>
      <c r="H16" s="138" t="s">
        <v>3058</v>
      </c>
      <c r="I16" s="138" t="s">
        <v>1566</v>
      </c>
      <c r="J16" s="135" t="s">
        <v>4774</v>
      </c>
      <c r="K16" s="164">
        <v>843981257</v>
      </c>
      <c r="L16" s="165">
        <v>606735842</v>
      </c>
      <c r="M16" s="165">
        <v>203251607</v>
      </c>
      <c r="N16" s="165">
        <v>10267899</v>
      </c>
      <c r="O16" s="165">
        <v>85954898</v>
      </c>
      <c r="P16" s="165">
        <v>18765735</v>
      </c>
      <c r="Q16" s="165">
        <v>0</v>
      </c>
      <c r="R16" s="165">
        <v>132.75</v>
      </c>
      <c r="S16" s="165">
        <v>148982340</v>
      </c>
      <c r="T16" s="165">
        <v>1122277.5141242938</v>
      </c>
      <c r="U16" s="166">
        <v>33993808</v>
      </c>
      <c r="V16" s="168">
        <v>741790096</v>
      </c>
      <c r="W16" s="165">
        <v>562038188</v>
      </c>
      <c r="X16" s="165">
        <v>187675558</v>
      </c>
      <c r="Y16" s="165">
        <v>10855286</v>
      </c>
      <c r="Z16" s="165">
        <v>105525830</v>
      </c>
      <c r="AA16" s="165">
        <v>20277478</v>
      </c>
      <c r="AB16" s="165">
        <v>0</v>
      </c>
      <c r="AC16" s="165">
        <v>138.91666666666666</v>
      </c>
      <c r="AD16" s="165">
        <v>128734944</v>
      </c>
      <c r="AE16" s="165">
        <v>926706.25554889033</v>
      </c>
      <c r="AF16" s="166">
        <v>-7923650</v>
      </c>
      <c r="AG16" s="11">
        <v>-20247396</v>
      </c>
      <c r="AH16" s="12">
        <v>6.1666666666666572</v>
      </c>
      <c r="AI16" s="132">
        <v>0</v>
      </c>
      <c r="AJ16" s="132">
        <v>0</v>
      </c>
      <c r="AK16" s="13">
        <v>0.1</v>
      </c>
      <c r="AL16" s="13">
        <v>-0.17426282560006034</v>
      </c>
      <c r="AM16" s="14">
        <v>0</v>
      </c>
      <c r="AN16" s="14">
        <v>-1</v>
      </c>
      <c r="AO16" s="82">
        <v>647494.52354048961</v>
      </c>
      <c r="AP16" s="82">
        <v>759634.04919016198</v>
      </c>
      <c r="AQ16" s="82">
        <v>112139.52564967237</v>
      </c>
      <c r="AR16" s="129">
        <v>0.17318992141662481</v>
      </c>
    </row>
    <row r="17" spans="1:44" ht="43.2" x14ac:dyDescent="0.3">
      <c r="A17" s="136" t="s">
        <v>135</v>
      </c>
      <c r="B17" s="137" t="s">
        <v>1185</v>
      </c>
      <c r="C17" s="134">
        <v>2020</v>
      </c>
      <c r="D17" s="149" t="s">
        <v>1184</v>
      </c>
      <c r="E17" s="135" t="s">
        <v>1175</v>
      </c>
      <c r="F17" s="384" t="s">
        <v>136</v>
      </c>
      <c r="G17" s="138" t="s">
        <v>4787</v>
      </c>
      <c r="H17" s="138" t="s">
        <v>1722</v>
      </c>
      <c r="I17" s="138" t="s">
        <v>1566</v>
      </c>
      <c r="J17" s="135" t="s">
        <v>4778</v>
      </c>
      <c r="K17" s="164">
        <v>8459027141</v>
      </c>
      <c r="L17" s="165">
        <v>5708207057</v>
      </c>
      <c r="M17" s="165">
        <v>2265212247</v>
      </c>
      <c r="N17" s="165">
        <v>121479120</v>
      </c>
      <c r="O17" s="165">
        <v>510479845</v>
      </c>
      <c r="P17" s="165">
        <v>146744448.53</v>
      </c>
      <c r="Q17" s="165">
        <v>8438521</v>
      </c>
      <c r="R17" s="165">
        <v>939.41666666666663</v>
      </c>
      <c r="S17" s="165">
        <v>1272749771.53</v>
      </c>
      <c r="T17" s="165">
        <v>1354829.8818735031</v>
      </c>
      <c r="U17" s="166">
        <v>485607837</v>
      </c>
      <c r="V17" s="168">
        <v>8940599008</v>
      </c>
      <c r="W17" s="165">
        <v>5692841034</v>
      </c>
      <c r="X17" s="165">
        <v>2925352561</v>
      </c>
      <c r="Y17" s="165">
        <v>171826210</v>
      </c>
      <c r="Z17" s="165">
        <v>553763166.10000002</v>
      </c>
      <c r="AA17" s="165">
        <v>158105763.89000002</v>
      </c>
      <c r="AB17" s="165">
        <v>9247882</v>
      </c>
      <c r="AC17" s="165">
        <v>946.66666666666663</v>
      </c>
      <c r="AD17" s="165">
        <v>1215348434.99</v>
      </c>
      <c r="AE17" s="165">
        <v>1283818.7693556338</v>
      </c>
      <c r="AF17" s="166">
        <v>322405413</v>
      </c>
      <c r="AG17" s="11">
        <v>-57401336.539999962</v>
      </c>
      <c r="AH17" s="12">
        <v>7.25</v>
      </c>
      <c r="AI17" s="132">
        <v>0</v>
      </c>
      <c r="AJ17" s="132">
        <v>0</v>
      </c>
      <c r="AK17" s="13">
        <v>0.1</v>
      </c>
      <c r="AL17" s="13">
        <v>-5.2413303727845029E-2</v>
      </c>
      <c r="AM17" s="14">
        <v>0</v>
      </c>
      <c r="AN17" s="14">
        <v>-1</v>
      </c>
      <c r="AO17" s="82">
        <v>543400.88175286085</v>
      </c>
      <c r="AP17" s="82">
        <v>584961.0909507043</v>
      </c>
      <c r="AQ17" s="82">
        <v>41560.209197843447</v>
      </c>
      <c r="AR17" s="129">
        <v>7.6481674199316174E-2</v>
      </c>
    </row>
    <row r="18" spans="1:44" ht="28.8" x14ac:dyDescent="0.3">
      <c r="A18" s="136" t="s">
        <v>137</v>
      </c>
      <c r="B18" s="137" t="s">
        <v>4788</v>
      </c>
      <c r="C18" s="134">
        <v>2019</v>
      </c>
      <c r="D18" s="149" t="s">
        <v>1184</v>
      </c>
      <c r="E18" s="135" t="s">
        <v>1175</v>
      </c>
      <c r="F18" s="384" t="s">
        <v>136</v>
      </c>
      <c r="G18" s="138" t="s">
        <v>4773</v>
      </c>
      <c r="H18" s="138" t="s">
        <v>3564</v>
      </c>
      <c r="I18" s="138" t="s">
        <v>3557</v>
      </c>
      <c r="J18" s="135" t="s">
        <v>4774</v>
      </c>
      <c r="K18" s="164">
        <v>819576013</v>
      </c>
      <c r="L18" s="165">
        <v>609688305</v>
      </c>
      <c r="M18" s="165">
        <v>198191370</v>
      </c>
      <c r="N18" s="165">
        <v>16572161</v>
      </c>
      <c r="O18" s="165">
        <v>150982626</v>
      </c>
      <c r="P18" s="165">
        <v>45819427</v>
      </c>
      <c r="Q18" s="165">
        <v>0</v>
      </c>
      <c r="R18" s="165">
        <v>579.75</v>
      </c>
      <c r="S18" s="165">
        <v>225070552</v>
      </c>
      <c r="T18" s="165">
        <v>388220.01207416988</v>
      </c>
      <c r="U18" s="166">
        <v>11696338</v>
      </c>
      <c r="V18" s="168">
        <v>1072120811</v>
      </c>
      <c r="W18" s="165">
        <v>819887355</v>
      </c>
      <c r="X18" s="165">
        <v>220981205</v>
      </c>
      <c r="Y18" s="165">
        <v>6606685</v>
      </c>
      <c r="Z18" s="165">
        <v>152298392.91999999</v>
      </c>
      <c r="AA18" s="165">
        <v>46775593.349999994</v>
      </c>
      <c r="AB18" s="165">
        <v>26113</v>
      </c>
      <c r="AC18" s="165">
        <v>510.91666666666669</v>
      </c>
      <c r="AD18" s="165">
        <v>236959035.26999998</v>
      </c>
      <c r="AE18" s="165">
        <v>463791.94637742615</v>
      </c>
      <c r="AF18" s="166">
        <v>31252251</v>
      </c>
      <c r="AG18" s="11">
        <v>11888483.269999981</v>
      </c>
      <c r="AH18" s="12">
        <v>-68.833333333333314</v>
      </c>
      <c r="AI18" s="132">
        <v>1</v>
      </c>
      <c r="AJ18" s="132">
        <v>1</v>
      </c>
      <c r="AK18" s="13">
        <v>0.15</v>
      </c>
      <c r="AL18" s="13">
        <v>0.19466266048470815</v>
      </c>
      <c r="AM18" s="14">
        <v>1</v>
      </c>
      <c r="AN18" s="14">
        <v>0</v>
      </c>
      <c r="AO18" s="82">
        <v>260427.1254851229</v>
      </c>
      <c r="AP18" s="82">
        <v>298088.519823846</v>
      </c>
      <c r="AQ18" s="82">
        <v>37661.394338723097</v>
      </c>
      <c r="AR18" s="129">
        <v>0.14461394629521629</v>
      </c>
    </row>
    <row r="19" spans="1:44" ht="43.2" x14ac:dyDescent="0.3">
      <c r="A19" s="136" t="s">
        <v>138</v>
      </c>
      <c r="B19" s="137" t="s">
        <v>4789</v>
      </c>
      <c r="C19" s="134">
        <v>2019</v>
      </c>
      <c r="D19" s="149" t="s">
        <v>1184</v>
      </c>
      <c r="E19" s="135" t="s">
        <v>1175</v>
      </c>
      <c r="F19" s="384" t="s">
        <v>139</v>
      </c>
      <c r="G19" s="138" t="s">
        <v>4773</v>
      </c>
      <c r="H19" s="138" t="s">
        <v>2757</v>
      </c>
      <c r="I19" s="138" t="s">
        <v>1566</v>
      </c>
      <c r="J19" s="135" t="s">
        <v>4778</v>
      </c>
      <c r="K19" s="164">
        <v>2343414189</v>
      </c>
      <c r="L19" s="165">
        <v>1948469061</v>
      </c>
      <c r="M19" s="165">
        <v>291032380</v>
      </c>
      <c r="N19" s="165">
        <v>9167922</v>
      </c>
      <c r="O19" s="165">
        <v>183983552</v>
      </c>
      <c r="P19" s="165">
        <v>54921029</v>
      </c>
      <c r="Q19" s="165">
        <v>0</v>
      </c>
      <c r="R19" s="165">
        <v>813.16666666666663</v>
      </c>
      <c r="S19" s="165">
        <v>351985251</v>
      </c>
      <c r="T19" s="165">
        <v>432857.45152695227</v>
      </c>
      <c r="U19" s="166">
        <v>103912748</v>
      </c>
      <c r="V19" s="168">
        <v>4353135548</v>
      </c>
      <c r="W19" s="165">
        <v>3804723497</v>
      </c>
      <c r="X19" s="165">
        <v>423142836</v>
      </c>
      <c r="Y19" s="165">
        <v>10202282</v>
      </c>
      <c r="Z19" s="165">
        <v>282256633.01999998</v>
      </c>
      <c r="AA19" s="165">
        <v>83494862.090000004</v>
      </c>
      <c r="AB19" s="165">
        <v>0</v>
      </c>
      <c r="AC19" s="165">
        <v>981.58333333333337</v>
      </c>
      <c r="AD19" s="165">
        <v>501222992.11000001</v>
      </c>
      <c r="AE19" s="165">
        <v>510627.04009848036</v>
      </c>
      <c r="AF19" s="166">
        <v>125269215</v>
      </c>
      <c r="AG19" s="11">
        <v>149237741.11000001</v>
      </c>
      <c r="AH19" s="12">
        <v>168.41666666666674</v>
      </c>
      <c r="AI19" s="132">
        <v>1</v>
      </c>
      <c r="AJ19" s="132">
        <v>1</v>
      </c>
      <c r="AK19" s="13">
        <v>0.15</v>
      </c>
      <c r="AL19" s="13">
        <v>0.17966559198646115</v>
      </c>
      <c r="AM19" s="14">
        <v>1</v>
      </c>
      <c r="AN19" s="14">
        <v>0</v>
      </c>
      <c r="AO19" s="82">
        <v>226255.64910842388</v>
      </c>
      <c r="AP19" s="82">
        <v>287552.38952712453</v>
      </c>
      <c r="AQ19" s="82">
        <v>61296.740418700647</v>
      </c>
      <c r="AR19" s="129">
        <v>0.27091805513031253</v>
      </c>
    </row>
    <row r="20" spans="1:44" ht="28.8" x14ac:dyDescent="0.3">
      <c r="A20" s="136" t="s">
        <v>140</v>
      </c>
      <c r="B20" s="137" t="s">
        <v>4790</v>
      </c>
      <c r="C20" s="134">
        <v>2019</v>
      </c>
      <c r="D20" s="149" t="s">
        <v>1184</v>
      </c>
      <c r="E20" s="135" t="s">
        <v>1175</v>
      </c>
      <c r="F20" s="384" t="s">
        <v>136</v>
      </c>
      <c r="G20" s="138" t="s">
        <v>4773</v>
      </c>
      <c r="H20" s="138" t="s">
        <v>3569</v>
      </c>
      <c r="I20" s="138" t="s">
        <v>3557</v>
      </c>
      <c r="J20" s="135" t="s">
        <v>4774</v>
      </c>
      <c r="K20" s="164">
        <v>3998171700</v>
      </c>
      <c r="L20" s="165">
        <v>3484157363</v>
      </c>
      <c r="M20" s="165">
        <v>434557924</v>
      </c>
      <c r="N20" s="165">
        <v>18830325</v>
      </c>
      <c r="O20" s="165">
        <v>181247929</v>
      </c>
      <c r="P20" s="165">
        <v>53334204</v>
      </c>
      <c r="Q20" s="165">
        <v>905901</v>
      </c>
      <c r="R20" s="165">
        <v>292.66666666666669</v>
      </c>
      <c r="S20" s="165">
        <v>333774772</v>
      </c>
      <c r="T20" s="165">
        <v>1140460.4965831435</v>
      </c>
      <c r="U20" s="166">
        <v>79456413</v>
      </c>
      <c r="V20" s="168">
        <v>3148168101</v>
      </c>
      <c r="W20" s="165">
        <v>2523049499</v>
      </c>
      <c r="X20" s="165">
        <v>581742991</v>
      </c>
      <c r="Y20" s="165">
        <v>23177342</v>
      </c>
      <c r="Z20" s="165">
        <v>270583168.98000008</v>
      </c>
      <c r="AA20" s="165">
        <v>78152777.460000008</v>
      </c>
      <c r="AB20" s="165">
        <v>926295</v>
      </c>
      <c r="AC20" s="165">
        <v>384.16666666666669</v>
      </c>
      <c r="AD20" s="165">
        <v>416215194.44000006</v>
      </c>
      <c r="AE20" s="165">
        <v>1083423.4996268982</v>
      </c>
      <c r="AF20" s="166">
        <v>43375611</v>
      </c>
      <c r="AG20" s="11">
        <v>82440422.440000057</v>
      </c>
      <c r="AH20" s="12">
        <v>91.5</v>
      </c>
      <c r="AI20" s="132">
        <v>0</v>
      </c>
      <c r="AJ20" s="132">
        <v>0</v>
      </c>
      <c r="AK20" s="13">
        <v>0.15</v>
      </c>
      <c r="AL20" s="13">
        <v>-5.0012253822030672E-2</v>
      </c>
      <c r="AM20" s="14">
        <v>0</v>
      </c>
      <c r="AN20" s="14">
        <v>-1</v>
      </c>
      <c r="AO20" s="82">
        <v>619298.16287015937</v>
      </c>
      <c r="AP20" s="82">
        <v>704337.966976139</v>
      </c>
      <c r="AQ20" s="82">
        <v>85039.804105979623</v>
      </c>
      <c r="AR20" s="129">
        <v>0.13731641591161781</v>
      </c>
    </row>
    <row r="21" spans="1:44" ht="43.2" x14ac:dyDescent="0.3">
      <c r="A21" s="136" t="s">
        <v>141</v>
      </c>
      <c r="B21" s="137" t="s">
        <v>4791</v>
      </c>
      <c r="C21" s="134">
        <v>2019</v>
      </c>
      <c r="D21" s="149" t="s">
        <v>1184</v>
      </c>
      <c r="E21" s="135" t="s">
        <v>1175</v>
      </c>
      <c r="F21" s="384" t="s">
        <v>142</v>
      </c>
      <c r="G21" s="138" t="s">
        <v>4773</v>
      </c>
      <c r="H21" s="138" t="s">
        <v>3171</v>
      </c>
      <c r="I21" s="138" t="s">
        <v>1566</v>
      </c>
      <c r="J21" s="135" t="s">
        <v>4778</v>
      </c>
      <c r="K21" s="164">
        <v>591230065</v>
      </c>
      <c r="L21" s="165">
        <v>528701192</v>
      </c>
      <c r="M21" s="165">
        <v>196411676</v>
      </c>
      <c r="N21" s="165">
        <v>2662598</v>
      </c>
      <c r="O21" s="165">
        <v>113075896</v>
      </c>
      <c r="P21" s="165">
        <v>33208808</v>
      </c>
      <c r="Q21" s="165">
        <v>0</v>
      </c>
      <c r="R21" s="165">
        <v>276.41666666666669</v>
      </c>
      <c r="S21" s="165">
        <v>15064499</v>
      </c>
      <c r="T21" s="165">
        <v>54499.242689176965</v>
      </c>
      <c r="U21" s="166">
        <v>-133882803</v>
      </c>
      <c r="V21" s="168">
        <v>2233774467</v>
      </c>
      <c r="W21" s="165">
        <v>1683888119</v>
      </c>
      <c r="X21" s="165">
        <v>329614969</v>
      </c>
      <c r="Y21" s="165">
        <v>19445755</v>
      </c>
      <c r="Z21" s="165">
        <v>198574983.88</v>
      </c>
      <c r="AA21" s="165">
        <v>59016436.719999999</v>
      </c>
      <c r="AB21" s="165">
        <v>0</v>
      </c>
      <c r="AC21" s="165">
        <v>413.16666666666669</v>
      </c>
      <c r="AD21" s="165">
        <v>497308554.60000002</v>
      </c>
      <c r="AE21" s="165">
        <v>1203651.2011294877</v>
      </c>
      <c r="AF21" s="166">
        <v>220271379</v>
      </c>
      <c r="AG21" s="11">
        <v>482244055.60000002</v>
      </c>
      <c r="AH21" s="12">
        <v>136.75</v>
      </c>
      <c r="AI21" s="132">
        <v>1</v>
      </c>
      <c r="AJ21" s="132">
        <v>1</v>
      </c>
      <c r="AK21" s="13">
        <v>0.15</v>
      </c>
      <c r="AL21" s="13">
        <v>21.085651102657579</v>
      </c>
      <c r="AM21" s="14">
        <v>1</v>
      </c>
      <c r="AN21" s="14">
        <v>0</v>
      </c>
      <c r="AO21" s="82">
        <v>409077.70636116969</v>
      </c>
      <c r="AP21" s="82">
        <v>480617.14533279545</v>
      </c>
      <c r="AQ21" s="82">
        <v>71539.438971625757</v>
      </c>
      <c r="AR21" s="129">
        <v>0.17487982810890323</v>
      </c>
    </row>
    <row r="22" spans="1:44" ht="28.8" x14ac:dyDescent="0.3">
      <c r="A22" s="136" t="s">
        <v>143</v>
      </c>
      <c r="B22" s="137" t="s">
        <v>4792</v>
      </c>
      <c r="C22" s="134">
        <v>2019</v>
      </c>
      <c r="D22" s="149" t="s">
        <v>1184</v>
      </c>
      <c r="E22" s="135" t="s">
        <v>1175</v>
      </c>
      <c r="F22" s="384" t="s">
        <v>136</v>
      </c>
      <c r="G22" s="138" t="s">
        <v>4773</v>
      </c>
      <c r="H22" s="138" t="s">
        <v>2601</v>
      </c>
      <c r="I22" s="138" t="s">
        <v>1566</v>
      </c>
      <c r="J22" s="135" t="s">
        <v>4774</v>
      </c>
      <c r="K22" s="164">
        <v>1646638929</v>
      </c>
      <c r="L22" s="165">
        <v>1038701911</v>
      </c>
      <c r="M22" s="165">
        <v>496832886</v>
      </c>
      <c r="N22" s="165">
        <v>0</v>
      </c>
      <c r="O22" s="165">
        <v>172452109</v>
      </c>
      <c r="P22" s="165">
        <v>47328713</v>
      </c>
      <c r="Q22" s="165">
        <v>805562</v>
      </c>
      <c r="R22" s="165">
        <v>435.41666666666669</v>
      </c>
      <c r="S22" s="165">
        <v>331690516</v>
      </c>
      <c r="T22" s="165">
        <v>761777.26162679424</v>
      </c>
      <c r="U22" s="166">
        <v>111104132</v>
      </c>
      <c r="V22" s="168">
        <v>1662775404</v>
      </c>
      <c r="W22" s="165">
        <v>1010834910</v>
      </c>
      <c r="X22" s="165">
        <v>532750895</v>
      </c>
      <c r="Y22" s="165">
        <v>0</v>
      </c>
      <c r="Z22" s="165">
        <v>184668586.55000001</v>
      </c>
      <c r="AA22" s="165">
        <v>57116922.990000002</v>
      </c>
      <c r="AB22" s="165">
        <v>701894</v>
      </c>
      <c r="AC22" s="165">
        <v>426.5</v>
      </c>
      <c r="AD22" s="165">
        <v>361677002.54000002</v>
      </c>
      <c r="AE22" s="165">
        <v>848011.72928487696</v>
      </c>
      <c r="AF22" s="166">
        <v>119189599</v>
      </c>
      <c r="AG22" s="11">
        <v>29986486.540000021</v>
      </c>
      <c r="AH22" s="12">
        <v>-8.9166666666666856</v>
      </c>
      <c r="AI22" s="132">
        <v>0</v>
      </c>
      <c r="AJ22" s="132">
        <v>1</v>
      </c>
      <c r="AK22" s="13">
        <v>0.15</v>
      </c>
      <c r="AL22" s="13">
        <v>0.11320168575260436</v>
      </c>
      <c r="AM22" s="14">
        <v>0</v>
      </c>
      <c r="AN22" s="14">
        <v>-1</v>
      </c>
      <c r="AO22" s="82">
        <v>396062.25990430621</v>
      </c>
      <c r="AP22" s="82">
        <v>432986.1349355217</v>
      </c>
      <c r="AQ22" s="82">
        <v>36923.875031215488</v>
      </c>
      <c r="AR22" s="129">
        <v>9.3227451260154748E-2</v>
      </c>
    </row>
    <row r="23" spans="1:44" ht="43.2" x14ac:dyDescent="0.3">
      <c r="A23" s="136" t="s">
        <v>144</v>
      </c>
      <c r="B23" s="137" t="s">
        <v>4793</v>
      </c>
      <c r="C23" s="134">
        <v>2020</v>
      </c>
      <c r="D23" s="149" t="s">
        <v>1184</v>
      </c>
      <c r="E23" s="135" t="s">
        <v>1175</v>
      </c>
      <c r="F23" s="384" t="s">
        <v>136</v>
      </c>
      <c r="G23" s="138" t="s">
        <v>4773</v>
      </c>
      <c r="H23" s="138" t="s">
        <v>2196</v>
      </c>
      <c r="I23" s="138" t="s">
        <v>1566</v>
      </c>
      <c r="J23" s="135" t="s">
        <v>4774</v>
      </c>
      <c r="K23" s="164">
        <v>1822493289</v>
      </c>
      <c r="L23" s="165">
        <v>2180236698</v>
      </c>
      <c r="M23" s="165">
        <v>80836278</v>
      </c>
      <c r="N23" s="165">
        <v>748937492</v>
      </c>
      <c r="O23" s="165">
        <v>81632837</v>
      </c>
      <c r="P23" s="165">
        <v>24260369</v>
      </c>
      <c r="Q23" s="165">
        <v>39866487</v>
      </c>
      <c r="R23" s="165">
        <v>245.16666666666666</v>
      </c>
      <c r="S23" s="165">
        <v>456117498</v>
      </c>
      <c r="T23" s="165">
        <v>1860438.4690686609</v>
      </c>
      <c r="U23" s="166">
        <v>-438579687</v>
      </c>
      <c r="V23" s="168">
        <v>5253147474</v>
      </c>
      <c r="W23" s="165">
        <v>2846363596</v>
      </c>
      <c r="X23" s="165">
        <v>86220442</v>
      </c>
      <c r="Y23" s="165">
        <v>914760778</v>
      </c>
      <c r="Z23" s="165">
        <v>97232799.409999996</v>
      </c>
      <c r="AA23" s="165">
        <v>29317220.09</v>
      </c>
      <c r="AB23" s="165">
        <v>38918909</v>
      </c>
      <c r="AC23" s="165">
        <v>232.41666666666666</v>
      </c>
      <c r="AD23" s="165">
        <v>3400793142.5</v>
      </c>
      <c r="AE23" s="165">
        <v>14632311.835783435</v>
      </c>
      <c r="AF23" s="166">
        <v>2320563436</v>
      </c>
      <c r="AG23" s="11">
        <v>2944675644.5</v>
      </c>
      <c r="AH23" s="12">
        <v>-12.75</v>
      </c>
      <c r="AI23" s="132">
        <v>1</v>
      </c>
      <c r="AJ23" s="132">
        <v>1</v>
      </c>
      <c r="AK23" s="13">
        <v>0.1</v>
      </c>
      <c r="AL23" s="13">
        <v>6.8649802591966402</v>
      </c>
      <c r="AM23" s="14">
        <v>1</v>
      </c>
      <c r="AN23" s="14">
        <v>0</v>
      </c>
      <c r="AO23" s="82">
        <v>332968.74371176073</v>
      </c>
      <c r="AP23" s="82">
        <v>418355.5370813912</v>
      </c>
      <c r="AQ23" s="82">
        <v>85386.793369630468</v>
      </c>
      <c r="AR23" s="129">
        <v>0.25644086714501579</v>
      </c>
    </row>
    <row r="24" spans="1:44" ht="28.8" x14ac:dyDescent="0.3">
      <c r="A24" s="136" t="s">
        <v>145</v>
      </c>
      <c r="B24" s="137" t="s">
        <v>4794</v>
      </c>
      <c r="C24" s="134">
        <v>2020</v>
      </c>
      <c r="D24" s="149" t="s">
        <v>4795</v>
      </c>
      <c r="E24" s="135" t="s">
        <v>1108</v>
      </c>
      <c r="F24" s="384" t="s">
        <v>146</v>
      </c>
      <c r="G24" s="138" t="s">
        <v>4796</v>
      </c>
      <c r="H24" s="138" t="s">
        <v>1348</v>
      </c>
      <c r="I24" s="138" t="s">
        <v>1217</v>
      </c>
      <c r="J24" s="135" t="s">
        <v>4774</v>
      </c>
      <c r="K24" s="164">
        <v>848274244</v>
      </c>
      <c r="L24" s="165">
        <v>834131364</v>
      </c>
      <c r="M24" s="165">
        <v>1485105</v>
      </c>
      <c r="N24" s="165">
        <v>188876068</v>
      </c>
      <c r="O24" s="165">
        <v>109591073</v>
      </c>
      <c r="P24" s="165">
        <v>24023656</v>
      </c>
      <c r="Q24" s="165">
        <v>0</v>
      </c>
      <c r="R24" s="165">
        <v>248.33333333333334</v>
      </c>
      <c r="S24" s="165">
        <v>335148572</v>
      </c>
      <c r="T24" s="165">
        <v>1349591.565100671</v>
      </c>
      <c r="U24" s="166">
        <v>12657775</v>
      </c>
      <c r="V24" s="168">
        <v>1027659927</v>
      </c>
      <c r="W24" s="165">
        <v>1060183800</v>
      </c>
      <c r="X24" s="165">
        <v>1086032</v>
      </c>
      <c r="Y24" s="165">
        <v>219442435</v>
      </c>
      <c r="Z24" s="165">
        <v>149412374.56999999</v>
      </c>
      <c r="AA24" s="165">
        <v>28726481.580000002</v>
      </c>
      <c r="AB24" s="165">
        <v>0</v>
      </c>
      <c r="AC24" s="165">
        <v>302.33333333333331</v>
      </c>
      <c r="AD24" s="165">
        <v>363971386.14999998</v>
      </c>
      <c r="AE24" s="165">
        <v>1203874.4856119074</v>
      </c>
      <c r="AF24" s="166">
        <v>-33609905</v>
      </c>
      <c r="AG24" s="11">
        <v>28822814.149999976</v>
      </c>
      <c r="AH24" s="12">
        <v>53.999999999999972</v>
      </c>
      <c r="AI24" s="132">
        <v>0</v>
      </c>
      <c r="AJ24" s="132">
        <v>0</v>
      </c>
      <c r="AK24" s="13">
        <v>0.05</v>
      </c>
      <c r="AL24" s="13">
        <v>-0.10797124347775833</v>
      </c>
      <c r="AM24" s="14">
        <v>0</v>
      </c>
      <c r="AN24" s="14">
        <v>-1</v>
      </c>
      <c r="AO24" s="82">
        <v>441306.33422818792</v>
      </c>
      <c r="AP24" s="82">
        <v>494197.49030871002</v>
      </c>
      <c r="AQ24" s="82">
        <v>52891.156080522109</v>
      </c>
      <c r="AR24" s="129">
        <v>0.11985134129793273</v>
      </c>
    </row>
    <row r="25" spans="1:44" ht="28.8" x14ac:dyDescent="0.3">
      <c r="A25" s="136" t="s">
        <v>147</v>
      </c>
      <c r="B25" s="137" t="s">
        <v>4797</v>
      </c>
      <c r="C25" s="134">
        <v>2019</v>
      </c>
      <c r="D25" s="149" t="s">
        <v>1161</v>
      </c>
      <c r="E25" s="135" t="s">
        <v>1152</v>
      </c>
      <c r="F25" s="384" t="s">
        <v>148</v>
      </c>
      <c r="G25" s="138" t="s">
        <v>4773</v>
      </c>
      <c r="H25" s="138" t="s">
        <v>2299</v>
      </c>
      <c r="I25" s="138" t="s">
        <v>1566</v>
      </c>
      <c r="J25" s="135" t="s">
        <v>4798</v>
      </c>
      <c r="K25" s="164">
        <v>23289392815</v>
      </c>
      <c r="L25" s="165">
        <v>6952599391</v>
      </c>
      <c r="M25" s="165">
        <v>6708360230</v>
      </c>
      <c r="N25" s="165">
        <v>880529165</v>
      </c>
      <c r="O25" s="165">
        <v>1760855789</v>
      </c>
      <c r="P25" s="165">
        <v>427474435</v>
      </c>
      <c r="Q25" s="165">
        <v>104187048</v>
      </c>
      <c r="R25" s="165">
        <v>2391</v>
      </c>
      <c r="S25" s="165">
        <v>12801479631</v>
      </c>
      <c r="T25" s="165">
        <v>5354027.4491844419</v>
      </c>
      <c r="U25" s="166">
        <v>9628433194</v>
      </c>
      <c r="V25" s="168">
        <v>31659673819</v>
      </c>
      <c r="W25" s="165">
        <v>8777919919</v>
      </c>
      <c r="X25" s="165">
        <v>7033916892</v>
      </c>
      <c r="Y25" s="165">
        <v>805322020</v>
      </c>
      <c r="Z25" s="165">
        <v>2137269195</v>
      </c>
      <c r="AA25" s="165">
        <v>554792066</v>
      </c>
      <c r="AB25" s="165">
        <v>131458229</v>
      </c>
      <c r="AC25" s="165">
        <v>2540.5833333333335</v>
      </c>
      <c r="AD25" s="165">
        <v>19476678518</v>
      </c>
      <c r="AE25" s="165">
        <v>7666223.052973398</v>
      </c>
      <c r="AF25" s="166">
        <v>15847837008</v>
      </c>
      <c r="AG25" s="11">
        <v>6675198887</v>
      </c>
      <c r="AH25" s="12">
        <v>149.58333333333348</v>
      </c>
      <c r="AI25" s="132">
        <v>1</v>
      </c>
      <c r="AJ25" s="132">
        <v>1</v>
      </c>
      <c r="AK25" s="13">
        <v>0.15</v>
      </c>
      <c r="AL25" s="13">
        <v>0.43186099092562547</v>
      </c>
      <c r="AM25" s="14">
        <v>1</v>
      </c>
      <c r="AN25" s="14">
        <v>0</v>
      </c>
      <c r="AO25" s="82">
        <v>736451.60560434964</v>
      </c>
      <c r="AP25" s="82">
        <v>841251.36418801453</v>
      </c>
      <c r="AQ25" s="82">
        <v>104799.75858366489</v>
      </c>
      <c r="AR25" s="129">
        <v>0.1423036595835292</v>
      </c>
    </row>
    <row r="26" spans="1:44" ht="72" x14ac:dyDescent="0.3">
      <c r="A26" s="136" t="s">
        <v>149</v>
      </c>
      <c r="B26" s="137" t="s">
        <v>4799</v>
      </c>
      <c r="C26" s="134">
        <v>2019</v>
      </c>
      <c r="D26" s="149" t="s">
        <v>1161</v>
      </c>
      <c r="E26" s="135" t="s">
        <v>1152</v>
      </c>
      <c r="F26" s="384" t="s">
        <v>148</v>
      </c>
      <c r="G26" s="138" t="s">
        <v>4773</v>
      </c>
      <c r="H26" s="138" t="s">
        <v>3394</v>
      </c>
      <c r="I26" s="138" t="s">
        <v>1566</v>
      </c>
      <c r="J26" s="135" t="s">
        <v>4778</v>
      </c>
      <c r="K26" s="164">
        <v>3230711740</v>
      </c>
      <c r="L26" s="165">
        <v>2169346495</v>
      </c>
      <c r="M26" s="165">
        <v>318033918</v>
      </c>
      <c r="N26" s="165">
        <v>2009129</v>
      </c>
      <c r="O26" s="165">
        <v>385797779</v>
      </c>
      <c r="P26" s="165">
        <v>103633694</v>
      </c>
      <c r="Q26" s="165">
        <v>1911801</v>
      </c>
      <c r="R26" s="165">
        <v>707.41666666666663</v>
      </c>
      <c r="S26" s="165">
        <v>1236683730</v>
      </c>
      <c r="T26" s="165">
        <v>1748168.7784191307</v>
      </c>
      <c r="U26" s="166">
        <v>743331327</v>
      </c>
      <c r="V26" s="168">
        <v>1479129696</v>
      </c>
      <c r="W26" s="165">
        <v>1264201704</v>
      </c>
      <c r="X26" s="165">
        <v>272040989</v>
      </c>
      <c r="Y26" s="165">
        <v>8758307</v>
      </c>
      <c r="Z26" s="165">
        <v>255795471</v>
      </c>
      <c r="AA26" s="165">
        <v>76601484</v>
      </c>
      <c r="AB26" s="165">
        <v>1341909</v>
      </c>
      <c r="AC26" s="165">
        <v>565.91666666666663</v>
      </c>
      <c r="AD26" s="165">
        <v>285384174</v>
      </c>
      <c r="AE26" s="165">
        <v>504286.56869385956</v>
      </c>
      <c r="AF26" s="166">
        <v>-57112997</v>
      </c>
      <c r="AG26" s="11">
        <v>-951299556</v>
      </c>
      <c r="AH26" s="12">
        <v>-141.5</v>
      </c>
      <c r="AI26" s="132">
        <v>0</v>
      </c>
      <c r="AJ26" s="132">
        <v>0</v>
      </c>
      <c r="AK26" s="13">
        <v>0.15</v>
      </c>
      <c r="AL26" s="13">
        <v>-0.71153439200533031</v>
      </c>
      <c r="AM26" s="14">
        <v>0</v>
      </c>
      <c r="AN26" s="14">
        <v>-1</v>
      </c>
      <c r="AO26" s="82">
        <v>545361.44987631054</v>
      </c>
      <c r="AP26" s="82">
        <v>452002.01030776033</v>
      </c>
      <c r="AQ26" s="82">
        <v>-93359.43956855021</v>
      </c>
      <c r="AR26" s="129">
        <v>-0.17118819012551101</v>
      </c>
    </row>
    <row r="27" spans="1:44" ht="43.2" x14ac:dyDescent="0.3">
      <c r="A27" s="136" t="s">
        <v>150</v>
      </c>
      <c r="B27" s="137" t="s">
        <v>4800</v>
      </c>
      <c r="C27" s="134">
        <v>2020</v>
      </c>
      <c r="D27" s="149" t="s">
        <v>4801</v>
      </c>
      <c r="E27" s="135" t="s">
        <v>1131</v>
      </c>
      <c r="F27" s="384" t="s">
        <v>151</v>
      </c>
      <c r="G27" s="138" t="s">
        <v>4773</v>
      </c>
      <c r="H27" s="138" t="s">
        <v>1718</v>
      </c>
      <c r="I27" s="138" t="s">
        <v>1566</v>
      </c>
      <c r="J27" s="135" t="s">
        <v>4774</v>
      </c>
      <c r="K27" s="164">
        <v>687076935</v>
      </c>
      <c r="L27" s="165">
        <v>631947782</v>
      </c>
      <c r="M27" s="165">
        <v>61319492</v>
      </c>
      <c r="N27" s="165">
        <v>2051512</v>
      </c>
      <c r="O27" s="165">
        <v>43648382.68</v>
      </c>
      <c r="P27" s="165">
        <v>13046306.309999999</v>
      </c>
      <c r="Q27" s="165">
        <v>0</v>
      </c>
      <c r="R27" s="165">
        <v>114.25</v>
      </c>
      <c r="S27" s="165">
        <v>52555861.989999995</v>
      </c>
      <c r="T27" s="165">
        <v>460007.54477024067</v>
      </c>
      <c r="U27" s="166">
        <v>-6190339</v>
      </c>
      <c r="V27" s="168">
        <v>663419321</v>
      </c>
      <c r="W27" s="165">
        <v>636067484</v>
      </c>
      <c r="X27" s="165">
        <v>32283374</v>
      </c>
      <c r="Y27" s="165">
        <v>1666847</v>
      </c>
      <c r="Z27" s="165">
        <v>35587570.479999997</v>
      </c>
      <c r="AA27" s="165">
        <v>12018906.009999998</v>
      </c>
      <c r="AB27" s="165">
        <v>0</v>
      </c>
      <c r="AC27" s="165">
        <v>92.583333333333329</v>
      </c>
      <c r="AD27" s="165">
        <v>44341786.489999995</v>
      </c>
      <c r="AE27" s="165">
        <v>478939.18801080104</v>
      </c>
      <c r="AF27" s="166">
        <v>-4931537</v>
      </c>
      <c r="AG27" s="11">
        <v>-8214075.5</v>
      </c>
      <c r="AH27" s="12">
        <v>-21.666666666666671</v>
      </c>
      <c r="AI27" s="132">
        <v>0</v>
      </c>
      <c r="AJ27" s="132">
        <v>0</v>
      </c>
      <c r="AK27" s="13">
        <v>0.1</v>
      </c>
      <c r="AL27" s="13">
        <v>4.1155086284020426E-2</v>
      </c>
      <c r="AM27" s="14">
        <v>0</v>
      </c>
      <c r="AN27" s="14">
        <v>-1</v>
      </c>
      <c r="AO27" s="82">
        <v>382042.73680525162</v>
      </c>
      <c r="AP27" s="82">
        <v>384384.19960396038</v>
      </c>
      <c r="AQ27" s="82">
        <v>2341.4627987087588</v>
      </c>
      <c r="AR27" s="129">
        <v>6.1287980980575529E-3</v>
      </c>
    </row>
    <row r="28" spans="1:44" ht="28.8" x14ac:dyDescent="0.3">
      <c r="A28" s="136" t="s">
        <v>152</v>
      </c>
      <c r="B28" s="137" t="s">
        <v>4802</v>
      </c>
      <c r="C28" s="134">
        <v>2019</v>
      </c>
      <c r="D28" s="149" t="s">
        <v>4801</v>
      </c>
      <c r="E28" s="135" t="s">
        <v>1131</v>
      </c>
      <c r="F28" s="384" t="s">
        <v>151</v>
      </c>
      <c r="G28" s="138" t="s">
        <v>4773</v>
      </c>
      <c r="H28" s="138" t="s">
        <v>3569</v>
      </c>
      <c r="I28" s="138" t="s">
        <v>3557</v>
      </c>
      <c r="J28" s="135" t="s">
        <v>4774</v>
      </c>
      <c r="K28" s="164">
        <v>426267993</v>
      </c>
      <c r="L28" s="165">
        <v>429581718</v>
      </c>
      <c r="M28" s="165">
        <v>24249395</v>
      </c>
      <c r="N28" s="165">
        <v>32897684</v>
      </c>
      <c r="O28" s="165">
        <v>69647705</v>
      </c>
      <c r="P28" s="165">
        <v>20622240</v>
      </c>
      <c r="Q28" s="165">
        <v>326181</v>
      </c>
      <c r="R28" s="165">
        <v>255.66666666666666</v>
      </c>
      <c r="S28" s="165">
        <v>95930690</v>
      </c>
      <c r="T28" s="165">
        <v>375217.82268578879</v>
      </c>
      <c r="U28" s="166">
        <v>-27563120</v>
      </c>
      <c r="V28" s="168">
        <v>471429866</v>
      </c>
      <c r="W28" s="165">
        <v>455659296</v>
      </c>
      <c r="X28" s="165">
        <v>30917464</v>
      </c>
      <c r="Y28" s="165">
        <v>28546078</v>
      </c>
      <c r="Z28" s="165">
        <v>80718486.030000016</v>
      </c>
      <c r="AA28" s="165">
        <v>23813035.900000002</v>
      </c>
      <c r="AB28" s="165">
        <v>832064</v>
      </c>
      <c r="AC28" s="165">
        <v>242</v>
      </c>
      <c r="AD28" s="165">
        <v>118762769.93000002</v>
      </c>
      <c r="AE28" s="165">
        <v>490755.24764462817</v>
      </c>
      <c r="AF28" s="166">
        <v>-15146894</v>
      </c>
      <c r="AG28" s="11">
        <v>22832079.930000022</v>
      </c>
      <c r="AH28" s="12">
        <v>-13.666666666666657</v>
      </c>
      <c r="AI28" s="132">
        <v>1</v>
      </c>
      <c r="AJ28" s="132">
        <v>0</v>
      </c>
      <c r="AK28" s="13">
        <v>0.15</v>
      </c>
      <c r="AL28" s="13">
        <v>0.30792095641939388</v>
      </c>
      <c r="AM28" s="14">
        <v>1</v>
      </c>
      <c r="AN28" s="14">
        <v>0</v>
      </c>
      <c r="AO28" s="82">
        <v>272416.05606258148</v>
      </c>
      <c r="AP28" s="82">
        <v>333547.46293388435</v>
      </c>
      <c r="AQ28" s="82">
        <v>61131.406871302868</v>
      </c>
      <c r="AR28" s="129">
        <v>0.2244045661437053</v>
      </c>
    </row>
    <row r="29" spans="1:44" ht="43.2" x14ac:dyDescent="0.3">
      <c r="A29" s="136" t="s">
        <v>153</v>
      </c>
      <c r="B29" s="137" t="s">
        <v>4803</v>
      </c>
      <c r="C29" s="134">
        <v>2020</v>
      </c>
      <c r="D29" s="149" t="s">
        <v>4804</v>
      </c>
      <c r="E29" s="135" t="s">
        <v>1117</v>
      </c>
      <c r="F29" s="384" t="s">
        <v>154</v>
      </c>
      <c r="G29" s="138" t="s">
        <v>4773</v>
      </c>
      <c r="H29" s="138" t="s">
        <v>4611</v>
      </c>
      <c r="I29" s="138" t="s">
        <v>4612</v>
      </c>
      <c r="J29" s="135" t="s">
        <v>4805</v>
      </c>
      <c r="K29" s="164">
        <v>3741483736</v>
      </c>
      <c r="L29" s="165">
        <v>3102323635</v>
      </c>
      <c r="M29" s="165">
        <v>0</v>
      </c>
      <c r="N29" s="165">
        <v>218945785</v>
      </c>
      <c r="O29" s="165">
        <v>1085904912</v>
      </c>
      <c r="P29" s="165">
        <v>271102786</v>
      </c>
      <c r="Q29" s="165">
        <v>96146197</v>
      </c>
      <c r="R29" s="165">
        <v>1731.5</v>
      </c>
      <c r="S29" s="165">
        <v>2311259781</v>
      </c>
      <c r="T29" s="165">
        <v>1334830.9448455097</v>
      </c>
      <c r="U29" s="166">
        <v>639160101</v>
      </c>
      <c r="V29" s="168">
        <v>4354246143</v>
      </c>
      <c r="W29" s="165">
        <v>3772096769</v>
      </c>
      <c r="X29" s="165">
        <v>0</v>
      </c>
      <c r="Y29" s="165">
        <v>146904851</v>
      </c>
      <c r="Z29" s="165">
        <v>1167391358.8199999</v>
      </c>
      <c r="AA29" s="165">
        <v>341660776.76999998</v>
      </c>
      <c r="AB29" s="165">
        <v>85561021</v>
      </c>
      <c r="AC29" s="165">
        <v>1747.0833333333333</v>
      </c>
      <c r="AD29" s="165">
        <v>2323667381.5900002</v>
      </c>
      <c r="AE29" s="165">
        <v>1330026.6434094922</v>
      </c>
      <c r="AF29" s="166">
        <v>582149374</v>
      </c>
      <c r="AG29" s="11">
        <v>12407600.590000153</v>
      </c>
      <c r="AH29" s="12">
        <v>15.583333333333258</v>
      </c>
      <c r="AI29" s="132">
        <v>0</v>
      </c>
      <c r="AJ29" s="132">
        <v>0</v>
      </c>
      <c r="AK29" s="13">
        <v>0.1</v>
      </c>
      <c r="AL29" s="13">
        <v>-3.5991823803545042E-3</v>
      </c>
      <c r="AM29" s="14">
        <v>0</v>
      </c>
      <c r="AN29" s="14">
        <v>-1</v>
      </c>
      <c r="AO29" s="82">
        <v>627146.93156222929</v>
      </c>
      <c r="AP29" s="82">
        <v>668194.43385833537</v>
      </c>
      <c r="AQ29" s="82">
        <v>41047.502296106075</v>
      </c>
      <c r="AR29" s="129">
        <v>6.5451172971310534E-2</v>
      </c>
    </row>
    <row r="30" spans="1:44" ht="28.8" x14ac:dyDescent="0.3">
      <c r="A30" s="136" t="s">
        <v>155</v>
      </c>
      <c r="B30" s="137" t="s">
        <v>4806</v>
      </c>
      <c r="C30" s="134">
        <v>2020</v>
      </c>
      <c r="D30" s="149" t="s">
        <v>4804</v>
      </c>
      <c r="E30" s="135" t="s">
        <v>1117</v>
      </c>
      <c r="F30" s="384" t="s">
        <v>154</v>
      </c>
      <c r="G30" s="138" t="s">
        <v>4773</v>
      </c>
      <c r="H30" s="138" t="s">
        <v>1740</v>
      </c>
      <c r="I30" s="138" t="s">
        <v>1566</v>
      </c>
      <c r="J30" s="135" t="s">
        <v>4778</v>
      </c>
      <c r="K30" s="164">
        <v>1123989957</v>
      </c>
      <c r="L30" s="165">
        <v>931688631</v>
      </c>
      <c r="M30" s="165">
        <v>220331957</v>
      </c>
      <c r="N30" s="165">
        <v>55253079</v>
      </c>
      <c r="O30" s="165">
        <v>157427663</v>
      </c>
      <c r="P30" s="165">
        <v>49050762</v>
      </c>
      <c r="Q30" s="165">
        <v>2055448</v>
      </c>
      <c r="R30" s="165">
        <v>634.33333333333337</v>
      </c>
      <c r="S30" s="165">
        <v>235756321</v>
      </c>
      <c r="T30" s="165">
        <v>371659.99106673669</v>
      </c>
      <c r="U30" s="166">
        <v>-28030631</v>
      </c>
      <c r="V30" s="168">
        <v>1279625610</v>
      </c>
      <c r="W30" s="165">
        <v>1021097193</v>
      </c>
      <c r="X30" s="165">
        <v>271364299</v>
      </c>
      <c r="Y30" s="165">
        <v>71031572</v>
      </c>
      <c r="Z30" s="165">
        <v>151065856</v>
      </c>
      <c r="AA30" s="165">
        <v>47057264</v>
      </c>
      <c r="AB30" s="165">
        <v>1181613</v>
      </c>
      <c r="AC30" s="165">
        <v>626.91666666666663</v>
      </c>
      <c r="AD30" s="165">
        <v>257500423</v>
      </c>
      <c r="AE30" s="165">
        <v>410741.07084939524</v>
      </c>
      <c r="AF30" s="166">
        <v>-12835882</v>
      </c>
      <c r="AG30" s="11">
        <v>21744102</v>
      </c>
      <c r="AH30" s="12">
        <v>-7.4166666666667425</v>
      </c>
      <c r="AI30" s="132">
        <v>1</v>
      </c>
      <c r="AJ30" s="132">
        <v>1</v>
      </c>
      <c r="AK30" s="13">
        <v>0.1</v>
      </c>
      <c r="AL30" s="13">
        <v>0.10515277687006352</v>
      </c>
      <c r="AM30" s="14">
        <v>1</v>
      </c>
      <c r="AN30" s="14">
        <v>0</v>
      </c>
      <c r="AO30" s="82">
        <v>248178.13399894902</v>
      </c>
      <c r="AP30" s="82">
        <v>240966.40595507112</v>
      </c>
      <c r="AQ30" s="82">
        <v>-7211.728043877898</v>
      </c>
      <c r="AR30" s="129">
        <v>-2.9058676232566194E-2</v>
      </c>
    </row>
    <row r="31" spans="1:44" ht="28.8" x14ac:dyDescent="0.3">
      <c r="A31" s="136" t="s">
        <v>156</v>
      </c>
      <c r="B31" s="137" t="s">
        <v>4807</v>
      </c>
      <c r="C31" s="134">
        <v>2020</v>
      </c>
      <c r="D31" s="149" t="s">
        <v>4804</v>
      </c>
      <c r="E31" s="135" t="s">
        <v>1117</v>
      </c>
      <c r="F31" s="384" t="s">
        <v>154</v>
      </c>
      <c r="G31" s="138" t="s">
        <v>4773</v>
      </c>
      <c r="H31" s="138" t="s">
        <v>2729</v>
      </c>
      <c r="I31" s="138" t="s">
        <v>1566</v>
      </c>
      <c r="J31" s="135" t="s">
        <v>4778</v>
      </c>
      <c r="K31" s="164">
        <v>699566835</v>
      </c>
      <c r="L31" s="165">
        <v>277433245</v>
      </c>
      <c r="M31" s="165">
        <v>368779951</v>
      </c>
      <c r="N31" s="165">
        <v>5132738</v>
      </c>
      <c r="O31" s="165">
        <v>229092735</v>
      </c>
      <c r="P31" s="165">
        <v>65491073.079999998</v>
      </c>
      <c r="Q31" s="165">
        <v>1023588</v>
      </c>
      <c r="R31" s="165">
        <v>524.16666666666663</v>
      </c>
      <c r="S31" s="165">
        <v>354093773.07999998</v>
      </c>
      <c r="T31" s="165">
        <v>675536.61000953894</v>
      </c>
      <c r="U31" s="166">
        <v>53353639</v>
      </c>
      <c r="V31" s="168">
        <v>860975013</v>
      </c>
      <c r="W31" s="165">
        <v>461174143</v>
      </c>
      <c r="X31" s="165">
        <v>359485581</v>
      </c>
      <c r="Y31" s="165">
        <v>5011942</v>
      </c>
      <c r="Z31" s="165">
        <v>268152710.28999999</v>
      </c>
      <c r="AA31" s="165">
        <v>83080417.24000001</v>
      </c>
      <c r="AB31" s="165">
        <v>1022853</v>
      </c>
      <c r="AC31" s="165">
        <v>513.58333333333337</v>
      </c>
      <c r="AD31" s="165">
        <v>397583211.52999997</v>
      </c>
      <c r="AE31" s="165">
        <v>774135.73557682941</v>
      </c>
      <c r="AF31" s="166">
        <v>40315289</v>
      </c>
      <c r="AG31" s="11">
        <v>43489438.449999988</v>
      </c>
      <c r="AH31" s="12">
        <v>-10.583333333333258</v>
      </c>
      <c r="AI31" s="132">
        <v>1</v>
      </c>
      <c r="AJ31" s="132">
        <v>1</v>
      </c>
      <c r="AK31" s="13">
        <v>0.1</v>
      </c>
      <c r="AL31" s="13">
        <v>0.14595675281018439</v>
      </c>
      <c r="AM31" s="14">
        <v>1</v>
      </c>
      <c r="AN31" s="14">
        <v>0</v>
      </c>
      <c r="AO31" s="82">
        <v>437060.86168521468</v>
      </c>
      <c r="AP31" s="82">
        <v>522121.12988479633</v>
      </c>
      <c r="AQ31" s="82">
        <v>85060.268199581653</v>
      </c>
      <c r="AR31" s="129">
        <v>0.19461881778113721</v>
      </c>
    </row>
    <row r="32" spans="1:44" ht="28.8" x14ac:dyDescent="0.3">
      <c r="A32" s="136" t="s">
        <v>157</v>
      </c>
      <c r="B32" s="137" t="s">
        <v>4808</v>
      </c>
      <c r="C32" s="134">
        <v>2019</v>
      </c>
      <c r="D32" s="149" t="s">
        <v>4804</v>
      </c>
      <c r="E32" s="135" t="s">
        <v>1117</v>
      </c>
      <c r="F32" s="384" t="s">
        <v>154</v>
      </c>
      <c r="G32" s="138" t="s">
        <v>4773</v>
      </c>
      <c r="H32" s="138" t="s">
        <v>2315</v>
      </c>
      <c r="I32" s="138" t="s">
        <v>1566</v>
      </c>
      <c r="J32" s="135" t="s">
        <v>4774</v>
      </c>
      <c r="K32" s="164">
        <v>6546243187</v>
      </c>
      <c r="L32" s="165">
        <v>4014549553</v>
      </c>
      <c r="M32" s="165">
        <v>1629306962</v>
      </c>
      <c r="N32" s="165">
        <v>136766955</v>
      </c>
      <c r="O32" s="165">
        <v>211062553.72</v>
      </c>
      <c r="P32" s="165">
        <v>59314036.659999996</v>
      </c>
      <c r="Q32" s="165">
        <v>8885683</v>
      </c>
      <c r="R32" s="165">
        <v>293.08333333333331</v>
      </c>
      <c r="S32" s="165">
        <v>1318415900.3800001</v>
      </c>
      <c r="T32" s="165">
        <v>4498433.5526187094</v>
      </c>
      <c r="U32" s="166">
        <v>902386672</v>
      </c>
      <c r="V32" s="168">
        <v>7534692818</v>
      </c>
      <c r="W32" s="165">
        <v>4854891630</v>
      </c>
      <c r="X32" s="165">
        <v>1780771237</v>
      </c>
      <c r="Y32" s="165">
        <v>144531900</v>
      </c>
      <c r="Z32" s="165">
        <v>242492276.47999999</v>
      </c>
      <c r="AA32" s="165">
        <v>73885701.840000004</v>
      </c>
      <c r="AB32" s="165">
        <v>7836374</v>
      </c>
      <c r="AC32" s="165">
        <v>307.91666666666669</v>
      </c>
      <c r="AD32" s="165">
        <v>1367776203.3199999</v>
      </c>
      <c r="AE32" s="165">
        <v>4442033.6778998645</v>
      </c>
      <c r="AF32" s="166">
        <v>899029951</v>
      </c>
      <c r="AG32" s="11">
        <v>49360302.939999819</v>
      </c>
      <c r="AH32" s="12">
        <v>14.833333333333371</v>
      </c>
      <c r="AI32" s="132">
        <v>0</v>
      </c>
      <c r="AJ32" s="132">
        <v>0</v>
      </c>
      <c r="AK32" s="13">
        <v>0.15</v>
      </c>
      <c r="AL32" s="13">
        <v>-1.253766880695617E-2</v>
      </c>
      <c r="AM32" s="14">
        <v>0</v>
      </c>
      <c r="AN32" s="14">
        <v>-1</v>
      </c>
      <c r="AO32" s="82">
        <v>720145.19324424234</v>
      </c>
      <c r="AP32" s="82">
        <v>787525.66109878209</v>
      </c>
      <c r="AQ32" s="82">
        <v>67380.467854539747</v>
      </c>
      <c r="AR32" s="129">
        <v>9.3565115044359048E-2</v>
      </c>
    </row>
    <row r="33" spans="1:44" ht="28.8" x14ac:dyDescent="0.3">
      <c r="A33" s="136" t="s">
        <v>158</v>
      </c>
      <c r="B33" s="137" t="s">
        <v>4809</v>
      </c>
      <c r="C33" s="134">
        <v>2020</v>
      </c>
      <c r="D33" s="149" t="s">
        <v>4804</v>
      </c>
      <c r="E33" s="135" t="s">
        <v>1117</v>
      </c>
      <c r="F33" s="384" t="s">
        <v>154</v>
      </c>
      <c r="G33" s="138" t="s">
        <v>4773</v>
      </c>
      <c r="H33" s="138" t="s">
        <v>3339</v>
      </c>
      <c r="I33" s="138" t="s">
        <v>1566</v>
      </c>
      <c r="J33" s="135" t="s">
        <v>4774</v>
      </c>
      <c r="K33" s="164">
        <v>955074455</v>
      </c>
      <c r="L33" s="165">
        <v>591547178</v>
      </c>
      <c r="M33" s="165">
        <v>307699393</v>
      </c>
      <c r="N33" s="165">
        <v>7627748</v>
      </c>
      <c r="O33" s="165">
        <v>206273319</v>
      </c>
      <c r="P33" s="165">
        <v>60718242</v>
      </c>
      <c r="Q33" s="165">
        <v>263939</v>
      </c>
      <c r="R33" s="165">
        <v>411.5</v>
      </c>
      <c r="S33" s="165">
        <v>330711132</v>
      </c>
      <c r="T33" s="165">
        <v>803672.25273390033</v>
      </c>
      <c r="U33" s="166">
        <v>55827884</v>
      </c>
      <c r="V33" s="168">
        <v>1341452843</v>
      </c>
      <c r="W33" s="165">
        <v>916357290</v>
      </c>
      <c r="X33" s="165">
        <v>359718264</v>
      </c>
      <c r="Y33" s="165">
        <v>6679579</v>
      </c>
      <c r="Z33" s="165">
        <v>250002098.65000001</v>
      </c>
      <c r="AA33" s="165">
        <v>75140740.499999985</v>
      </c>
      <c r="AB33" s="165">
        <v>314929</v>
      </c>
      <c r="AC33" s="165">
        <v>394.16666666666669</v>
      </c>
      <c r="AD33" s="165">
        <v>397514636.14999998</v>
      </c>
      <c r="AE33" s="165">
        <v>1008493.791501057</v>
      </c>
      <c r="AF33" s="166">
        <v>65377289</v>
      </c>
      <c r="AG33" s="11">
        <v>66803504.149999976</v>
      </c>
      <c r="AH33" s="12">
        <v>-17.333333333333314</v>
      </c>
      <c r="AI33" s="132">
        <v>1</v>
      </c>
      <c r="AJ33" s="132">
        <v>1</v>
      </c>
      <c r="AK33" s="13">
        <v>0.1</v>
      </c>
      <c r="AL33" s="13">
        <v>0.2548570514908286</v>
      </c>
      <c r="AM33" s="14">
        <v>1</v>
      </c>
      <c r="AN33" s="14">
        <v>0</v>
      </c>
      <c r="AO33" s="82">
        <v>501271.73511543137</v>
      </c>
      <c r="AP33" s="82">
        <v>634254.79572938685</v>
      </c>
      <c r="AQ33" s="82">
        <v>132983.06061395549</v>
      </c>
      <c r="AR33" s="129">
        <v>0.26529136054984748</v>
      </c>
    </row>
    <row r="34" spans="1:44" ht="28.8" x14ac:dyDescent="0.3">
      <c r="A34" s="136" t="s">
        <v>159</v>
      </c>
      <c r="B34" s="137" t="s">
        <v>4810</v>
      </c>
      <c r="C34" s="134">
        <v>2020</v>
      </c>
      <c r="D34" s="149" t="s">
        <v>4804</v>
      </c>
      <c r="E34" s="135" t="s">
        <v>1117</v>
      </c>
      <c r="F34" s="384" t="s">
        <v>154</v>
      </c>
      <c r="G34" s="138" t="s">
        <v>4773</v>
      </c>
      <c r="H34" s="138" t="s">
        <v>2564</v>
      </c>
      <c r="I34" s="138" t="s">
        <v>1566</v>
      </c>
      <c r="J34" s="135" t="s">
        <v>4774</v>
      </c>
      <c r="K34" s="164">
        <v>754599078</v>
      </c>
      <c r="L34" s="165">
        <v>470644332</v>
      </c>
      <c r="M34" s="165">
        <v>276391459</v>
      </c>
      <c r="N34" s="165">
        <v>2051804</v>
      </c>
      <c r="O34" s="165">
        <v>179537567.91999999</v>
      </c>
      <c r="P34" s="165">
        <v>54240149.399999999</v>
      </c>
      <c r="Q34" s="165">
        <v>0</v>
      </c>
      <c r="R34" s="165">
        <v>443.08333333333331</v>
      </c>
      <c r="S34" s="165">
        <v>243392808.31999999</v>
      </c>
      <c r="T34" s="165">
        <v>549316.0992740267</v>
      </c>
      <c r="U34" s="166">
        <v>7563287</v>
      </c>
      <c r="V34" s="168">
        <v>1541305678</v>
      </c>
      <c r="W34" s="165">
        <v>983516862</v>
      </c>
      <c r="X34" s="165">
        <v>467743448</v>
      </c>
      <c r="Y34" s="165">
        <v>2721833</v>
      </c>
      <c r="Z34" s="165">
        <v>228872146.25</v>
      </c>
      <c r="AA34" s="165">
        <v>69685976.280000001</v>
      </c>
      <c r="AB34" s="165">
        <v>0</v>
      </c>
      <c r="AC34" s="165">
        <v>468.08333333333331</v>
      </c>
      <c r="AD34" s="165">
        <v>391325323.52999997</v>
      </c>
      <c r="AE34" s="165">
        <v>836016.35790635564</v>
      </c>
      <c r="AF34" s="166">
        <v>90045368</v>
      </c>
      <c r="AG34" s="11">
        <v>147932515.20999998</v>
      </c>
      <c r="AH34" s="12">
        <v>25</v>
      </c>
      <c r="AI34" s="132">
        <v>1</v>
      </c>
      <c r="AJ34" s="132">
        <v>1</v>
      </c>
      <c r="AK34" s="13">
        <v>0.1</v>
      </c>
      <c r="AL34" s="13">
        <v>0.52192218651519595</v>
      </c>
      <c r="AM34" s="14">
        <v>1</v>
      </c>
      <c r="AN34" s="14">
        <v>0</v>
      </c>
      <c r="AO34" s="82">
        <v>405200.45421102125</v>
      </c>
      <c r="AP34" s="82">
        <v>488955.98273099522</v>
      </c>
      <c r="AQ34" s="82">
        <v>83755.528519973974</v>
      </c>
      <c r="AR34" s="129">
        <v>0.20670146750713059</v>
      </c>
    </row>
    <row r="35" spans="1:44" ht="28.8" x14ac:dyDescent="0.3">
      <c r="A35" s="136" t="s">
        <v>160</v>
      </c>
      <c r="B35" s="137" t="s">
        <v>4811</v>
      </c>
      <c r="C35" s="134">
        <v>2019</v>
      </c>
      <c r="D35" s="149" t="s">
        <v>4804</v>
      </c>
      <c r="E35" s="135" t="s">
        <v>1117</v>
      </c>
      <c r="F35" s="384" t="s">
        <v>154</v>
      </c>
      <c r="G35" s="138" t="s">
        <v>4773</v>
      </c>
      <c r="H35" s="138" t="s">
        <v>3569</v>
      </c>
      <c r="I35" s="138" t="s">
        <v>3557</v>
      </c>
      <c r="J35" s="135" t="s">
        <v>4778</v>
      </c>
      <c r="K35" s="164">
        <v>11286006596</v>
      </c>
      <c r="L35" s="165">
        <v>5564823271</v>
      </c>
      <c r="M35" s="165">
        <v>5224689171</v>
      </c>
      <c r="N35" s="165">
        <v>100478500</v>
      </c>
      <c r="O35" s="165">
        <v>1769602145.2999997</v>
      </c>
      <c r="P35" s="165">
        <v>544697566.14999998</v>
      </c>
      <c r="Q35" s="165">
        <v>7806159</v>
      </c>
      <c r="R35" s="165">
        <v>2658</v>
      </c>
      <c r="S35" s="165">
        <v>2919078524.4499998</v>
      </c>
      <c r="T35" s="165">
        <v>1098223.6736079759</v>
      </c>
      <c r="U35" s="166">
        <v>496494154</v>
      </c>
      <c r="V35" s="168">
        <v>9699716858</v>
      </c>
      <c r="W35" s="165">
        <v>5872300362</v>
      </c>
      <c r="X35" s="165">
        <v>3506903235</v>
      </c>
      <c r="Y35" s="165">
        <v>311339367</v>
      </c>
      <c r="Z35" s="165">
        <v>1520847867.2400002</v>
      </c>
      <c r="AA35" s="165">
        <v>419938861.88</v>
      </c>
      <c r="AB35" s="165">
        <v>4968390</v>
      </c>
      <c r="AC35" s="165">
        <v>1987.6666666666667</v>
      </c>
      <c r="AD35" s="165">
        <v>2577607747.1200004</v>
      </c>
      <c r="AE35" s="165">
        <v>1296800.8119000504</v>
      </c>
      <c r="AF35" s="166">
        <v>320513261</v>
      </c>
      <c r="AG35" s="11">
        <v>-341470777.32999945</v>
      </c>
      <c r="AH35" s="12">
        <v>-670.33333333333326</v>
      </c>
      <c r="AI35" s="132">
        <v>1</v>
      </c>
      <c r="AJ35" s="132">
        <v>0</v>
      </c>
      <c r="AK35" s="13">
        <v>0.15</v>
      </c>
      <c r="AL35" s="13">
        <v>0.18081666369474636</v>
      </c>
      <c r="AM35" s="14">
        <v>1</v>
      </c>
      <c r="AN35" s="14">
        <v>0</v>
      </c>
      <c r="AO35" s="82">
        <v>665764.53924002999</v>
      </c>
      <c r="AP35" s="82">
        <v>765142.31120576896</v>
      </c>
      <c r="AQ35" s="82">
        <v>99377.771965738968</v>
      </c>
      <c r="AR35" s="129">
        <v>0.14926864695914666</v>
      </c>
    </row>
    <row r="36" spans="1:44" ht="28.8" x14ac:dyDescent="0.3">
      <c r="A36" s="136" t="s">
        <v>161</v>
      </c>
      <c r="B36" s="137" t="s">
        <v>4812</v>
      </c>
      <c r="C36" s="134">
        <v>2020</v>
      </c>
      <c r="D36" s="149" t="s">
        <v>4804</v>
      </c>
      <c r="E36" s="135" t="s">
        <v>1117</v>
      </c>
      <c r="F36" s="384" t="s">
        <v>154</v>
      </c>
      <c r="G36" s="138" t="s">
        <v>4773</v>
      </c>
      <c r="H36" s="138" t="s">
        <v>2982</v>
      </c>
      <c r="I36" s="138" t="s">
        <v>1566</v>
      </c>
      <c r="J36" s="135" t="s">
        <v>4774</v>
      </c>
      <c r="K36" s="164">
        <v>1829503927</v>
      </c>
      <c r="L36" s="165">
        <v>1639140046</v>
      </c>
      <c r="M36" s="165">
        <v>125125224</v>
      </c>
      <c r="N36" s="165">
        <v>4219264</v>
      </c>
      <c r="O36" s="165">
        <v>113447177</v>
      </c>
      <c r="P36" s="165">
        <v>28825217</v>
      </c>
      <c r="Q36" s="165">
        <v>45911</v>
      </c>
      <c r="R36" s="165">
        <v>204.75</v>
      </c>
      <c r="S36" s="165">
        <v>211776226</v>
      </c>
      <c r="T36" s="165">
        <v>1034316.1221001222</v>
      </c>
      <c r="U36" s="166">
        <v>65238657</v>
      </c>
      <c r="V36" s="168">
        <v>1775314681</v>
      </c>
      <c r="W36" s="165">
        <v>1573442008</v>
      </c>
      <c r="X36" s="165">
        <v>136825462</v>
      </c>
      <c r="Y36" s="165">
        <v>4545886</v>
      </c>
      <c r="Z36" s="165">
        <v>125091078.75999999</v>
      </c>
      <c r="AA36" s="165">
        <v>32754127.879999999</v>
      </c>
      <c r="AB36" s="165">
        <v>44172</v>
      </c>
      <c r="AC36" s="165">
        <v>223.25</v>
      </c>
      <c r="AD36" s="165">
        <v>227482475.63999999</v>
      </c>
      <c r="AE36" s="165">
        <v>1018958.4575139977</v>
      </c>
      <c r="AF36" s="166">
        <v>65047211</v>
      </c>
      <c r="AG36" s="11">
        <v>15706249.639999986</v>
      </c>
      <c r="AH36" s="12">
        <v>18.5</v>
      </c>
      <c r="AI36" s="132">
        <v>0</v>
      </c>
      <c r="AJ36" s="132">
        <v>0</v>
      </c>
      <c r="AK36" s="13">
        <v>0.1</v>
      </c>
      <c r="AL36" s="13">
        <v>-1.4848129796140142E-2</v>
      </c>
      <c r="AM36" s="14">
        <v>0</v>
      </c>
      <c r="AN36" s="14">
        <v>-1</v>
      </c>
      <c r="AO36" s="82">
        <v>554076.56654456654</v>
      </c>
      <c r="AP36" s="82">
        <v>560318.38190369541</v>
      </c>
      <c r="AQ36" s="82">
        <v>6241.8153591288719</v>
      </c>
      <c r="AR36" s="129">
        <v>1.1265257792898886E-2</v>
      </c>
    </row>
    <row r="37" spans="1:44" ht="28.8" x14ac:dyDescent="0.3">
      <c r="A37" s="136" t="s">
        <v>162</v>
      </c>
      <c r="B37" s="137" t="s">
        <v>1121</v>
      </c>
      <c r="C37" s="134">
        <v>2020</v>
      </c>
      <c r="D37" s="149" t="s">
        <v>1120</v>
      </c>
      <c r="E37" s="135" t="s">
        <v>1117</v>
      </c>
      <c r="F37" s="384" t="s">
        <v>163</v>
      </c>
      <c r="G37" s="138" t="s">
        <v>4787</v>
      </c>
      <c r="H37" s="138" t="s">
        <v>4549</v>
      </c>
      <c r="I37" s="138" t="s">
        <v>4255</v>
      </c>
      <c r="J37" s="135" t="s">
        <v>4798</v>
      </c>
      <c r="K37" s="164">
        <v>805462784</v>
      </c>
      <c r="L37" s="165">
        <v>649354947</v>
      </c>
      <c r="M37" s="165">
        <v>250744967</v>
      </c>
      <c r="N37" s="165">
        <v>59392457</v>
      </c>
      <c r="O37" s="165">
        <v>510473407.10999995</v>
      </c>
      <c r="P37" s="165">
        <v>150458352.84999999</v>
      </c>
      <c r="Q37" s="165">
        <v>503472</v>
      </c>
      <c r="R37" s="165">
        <v>1092.4166666666667</v>
      </c>
      <c r="S37" s="165">
        <v>626190558.95999992</v>
      </c>
      <c r="T37" s="165">
        <v>573215.85990693409</v>
      </c>
      <c r="U37" s="166">
        <v>-94637130</v>
      </c>
      <c r="V37" s="168">
        <v>1157199216</v>
      </c>
      <c r="W37" s="165">
        <v>729551824</v>
      </c>
      <c r="X37" s="165">
        <v>424402596</v>
      </c>
      <c r="Y37" s="165">
        <v>56234156</v>
      </c>
      <c r="Z37" s="165">
        <v>599449508.35000002</v>
      </c>
      <c r="AA37" s="165">
        <v>176923738.16000003</v>
      </c>
      <c r="AB37" s="165">
        <v>162048</v>
      </c>
      <c r="AC37" s="165">
        <v>1078.6666666666667</v>
      </c>
      <c r="AD37" s="165">
        <v>836014246.50999999</v>
      </c>
      <c r="AE37" s="165">
        <v>775044.10986711981</v>
      </c>
      <c r="AF37" s="166">
        <v>3244796</v>
      </c>
      <c r="AG37" s="11">
        <v>209823687.55000007</v>
      </c>
      <c r="AH37" s="12">
        <v>-13.75</v>
      </c>
      <c r="AI37" s="132">
        <v>1</v>
      </c>
      <c r="AJ37" s="132">
        <v>1</v>
      </c>
      <c r="AK37" s="13">
        <v>0.1</v>
      </c>
      <c r="AL37" s="13">
        <v>0.35209816071732569</v>
      </c>
      <c r="AM37" s="14">
        <v>1</v>
      </c>
      <c r="AN37" s="14">
        <v>0</v>
      </c>
      <c r="AO37" s="82">
        <v>467288.19019909977</v>
      </c>
      <c r="AP37" s="82">
        <v>555731.92986711988</v>
      </c>
      <c r="AQ37" s="82">
        <v>88443.739668020105</v>
      </c>
      <c r="AR37" s="129">
        <v>0.18927022236606583</v>
      </c>
    </row>
    <row r="38" spans="1:44" ht="28.8" x14ac:dyDescent="0.3">
      <c r="A38" s="136" t="s">
        <v>164</v>
      </c>
      <c r="B38" s="137" t="s">
        <v>4813</v>
      </c>
      <c r="C38" s="134">
        <v>2019</v>
      </c>
      <c r="D38" s="149" t="s">
        <v>1184</v>
      </c>
      <c r="E38" s="135" t="s">
        <v>1175</v>
      </c>
      <c r="F38" s="384" t="s">
        <v>165</v>
      </c>
      <c r="G38" s="138" t="s">
        <v>4773</v>
      </c>
      <c r="H38" s="138" t="s">
        <v>1597</v>
      </c>
      <c r="I38" s="138" t="s">
        <v>1566</v>
      </c>
      <c r="J38" s="135" t="s">
        <v>4774</v>
      </c>
      <c r="K38" s="164">
        <v>672172715</v>
      </c>
      <c r="L38" s="165">
        <v>471727384</v>
      </c>
      <c r="M38" s="165">
        <v>161183084</v>
      </c>
      <c r="N38" s="165">
        <v>5368993</v>
      </c>
      <c r="O38" s="165">
        <v>60378207</v>
      </c>
      <c r="P38" s="165">
        <v>18036484</v>
      </c>
      <c r="Q38" s="165">
        <v>0</v>
      </c>
      <c r="R38" s="165">
        <v>264.08333333333331</v>
      </c>
      <c r="S38" s="165">
        <v>123045931</v>
      </c>
      <c r="T38" s="165">
        <v>465935.99621331651</v>
      </c>
      <c r="U38" s="166">
        <v>39262247</v>
      </c>
      <c r="V38" s="168">
        <v>953926568</v>
      </c>
      <c r="W38" s="165">
        <v>696179936</v>
      </c>
      <c r="X38" s="165">
        <v>188790537</v>
      </c>
      <c r="Y38" s="165">
        <v>9024493</v>
      </c>
      <c r="Z38" s="165">
        <v>84020840.219999999</v>
      </c>
      <c r="AA38" s="165">
        <v>18039807.080000002</v>
      </c>
      <c r="AB38" s="165">
        <v>0</v>
      </c>
      <c r="AC38" s="165">
        <v>282.33333333333331</v>
      </c>
      <c r="AD38" s="165">
        <v>180041235.30000001</v>
      </c>
      <c r="AE38" s="165">
        <v>637690.32573789859</v>
      </c>
      <c r="AF38" s="166">
        <v>68956095</v>
      </c>
      <c r="AG38" s="11">
        <v>56995304.300000012</v>
      </c>
      <c r="AH38" s="12">
        <v>18.25</v>
      </c>
      <c r="AI38" s="132">
        <v>1</v>
      </c>
      <c r="AJ38" s="132">
        <v>1</v>
      </c>
      <c r="AK38" s="13">
        <v>0.15</v>
      </c>
      <c r="AL38" s="13">
        <v>0.36862214982315167</v>
      </c>
      <c r="AM38" s="14">
        <v>1</v>
      </c>
      <c r="AN38" s="14">
        <v>0</v>
      </c>
      <c r="AO38" s="82">
        <v>228633.15998737773</v>
      </c>
      <c r="AP38" s="82">
        <v>297594.47539551358</v>
      </c>
      <c r="AQ38" s="82">
        <v>68961.315408135852</v>
      </c>
      <c r="AR38" s="129">
        <v>0.30162429374611732</v>
      </c>
    </row>
    <row r="39" spans="1:44" ht="28.8" x14ac:dyDescent="0.3">
      <c r="A39" s="136" t="s">
        <v>166</v>
      </c>
      <c r="B39" s="137" t="s">
        <v>4814</v>
      </c>
      <c r="C39" s="134">
        <v>2019</v>
      </c>
      <c r="D39" s="149" t="s">
        <v>1184</v>
      </c>
      <c r="E39" s="135" t="s">
        <v>1175</v>
      </c>
      <c r="F39" s="384" t="s">
        <v>165</v>
      </c>
      <c r="G39" s="138" t="s">
        <v>4773</v>
      </c>
      <c r="H39" s="138" t="s">
        <v>2359</v>
      </c>
      <c r="I39" s="138" t="s">
        <v>1566</v>
      </c>
      <c r="J39" s="135" t="s">
        <v>4774</v>
      </c>
      <c r="K39" s="164">
        <v>1026239031</v>
      </c>
      <c r="L39" s="165">
        <v>695643296</v>
      </c>
      <c r="M39" s="165">
        <v>228847118</v>
      </c>
      <c r="N39" s="165">
        <v>52096572</v>
      </c>
      <c r="O39" s="165">
        <v>81646252</v>
      </c>
      <c r="P39" s="165">
        <v>23500596</v>
      </c>
      <c r="Q39" s="165">
        <v>2579864</v>
      </c>
      <c r="R39" s="165">
        <v>273.41666666666669</v>
      </c>
      <c r="S39" s="165">
        <v>261571901</v>
      </c>
      <c r="T39" s="165">
        <v>956678.69917708007</v>
      </c>
      <c r="U39" s="166">
        <v>101748617</v>
      </c>
      <c r="V39" s="168">
        <v>1307818975</v>
      </c>
      <c r="W39" s="165">
        <v>809592500</v>
      </c>
      <c r="X39" s="165">
        <v>317415285</v>
      </c>
      <c r="Y39" s="165">
        <v>56746189</v>
      </c>
      <c r="Z39" s="165">
        <v>101944424.68000001</v>
      </c>
      <c r="AA39" s="165">
        <v>20314860.810000002</v>
      </c>
      <c r="AB39" s="165">
        <v>2898151</v>
      </c>
      <c r="AC39" s="165">
        <v>266.25</v>
      </c>
      <c r="AD39" s="165">
        <v>362714815.49000001</v>
      </c>
      <c r="AE39" s="165">
        <v>1362309.1661596245</v>
      </c>
      <c r="AF39" s="166">
        <v>180811190</v>
      </c>
      <c r="AG39" s="11">
        <v>101142914.49000001</v>
      </c>
      <c r="AH39" s="12">
        <v>-7.1666666666666856</v>
      </c>
      <c r="AI39" s="132">
        <v>1</v>
      </c>
      <c r="AJ39" s="132">
        <v>0</v>
      </c>
      <c r="AK39" s="13">
        <v>0.15</v>
      </c>
      <c r="AL39" s="13">
        <v>0.4239986423864146</v>
      </c>
      <c r="AM39" s="14">
        <v>1</v>
      </c>
      <c r="AN39" s="14">
        <v>0</v>
      </c>
      <c r="AO39" s="82">
        <v>298614.75891496491</v>
      </c>
      <c r="AP39" s="82">
        <v>382889.85795305169</v>
      </c>
      <c r="AQ39" s="82">
        <v>84275.099038086773</v>
      </c>
      <c r="AR39" s="129">
        <v>0.28222013990301598</v>
      </c>
    </row>
    <row r="40" spans="1:44" ht="43.2" x14ac:dyDescent="0.3">
      <c r="A40" s="136" t="s">
        <v>167</v>
      </c>
      <c r="B40" s="137" t="s">
        <v>4815</v>
      </c>
      <c r="C40" s="134">
        <v>2019</v>
      </c>
      <c r="D40" s="149" t="s">
        <v>1184</v>
      </c>
      <c r="E40" s="135" t="s">
        <v>1175</v>
      </c>
      <c r="F40" s="384" t="s">
        <v>165</v>
      </c>
      <c r="G40" s="138" t="s">
        <v>4773</v>
      </c>
      <c r="H40" s="138" t="s">
        <v>1700</v>
      </c>
      <c r="I40" s="138" t="s">
        <v>1566</v>
      </c>
      <c r="J40" s="135" t="s">
        <v>4778</v>
      </c>
      <c r="K40" s="164">
        <v>7492645674</v>
      </c>
      <c r="L40" s="165">
        <v>5597410177</v>
      </c>
      <c r="M40" s="165">
        <v>1771321855</v>
      </c>
      <c r="N40" s="165">
        <v>131564471</v>
      </c>
      <c r="O40" s="165">
        <v>474369303</v>
      </c>
      <c r="P40" s="165">
        <v>134444607</v>
      </c>
      <c r="Q40" s="165">
        <v>0</v>
      </c>
      <c r="R40" s="165">
        <v>1505.4166666666667</v>
      </c>
      <c r="S40" s="165">
        <v>864292023</v>
      </c>
      <c r="T40" s="165">
        <v>574121.46559645724</v>
      </c>
      <c r="U40" s="166">
        <v>123913642</v>
      </c>
      <c r="V40" s="168">
        <v>8522972314</v>
      </c>
      <c r="W40" s="165">
        <v>6234240248</v>
      </c>
      <c r="X40" s="165">
        <v>2119678470</v>
      </c>
      <c r="Y40" s="165">
        <v>221353434</v>
      </c>
      <c r="Z40" s="165">
        <v>556824666.29999995</v>
      </c>
      <c r="AA40" s="165">
        <v>152367397.86000001</v>
      </c>
      <c r="AB40" s="165">
        <v>2627291</v>
      </c>
      <c r="AC40" s="165">
        <v>1316.75</v>
      </c>
      <c r="AD40" s="165">
        <v>1102226385.1599998</v>
      </c>
      <c r="AE40" s="165">
        <v>837080.98360356933</v>
      </c>
      <c r="AF40" s="166">
        <v>169053596</v>
      </c>
      <c r="AG40" s="11">
        <v>237934362.15999985</v>
      </c>
      <c r="AH40" s="12">
        <v>-188.66666666666674</v>
      </c>
      <c r="AI40" s="132">
        <v>1</v>
      </c>
      <c r="AJ40" s="132">
        <v>1</v>
      </c>
      <c r="AK40" s="13">
        <v>0.15</v>
      </c>
      <c r="AL40" s="13">
        <v>0.45802068680692254</v>
      </c>
      <c r="AM40" s="14">
        <v>1</v>
      </c>
      <c r="AN40" s="14">
        <v>0</v>
      </c>
      <c r="AO40" s="82">
        <v>315108.31087738718</v>
      </c>
      <c r="AP40" s="82">
        <v>422878.04541484715</v>
      </c>
      <c r="AQ40" s="82">
        <v>107769.73453745997</v>
      </c>
      <c r="AR40" s="129">
        <v>0.34200854378415491</v>
      </c>
    </row>
    <row r="41" spans="1:44" ht="57.6" x14ac:dyDescent="0.3">
      <c r="A41" s="136" t="s">
        <v>168</v>
      </c>
      <c r="B41" s="137" t="s">
        <v>4816</v>
      </c>
      <c r="C41" s="134">
        <v>2020</v>
      </c>
      <c r="D41" s="149" t="s">
        <v>1184</v>
      </c>
      <c r="E41" s="135" t="s">
        <v>1175</v>
      </c>
      <c r="F41" s="384" t="s">
        <v>165</v>
      </c>
      <c r="G41" s="138" t="s">
        <v>4773</v>
      </c>
      <c r="H41" s="138" t="s">
        <v>3171</v>
      </c>
      <c r="I41" s="138" t="s">
        <v>1566</v>
      </c>
      <c r="J41" s="135" t="s">
        <v>4778</v>
      </c>
      <c r="K41" s="164">
        <v>897542217</v>
      </c>
      <c r="L41" s="165">
        <v>682237531</v>
      </c>
      <c r="M41" s="165">
        <v>180172061</v>
      </c>
      <c r="N41" s="165">
        <v>15222791</v>
      </c>
      <c r="O41" s="165">
        <v>60085408</v>
      </c>
      <c r="P41" s="165">
        <v>14673301</v>
      </c>
      <c r="Q41" s="165">
        <v>272395</v>
      </c>
      <c r="R41" s="165">
        <v>206.5</v>
      </c>
      <c r="S41" s="165">
        <v>125386520</v>
      </c>
      <c r="T41" s="165">
        <v>607198.64406779665</v>
      </c>
      <c r="U41" s="166">
        <v>35132625</v>
      </c>
      <c r="V41" s="168">
        <v>1554204630</v>
      </c>
      <c r="W41" s="165">
        <v>1160436346</v>
      </c>
      <c r="X41" s="165">
        <v>304037429</v>
      </c>
      <c r="Y41" s="165">
        <v>19036292</v>
      </c>
      <c r="Z41" s="165">
        <v>69415188.760000005</v>
      </c>
      <c r="AA41" s="165">
        <v>15580358.959999997</v>
      </c>
      <c r="AB41" s="165">
        <v>243688</v>
      </c>
      <c r="AC41" s="165">
        <v>234.16666666666666</v>
      </c>
      <c r="AD41" s="165">
        <v>194006382.72</v>
      </c>
      <c r="AE41" s="165">
        <v>828497.00805693958</v>
      </c>
      <c r="AF41" s="166">
        <v>89730855</v>
      </c>
      <c r="AG41" s="11">
        <v>68619862.719999999</v>
      </c>
      <c r="AH41" s="12">
        <v>27.666666666666657</v>
      </c>
      <c r="AI41" s="132">
        <v>1</v>
      </c>
      <c r="AJ41" s="132">
        <v>1</v>
      </c>
      <c r="AK41" s="13">
        <v>0.1</v>
      </c>
      <c r="AL41" s="13">
        <v>0.36445794740251714</v>
      </c>
      <c r="AM41" s="14">
        <v>1</v>
      </c>
      <c r="AN41" s="14">
        <v>0</v>
      </c>
      <c r="AO41" s="82">
        <v>290970.49878934625</v>
      </c>
      <c r="AP41" s="82">
        <v>296434.96979359433</v>
      </c>
      <c r="AQ41" s="82">
        <v>5464.4710042480729</v>
      </c>
      <c r="AR41" s="129">
        <v>1.8780154781960157E-2</v>
      </c>
    </row>
    <row r="42" spans="1:44" ht="28.8" x14ac:dyDescent="0.3">
      <c r="A42" s="136" t="s">
        <v>169</v>
      </c>
      <c r="B42" s="137" t="s">
        <v>4817</v>
      </c>
      <c r="C42" s="134">
        <v>2019</v>
      </c>
      <c r="D42" s="149" t="s">
        <v>1184</v>
      </c>
      <c r="E42" s="135" t="s">
        <v>1175</v>
      </c>
      <c r="F42" s="384" t="s">
        <v>165</v>
      </c>
      <c r="G42" s="138" t="s">
        <v>4773</v>
      </c>
      <c r="H42" s="138" t="s">
        <v>1933</v>
      </c>
      <c r="I42" s="138" t="s">
        <v>1566</v>
      </c>
      <c r="J42" s="135" t="s">
        <v>4774</v>
      </c>
      <c r="K42" s="164">
        <v>403019986</v>
      </c>
      <c r="L42" s="165">
        <v>370298172</v>
      </c>
      <c r="M42" s="165">
        <v>14812103</v>
      </c>
      <c r="N42" s="165">
        <v>36071631</v>
      </c>
      <c r="O42" s="165">
        <v>85024822</v>
      </c>
      <c r="P42" s="165">
        <v>25095887</v>
      </c>
      <c r="Q42" s="165">
        <v>11617</v>
      </c>
      <c r="R42" s="165">
        <v>235</v>
      </c>
      <c r="S42" s="165">
        <v>164113668</v>
      </c>
      <c r="T42" s="165">
        <v>698356.03404255316</v>
      </c>
      <c r="U42" s="166">
        <v>17909711</v>
      </c>
      <c r="V42" s="168">
        <v>571169126</v>
      </c>
      <c r="W42" s="165">
        <v>434873931</v>
      </c>
      <c r="X42" s="165">
        <v>84772039</v>
      </c>
      <c r="Y42" s="165">
        <v>24159476</v>
      </c>
      <c r="Z42" s="165">
        <v>117432023.51000001</v>
      </c>
      <c r="AA42" s="165">
        <v>22873594.300000001</v>
      </c>
      <c r="AB42" s="165">
        <v>7322</v>
      </c>
      <c r="AC42" s="165">
        <v>248.75</v>
      </c>
      <c r="AD42" s="165">
        <v>215995571.81</v>
      </c>
      <c r="AE42" s="165">
        <v>868323.90677386941</v>
      </c>
      <c r="AF42" s="166">
        <v>51523156</v>
      </c>
      <c r="AG42" s="11">
        <v>51881903.810000002</v>
      </c>
      <c r="AH42" s="12">
        <v>13.75</v>
      </c>
      <c r="AI42" s="132">
        <v>1</v>
      </c>
      <c r="AJ42" s="132">
        <v>1</v>
      </c>
      <c r="AK42" s="13">
        <v>0.15</v>
      </c>
      <c r="AL42" s="13">
        <v>0.24338284871686433</v>
      </c>
      <c r="AM42" s="14">
        <v>1</v>
      </c>
      <c r="AN42" s="14">
        <v>0</v>
      </c>
      <c r="AO42" s="82">
        <v>361807.75319148938</v>
      </c>
      <c r="AP42" s="82">
        <v>472088.5367236181</v>
      </c>
      <c r="AQ42" s="82">
        <v>110280.78353212873</v>
      </c>
      <c r="AR42" s="129">
        <v>0.304804920733033</v>
      </c>
    </row>
    <row r="43" spans="1:44" ht="28.8" x14ac:dyDescent="0.3">
      <c r="A43" s="136" t="s">
        <v>170</v>
      </c>
      <c r="B43" s="137" t="s">
        <v>4818</v>
      </c>
      <c r="C43" s="134">
        <v>2018</v>
      </c>
      <c r="D43" s="149" t="s">
        <v>1184</v>
      </c>
      <c r="E43" s="135" t="s">
        <v>1175</v>
      </c>
      <c r="F43" s="384" t="s">
        <v>165</v>
      </c>
      <c r="G43" s="138" t="s">
        <v>4773</v>
      </c>
      <c r="H43" s="138" t="s">
        <v>2732</v>
      </c>
      <c r="I43" s="138" t="s">
        <v>1566</v>
      </c>
      <c r="J43" s="135" t="s">
        <v>4774</v>
      </c>
      <c r="K43" s="164">
        <v>995727000</v>
      </c>
      <c r="L43" s="165">
        <v>645102000</v>
      </c>
      <c r="M43" s="165">
        <v>496186000</v>
      </c>
      <c r="N43" s="165">
        <v>27059000</v>
      </c>
      <c r="O43" s="165">
        <v>313767000</v>
      </c>
      <c r="P43" s="165">
        <v>94837000</v>
      </c>
      <c r="Q43" s="165">
        <v>1034440</v>
      </c>
      <c r="R43" s="165">
        <v>720.33333333333314</v>
      </c>
      <c r="S43" s="165">
        <v>291136440</v>
      </c>
      <c r="T43" s="165">
        <v>404169.05136510887</v>
      </c>
      <c r="U43" s="166">
        <v>-145561000</v>
      </c>
      <c r="V43" s="168">
        <v>2207370570</v>
      </c>
      <c r="W43" s="165">
        <v>1286257986</v>
      </c>
      <c r="X43" s="165">
        <v>761341947</v>
      </c>
      <c r="Y43" s="165">
        <v>16429340</v>
      </c>
      <c r="Z43" s="165">
        <v>538787777.41999996</v>
      </c>
      <c r="AA43" s="165">
        <v>157067002.96000001</v>
      </c>
      <c r="AB43" s="165">
        <v>713102</v>
      </c>
      <c r="AC43" s="165">
        <v>820.58333333333337</v>
      </c>
      <c r="AD43" s="165">
        <v>872767859.38</v>
      </c>
      <c r="AE43" s="165">
        <v>1063594.4259733928</v>
      </c>
      <c r="AF43" s="166">
        <v>159770637</v>
      </c>
      <c r="AG43" s="11">
        <v>581631419.38</v>
      </c>
      <c r="AH43" s="12">
        <v>100.25000000000023</v>
      </c>
      <c r="AI43" s="132">
        <v>1</v>
      </c>
      <c r="AJ43" s="132">
        <v>0</v>
      </c>
      <c r="AK43" s="13">
        <v>0.3</v>
      </c>
      <c r="AL43" s="13">
        <v>1.6315583293673774</v>
      </c>
      <c r="AM43" s="14">
        <v>1</v>
      </c>
      <c r="AN43" s="14">
        <v>0</v>
      </c>
      <c r="AO43" s="82">
        <v>435585.83988894045</v>
      </c>
      <c r="AP43" s="82">
        <v>656591.17792627192</v>
      </c>
      <c r="AQ43" s="82">
        <v>221005.33803733147</v>
      </c>
      <c r="AR43" s="129">
        <v>0.50737493692099878</v>
      </c>
    </row>
    <row r="44" spans="1:44" ht="28.8" x14ac:dyDescent="0.3">
      <c r="A44" s="136" t="s">
        <v>171</v>
      </c>
      <c r="B44" s="137" t="s">
        <v>4819</v>
      </c>
      <c r="C44" s="134">
        <v>2020</v>
      </c>
      <c r="D44" s="149" t="s">
        <v>1184</v>
      </c>
      <c r="E44" s="135" t="s">
        <v>1175</v>
      </c>
      <c r="F44" s="384" t="s">
        <v>165</v>
      </c>
      <c r="G44" s="138" t="s">
        <v>4773</v>
      </c>
      <c r="H44" s="138" t="s">
        <v>1724</v>
      </c>
      <c r="I44" s="138" t="s">
        <v>1566</v>
      </c>
      <c r="J44" s="135" t="s">
        <v>4774</v>
      </c>
      <c r="K44" s="164">
        <v>1212073245</v>
      </c>
      <c r="L44" s="165">
        <v>1161883469</v>
      </c>
      <c r="M44" s="165">
        <v>80999221</v>
      </c>
      <c r="N44" s="165">
        <v>9840219</v>
      </c>
      <c r="O44" s="165">
        <v>24495560</v>
      </c>
      <c r="P44" s="165">
        <v>5700897</v>
      </c>
      <c r="Q44" s="165">
        <v>601108</v>
      </c>
      <c r="R44" s="165">
        <v>75.666666666666671</v>
      </c>
      <c r="S44" s="165">
        <v>9828339</v>
      </c>
      <c r="T44" s="165">
        <v>129889.94273127752</v>
      </c>
      <c r="U44" s="166">
        <v>-30809445</v>
      </c>
      <c r="V44" s="168">
        <v>1662032691</v>
      </c>
      <c r="W44" s="165">
        <v>1482131698</v>
      </c>
      <c r="X44" s="165">
        <v>158895090</v>
      </c>
      <c r="Y44" s="165">
        <v>14298005</v>
      </c>
      <c r="Z44" s="165">
        <v>34191573.700000003</v>
      </c>
      <c r="AA44" s="165">
        <v>7048529.0800000001</v>
      </c>
      <c r="AB44" s="165">
        <v>1066167</v>
      </c>
      <c r="AC44" s="165">
        <v>92.25</v>
      </c>
      <c r="AD44" s="165">
        <v>77610177.780000001</v>
      </c>
      <c r="AE44" s="165">
        <v>841302.74016260169</v>
      </c>
      <c r="AF44" s="166">
        <v>21005903</v>
      </c>
      <c r="AG44" s="11">
        <v>67781838.780000001</v>
      </c>
      <c r="AH44" s="12">
        <v>16.583333333333329</v>
      </c>
      <c r="AI44" s="132">
        <v>1</v>
      </c>
      <c r="AJ44" s="132">
        <v>1</v>
      </c>
      <c r="AK44" s="13">
        <v>0.1</v>
      </c>
      <c r="AL44" s="13">
        <v>5.4770431027991853</v>
      </c>
      <c r="AM44" s="14">
        <v>1</v>
      </c>
      <c r="AN44" s="14">
        <v>0</v>
      </c>
      <c r="AO44" s="82">
        <v>323729.86784140969</v>
      </c>
      <c r="AP44" s="82">
        <v>370640.36531165312</v>
      </c>
      <c r="AQ44" s="82">
        <v>46910.497470243427</v>
      </c>
      <c r="AR44" s="129">
        <v>0.14490630037641195</v>
      </c>
    </row>
    <row r="45" spans="1:44" ht="28.8" x14ac:dyDescent="0.3">
      <c r="A45" s="136" t="s">
        <v>172</v>
      </c>
      <c r="B45" s="137" t="s">
        <v>1191</v>
      </c>
      <c r="C45" s="134">
        <v>2020</v>
      </c>
      <c r="D45" s="149" t="s">
        <v>1190</v>
      </c>
      <c r="E45" s="135" t="s">
        <v>1175</v>
      </c>
      <c r="F45" s="384" t="s">
        <v>173</v>
      </c>
      <c r="G45" s="138" t="s">
        <v>4787</v>
      </c>
      <c r="H45" s="138" t="s">
        <v>3367</v>
      </c>
      <c r="I45" s="138" t="s">
        <v>1566</v>
      </c>
      <c r="J45" s="135" t="s">
        <v>4774</v>
      </c>
      <c r="K45" s="164">
        <v>11563593518</v>
      </c>
      <c r="L45" s="165">
        <v>14314428788</v>
      </c>
      <c r="M45" s="165">
        <v>637275709</v>
      </c>
      <c r="N45" s="165">
        <v>2439129144</v>
      </c>
      <c r="O45" s="165">
        <v>3960652643.3200002</v>
      </c>
      <c r="P45" s="165">
        <v>314124605.20000005</v>
      </c>
      <c r="Q45" s="165">
        <v>195459631</v>
      </c>
      <c r="R45" s="165">
        <v>3804.0833333333335</v>
      </c>
      <c r="S45" s="165">
        <v>3521255044.5200005</v>
      </c>
      <c r="T45" s="165">
        <v>925651.39508510602</v>
      </c>
      <c r="U45" s="166">
        <v>-3388110979</v>
      </c>
      <c r="V45" s="168">
        <v>38730595751</v>
      </c>
      <c r="W45" s="165">
        <v>44284600614</v>
      </c>
      <c r="X45" s="165">
        <v>2313181313</v>
      </c>
      <c r="Y45" s="165">
        <v>2724177821</v>
      </c>
      <c r="Z45" s="165">
        <v>5369020491.8299999</v>
      </c>
      <c r="AA45" s="165">
        <v>440975277.88</v>
      </c>
      <c r="AB45" s="165">
        <v>194552927</v>
      </c>
      <c r="AC45" s="165">
        <v>4518.666666666667</v>
      </c>
      <c r="AD45" s="165">
        <v>861540341.70999992</v>
      </c>
      <c r="AE45" s="165">
        <v>190662.51291900262</v>
      </c>
      <c r="AF45" s="166">
        <v>-7867186176</v>
      </c>
      <c r="AG45" s="11">
        <v>-2659714702.8100004</v>
      </c>
      <c r="AH45" s="12">
        <v>714.58333333333348</v>
      </c>
      <c r="AI45" s="132">
        <v>0</v>
      </c>
      <c r="AJ45" s="132">
        <v>0</v>
      </c>
      <c r="AK45" s="13">
        <v>0.1</v>
      </c>
      <c r="AL45" s="13">
        <v>-0.79402341961563505</v>
      </c>
      <c r="AM45" s="14">
        <v>0</v>
      </c>
      <c r="AN45" s="14">
        <v>-1</v>
      </c>
      <c r="AO45" s="82">
        <v>1041158.2229586629</v>
      </c>
      <c r="AP45" s="82">
        <v>1188186.8896053408</v>
      </c>
      <c r="AQ45" s="82">
        <v>147028.66664667788</v>
      </c>
      <c r="AR45" s="129">
        <v>0.14121644857096372</v>
      </c>
    </row>
    <row r="46" spans="1:44" ht="28.8" x14ac:dyDescent="0.3">
      <c r="A46" s="136" t="s">
        <v>174</v>
      </c>
      <c r="B46" s="137" t="s">
        <v>4820</v>
      </c>
      <c r="C46" s="134">
        <v>2019</v>
      </c>
      <c r="D46" s="149" t="s">
        <v>4758</v>
      </c>
      <c r="E46" s="135" t="s">
        <v>1140</v>
      </c>
      <c r="F46" s="384" t="s">
        <v>175</v>
      </c>
      <c r="G46" s="138" t="s">
        <v>4773</v>
      </c>
      <c r="H46" s="138" t="s">
        <v>1454</v>
      </c>
      <c r="I46" s="138" t="s">
        <v>1217</v>
      </c>
      <c r="J46" s="135" t="s">
        <v>4774</v>
      </c>
      <c r="K46" s="164">
        <v>1013304714</v>
      </c>
      <c r="L46" s="165">
        <v>908465281</v>
      </c>
      <c r="M46" s="165">
        <v>0</v>
      </c>
      <c r="N46" s="165">
        <v>152769019</v>
      </c>
      <c r="O46" s="165">
        <v>125784234</v>
      </c>
      <c r="P46" s="165">
        <v>37494361</v>
      </c>
      <c r="Q46" s="165">
        <v>21724375</v>
      </c>
      <c r="R46" s="165">
        <v>408.75</v>
      </c>
      <c r="S46" s="165">
        <v>442611422</v>
      </c>
      <c r="T46" s="165">
        <v>1082841.3993883792</v>
      </c>
      <c r="U46" s="166">
        <v>104839433</v>
      </c>
      <c r="V46" s="168">
        <v>1071174984</v>
      </c>
      <c r="W46" s="165">
        <v>974176439</v>
      </c>
      <c r="X46" s="165">
        <v>0</v>
      </c>
      <c r="Y46" s="165">
        <v>191675113</v>
      </c>
      <c r="Z46" s="165">
        <v>162333149.94</v>
      </c>
      <c r="AA46" s="165">
        <v>45229976.469999999</v>
      </c>
      <c r="AB46" s="165">
        <v>23189706</v>
      </c>
      <c r="AC46" s="165">
        <v>397.41666666666669</v>
      </c>
      <c r="AD46" s="165">
        <v>519426490.40999997</v>
      </c>
      <c r="AE46" s="165">
        <v>1307007.3149339482</v>
      </c>
      <c r="AF46" s="166">
        <v>96998545</v>
      </c>
      <c r="AG46" s="11">
        <v>76815068.409999967</v>
      </c>
      <c r="AH46" s="12">
        <v>-11.333333333333314</v>
      </c>
      <c r="AI46" s="132">
        <v>1</v>
      </c>
      <c r="AJ46" s="132">
        <v>0</v>
      </c>
      <c r="AK46" s="13">
        <v>0.15</v>
      </c>
      <c r="AL46" s="13">
        <v>0.20701638300862912</v>
      </c>
      <c r="AM46" s="14">
        <v>1</v>
      </c>
      <c r="AN46" s="14">
        <v>0</v>
      </c>
      <c r="AO46" s="82">
        <v>307729.01284403668</v>
      </c>
      <c r="AP46" s="82">
        <v>408470.91618368629</v>
      </c>
      <c r="AQ46" s="82">
        <v>100741.90333964961</v>
      </c>
      <c r="AR46" s="129">
        <v>0.32737213306145962</v>
      </c>
    </row>
    <row r="47" spans="1:44" ht="28.8" x14ac:dyDescent="0.3">
      <c r="A47" s="136" t="s">
        <v>176</v>
      </c>
      <c r="B47" s="137" t="s">
        <v>4821</v>
      </c>
      <c r="C47" s="134">
        <v>2019</v>
      </c>
      <c r="D47" s="149" t="s">
        <v>4758</v>
      </c>
      <c r="E47" s="135" t="s">
        <v>1140</v>
      </c>
      <c r="F47" s="384" t="s">
        <v>175</v>
      </c>
      <c r="G47" s="138" t="s">
        <v>4773</v>
      </c>
      <c r="H47" s="138" t="s">
        <v>1987</v>
      </c>
      <c r="I47" s="138" t="s">
        <v>1566</v>
      </c>
      <c r="J47" s="135" t="s">
        <v>4778</v>
      </c>
      <c r="K47" s="164">
        <v>1037018326</v>
      </c>
      <c r="L47" s="165">
        <v>864529028</v>
      </c>
      <c r="M47" s="165">
        <v>152697521</v>
      </c>
      <c r="N47" s="165">
        <v>97142041</v>
      </c>
      <c r="O47" s="165">
        <v>84728027</v>
      </c>
      <c r="P47" s="165">
        <v>24036815</v>
      </c>
      <c r="Q47" s="165">
        <v>0</v>
      </c>
      <c r="R47" s="165">
        <v>138.41666666666666</v>
      </c>
      <c r="S47" s="165">
        <v>225698660</v>
      </c>
      <c r="T47" s="165">
        <v>1630574.3046357618</v>
      </c>
      <c r="U47" s="166">
        <v>19791777</v>
      </c>
      <c r="V47" s="168">
        <v>1887405837</v>
      </c>
      <c r="W47" s="165">
        <v>1387424522</v>
      </c>
      <c r="X47" s="165">
        <v>217249548</v>
      </c>
      <c r="Y47" s="165">
        <v>104123751</v>
      </c>
      <c r="Z47" s="165">
        <v>117617552</v>
      </c>
      <c r="AA47" s="165">
        <v>33832116</v>
      </c>
      <c r="AB47" s="165">
        <v>7736139</v>
      </c>
      <c r="AC47" s="165">
        <v>149.5</v>
      </c>
      <c r="AD47" s="165">
        <v>546041325</v>
      </c>
      <c r="AE47" s="165">
        <v>3652450.3344481606</v>
      </c>
      <c r="AF47" s="166">
        <v>282731767</v>
      </c>
      <c r="AG47" s="11">
        <v>320342665</v>
      </c>
      <c r="AH47" s="12">
        <v>11.083333333333343</v>
      </c>
      <c r="AI47" s="132">
        <v>1</v>
      </c>
      <c r="AJ47" s="132">
        <v>0</v>
      </c>
      <c r="AK47" s="13">
        <v>0.15</v>
      </c>
      <c r="AL47" s="13">
        <v>1.2399778593345916</v>
      </c>
      <c r="AM47" s="14">
        <v>1</v>
      </c>
      <c r="AN47" s="14">
        <v>0</v>
      </c>
      <c r="AO47" s="82">
        <v>612123.01264298614</v>
      </c>
      <c r="AP47" s="82">
        <v>786739.47826086951</v>
      </c>
      <c r="AQ47" s="82">
        <v>174616.46561788337</v>
      </c>
      <c r="AR47" s="129">
        <v>0.28526368395126234</v>
      </c>
    </row>
    <row r="48" spans="1:44" ht="28.8" x14ac:dyDescent="0.3">
      <c r="A48" s="136" t="s">
        <v>177</v>
      </c>
      <c r="B48" s="137" t="s">
        <v>4822</v>
      </c>
      <c r="C48" s="134">
        <v>2019</v>
      </c>
      <c r="D48" s="149" t="s">
        <v>4758</v>
      </c>
      <c r="E48" s="135" t="s">
        <v>1140</v>
      </c>
      <c r="F48" s="384" t="s">
        <v>175</v>
      </c>
      <c r="G48" s="138" t="s">
        <v>4773</v>
      </c>
      <c r="H48" s="138" t="s">
        <v>2717</v>
      </c>
      <c r="I48" s="138" t="s">
        <v>1566</v>
      </c>
      <c r="J48" s="135" t="s">
        <v>4774</v>
      </c>
      <c r="K48" s="164">
        <v>767861768</v>
      </c>
      <c r="L48" s="165">
        <v>345573881</v>
      </c>
      <c r="M48" s="165">
        <v>356987356</v>
      </c>
      <c r="N48" s="165">
        <v>28828855</v>
      </c>
      <c r="O48" s="165">
        <v>208283800</v>
      </c>
      <c r="P48" s="165">
        <v>58420997</v>
      </c>
      <c r="Q48" s="165">
        <v>1038833</v>
      </c>
      <c r="R48" s="165">
        <v>485.16666666666669</v>
      </c>
      <c r="S48" s="165">
        <v>361873016</v>
      </c>
      <c r="T48" s="165">
        <v>745873.61593953962</v>
      </c>
      <c r="U48" s="166">
        <v>65300531</v>
      </c>
      <c r="V48" s="168">
        <v>968521425</v>
      </c>
      <c r="W48" s="165">
        <v>527392240</v>
      </c>
      <c r="X48" s="165">
        <v>351341274</v>
      </c>
      <c r="Y48" s="165">
        <v>22695461</v>
      </c>
      <c r="Z48" s="165">
        <v>264155158.69999999</v>
      </c>
      <c r="AA48" s="165">
        <v>74196639.280000001</v>
      </c>
      <c r="AB48" s="165">
        <v>581123</v>
      </c>
      <c r="AC48" s="165">
        <v>516.16666666666663</v>
      </c>
      <c r="AD48" s="165">
        <v>451416292.98000002</v>
      </c>
      <c r="AE48" s="165">
        <v>874555.29799160489</v>
      </c>
      <c r="AF48" s="166">
        <v>89787911</v>
      </c>
      <c r="AG48" s="11">
        <v>89543276.980000019</v>
      </c>
      <c r="AH48" s="12">
        <v>30.999999999999943</v>
      </c>
      <c r="AI48" s="132">
        <v>1</v>
      </c>
      <c r="AJ48" s="132">
        <v>1</v>
      </c>
      <c r="AK48" s="13">
        <v>0.15</v>
      </c>
      <c r="AL48" s="13">
        <v>0.17252477705271319</v>
      </c>
      <c r="AM48" s="14">
        <v>1</v>
      </c>
      <c r="AN48" s="14">
        <v>0</v>
      </c>
      <c r="AO48" s="82">
        <v>429303.60700790107</v>
      </c>
      <c r="AP48" s="82">
        <v>511763.3039070068</v>
      </c>
      <c r="AQ48" s="82">
        <v>82459.696899105737</v>
      </c>
      <c r="AR48" s="129">
        <v>0.19207781055887585</v>
      </c>
    </row>
    <row r="49" spans="1:44" ht="28.8" x14ac:dyDescent="0.3">
      <c r="A49" s="136" t="s">
        <v>178</v>
      </c>
      <c r="B49" s="137" t="s">
        <v>4823</v>
      </c>
      <c r="C49" s="134">
        <v>2019</v>
      </c>
      <c r="D49" s="149" t="s">
        <v>4758</v>
      </c>
      <c r="E49" s="135" t="s">
        <v>1140</v>
      </c>
      <c r="F49" s="384" t="s">
        <v>175</v>
      </c>
      <c r="G49" s="138" t="s">
        <v>4773</v>
      </c>
      <c r="H49" s="138" t="s">
        <v>4671</v>
      </c>
      <c r="I49" s="138" t="s">
        <v>4612</v>
      </c>
      <c r="J49" s="135" t="s">
        <v>4774</v>
      </c>
      <c r="K49" s="164">
        <v>1071255027</v>
      </c>
      <c r="L49" s="165">
        <v>939234454</v>
      </c>
      <c r="M49" s="165">
        <v>107621285</v>
      </c>
      <c r="N49" s="165">
        <v>7746276</v>
      </c>
      <c r="O49" s="165">
        <v>15713288</v>
      </c>
      <c r="P49" s="165">
        <v>5280903</v>
      </c>
      <c r="Q49" s="165">
        <v>82234</v>
      </c>
      <c r="R49" s="165">
        <v>72.75</v>
      </c>
      <c r="S49" s="165">
        <v>53221989</v>
      </c>
      <c r="T49" s="165">
        <v>731573.73195876286</v>
      </c>
      <c r="U49" s="166">
        <v>24399288</v>
      </c>
      <c r="V49" s="168">
        <v>2358968221</v>
      </c>
      <c r="W49" s="165">
        <v>2165133058</v>
      </c>
      <c r="X49" s="165">
        <v>137090471</v>
      </c>
      <c r="Y49" s="165">
        <v>3527277</v>
      </c>
      <c r="Z49" s="165">
        <v>17473440.300000001</v>
      </c>
      <c r="AA49" s="165">
        <v>4200854.87</v>
      </c>
      <c r="AB49" s="165">
        <v>72382</v>
      </c>
      <c r="AC49" s="165">
        <v>73.416666666666671</v>
      </c>
      <c r="AD49" s="165">
        <v>82018646.170000002</v>
      </c>
      <c r="AE49" s="165">
        <v>1117166.5766628829</v>
      </c>
      <c r="AF49" s="166">
        <v>56744692</v>
      </c>
      <c r="AG49" s="11">
        <v>28796657.170000002</v>
      </c>
      <c r="AH49" s="12">
        <v>0.6666666666666714</v>
      </c>
      <c r="AI49" s="132">
        <v>1</v>
      </c>
      <c r="AJ49" s="132">
        <v>1</v>
      </c>
      <c r="AK49" s="13">
        <v>0.15</v>
      </c>
      <c r="AL49" s="13">
        <v>0.52707312221284952</v>
      </c>
      <c r="AM49" s="14">
        <v>1</v>
      </c>
      <c r="AN49" s="14">
        <v>0</v>
      </c>
      <c r="AO49" s="82">
        <v>215990.21305841923</v>
      </c>
      <c r="AP49" s="82">
        <v>238003.72712826333</v>
      </c>
      <c r="AQ49" s="82">
        <v>22013.514069844096</v>
      </c>
      <c r="AR49" s="129">
        <v>0.10191903493280074</v>
      </c>
    </row>
    <row r="50" spans="1:44" ht="57.6" x14ac:dyDescent="0.3">
      <c r="A50" s="136" t="s">
        <v>179</v>
      </c>
      <c r="B50" s="137" t="s">
        <v>4824</v>
      </c>
      <c r="C50" s="134">
        <v>2019</v>
      </c>
      <c r="D50" s="149" t="s">
        <v>4758</v>
      </c>
      <c r="E50" s="135" t="s">
        <v>1140</v>
      </c>
      <c r="F50" s="384" t="s">
        <v>175</v>
      </c>
      <c r="G50" s="138" t="s">
        <v>4773</v>
      </c>
      <c r="H50" s="138" t="s">
        <v>3011</v>
      </c>
      <c r="I50" s="138" t="s">
        <v>1566</v>
      </c>
      <c r="J50" s="135" t="s">
        <v>4774</v>
      </c>
      <c r="K50" s="164">
        <v>5558921404</v>
      </c>
      <c r="L50" s="165">
        <v>5009225530</v>
      </c>
      <c r="M50" s="165">
        <v>351070368</v>
      </c>
      <c r="N50" s="165">
        <v>350955866</v>
      </c>
      <c r="O50" s="165">
        <v>402748528</v>
      </c>
      <c r="P50" s="165">
        <v>27075932</v>
      </c>
      <c r="Q50" s="165">
        <v>0</v>
      </c>
      <c r="R50" s="165">
        <v>838.83333333333337</v>
      </c>
      <c r="S50" s="165">
        <v>979405832</v>
      </c>
      <c r="T50" s="165">
        <v>1167580.9640373534</v>
      </c>
      <c r="U50" s="166">
        <v>198625506</v>
      </c>
      <c r="V50" s="168">
        <v>5109822481</v>
      </c>
      <c r="W50" s="165">
        <v>4746982461</v>
      </c>
      <c r="X50" s="165">
        <v>251410040</v>
      </c>
      <c r="Y50" s="165">
        <v>40302187</v>
      </c>
      <c r="Z50" s="165">
        <v>214335252</v>
      </c>
      <c r="AA50" s="165">
        <v>13880675</v>
      </c>
      <c r="AB50" s="165">
        <v>0</v>
      </c>
      <c r="AC50" s="165">
        <v>320.58333333333331</v>
      </c>
      <c r="AD50" s="165">
        <v>379948094</v>
      </c>
      <c r="AE50" s="165">
        <v>1185177.3142708605</v>
      </c>
      <c r="AF50" s="166">
        <v>111429980</v>
      </c>
      <c r="AG50" s="11">
        <v>-599457738</v>
      </c>
      <c r="AH50" s="12">
        <v>-518.25</v>
      </c>
      <c r="AI50" s="132">
        <v>0</v>
      </c>
      <c r="AJ50" s="132">
        <v>0</v>
      </c>
      <c r="AK50" s="13">
        <v>0.15</v>
      </c>
      <c r="AL50" s="13">
        <v>1.5070775049295104E-2</v>
      </c>
      <c r="AM50" s="14">
        <v>0</v>
      </c>
      <c r="AN50" s="14">
        <v>-1</v>
      </c>
      <c r="AO50" s="82">
        <v>480129.37969401944</v>
      </c>
      <c r="AP50" s="82">
        <v>668578.89888224599</v>
      </c>
      <c r="AQ50" s="82">
        <v>188449.51918822655</v>
      </c>
      <c r="AR50" s="129">
        <v>0.39249737083017733</v>
      </c>
    </row>
    <row r="51" spans="1:44" ht="28.8" x14ac:dyDescent="0.3">
      <c r="A51" s="136" t="s">
        <v>180</v>
      </c>
      <c r="B51" s="137" t="s">
        <v>4825</v>
      </c>
      <c r="C51" s="134">
        <v>2020</v>
      </c>
      <c r="D51" s="149" t="s">
        <v>4758</v>
      </c>
      <c r="E51" s="135" t="s">
        <v>1140</v>
      </c>
      <c r="F51" s="384" t="s">
        <v>175</v>
      </c>
      <c r="G51" s="138" t="s">
        <v>4773</v>
      </c>
      <c r="H51" s="138" t="s">
        <v>3038</v>
      </c>
      <c r="I51" s="138" t="s">
        <v>1566</v>
      </c>
      <c r="J51" s="135" t="s">
        <v>4774</v>
      </c>
      <c r="K51" s="164">
        <v>674877485</v>
      </c>
      <c r="L51" s="165">
        <v>549290620</v>
      </c>
      <c r="M51" s="165">
        <v>76473576</v>
      </c>
      <c r="N51" s="165">
        <v>10103785</v>
      </c>
      <c r="O51" s="165">
        <v>226140773</v>
      </c>
      <c r="P51" s="165">
        <v>70439481</v>
      </c>
      <c r="Q51" s="165">
        <v>1522160</v>
      </c>
      <c r="R51" s="165">
        <v>410.16666666666669</v>
      </c>
      <c r="S51" s="165">
        <v>357319488</v>
      </c>
      <c r="T51" s="165">
        <v>871156.81755383988</v>
      </c>
      <c r="U51" s="166">
        <v>49113289</v>
      </c>
      <c r="V51" s="168">
        <v>720310261</v>
      </c>
      <c r="W51" s="165">
        <v>582895368</v>
      </c>
      <c r="X51" s="165">
        <v>86638033</v>
      </c>
      <c r="Y51" s="165">
        <v>10039162</v>
      </c>
      <c r="Z51" s="165">
        <v>230908718</v>
      </c>
      <c r="AA51" s="165">
        <v>71937631</v>
      </c>
      <c r="AB51" s="165">
        <v>1425738</v>
      </c>
      <c r="AC51" s="165">
        <v>389.66666666666669</v>
      </c>
      <c r="AD51" s="165">
        <v>365088109</v>
      </c>
      <c r="AE51" s="165">
        <v>936924.14627887076</v>
      </c>
      <c r="AF51" s="166">
        <v>50776860</v>
      </c>
      <c r="AG51" s="11">
        <v>7768621</v>
      </c>
      <c r="AH51" s="12">
        <v>-20.5</v>
      </c>
      <c r="AI51" s="132">
        <v>0</v>
      </c>
      <c r="AJ51" s="132">
        <v>1</v>
      </c>
      <c r="AK51" s="13">
        <v>0.1</v>
      </c>
      <c r="AL51" s="13">
        <v>7.5494249129565594E-2</v>
      </c>
      <c r="AM51" s="14">
        <v>0</v>
      </c>
      <c r="AN51" s="14">
        <v>-1</v>
      </c>
      <c r="AO51" s="82">
        <v>551338.73953677365</v>
      </c>
      <c r="AP51" s="82">
        <v>592580.11462788703</v>
      </c>
      <c r="AQ51" s="82">
        <v>41241.375091113383</v>
      </c>
      <c r="AR51" s="129">
        <v>7.4802244307671462E-2</v>
      </c>
    </row>
    <row r="52" spans="1:44" ht="43.2" x14ac:dyDescent="0.3">
      <c r="A52" s="136" t="s">
        <v>181</v>
      </c>
      <c r="B52" s="137" t="s">
        <v>4826</v>
      </c>
      <c r="C52" s="134">
        <v>2019</v>
      </c>
      <c r="D52" s="149" t="s">
        <v>1146</v>
      </c>
      <c r="E52" s="135" t="s">
        <v>1140</v>
      </c>
      <c r="F52" s="384" t="s">
        <v>182</v>
      </c>
      <c r="G52" s="138" t="s">
        <v>4773</v>
      </c>
      <c r="H52" s="138" t="s">
        <v>2377</v>
      </c>
      <c r="I52" s="138" t="s">
        <v>1566</v>
      </c>
      <c r="J52" s="135" t="s">
        <v>4774</v>
      </c>
      <c r="K52" s="164">
        <v>4567511594</v>
      </c>
      <c r="L52" s="165">
        <v>4237216928</v>
      </c>
      <c r="M52" s="165">
        <v>131011294</v>
      </c>
      <c r="N52" s="165">
        <v>0</v>
      </c>
      <c r="O52" s="165">
        <v>190397692</v>
      </c>
      <c r="P52" s="165">
        <v>56644979</v>
      </c>
      <c r="Q52" s="165">
        <v>0</v>
      </c>
      <c r="R52" s="165">
        <v>408.58333333333331</v>
      </c>
      <c r="S52" s="165">
        <v>446326043</v>
      </c>
      <c r="T52" s="165">
        <v>1092374.5698551908</v>
      </c>
      <c r="U52" s="166">
        <v>199283372</v>
      </c>
      <c r="V52" s="168">
        <v>6231847785</v>
      </c>
      <c r="W52" s="165">
        <v>5853039339</v>
      </c>
      <c r="X52" s="165">
        <v>215431138</v>
      </c>
      <c r="Y52" s="165">
        <v>3108240</v>
      </c>
      <c r="Z52" s="165">
        <v>165068069.07999998</v>
      </c>
      <c r="AA52" s="165">
        <v>67217441</v>
      </c>
      <c r="AB52" s="165">
        <v>0</v>
      </c>
      <c r="AC52" s="165">
        <v>430.33333333333331</v>
      </c>
      <c r="AD52" s="165">
        <v>398771058.07999998</v>
      </c>
      <c r="AE52" s="165">
        <v>926656.21552285051</v>
      </c>
      <c r="AF52" s="166">
        <v>163377308</v>
      </c>
      <c r="AG52" s="11">
        <v>-47554984.920000017</v>
      </c>
      <c r="AH52" s="12">
        <v>21.75</v>
      </c>
      <c r="AI52" s="132">
        <v>0</v>
      </c>
      <c r="AJ52" s="132">
        <v>0</v>
      </c>
      <c r="AK52" s="13">
        <v>0.15</v>
      </c>
      <c r="AL52" s="13">
        <v>-0.15170469411421772</v>
      </c>
      <c r="AM52" s="14">
        <v>0</v>
      </c>
      <c r="AN52" s="14">
        <v>-1</v>
      </c>
      <c r="AO52" s="82">
        <v>465994.75912706507</v>
      </c>
      <c r="AP52" s="82">
        <v>383581.88012393494</v>
      </c>
      <c r="AQ52" s="82">
        <v>-82412.879003130132</v>
      </c>
      <c r="AR52" s="129">
        <v>-0.17685366066672481</v>
      </c>
    </row>
    <row r="53" spans="1:44" ht="28.8" x14ac:dyDescent="0.3">
      <c r="A53" s="136" t="s">
        <v>183</v>
      </c>
      <c r="B53" s="137" t="s">
        <v>4827</v>
      </c>
      <c r="C53" s="134">
        <v>2019</v>
      </c>
      <c r="D53" s="149" t="s">
        <v>4758</v>
      </c>
      <c r="E53" s="135" t="s">
        <v>1140</v>
      </c>
      <c r="F53" s="384" t="s">
        <v>184</v>
      </c>
      <c r="G53" s="138" t="s">
        <v>4773</v>
      </c>
      <c r="H53" s="138" t="s">
        <v>1401</v>
      </c>
      <c r="I53" s="138" t="s">
        <v>1217</v>
      </c>
      <c r="J53" s="135" t="s">
        <v>4774</v>
      </c>
      <c r="K53" s="164">
        <v>9765222852</v>
      </c>
      <c r="L53" s="165">
        <v>8147246845</v>
      </c>
      <c r="M53" s="165">
        <v>643037873</v>
      </c>
      <c r="N53" s="165">
        <v>705429385</v>
      </c>
      <c r="O53" s="165">
        <v>920815073</v>
      </c>
      <c r="P53" s="165">
        <v>266701487</v>
      </c>
      <c r="Q53" s="165">
        <v>109287806</v>
      </c>
      <c r="R53" s="165">
        <v>1977.1666666666667</v>
      </c>
      <c r="S53" s="165">
        <v>2977171885</v>
      </c>
      <c r="T53" s="165">
        <v>1505776.8953890246</v>
      </c>
      <c r="U53" s="166">
        <v>974938134</v>
      </c>
      <c r="V53" s="168">
        <v>11710157362</v>
      </c>
      <c r="W53" s="165">
        <v>9842180904</v>
      </c>
      <c r="X53" s="165">
        <v>669537173</v>
      </c>
      <c r="Y53" s="165">
        <v>680222166</v>
      </c>
      <c r="Z53" s="165">
        <v>1127693941</v>
      </c>
      <c r="AA53" s="165">
        <v>296360378.95999998</v>
      </c>
      <c r="AB53" s="165">
        <v>0</v>
      </c>
      <c r="AC53" s="165">
        <v>1872.5833333333333</v>
      </c>
      <c r="AD53" s="165">
        <v>3302715770.96</v>
      </c>
      <c r="AE53" s="165">
        <v>1763721.6524195632</v>
      </c>
      <c r="AF53" s="166">
        <v>1198439285</v>
      </c>
      <c r="AG53" s="11">
        <v>325543885.96000004</v>
      </c>
      <c r="AH53" s="12">
        <v>-104.58333333333348</v>
      </c>
      <c r="AI53" s="132">
        <v>1</v>
      </c>
      <c r="AJ53" s="132">
        <v>1</v>
      </c>
      <c r="AK53" s="13">
        <v>0.15</v>
      </c>
      <c r="AL53" s="13">
        <v>0.17130343147115612</v>
      </c>
      <c r="AM53" s="14">
        <v>1</v>
      </c>
      <c r="AN53" s="14">
        <v>0</v>
      </c>
      <c r="AO53" s="82">
        <v>465724.55854337011</v>
      </c>
      <c r="AP53" s="82">
        <v>602212.95411864179</v>
      </c>
      <c r="AQ53" s="82">
        <v>136488.39557527169</v>
      </c>
      <c r="AR53" s="129">
        <v>0.29306677750076471</v>
      </c>
    </row>
    <row r="54" spans="1:44" ht="28.8" x14ac:dyDescent="0.3">
      <c r="A54" s="136" t="s">
        <v>185</v>
      </c>
      <c r="B54" s="137" t="s">
        <v>4828</v>
      </c>
      <c r="C54" s="134">
        <v>2019</v>
      </c>
      <c r="D54" s="149" t="s">
        <v>4758</v>
      </c>
      <c r="E54" s="135" t="s">
        <v>1140</v>
      </c>
      <c r="F54" s="384" t="s">
        <v>184</v>
      </c>
      <c r="G54" s="138" t="s">
        <v>4773</v>
      </c>
      <c r="H54" s="138" t="s">
        <v>3411</v>
      </c>
      <c r="I54" s="138" t="s">
        <v>1566</v>
      </c>
      <c r="J54" s="135" t="s">
        <v>4778</v>
      </c>
      <c r="K54" s="164">
        <v>16114777912</v>
      </c>
      <c r="L54" s="165">
        <v>10832224708</v>
      </c>
      <c r="M54" s="165">
        <v>5837317359</v>
      </c>
      <c r="N54" s="165">
        <v>1082438719</v>
      </c>
      <c r="O54" s="165">
        <v>3027949532.6599998</v>
      </c>
      <c r="P54" s="165">
        <v>875097007</v>
      </c>
      <c r="Q54" s="165">
        <v>83657736</v>
      </c>
      <c r="R54" s="165">
        <v>5397.25</v>
      </c>
      <c r="S54" s="165">
        <v>4514378839.6599998</v>
      </c>
      <c r="T54" s="165">
        <v>836422.03708555282</v>
      </c>
      <c r="U54" s="166">
        <v>-554764155</v>
      </c>
      <c r="V54" s="168">
        <v>27831107180</v>
      </c>
      <c r="W54" s="165">
        <v>14965206844</v>
      </c>
      <c r="X54" s="165">
        <v>8772674545</v>
      </c>
      <c r="Y54" s="165">
        <v>1114626369</v>
      </c>
      <c r="Z54" s="165">
        <v>3316197055</v>
      </c>
      <c r="AA54" s="165">
        <v>962299762</v>
      </c>
      <c r="AB54" s="165">
        <v>72360926</v>
      </c>
      <c r="AC54" s="165">
        <v>5059</v>
      </c>
      <c r="AD54" s="165">
        <v>9558709903</v>
      </c>
      <c r="AE54" s="165">
        <v>1889446.5117612176</v>
      </c>
      <c r="AF54" s="166">
        <v>4093225791</v>
      </c>
      <c r="AG54" s="11">
        <v>5044331063.3400002</v>
      </c>
      <c r="AH54" s="12">
        <v>-338.25</v>
      </c>
      <c r="AI54" s="132">
        <v>1</v>
      </c>
      <c r="AJ54" s="132">
        <v>1</v>
      </c>
      <c r="AK54" s="13">
        <v>0.15</v>
      </c>
      <c r="AL54" s="13">
        <v>1.2589630827996832</v>
      </c>
      <c r="AM54" s="14">
        <v>1</v>
      </c>
      <c r="AN54" s="14">
        <v>0</v>
      </c>
      <c r="AO54" s="82">
        <v>561017.09808884154</v>
      </c>
      <c r="AP54" s="82">
        <v>655504.45839098631</v>
      </c>
      <c r="AQ54" s="82">
        <v>94487.360302144778</v>
      </c>
      <c r="AR54" s="129">
        <v>0.16842153407449612</v>
      </c>
    </row>
    <row r="55" spans="1:44" ht="28.8" x14ac:dyDescent="0.3">
      <c r="A55" s="136" t="s">
        <v>186</v>
      </c>
      <c r="B55" s="137" t="s">
        <v>4829</v>
      </c>
      <c r="C55" s="134">
        <v>2019</v>
      </c>
      <c r="D55" s="149" t="s">
        <v>4758</v>
      </c>
      <c r="E55" s="135" t="s">
        <v>1140</v>
      </c>
      <c r="F55" s="384" t="s">
        <v>184</v>
      </c>
      <c r="G55" s="138" t="s">
        <v>4773</v>
      </c>
      <c r="H55" s="138" t="s">
        <v>4555</v>
      </c>
      <c r="I55" s="138" t="s">
        <v>4255</v>
      </c>
      <c r="J55" s="135" t="s">
        <v>4778</v>
      </c>
      <c r="K55" s="164">
        <v>2751171040</v>
      </c>
      <c r="L55" s="165">
        <v>1183747076</v>
      </c>
      <c r="M55" s="165">
        <v>867655962</v>
      </c>
      <c r="N55" s="165">
        <v>220045142</v>
      </c>
      <c r="O55" s="165">
        <v>777686282</v>
      </c>
      <c r="P55" s="165">
        <v>226157294</v>
      </c>
      <c r="Q55" s="165">
        <v>8616701</v>
      </c>
      <c r="R55" s="165">
        <v>1542.4166666666667</v>
      </c>
      <c r="S55" s="165">
        <v>1932273421</v>
      </c>
      <c r="T55" s="165">
        <v>1252757.0939542924</v>
      </c>
      <c r="U55" s="166">
        <v>699768002</v>
      </c>
      <c r="V55" s="168">
        <v>3264794095</v>
      </c>
      <c r="W55" s="165">
        <v>1184110726</v>
      </c>
      <c r="X55" s="165">
        <v>885301928</v>
      </c>
      <c r="Y55" s="165">
        <v>248652710</v>
      </c>
      <c r="Z55" s="165">
        <v>813069565</v>
      </c>
      <c r="AA55" s="165">
        <v>237451616</v>
      </c>
      <c r="AB55" s="165">
        <v>0</v>
      </c>
      <c r="AC55" s="165">
        <v>1432.1666666666667</v>
      </c>
      <c r="AD55" s="165">
        <v>2494555332</v>
      </c>
      <c r="AE55" s="165">
        <v>1741805.1893401605</v>
      </c>
      <c r="AF55" s="166">
        <v>1195381441</v>
      </c>
      <c r="AG55" s="11">
        <v>562281911</v>
      </c>
      <c r="AH55" s="12">
        <v>-110.25</v>
      </c>
      <c r="AI55" s="132">
        <v>1</v>
      </c>
      <c r="AJ55" s="132">
        <v>1</v>
      </c>
      <c r="AK55" s="13">
        <v>0.15</v>
      </c>
      <c r="AL55" s="13">
        <v>0.39037743542125947</v>
      </c>
      <c r="AM55" s="14">
        <v>1</v>
      </c>
      <c r="AN55" s="14">
        <v>0</v>
      </c>
      <c r="AO55" s="82">
        <v>504199.86946890701</v>
      </c>
      <c r="AP55" s="82">
        <v>567719.93366693822</v>
      </c>
      <c r="AQ55" s="82">
        <v>63520.064198031207</v>
      </c>
      <c r="AR55" s="129">
        <v>0.12598191321417707</v>
      </c>
    </row>
    <row r="56" spans="1:44" ht="43.2" x14ac:dyDescent="0.3">
      <c r="A56" s="136" t="s">
        <v>187</v>
      </c>
      <c r="B56" s="137" t="s">
        <v>4830</v>
      </c>
      <c r="C56" s="134">
        <v>2019</v>
      </c>
      <c r="D56" s="149" t="s">
        <v>4758</v>
      </c>
      <c r="E56" s="135" t="s">
        <v>1140</v>
      </c>
      <c r="F56" s="384" t="s">
        <v>184</v>
      </c>
      <c r="G56" s="138" t="s">
        <v>4773</v>
      </c>
      <c r="H56" s="138" t="s">
        <v>2564</v>
      </c>
      <c r="I56" s="138" t="s">
        <v>1566</v>
      </c>
      <c r="J56" s="135" t="s">
        <v>4774</v>
      </c>
      <c r="K56" s="164">
        <v>1440604268</v>
      </c>
      <c r="L56" s="165">
        <v>1319789504</v>
      </c>
      <c r="M56" s="165">
        <v>250969764</v>
      </c>
      <c r="N56" s="165">
        <v>117342981</v>
      </c>
      <c r="O56" s="165">
        <v>312496197</v>
      </c>
      <c r="P56" s="165">
        <v>94037125</v>
      </c>
      <c r="Q56" s="165">
        <v>4383175</v>
      </c>
      <c r="R56" s="165">
        <v>684.33333333333337</v>
      </c>
      <c r="S56" s="165">
        <v>398104478</v>
      </c>
      <c r="T56" s="165">
        <v>581740.59132976132</v>
      </c>
      <c r="U56" s="166">
        <v>-130155000</v>
      </c>
      <c r="V56" s="168">
        <v>2106016666</v>
      </c>
      <c r="W56" s="165">
        <v>1988991856</v>
      </c>
      <c r="X56" s="165">
        <v>330035643</v>
      </c>
      <c r="Y56" s="165">
        <v>119275419</v>
      </c>
      <c r="Z56" s="165">
        <v>340275595</v>
      </c>
      <c r="AA56" s="165">
        <v>102390487.48</v>
      </c>
      <c r="AB56" s="165">
        <v>6177114</v>
      </c>
      <c r="AC56" s="165">
        <v>634.75</v>
      </c>
      <c r="AD56" s="165">
        <v>355107782.48000002</v>
      </c>
      <c r="AE56" s="165">
        <v>559445.10827884998</v>
      </c>
      <c r="AF56" s="166">
        <v>-213010833</v>
      </c>
      <c r="AG56" s="11">
        <v>-42996695.519999981</v>
      </c>
      <c r="AH56" s="12">
        <v>-49.583333333333371</v>
      </c>
      <c r="AI56" s="132">
        <v>0</v>
      </c>
      <c r="AJ56" s="132">
        <v>0</v>
      </c>
      <c r="AK56" s="13">
        <v>0.15</v>
      </c>
      <c r="AL56" s="13">
        <v>-3.8325467370258548E-2</v>
      </c>
      <c r="AM56" s="14">
        <v>0</v>
      </c>
      <c r="AN56" s="14">
        <v>-1</v>
      </c>
      <c r="AO56" s="82">
        <v>456643.24939113489</v>
      </c>
      <c r="AP56" s="82">
        <v>536078.13312327687</v>
      </c>
      <c r="AQ56" s="82">
        <v>79434.883732141985</v>
      </c>
      <c r="AR56" s="129">
        <v>0.17395392100519702</v>
      </c>
    </row>
    <row r="57" spans="1:44" ht="28.8" x14ac:dyDescent="0.3">
      <c r="A57" s="136" t="s">
        <v>188</v>
      </c>
      <c r="B57" s="137" t="s">
        <v>4831</v>
      </c>
      <c r="C57" s="134">
        <v>2020</v>
      </c>
      <c r="D57" s="149" t="s">
        <v>4758</v>
      </c>
      <c r="E57" s="135" t="s">
        <v>1140</v>
      </c>
      <c r="F57" s="384" t="s">
        <v>189</v>
      </c>
      <c r="G57" s="138" t="s">
        <v>4796</v>
      </c>
      <c r="H57" s="138" t="s">
        <v>1636</v>
      </c>
      <c r="I57" s="138" t="s">
        <v>1566</v>
      </c>
      <c r="J57" s="135" t="s">
        <v>4774</v>
      </c>
      <c r="K57" s="164">
        <v>925162920</v>
      </c>
      <c r="L57" s="165">
        <v>668581239</v>
      </c>
      <c r="M57" s="165">
        <v>167924674</v>
      </c>
      <c r="N57" s="165">
        <v>29485376</v>
      </c>
      <c r="O57" s="165">
        <v>102586518</v>
      </c>
      <c r="P57" s="165">
        <v>30126804</v>
      </c>
      <c r="Q57" s="165">
        <v>0</v>
      </c>
      <c r="R57" s="165">
        <v>200.41666666666666</v>
      </c>
      <c r="S57" s="165">
        <v>250855705</v>
      </c>
      <c r="T57" s="165">
        <v>1251670.8773388774</v>
      </c>
      <c r="U57" s="166">
        <v>88657007</v>
      </c>
      <c r="V57" s="168">
        <v>1487705166</v>
      </c>
      <c r="W57" s="165">
        <v>1161495410</v>
      </c>
      <c r="X57" s="165">
        <v>294330436</v>
      </c>
      <c r="Y57" s="165">
        <v>30441131</v>
      </c>
      <c r="Z57" s="165">
        <v>142079168</v>
      </c>
      <c r="AA57" s="165">
        <v>41909618.850000001</v>
      </c>
      <c r="AB57" s="165">
        <v>0</v>
      </c>
      <c r="AC57" s="165">
        <v>237.91666666666666</v>
      </c>
      <c r="AD57" s="165">
        <v>246309237.84999999</v>
      </c>
      <c r="AE57" s="165">
        <v>1035275.2554115587</v>
      </c>
      <c r="AF57" s="166">
        <v>31879320</v>
      </c>
      <c r="AG57" s="11">
        <v>-4546467.150000006</v>
      </c>
      <c r="AH57" s="12">
        <v>37.5</v>
      </c>
      <c r="AI57" s="132">
        <v>0</v>
      </c>
      <c r="AJ57" s="132">
        <v>0</v>
      </c>
      <c r="AK57" s="13">
        <v>0.05</v>
      </c>
      <c r="AL57" s="13">
        <v>-0.17288539939508696</v>
      </c>
      <c r="AM57" s="14">
        <v>0</v>
      </c>
      <c r="AN57" s="14">
        <v>-1</v>
      </c>
      <c r="AO57" s="82">
        <v>511866.20207900211</v>
      </c>
      <c r="AP57" s="82">
        <v>597180.39089316991</v>
      </c>
      <c r="AQ57" s="82">
        <v>85314.188814167806</v>
      </c>
      <c r="AR57" s="129">
        <v>0.16667283064921001</v>
      </c>
    </row>
    <row r="58" spans="1:44" ht="28.8" x14ac:dyDescent="0.3">
      <c r="A58" s="136" t="s">
        <v>190</v>
      </c>
      <c r="B58" s="137" t="s">
        <v>4832</v>
      </c>
      <c r="C58" s="134">
        <v>2019</v>
      </c>
      <c r="D58" s="149" t="s">
        <v>4758</v>
      </c>
      <c r="E58" s="135" t="s">
        <v>1140</v>
      </c>
      <c r="F58" s="384" t="s">
        <v>189</v>
      </c>
      <c r="G58" s="138" t="s">
        <v>4773</v>
      </c>
      <c r="H58" s="138" t="s">
        <v>2975</v>
      </c>
      <c r="I58" s="138" t="s">
        <v>1566</v>
      </c>
      <c r="J58" s="135" t="s">
        <v>4774</v>
      </c>
      <c r="K58" s="164">
        <v>1185572630</v>
      </c>
      <c r="L58" s="165">
        <v>1022315925</v>
      </c>
      <c r="M58" s="165">
        <v>65352651</v>
      </c>
      <c r="N58" s="165">
        <v>6429032</v>
      </c>
      <c r="O58" s="165">
        <v>166249147.97000003</v>
      </c>
      <c r="P58" s="165">
        <v>40989334</v>
      </c>
      <c r="Q58" s="165">
        <v>139815</v>
      </c>
      <c r="R58" s="165">
        <v>155</v>
      </c>
      <c r="S58" s="165">
        <v>311711382.97000003</v>
      </c>
      <c r="T58" s="165">
        <v>2011041.1804516132</v>
      </c>
      <c r="U58" s="166">
        <v>97904054</v>
      </c>
      <c r="V58" s="168">
        <v>1209347719</v>
      </c>
      <c r="W58" s="165">
        <v>1002150656</v>
      </c>
      <c r="X58" s="165">
        <v>65574077</v>
      </c>
      <c r="Y58" s="165">
        <v>8786368</v>
      </c>
      <c r="Z58" s="165">
        <v>199281770.81999999</v>
      </c>
      <c r="AA58" s="165">
        <v>33032937.740000002</v>
      </c>
      <c r="AB58" s="165">
        <v>129244</v>
      </c>
      <c r="AC58" s="165">
        <v>175.66666666666666</v>
      </c>
      <c r="AD58" s="165">
        <v>382853306.56</v>
      </c>
      <c r="AE58" s="165">
        <v>2179430.5876280838</v>
      </c>
      <c r="AF58" s="166">
        <v>141622986</v>
      </c>
      <c r="AG58" s="11">
        <v>71141923.589999974</v>
      </c>
      <c r="AH58" s="12">
        <v>20.666666666666657</v>
      </c>
      <c r="AI58" s="132">
        <v>0</v>
      </c>
      <c r="AJ58" s="132">
        <v>0</v>
      </c>
      <c r="AK58" s="13">
        <v>0.15</v>
      </c>
      <c r="AL58" s="13">
        <v>8.3732452460272278E-2</v>
      </c>
      <c r="AM58" s="14">
        <v>0</v>
      </c>
      <c r="AN58" s="14">
        <v>-1</v>
      </c>
      <c r="AO58" s="82">
        <v>1072575.1481935487</v>
      </c>
      <c r="AP58" s="82">
        <v>1134431.3329411766</v>
      </c>
      <c r="AQ58" s="82">
        <v>61856.184747627936</v>
      </c>
      <c r="AR58" s="129">
        <v>5.7670723447030614E-2</v>
      </c>
    </row>
    <row r="59" spans="1:44" ht="28.8" x14ac:dyDescent="0.3">
      <c r="A59" s="136" t="s">
        <v>191</v>
      </c>
      <c r="B59" s="137" t="s">
        <v>1158</v>
      </c>
      <c r="C59" s="134">
        <v>2020</v>
      </c>
      <c r="D59" s="149" t="s">
        <v>1157</v>
      </c>
      <c r="E59" s="135" t="s">
        <v>1152</v>
      </c>
      <c r="F59" s="384" t="s">
        <v>192</v>
      </c>
      <c r="G59" s="138" t="s">
        <v>4787</v>
      </c>
      <c r="H59" s="138" t="s">
        <v>2264</v>
      </c>
      <c r="I59" s="138" t="s">
        <v>1566</v>
      </c>
      <c r="J59" s="135" t="s">
        <v>4774</v>
      </c>
      <c r="K59" s="164">
        <v>1121554456</v>
      </c>
      <c r="L59" s="165">
        <v>967633497</v>
      </c>
      <c r="M59" s="165">
        <v>159603859</v>
      </c>
      <c r="N59" s="165">
        <v>66847300</v>
      </c>
      <c r="O59" s="165">
        <v>190259277</v>
      </c>
      <c r="P59" s="165">
        <v>54642993</v>
      </c>
      <c r="Q59" s="165">
        <v>9581275</v>
      </c>
      <c r="R59" s="165">
        <v>438.41666666666669</v>
      </c>
      <c r="S59" s="165">
        <v>315647945</v>
      </c>
      <c r="T59" s="165">
        <v>719972.50332636375</v>
      </c>
      <c r="U59" s="166">
        <v>-5682900</v>
      </c>
      <c r="V59" s="168">
        <v>1770742587</v>
      </c>
      <c r="W59" s="165">
        <v>1392138734</v>
      </c>
      <c r="X59" s="165">
        <v>179352553</v>
      </c>
      <c r="Y59" s="165">
        <v>65006961</v>
      </c>
      <c r="Z59" s="165">
        <v>236730188.47999999</v>
      </c>
      <c r="AA59" s="165">
        <v>66707263.93</v>
      </c>
      <c r="AB59" s="165">
        <v>9046522</v>
      </c>
      <c r="AC59" s="165">
        <v>409.16666666666669</v>
      </c>
      <c r="AD59" s="165">
        <v>576742235.40999997</v>
      </c>
      <c r="AE59" s="165">
        <v>1409553.324830957</v>
      </c>
      <c r="AF59" s="166">
        <v>199251300</v>
      </c>
      <c r="AG59" s="11">
        <v>261094290.40999997</v>
      </c>
      <c r="AH59" s="12">
        <v>-29.25</v>
      </c>
      <c r="AI59" s="132">
        <v>1</v>
      </c>
      <c r="AJ59" s="132">
        <v>1</v>
      </c>
      <c r="AK59" s="13">
        <v>0.1</v>
      </c>
      <c r="AL59" s="13">
        <v>0.95778772105879062</v>
      </c>
      <c r="AM59" s="14">
        <v>1</v>
      </c>
      <c r="AN59" s="14">
        <v>0</v>
      </c>
      <c r="AO59" s="82">
        <v>433969.07888234174</v>
      </c>
      <c r="AP59" s="82">
        <v>578566.65208961302</v>
      </c>
      <c r="AQ59" s="82">
        <v>144597.57320727129</v>
      </c>
      <c r="AR59" s="129">
        <v>0.33319787110103016</v>
      </c>
    </row>
    <row r="60" spans="1:44" ht="28.8" x14ac:dyDescent="0.3">
      <c r="A60" s="136" t="s">
        <v>193</v>
      </c>
      <c r="B60" s="137" t="s">
        <v>1156</v>
      </c>
      <c r="C60" s="134">
        <v>2020</v>
      </c>
      <c r="D60" s="149" t="s">
        <v>1155</v>
      </c>
      <c r="E60" s="135" t="s">
        <v>1152</v>
      </c>
      <c r="F60" s="384" t="s">
        <v>194</v>
      </c>
      <c r="G60" s="138" t="s">
        <v>4787</v>
      </c>
      <c r="H60" s="138" t="s">
        <v>2755</v>
      </c>
      <c r="I60" s="138" t="s">
        <v>1566</v>
      </c>
      <c r="J60" s="135" t="s">
        <v>4774</v>
      </c>
      <c r="K60" s="164">
        <v>1784975473</v>
      </c>
      <c r="L60" s="165">
        <v>1667340532</v>
      </c>
      <c r="M60" s="165">
        <v>138276406</v>
      </c>
      <c r="N60" s="165">
        <v>6071857</v>
      </c>
      <c r="O60" s="165">
        <v>120802215</v>
      </c>
      <c r="P60" s="165">
        <v>25312465</v>
      </c>
      <c r="Q60" s="165">
        <v>36826</v>
      </c>
      <c r="R60" s="165">
        <v>258.5</v>
      </c>
      <c r="S60" s="165">
        <v>131581898</v>
      </c>
      <c r="T60" s="165">
        <v>509020.88201160543</v>
      </c>
      <c r="U60" s="166">
        <v>-20641465</v>
      </c>
      <c r="V60" s="168">
        <v>1632594639</v>
      </c>
      <c r="W60" s="165">
        <v>1472734796</v>
      </c>
      <c r="X60" s="165">
        <v>124508716</v>
      </c>
      <c r="Y60" s="165">
        <v>7580624</v>
      </c>
      <c r="Z60" s="165">
        <v>41023899</v>
      </c>
      <c r="AA60" s="165">
        <v>11256901.16</v>
      </c>
      <c r="AB60" s="165">
        <v>814389</v>
      </c>
      <c r="AC60" s="165">
        <v>95</v>
      </c>
      <c r="AD60" s="165">
        <v>96026940.159999996</v>
      </c>
      <c r="AE60" s="165">
        <v>1010809.8964210526</v>
      </c>
      <c r="AF60" s="166">
        <v>35351127</v>
      </c>
      <c r="AG60" s="11">
        <v>-35554957.840000004</v>
      </c>
      <c r="AH60" s="12">
        <v>-163.5</v>
      </c>
      <c r="AI60" s="132">
        <v>1</v>
      </c>
      <c r="AJ60" s="132">
        <v>1</v>
      </c>
      <c r="AK60" s="13">
        <v>0.1</v>
      </c>
      <c r="AL60" s="13">
        <v>0.98579260638581268</v>
      </c>
      <c r="AM60" s="14">
        <v>1</v>
      </c>
      <c r="AN60" s="14">
        <v>0</v>
      </c>
      <c r="AO60" s="82">
        <v>467319.9806576402</v>
      </c>
      <c r="AP60" s="82">
        <v>431830.51578947366</v>
      </c>
      <c r="AQ60" s="82">
        <v>-35489.464868166542</v>
      </c>
      <c r="AR60" s="129">
        <v>-7.5942536884949119E-2</v>
      </c>
    </row>
    <row r="61" spans="1:44" ht="28.8" x14ac:dyDescent="0.3">
      <c r="A61" s="136" t="s">
        <v>195</v>
      </c>
      <c r="B61" s="137" t="s">
        <v>4833</v>
      </c>
      <c r="C61" s="134">
        <v>2020</v>
      </c>
      <c r="D61" s="149" t="s">
        <v>1190</v>
      </c>
      <c r="E61" s="135" t="s">
        <v>1175</v>
      </c>
      <c r="F61" s="384" t="s">
        <v>196</v>
      </c>
      <c r="G61" s="138" t="s">
        <v>4773</v>
      </c>
      <c r="H61" s="138" t="s">
        <v>3060</v>
      </c>
      <c r="I61" s="138" t="s">
        <v>1566</v>
      </c>
      <c r="J61" s="135" t="s">
        <v>4798</v>
      </c>
      <c r="K61" s="164">
        <v>2096219761</v>
      </c>
      <c r="L61" s="165">
        <v>534503049</v>
      </c>
      <c r="M61" s="165">
        <v>1024291112</v>
      </c>
      <c r="N61" s="165">
        <v>28768223</v>
      </c>
      <c r="O61" s="165">
        <v>477776885.75999999</v>
      </c>
      <c r="P61" s="165">
        <v>140268108</v>
      </c>
      <c r="Q61" s="165">
        <v>320541</v>
      </c>
      <c r="R61" s="165">
        <v>862.5</v>
      </c>
      <c r="S61" s="165">
        <v>1184559357.76</v>
      </c>
      <c r="T61" s="165">
        <v>1373402.1539246377</v>
      </c>
      <c r="U61" s="166">
        <v>537425600</v>
      </c>
      <c r="V61" s="168">
        <v>2017181107</v>
      </c>
      <c r="W61" s="165">
        <v>447008389</v>
      </c>
      <c r="X61" s="165">
        <v>964139661</v>
      </c>
      <c r="Y61" s="165">
        <v>32034736</v>
      </c>
      <c r="Z61" s="165">
        <v>535981979.00000006</v>
      </c>
      <c r="AA61" s="165">
        <v>165566450.046</v>
      </c>
      <c r="AB61" s="165">
        <v>318056</v>
      </c>
      <c r="AC61" s="165">
        <v>911.66666666666663</v>
      </c>
      <c r="AD61" s="165">
        <v>1339934278.046</v>
      </c>
      <c r="AE61" s="165">
        <v>1469763.3762844608</v>
      </c>
      <c r="AF61" s="166">
        <v>606033057</v>
      </c>
      <c r="AG61" s="11">
        <v>155374920.28600001</v>
      </c>
      <c r="AH61" s="12">
        <v>49.166666666666629</v>
      </c>
      <c r="AI61" s="132">
        <v>0</v>
      </c>
      <c r="AJ61" s="132">
        <v>1</v>
      </c>
      <c r="AK61" s="13">
        <v>0.1</v>
      </c>
      <c r="AL61" s="13">
        <v>7.0162428389965781E-2</v>
      </c>
      <c r="AM61" s="14">
        <v>0</v>
      </c>
      <c r="AN61" s="14">
        <v>-1</v>
      </c>
      <c r="AO61" s="82">
        <v>553944.21537391306</v>
      </c>
      <c r="AP61" s="82">
        <v>587914.41937842791</v>
      </c>
      <c r="AQ61" s="82">
        <v>33970.204004514846</v>
      </c>
      <c r="AR61" s="129">
        <v>6.1324232768790399E-2</v>
      </c>
    </row>
    <row r="62" spans="1:44" ht="43.2" x14ac:dyDescent="0.3">
      <c r="A62" s="136" t="s">
        <v>197</v>
      </c>
      <c r="B62" s="137" t="s">
        <v>4834</v>
      </c>
      <c r="C62" s="134">
        <v>2020</v>
      </c>
      <c r="D62" s="149" t="s">
        <v>1153</v>
      </c>
      <c r="E62" s="135" t="s">
        <v>1152</v>
      </c>
      <c r="F62" s="384" t="s">
        <v>198</v>
      </c>
      <c r="G62" s="138" t="s">
        <v>4773</v>
      </c>
      <c r="H62" s="138" t="s">
        <v>1401</v>
      </c>
      <c r="I62" s="138" t="s">
        <v>1217</v>
      </c>
      <c r="J62" s="135" t="s">
        <v>4774</v>
      </c>
      <c r="K62" s="164">
        <v>1205634167</v>
      </c>
      <c r="L62" s="165">
        <v>1062986885</v>
      </c>
      <c r="M62" s="165">
        <v>67467759</v>
      </c>
      <c r="N62" s="165">
        <v>47866807</v>
      </c>
      <c r="O62" s="165">
        <v>77661990</v>
      </c>
      <c r="P62" s="165">
        <v>6086424</v>
      </c>
      <c r="Q62" s="165">
        <v>0</v>
      </c>
      <c r="R62" s="165">
        <v>183.66666666666666</v>
      </c>
      <c r="S62" s="165">
        <v>206794744</v>
      </c>
      <c r="T62" s="165">
        <v>1125924.1960072597</v>
      </c>
      <c r="U62" s="166">
        <v>75179523</v>
      </c>
      <c r="V62" s="168">
        <v>2673699</v>
      </c>
      <c r="W62" s="165">
        <v>2515184</v>
      </c>
      <c r="X62" s="165">
        <v>155686</v>
      </c>
      <c r="Y62" s="165">
        <v>10427036</v>
      </c>
      <c r="Z62" s="165">
        <v>89424008</v>
      </c>
      <c r="AA62" s="165">
        <v>7262621</v>
      </c>
      <c r="AB62" s="165">
        <v>0</v>
      </c>
      <c r="AC62" s="165">
        <v>182.5</v>
      </c>
      <c r="AD62" s="165">
        <v>107116494</v>
      </c>
      <c r="AE62" s="165">
        <v>586939.69315068494</v>
      </c>
      <c r="AF62" s="166">
        <v>2829</v>
      </c>
      <c r="AG62" s="11">
        <v>-99678250</v>
      </c>
      <c r="AH62" s="12">
        <v>-1.1666666666666572</v>
      </c>
      <c r="AI62" s="132">
        <v>0</v>
      </c>
      <c r="AJ62" s="132">
        <v>0</v>
      </c>
      <c r="AK62" s="13">
        <v>0.1</v>
      </c>
      <c r="AL62" s="13">
        <v>-0.4787040815003355</v>
      </c>
      <c r="AM62" s="14">
        <v>0</v>
      </c>
      <c r="AN62" s="14">
        <v>-1</v>
      </c>
      <c r="AO62" s="82">
        <v>422842.05081669695</v>
      </c>
      <c r="AP62" s="82">
        <v>489994.56438356166</v>
      </c>
      <c r="AQ62" s="82">
        <v>67152.513566864713</v>
      </c>
      <c r="AR62" s="129">
        <v>0.15881228803323411</v>
      </c>
    </row>
    <row r="63" spans="1:44" ht="28.8" x14ac:dyDescent="0.3">
      <c r="A63" s="136" t="s">
        <v>199</v>
      </c>
      <c r="B63" s="137" t="s">
        <v>4835</v>
      </c>
      <c r="C63" s="134">
        <v>2020</v>
      </c>
      <c r="D63" s="149" t="s">
        <v>1153</v>
      </c>
      <c r="E63" s="135" t="s">
        <v>1152</v>
      </c>
      <c r="F63" s="384" t="s">
        <v>198</v>
      </c>
      <c r="G63" s="138" t="s">
        <v>4773</v>
      </c>
      <c r="H63" s="138" t="s">
        <v>1401</v>
      </c>
      <c r="I63" s="138" t="s">
        <v>1217</v>
      </c>
      <c r="J63" s="135" t="s">
        <v>4774</v>
      </c>
      <c r="K63" s="164">
        <v>2799502210</v>
      </c>
      <c r="L63" s="165">
        <v>2788516284</v>
      </c>
      <c r="M63" s="165">
        <v>0</v>
      </c>
      <c r="N63" s="165">
        <v>0</v>
      </c>
      <c r="O63" s="165">
        <v>318509750</v>
      </c>
      <c r="P63" s="165">
        <v>90027745</v>
      </c>
      <c r="Q63" s="165">
        <v>713014</v>
      </c>
      <c r="R63" s="165">
        <v>791.33333333333337</v>
      </c>
      <c r="S63" s="165">
        <v>420236435</v>
      </c>
      <c r="T63" s="165">
        <v>531048.56992417853</v>
      </c>
      <c r="U63" s="166">
        <v>10985926</v>
      </c>
      <c r="V63" s="168">
        <v>2994433256</v>
      </c>
      <c r="W63" s="165">
        <v>2976154076</v>
      </c>
      <c r="X63" s="165">
        <v>0</v>
      </c>
      <c r="Y63" s="165">
        <v>0</v>
      </c>
      <c r="Z63" s="165">
        <v>303838127</v>
      </c>
      <c r="AA63" s="165">
        <v>86018368</v>
      </c>
      <c r="AB63" s="165">
        <v>1554310</v>
      </c>
      <c r="AC63" s="165">
        <v>700.08333333333337</v>
      </c>
      <c r="AD63" s="165">
        <v>409689985</v>
      </c>
      <c r="AE63" s="165">
        <v>585201.74026901554</v>
      </c>
      <c r="AF63" s="166">
        <v>18279180</v>
      </c>
      <c r="AG63" s="11">
        <v>-10546450</v>
      </c>
      <c r="AH63" s="12">
        <v>-91.25</v>
      </c>
      <c r="AI63" s="132">
        <v>1</v>
      </c>
      <c r="AJ63" s="132">
        <v>1</v>
      </c>
      <c r="AK63" s="13">
        <v>0.1</v>
      </c>
      <c r="AL63" s="13">
        <v>0.10197404354181772</v>
      </c>
      <c r="AM63" s="14">
        <v>1</v>
      </c>
      <c r="AN63" s="14">
        <v>0</v>
      </c>
      <c r="AO63" s="82">
        <v>402497.57792754844</v>
      </c>
      <c r="AP63" s="82">
        <v>434002.80014284013</v>
      </c>
      <c r="AQ63" s="82">
        <v>31505.222215291695</v>
      </c>
      <c r="AR63" s="129">
        <v>7.8274315034419395E-2</v>
      </c>
    </row>
    <row r="64" spans="1:44" ht="28.8" x14ac:dyDescent="0.3">
      <c r="A64" s="136" t="s">
        <v>200</v>
      </c>
      <c r="B64" s="137" t="s">
        <v>4836</v>
      </c>
      <c r="C64" s="134">
        <v>2019</v>
      </c>
      <c r="D64" s="149" t="s">
        <v>1167</v>
      </c>
      <c r="E64" s="135" t="s">
        <v>1152</v>
      </c>
      <c r="F64" s="384" t="s">
        <v>198</v>
      </c>
      <c r="G64" s="138" t="s">
        <v>4773</v>
      </c>
      <c r="H64" s="138" t="s">
        <v>1273</v>
      </c>
      <c r="I64" s="138" t="s">
        <v>1217</v>
      </c>
      <c r="J64" s="135" t="s">
        <v>4774</v>
      </c>
      <c r="K64" s="164">
        <v>495754027</v>
      </c>
      <c r="L64" s="165">
        <v>487650659</v>
      </c>
      <c r="M64" s="165">
        <v>0</v>
      </c>
      <c r="N64" s="165">
        <v>0</v>
      </c>
      <c r="O64" s="165">
        <v>79944083</v>
      </c>
      <c r="P64" s="165">
        <v>22687490</v>
      </c>
      <c r="Q64" s="165">
        <v>43145</v>
      </c>
      <c r="R64" s="165">
        <v>175.5</v>
      </c>
      <c r="S64" s="165">
        <v>110778086</v>
      </c>
      <c r="T64" s="165">
        <v>631214.16524216521</v>
      </c>
      <c r="U64" s="166">
        <v>8103368</v>
      </c>
      <c r="V64" s="168">
        <v>586074834</v>
      </c>
      <c r="W64" s="165">
        <v>534613343</v>
      </c>
      <c r="X64" s="165">
        <v>0</v>
      </c>
      <c r="Y64" s="165">
        <v>0</v>
      </c>
      <c r="Z64" s="165">
        <v>104617066</v>
      </c>
      <c r="AA64" s="165">
        <v>28556110</v>
      </c>
      <c r="AB64" s="165">
        <v>29071</v>
      </c>
      <c r="AC64" s="165">
        <v>178.91666666666666</v>
      </c>
      <c r="AD64" s="165">
        <v>184663738</v>
      </c>
      <c r="AE64" s="165">
        <v>1032121.4979040523</v>
      </c>
      <c r="AF64" s="166">
        <v>51461491</v>
      </c>
      <c r="AG64" s="11">
        <v>73885652</v>
      </c>
      <c r="AH64" s="12">
        <v>3.4166666666666572</v>
      </c>
      <c r="AI64" s="132">
        <v>1</v>
      </c>
      <c r="AJ64" s="132">
        <v>0</v>
      </c>
      <c r="AK64" s="13">
        <v>0.15</v>
      </c>
      <c r="AL64" s="13">
        <v>0.6351367714067635</v>
      </c>
      <c r="AM64" s="14">
        <v>1</v>
      </c>
      <c r="AN64" s="14">
        <v>0</v>
      </c>
      <c r="AO64" s="82">
        <v>455521.84045584046</v>
      </c>
      <c r="AP64" s="82">
        <v>584725.10107126227</v>
      </c>
      <c r="AQ64" s="82">
        <v>129203.26061542181</v>
      </c>
      <c r="AR64" s="129">
        <v>0.2836379052344189</v>
      </c>
    </row>
    <row r="65" spans="1:44" ht="28.8" x14ac:dyDescent="0.3">
      <c r="A65" s="136" t="s">
        <v>201</v>
      </c>
      <c r="B65" s="137" t="s">
        <v>4837</v>
      </c>
      <c r="C65" s="134">
        <v>2020</v>
      </c>
      <c r="D65" s="149" t="s">
        <v>1134</v>
      </c>
      <c r="E65" s="135" t="s">
        <v>1131</v>
      </c>
      <c r="F65" s="384" t="s">
        <v>202</v>
      </c>
      <c r="G65" s="138" t="s">
        <v>4773</v>
      </c>
      <c r="H65" s="138" t="s">
        <v>2839</v>
      </c>
      <c r="I65" s="138" t="s">
        <v>1566</v>
      </c>
      <c r="J65" s="135" t="s">
        <v>4774</v>
      </c>
      <c r="K65" s="164">
        <v>683263124</v>
      </c>
      <c r="L65" s="165">
        <v>465661142</v>
      </c>
      <c r="M65" s="165">
        <v>68100704</v>
      </c>
      <c r="N65" s="165">
        <v>11597653</v>
      </c>
      <c r="O65" s="165">
        <v>89256285.230000004</v>
      </c>
      <c r="P65" s="165">
        <v>16816370.300000001</v>
      </c>
      <c r="Q65" s="165">
        <v>0</v>
      </c>
      <c r="R65" s="165">
        <v>99.25</v>
      </c>
      <c r="S65" s="165">
        <v>267171586.53000003</v>
      </c>
      <c r="T65" s="165">
        <v>2691905.1539546601</v>
      </c>
      <c r="U65" s="166">
        <v>149501278</v>
      </c>
      <c r="V65" s="168">
        <v>548757109</v>
      </c>
      <c r="W65" s="165">
        <v>410370429</v>
      </c>
      <c r="X65" s="165">
        <v>106563306</v>
      </c>
      <c r="Y65" s="165">
        <v>14225248</v>
      </c>
      <c r="Z65" s="165">
        <v>111455492.72999999</v>
      </c>
      <c r="AA65" s="165">
        <v>18359104.109999999</v>
      </c>
      <c r="AB65" s="165">
        <v>0</v>
      </c>
      <c r="AC65" s="165">
        <v>115.83333333333333</v>
      </c>
      <c r="AD65" s="165">
        <v>175863218.83999997</v>
      </c>
      <c r="AE65" s="165">
        <v>1518243.6158848919</v>
      </c>
      <c r="AF65" s="166">
        <v>31823374</v>
      </c>
      <c r="AG65" s="11">
        <v>-91308367.690000057</v>
      </c>
      <c r="AH65" s="12">
        <v>16.583333333333329</v>
      </c>
      <c r="AI65" s="132">
        <v>0</v>
      </c>
      <c r="AJ65" s="132">
        <v>0</v>
      </c>
      <c r="AK65" s="13">
        <v>0.1</v>
      </c>
      <c r="AL65" s="13">
        <v>-0.43599661377370591</v>
      </c>
      <c r="AM65" s="14">
        <v>0</v>
      </c>
      <c r="AN65" s="14">
        <v>-1</v>
      </c>
      <c r="AO65" s="82">
        <v>899307.65974811092</v>
      </c>
      <c r="AP65" s="82">
        <v>962205.69263309345</v>
      </c>
      <c r="AQ65" s="82">
        <v>62898.032884982531</v>
      </c>
      <c r="AR65" s="129">
        <v>6.9940506125122814E-2</v>
      </c>
    </row>
    <row r="66" spans="1:44" ht="28.8" x14ac:dyDescent="0.3">
      <c r="A66" s="136" t="s">
        <v>203</v>
      </c>
      <c r="B66" s="137" t="s">
        <v>4838</v>
      </c>
      <c r="C66" s="134">
        <v>2020</v>
      </c>
      <c r="D66" s="149" t="s">
        <v>1134</v>
      </c>
      <c r="E66" s="135" t="s">
        <v>1131</v>
      </c>
      <c r="F66" s="384" t="s">
        <v>204</v>
      </c>
      <c r="G66" s="138" t="s">
        <v>4773</v>
      </c>
      <c r="H66" s="138" t="s">
        <v>4567</v>
      </c>
      <c r="I66" s="138" t="s">
        <v>4255</v>
      </c>
      <c r="J66" s="135" t="s">
        <v>4774</v>
      </c>
      <c r="K66" s="164">
        <v>739551720</v>
      </c>
      <c r="L66" s="165">
        <v>740587136</v>
      </c>
      <c r="M66" s="165">
        <v>42728504</v>
      </c>
      <c r="N66" s="165">
        <v>7161316</v>
      </c>
      <c r="O66" s="165">
        <v>55387280.080000006</v>
      </c>
      <c r="P66" s="165">
        <v>17682692.649999999</v>
      </c>
      <c r="Q66" s="165">
        <v>17094</v>
      </c>
      <c r="R66" s="165">
        <v>377.16666666666669</v>
      </c>
      <c r="S66" s="165">
        <v>36484462.730000004</v>
      </c>
      <c r="T66" s="165">
        <v>96732.998842244808</v>
      </c>
      <c r="U66" s="166">
        <v>-43763920</v>
      </c>
      <c r="V66" s="168">
        <v>818985368</v>
      </c>
      <c r="W66" s="165">
        <v>757665038</v>
      </c>
      <c r="X66" s="165">
        <v>45732347</v>
      </c>
      <c r="Y66" s="165">
        <v>11089177</v>
      </c>
      <c r="Z66" s="165">
        <v>76903324.049999997</v>
      </c>
      <c r="AA66" s="165">
        <v>22901664.25</v>
      </c>
      <c r="AB66" s="165">
        <v>15172</v>
      </c>
      <c r="AC66" s="165">
        <v>366.5</v>
      </c>
      <c r="AD66" s="165">
        <v>126497320.3</v>
      </c>
      <c r="AE66" s="165">
        <v>345149.57789904502</v>
      </c>
      <c r="AF66" s="166">
        <v>15587983</v>
      </c>
      <c r="AG66" s="11">
        <v>90012857.569999993</v>
      </c>
      <c r="AH66" s="12">
        <v>-10.666666666666686</v>
      </c>
      <c r="AI66" s="132">
        <v>1</v>
      </c>
      <c r="AJ66" s="132">
        <v>1</v>
      </c>
      <c r="AK66" s="13">
        <v>0.1</v>
      </c>
      <c r="AL66" s="13">
        <v>2.5680644661077401</v>
      </c>
      <c r="AM66" s="14">
        <v>1</v>
      </c>
      <c r="AN66" s="14">
        <v>0</v>
      </c>
      <c r="AO66" s="82">
        <v>146850.94144056563</v>
      </c>
      <c r="AP66" s="82">
        <v>209831.71637107775</v>
      </c>
      <c r="AQ66" s="82">
        <v>62980.774930512125</v>
      </c>
      <c r="AR66" s="129">
        <v>0.42887552720254152</v>
      </c>
    </row>
    <row r="67" spans="1:44" ht="28.8" x14ac:dyDescent="0.3">
      <c r="A67" s="136" t="s">
        <v>205</v>
      </c>
      <c r="B67" s="137" t="s">
        <v>4839</v>
      </c>
      <c r="C67" s="134">
        <v>2019</v>
      </c>
      <c r="D67" s="149" t="s">
        <v>1134</v>
      </c>
      <c r="E67" s="135" t="s">
        <v>1131</v>
      </c>
      <c r="F67" s="384" t="s">
        <v>204</v>
      </c>
      <c r="G67" s="138" t="s">
        <v>4773</v>
      </c>
      <c r="H67" s="138" t="s">
        <v>3394</v>
      </c>
      <c r="I67" s="138" t="s">
        <v>1566</v>
      </c>
      <c r="J67" s="135" t="s">
        <v>4774</v>
      </c>
      <c r="K67" s="164">
        <v>4239532645</v>
      </c>
      <c r="L67" s="165">
        <v>3327831892</v>
      </c>
      <c r="M67" s="165">
        <v>798621201</v>
      </c>
      <c r="N67" s="165">
        <v>53206053</v>
      </c>
      <c r="O67" s="165">
        <v>947263600</v>
      </c>
      <c r="P67" s="165">
        <v>283256553</v>
      </c>
      <c r="Q67" s="165">
        <v>6923731</v>
      </c>
      <c r="R67" s="165">
        <v>1937.4166666666667</v>
      </c>
      <c r="S67" s="165">
        <v>1403729489</v>
      </c>
      <c r="T67" s="165">
        <v>724536.70557873452</v>
      </c>
      <c r="U67" s="166">
        <v>113079552</v>
      </c>
      <c r="V67" s="168">
        <v>5482215951</v>
      </c>
      <c r="W67" s="165">
        <v>4361773430</v>
      </c>
      <c r="X67" s="165">
        <v>796650848</v>
      </c>
      <c r="Y67" s="165">
        <v>31454945</v>
      </c>
      <c r="Z67" s="165">
        <v>1006397555.0599999</v>
      </c>
      <c r="AA67" s="165">
        <v>298947383.84000003</v>
      </c>
      <c r="AB67" s="165">
        <v>6366067</v>
      </c>
      <c r="AC67" s="165">
        <v>1610</v>
      </c>
      <c r="AD67" s="165">
        <v>1666957623.9000001</v>
      </c>
      <c r="AE67" s="165">
        <v>1035377.4061490684</v>
      </c>
      <c r="AF67" s="166">
        <v>323791673</v>
      </c>
      <c r="AG67" s="11">
        <v>263228134.9000001</v>
      </c>
      <c r="AH67" s="12">
        <v>-327.41666666666674</v>
      </c>
      <c r="AI67" s="132">
        <v>1</v>
      </c>
      <c r="AJ67" s="132">
        <v>0</v>
      </c>
      <c r="AK67" s="13">
        <v>0.15</v>
      </c>
      <c r="AL67" s="13">
        <v>0.42901994572504143</v>
      </c>
      <c r="AM67" s="14">
        <v>1</v>
      </c>
      <c r="AN67" s="14">
        <v>0</v>
      </c>
      <c r="AO67" s="82">
        <v>488931.27446341777</v>
      </c>
      <c r="AP67" s="82">
        <v>625091.64910559007</v>
      </c>
      <c r="AQ67" s="82">
        <v>136160.3746421723</v>
      </c>
      <c r="AR67" s="129">
        <v>0.27848571313341086</v>
      </c>
    </row>
    <row r="68" spans="1:44" ht="28.8" x14ac:dyDescent="0.3">
      <c r="A68" s="136" t="s">
        <v>206</v>
      </c>
      <c r="B68" s="137" t="s">
        <v>4840</v>
      </c>
      <c r="C68" s="134">
        <v>2020</v>
      </c>
      <c r="D68" s="149" t="s">
        <v>1134</v>
      </c>
      <c r="E68" s="135" t="s">
        <v>1131</v>
      </c>
      <c r="F68" s="384" t="s">
        <v>204</v>
      </c>
      <c r="G68" s="138" t="s">
        <v>4773</v>
      </c>
      <c r="H68" s="138" t="s">
        <v>2429</v>
      </c>
      <c r="I68" s="138" t="s">
        <v>1566</v>
      </c>
      <c r="J68" s="135" t="s">
        <v>4774</v>
      </c>
      <c r="K68" s="164">
        <v>780960847</v>
      </c>
      <c r="L68" s="165">
        <v>651091642</v>
      </c>
      <c r="M68" s="165">
        <v>108062514</v>
      </c>
      <c r="N68" s="165">
        <v>14116803</v>
      </c>
      <c r="O68" s="165">
        <v>25976708.739999998</v>
      </c>
      <c r="P68" s="165">
        <v>6641103.7300000004</v>
      </c>
      <c r="Q68" s="165">
        <v>0</v>
      </c>
      <c r="R68" s="165">
        <v>144.5</v>
      </c>
      <c r="S68" s="165">
        <v>68541306.469999999</v>
      </c>
      <c r="T68" s="165">
        <v>474334.30083044979</v>
      </c>
      <c r="U68" s="166">
        <v>21806691</v>
      </c>
      <c r="V68" s="168">
        <v>945472073</v>
      </c>
      <c r="W68" s="165">
        <v>791158714</v>
      </c>
      <c r="X68" s="165">
        <v>122052188</v>
      </c>
      <c r="Y68" s="165">
        <v>21636189</v>
      </c>
      <c r="Z68" s="165">
        <v>30975186.18</v>
      </c>
      <c r="AA68" s="165">
        <v>9056861.7800000012</v>
      </c>
      <c r="AB68" s="165">
        <v>0</v>
      </c>
      <c r="AC68" s="165">
        <v>153.25</v>
      </c>
      <c r="AD68" s="165">
        <v>93929407.960000008</v>
      </c>
      <c r="AE68" s="165">
        <v>612916.20202283852</v>
      </c>
      <c r="AF68" s="166">
        <v>32261171</v>
      </c>
      <c r="AG68" s="11">
        <v>25388101.49000001</v>
      </c>
      <c r="AH68" s="12">
        <v>8.75</v>
      </c>
      <c r="AI68" s="132">
        <v>1</v>
      </c>
      <c r="AJ68" s="132">
        <v>1</v>
      </c>
      <c r="AK68" s="13">
        <v>0.1</v>
      </c>
      <c r="AL68" s="13">
        <v>0.29216082412762479</v>
      </c>
      <c r="AM68" s="14">
        <v>1</v>
      </c>
      <c r="AN68" s="14">
        <v>0</v>
      </c>
      <c r="AO68" s="82">
        <v>179769.61065743942</v>
      </c>
      <c r="AP68" s="82">
        <v>202121.93265905383</v>
      </c>
      <c r="AQ68" s="82">
        <v>22352.322001614404</v>
      </c>
      <c r="AR68" s="129">
        <v>0.12433871286625831</v>
      </c>
    </row>
    <row r="69" spans="1:44" ht="28.8" x14ac:dyDescent="0.3">
      <c r="A69" s="136" t="s">
        <v>207</v>
      </c>
      <c r="B69" s="137" t="s">
        <v>4841</v>
      </c>
      <c r="C69" s="134">
        <v>2019</v>
      </c>
      <c r="D69" s="149" t="s">
        <v>1134</v>
      </c>
      <c r="E69" s="135" t="s">
        <v>1131</v>
      </c>
      <c r="F69" s="384" t="s">
        <v>208</v>
      </c>
      <c r="G69" s="138" t="s">
        <v>4773</v>
      </c>
      <c r="H69" s="138" t="s">
        <v>2743</v>
      </c>
      <c r="I69" s="138" t="s">
        <v>1566</v>
      </c>
      <c r="J69" s="135" t="s">
        <v>4778</v>
      </c>
      <c r="K69" s="164">
        <v>777658173</v>
      </c>
      <c r="L69" s="165">
        <v>402764790</v>
      </c>
      <c r="M69" s="165">
        <v>543608179</v>
      </c>
      <c r="N69" s="165">
        <v>21146020</v>
      </c>
      <c r="O69" s="165">
        <v>252727507</v>
      </c>
      <c r="P69" s="165">
        <v>75018079</v>
      </c>
      <c r="Q69" s="165">
        <v>0</v>
      </c>
      <c r="R69" s="165">
        <v>764.5</v>
      </c>
      <c r="S69" s="165">
        <v>180176810</v>
      </c>
      <c r="T69" s="165">
        <v>235679.28057553957</v>
      </c>
      <c r="U69" s="166">
        <v>-168714796</v>
      </c>
      <c r="V69" s="168">
        <v>1845368184</v>
      </c>
      <c r="W69" s="165">
        <v>668906888</v>
      </c>
      <c r="X69" s="165">
        <v>1057600354</v>
      </c>
      <c r="Y69" s="165">
        <v>1361378</v>
      </c>
      <c r="Z69" s="165">
        <v>363414967.25</v>
      </c>
      <c r="AA69" s="165">
        <v>109677956.75</v>
      </c>
      <c r="AB69" s="165">
        <v>0</v>
      </c>
      <c r="AC69" s="165">
        <v>779.75</v>
      </c>
      <c r="AD69" s="165">
        <v>593315244</v>
      </c>
      <c r="AE69" s="165">
        <v>760904.44886181469</v>
      </c>
      <c r="AF69" s="166">
        <v>118860942</v>
      </c>
      <c r="AG69" s="11">
        <v>413138434</v>
      </c>
      <c r="AH69" s="12">
        <v>15.25</v>
      </c>
      <c r="AI69" s="132">
        <v>1</v>
      </c>
      <c r="AJ69" s="132">
        <v>0</v>
      </c>
      <c r="AK69" s="13">
        <v>0.15</v>
      </c>
      <c r="AL69" s="13">
        <v>2.2285589552038685</v>
      </c>
      <c r="AM69" s="14">
        <v>1</v>
      </c>
      <c r="AN69" s="14">
        <v>0</v>
      </c>
      <c r="AO69" s="82">
        <v>330578.81883584044</v>
      </c>
      <c r="AP69" s="82">
        <v>466066.00480923371</v>
      </c>
      <c r="AQ69" s="82">
        <v>135487.18597339327</v>
      </c>
      <c r="AR69" s="129">
        <v>0.40984835764893268</v>
      </c>
    </row>
    <row r="70" spans="1:44" ht="28.8" x14ac:dyDescent="0.3">
      <c r="A70" s="136" t="s">
        <v>209</v>
      </c>
      <c r="B70" s="137" t="s">
        <v>4842</v>
      </c>
      <c r="C70" s="134">
        <v>2019</v>
      </c>
      <c r="D70" s="149" t="s">
        <v>4843</v>
      </c>
      <c r="E70" s="135" t="s">
        <v>1131</v>
      </c>
      <c r="F70" s="384" t="s">
        <v>204</v>
      </c>
      <c r="G70" s="138" t="s">
        <v>4773</v>
      </c>
      <c r="H70" s="138" t="s">
        <v>2423</v>
      </c>
      <c r="I70" s="138" t="s">
        <v>1566</v>
      </c>
      <c r="J70" s="135" t="s">
        <v>4774</v>
      </c>
      <c r="K70" s="164">
        <v>555830172</v>
      </c>
      <c r="L70" s="165">
        <v>410413111</v>
      </c>
      <c r="M70" s="165">
        <v>103472919</v>
      </c>
      <c r="N70" s="165">
        <v>12870819</v>
      </c>
      <c r="O70" s="165">
        <v>109708047</v>
      </c>
      <c r="P70" s="165">
        <v>23366476</v>
      </c>
      <c r="Q70" s="165">
        <v>290127</v>
      </c>
      <c r="R70" s="165">
        <v>191.08333333333334</v>
      </c>
      <c r="S70" s="165">
        <v>188179611</v>
      </c>
      <c r="T70" s="165">
        <v>984803.89533362398</v>
      </c>
      <c r="U70" s="166">
        <v>41944142</v>
      </c>
      <c r="V70" s="168">
        <v>851039284</v>
      </c>
      <c r="W70" s="165">
        <v>625860157</v>
      </c>
      <c r="X70" s="165">
        <v>146407620</v>
      </c>
      <c r="Y70" s="165">
        <v>26887469</v>
      </c>
      <c r="Z70" s="165">
        <v>119863768.22</v>
      </c>
      <c r="AA70" s="165">
        <v>15336414.030000001</v>
      </c>
      <c r="AB70" s="165">
        <v>641291</v>
      </c>
      <c r="AC70" s="165">
        <v>145</v>
      </c>
      <c r="AD70" s="165">
        <v>241500449.25</v>
      </c>
      <c r="AE70" s="165">
        <v>1665520.3396551723</v>
      </c>
      <c r="AF70" s="166">
        <v>78771507</v>
      </c>
      <c r="AG70" s="11">
        <v>53320838.25</v>
      </c>
      <c r="AH70" s="12">
        <v>-46.083333333333343</v>
      </c>
      <c r="AI70" s="132">
        <v>1</v>
      </c>
      <c r="AJ70" s="132">
        <v>1</v>
      </c>
      <c r="AK70" s="13">
        <v>0.15</v>
      </c>
      <c r="AL70" s="13">
        <v>0.69122029268974261</v>
      </c>
      <c r="AM70" s="14">
        <v>1</v>
      </c>
      <c r="AN70" s="14">
        <v>0</v>
      </c>
      <c r="AO70" s="82">
        <v>574137.18447448756</v>
      </c>
      <c r="AP70" s="82">
        <v>826646.67737931036</v>
      </c>
      <c r="AQ70" s="82">
        <v>252509.49290482281</v>
      </c>
      <c r="AR70" s="129">
        <v>0.43980689586574462</v>
      </c>
    </row>
    <row r="71" spans="1:44" ht="28.8" x14ac:dyDescent="0.3">
      <c r="A71" s="136" t="s">
        <v>210</v>
      </c>
      <c r="B71" s="137" t="s">
        <v>4844</v>
      </c>
      <c r="C71" s="134">
        <v>2019</v>
      </c>
      <c r="D71" s="149" t="s">
        <v>4845</v>
      </c>
      <c r="E71" s="135" t="s">
        <v>1117</v>
      </c>
      <c r="F71" s="384" t="s">
        <v>211</v>
      </c>
      <c r="G71" s="138" t="s">
        <v>4773</v>
      </c>
      <c r="H71" s="138" t="s">
        <v>2578</v>
      </c>
      <c r="I71" s="138" t="s">
        <v>1566</v>
      </c>
      <c r="J71" s="135" t="s">
        <v>4778</v>
      </c>
      <c r="K71" s="164">
        <v>947171068</v>
      </c>
      <c r="L71" s="165">
        <v>613818064</v>
      </c>
      <c r="M71" s="165">
        <v>295329009</v>
      </c>
      <c r="N71" s="165">
        <v>14168503</v>
      </c>
      <c r="O71" s="165">
        <v>181409754.31999999</v>
      </c>
      <c r="P71" s="165">
        <v>51695420.010000005</v>
      </c>
      <c r="Q71" s="165">
        <v>659809</v>
      </c>
      <c r="R71" s="165">
        <v>483.66666666666669</v>
      </c>
      <c r="S71" s="165">
        <v>285957481.32999998</v>
      </c>
      <c r="T71" s="165">
        <v>591228.4245279117</v>
      </c>
      <c r="U71" s="166">
        <v>38023995</v>
      </c>
      <c r="V71" s="168">
        <v>1411040592</v>
      </c>
      <c r="W71" s="165">
        <v>706345570</v>
      </c>
      <c r="X71" s="165">
        <v>446690754</v>
      </c>
      <c r="Y71" s="165">
        <v>20870233</v>
      </c>
      <c r="Z71" s="165">
        <v>223083828.41999999</v>
      </c>
      <c r="AA71" s="165">
        <v>65692030.250000007</v>
      </c>
      <c r="AB71" s="165">
        <v>807966</v>
      </c>
      <c r="AC71" s="165">
        <v>481.91666666666669</v>
      </c>
      <c r="AD71" s="165">
        <v>568458325.66999996</v>
      </c>
      <c r="AE71" s="165">
        <v>1179578.057762407</v>
      </c>
      <c r="AF71" s="166">
        <v>258004268</v>
      </c>
      <c r="AG71" s="11">
        <v>282500844.33999997</v>
      </c>
      <c r="AH71" s="12">
        <v>-1.75</v>
      </c>
      <c r="AI71" s="132">
        <v>1</v>
      </c>
      <c r="AJ71" s="132">
        <v>1</v>
      </c>
      <c r="AK71" s="13">
        <v>0.15</v>
      </c>
      <c r="AL71" s="13">
        <v>0.9951308497653073</v>
      </c>
      <c r="AM71" s="14">
        <v>1</v>
      </c>
      <c r="AN71" s="14">
        <v>0</v>
      </c>
      <c r="AO71" s="82">
        <v>375071.8559338387</v>
      </c>
      <c r="AP71" s="82">
        <v>462909.5523154072</v>
      </c>
      <c r="AQ71" s="82">
        <v>87837.696381568501</v>
      </c>
      <c r="AR71" s="129">
        <v>0.23418898270272437</v>
      </c>
    </row>
    <row r="72" spans="1:44" ht="28.8" x14ac:dyDescent="0.3">
      <c r="A72" s="136" t="s">
        <v>212</v>
      </c>
      <c r="B72" s="137" t="s">
        <v>4846</v>
      </c>
      <c r="C72" s="134">
        <v>2019</v>
      </c>
      <c r="D72" s="149" t="s">
        <v>4845</v>
      </c>
      <c r="E72" s="135" t="s">
        <v>1117</v>
      </c>
      <c r="F72" s="384" t="s">
        <v>211</v>
      </c>
      <c r="G72" s="138" t="s">
        <v>4773</v>
      </c>
      <c r="H72" s="138" t="s">
        <v>2669</v>
      </c>
      <c r="I72" s="138" t="s">
        <v>1566</v>
      </c>
      <c r="J72" s="135" t="s">
        <v>4774</v>
      </c>
      <c r="K72" s="164">
        <v>2420388526</v>
      </c>
      <c r="L72" s="165">
        <v>2315839328</v>
      </c>
      <c r="M72" s="165">
        <v>53122002</v>
      </c>
      <c r="N72" s="165">
        <v>19922202</v>
      </c>
      <c r="O72" s="165">
        <v>70760898</v>
      </c>
      <c r="P72" s="165">
        <v>21483947</v>
      </c>
      <c r="Q72" s="165">
        <v>0</v>
      </c>
      <c r="R72" s="165">
        <v>169</v>
      </c>
      <c r="S72" s="165">
        <v>163594243</v>
      </c>
      <c r="T72" s="165">
        <v>968013.27218934917</v>
      </c>
      <c r="U72" s="166">
        <v>51427196</v>
      </c>
      <c r="V72" s="168">
        <v>4043852761</v>
      </c>
      <c r="W72" s="165">
        <v>3717472763</v>
      </c>
      <c r="X72" s="165">
        <v>95015130</v>
      </c>
      <c r="Y72" s="165">
        <v>29723261</v>
      </c>
      <c r="Z72" s="165">
        <v>63173363</v>
      </c>
      <c r="AA72" s="165">
        <v>19017685.91</v>
      </c>
      <c r="AB72" s="165">
        <v>108323</v>
      </c>
      <c r="AC72" s="165">
        <v>119.58333333333333</v>
      </c>
      <c r="AD72" s="165">
        <v>343387500.91000003</v>
      </c>
      <c r="AE72" s="165">
        <v>2871533.1086550527</v>
      </c>
      <c r="AF72" s="166">
        <v>231364868</v>
      </c>
      <c r="AG72" s="11">
        <v>179793257.91000003</v>
      </c>
      <c r="AH72" s="12">
        <v>-49.416666666666671</v>
      </c>
      <c r="AI72" s="132">
        <v>1</v>
      </c>
      <c r="AJ72" s="132">
        <v>1</v>
      </c>
      <c r="AK72" s="13">
        <v>0.15</v>
      </c>
      <c r="AL72" s="13">
        <v>1.9664191586960369</v>
      </c>
      <c r="AM72" s="14">
        <v>1</v>
      </c>
      <c r="AN72" s="14">
        <v>0</v>
      </c>
      <c r="AO72" s="82">
        <v>418703.53846153844</v>
      </c>
      <c r="AP72" s="82">
        <v>528278.99372822302</v>
      </c>
      <c r="AQ72" s="82">
        <v>109575.45526668458</v>
      </c>
      <c r="AR72" s="129">
        <v>0.26170176557213409</v>
      </c>
    </row>
    <row r="73" spans="1:44" ht="28.8" x14ac:dyDescent="0.3">
      <c r="A73" s="136" t="s">
        <v>213</v>
      </c>
      <c r="B73" s="137" t="s">
        <v>4847</v>
      </c>
      <c r="C73" s="134">
        <v>2020</v>
      </c>
      <c r="D73" s="149" t="s">
        <v>4845</v>
      </c>
      <c r="E73" s="135" t="s">
        <v>1117</v>
      </c>
      <c r="F73" s="384" t="s">
        <v>211</v>
      </c>
      <c r="G73" s="138" t="s">
        <v>4773</v>
      </c>
      <c r="H73" s="138" t="s">
        <v>2817</v>
      </c>
      <c r="I73" s="138" t="s">
        <v>1566</v>
      </c>
      <c r="J73" s="135" t="s">
        <v>4774</v>
      </c>
      <c r="K73" s="164">
        <v>10931294741</v>
      </c>
      <c r="L73" s="165">
        <v>4847904785</v>
      </c>
      <c r="M73" s="165">
        <v>307696600</v>
      </c>
      <c r="N73" s="165">
        <v>138215841</v>
      </c>
      <c r="O73" s="165">
        <v>347383252.05000001</v>
      </c>
      <c r="P73" s="165">
        <v>93111283.75</v>
      </c>
      <c r="Q73" s="165">
        <v>4048692</v>
      </c>
      <c r="R73" s="165">
        <v>298.16666666666669</v>
      </c>
      <c r="S73" s="165">
        <v>6358452424.8000002</v>
      </c>
      <c r="T73" s="165">
        <v>21325161.849524874</v>
      </c>
      <c r="U73" s="166">
        <v>5775693356</v>
      </c>
      <c r="V73" s="168">
        <v>5020050894</v>
      </c>
      <c r="W73" s="165">
        <v>3057762570</v>
      </c>
      <c r="X73" s="165">
        <v>397070410</v>
      </c>
      <c r="Y73" s="165">
        <v>106894965</v>
      </c>
      <c r="Z73" s="165">
        <v>355110849.95999998</v>
      </c>
      <c r="AA73" s="165">
        <v>95743116.040000007</v>
      </c>
      <c r="AB73" s="165">
        <v>4365034</v>
      </c>
      <c r="AC73" s="165">
        <v>255.25</v>
      </c>
      <c r="AD73" s="165">
        <v>2127331879</v>
      </c>
      <c r="AE73" s="165">
        <v>8334307.0675808033</v>
      </c>
      <c r="AF73" s="166">
        <v>1565217914</v>
      </c>
      <c r="AG73" s="11">
        <v>-4231120545.8000002</v>
      </c>
      <c r="AH73" s="12">
        <v>-42.916666666666686</v>
      </c>
      <c r="AI73" s="132">
        <v>0</v>
      </c>
      <c r="AJ73" s="132">
        <v>0</v>
      </c>
      <c r="AK73" s="13">
        <v>0.1</v>
      </c>
      <c r="AL73" s="13">
        <v>-0.6091796569412673</v>
      </c>
      <c r="AM73" s="14">
        <v>0</v>
      </c>
      <c r="AN73" s="14">
        <v>-1</v>
      </c>
      <c r="AO73" s="82">
        <v>1165064.0091112354</v>
      </c>
      <c r="AP73" s="82">
        <v>1391227.6198237021</v>
      </c>
      <c r="AQ73" s="82">
        <v>226163.61071246676</v>
      </c>
      <c r="AR73" s="129">
        <v>0.19412118900230624</v>
      </c>
    </row>
    <row r="74" spans="1:44" ht="28.8" x14ac:dyDescent="0.3">
      <c r="A74" s="136" t="s">
        <v>214</v>
      </c>
      <c r="B74" s="137" t="s">
        <v>4848</v>
      </c>
      <c r="C74" s="134">
        <v>2019</v>
      </c>
      <c r="D74" s="149" t="s">
        <v>1190</v>
      </c>
      <c r="E74" s="135" t="s">
        <v>1175</v>
      </c>
      <c r="F74" s="384" t="s">
        <v>196</v>
      </c>
      <c r="G74" s="138" t="s">
        <v>4773</v>
      </c>
      <c r="H74" s="138" t="s">
        <v>3367</v>
      </c>
      <c r="I74" s="138" t="s">
        <v>1566</v>
      </c>
      <c r="J74" s="135" t="s">
        <v>4778</v>
      </c>
      <c r="K74" s="164">
        <v>699777847</v>
      </c>
      <c r="L74" s="165">
        <v>625160378</v>
      </c>
      <c r="M74" s="165">
        <v>194885673</v>
      </c>
      <c r="N74" s="165">
        <v>34615002</v>
      </c>
      <c r="O74" s="165">
        <v>385078162</v>
      </c>
      <c r="P74" s="165">
        <v>115515418</v>
      </c>
      <c r="Q74" s="165">
        <v>2745406</v>
      </c>
      <c r="R74" s="165">
        <v>752.5</v>
      </c>
      <c r="S74" s="165">
        <v>417685784</v>
      </c>
      <c r="T74" s="165">
        <v>555064.16478405311</v>
      </c>
      <c r="U74" s="166">
        <v>-120268204</v>
      </c>
      <c r="V74" s="168">
        <v>713560703</v>
      </c>
      <c r="W74" s="165">
        <v>710031339</v>
      </c>
      <c r="X74" s="165">
        <v>386988756</v>
      </c>
      <c r="Y74" s="165">
        <v>111671131</v>
      </c>
      <c r="Z74" s="165">
        <v>887827632.23000014</v>
      </c>
      <c r="AA74" s="165">
        <v>178007319.47999999</v>
      </c>
      <c r="AB74" s="165">
        <v>3184190</v>
      </c>
      <c r="AC74" s="165">
        <v>683.16666666666663</v>
      </c>
      <c r="AD74" s="165">
        <v>797230880.71000016</v>
      </c>
      <c r="AE74" s="165">
        <v>1166963.9629812152</v>
      </c>
      <c r="AF74" s="166">
        <v>-383459392</v>
      </c>
      <c r="AG74" s="11">
        <v>379545096.71000016</v>
      </c>
      <c r="AH74" s="12">
        <v>-69.333333333333371</v>
      </c>
      <c r="AI74" s="132">
        <v>1</v>
      </c>
      <c r="AJ74" s="132">
        <v>1</v>
      </c>
      <c r="AK74" s="13">
        <v>0.15</v>
      </c>
      <c r="AL74" s="13">
        <v>1.1023947213597793</v>
      </c>
      <c r="AM74" s="14">
        <v>1</v>
      </c>
      <c r="AN74" s="14">
        <v>0</v>
      </c>
      <c r="AO74" s="82">
        <v>511731.77674418606</v>
      </c>
      <c r="AP74" s="82">
        <v>1299576.919585265</v>
      </c>
      <c r="AQ74" s="82">
        <v>787845.14284107892</v>
      </c>
      <c r="AR74" s="129">
        <v>1.5395665828173137</v>
      </c>
    </row>
    <row r="75" spans="1:44" ht="28.8" x14ac:dyDescent="0.3">
      <c r="A75" s="136" t="s">
        <v>215</v>
      </c>
      <c r="B75" s="137" t="s">
        <v>4849</v>
      </c>
      <c r="C75" s="134">
        <v>2020</v>
      </c>
      <c r="D75" s="149" t="s">
        <v>1190</v>
      </c>
      <c r="E75" s="135" t="s">
        <v>1175</v>
      </c>
      <c r="F75" s="384" t="s">
        <v>196</v>
      </c>
      <c r="G75" s="138" t="s">
        <v>4773</v>
      </c>
      <c r="H75" s="138" t="s">
        <v>2771</v>
      </c>
      <c r="I75" s="138" t="s">
        <v>1566</v>
      </c>
      <c r="J75" s="135" t="s">
        <v>4774</v>
      </c>
      <c r="K75" s="164">
        <v>764590447</v>
      </c>
      <c r="L75" s="165">
        <v>560765172</v>
      </c>
      <c r="M75" s="165">
        <v>105434344</v>
      </c>
      <c r="N75" s="165">
        <v>20582684</v>
      </c>
      <c r="O75" s="165">
        <v>128247597</v>
      </c>
      <c r="P75" s="165">
        <v>4630261</v>
      </c>
      <c r="Q75" s="165">
        <v>0</v>
      </c>
      <c r="R75" s="165">
        <v>139.5</v>
      </c>
      <c r="S75" s="165">
        <v>251851473</v>
      </c>
      <c r="T75" s="165">
        <v>1805386.9032258065</v>
      </c>
      <c r="U75" s="166">
        <v>98390931</v>
      </c>
      <c r="V75" s="168">
        <v>902232929</v>
      </c>
      <c r="W75" s="165">
        <v>643871706</v>
      </c>
      <c r="X75" s="165">
        <v>105103039</v>
      </c>
      <c r="Y75" s="165">
        <v>21879278</v>
      </c>
      <c r="Z75" s="165">
        <v>78732507.030000001</v>
      </c>
      <c r="AA75" s="165">
        <v>5460039.6899999995</v>
      </c>
      <c r="AB75" s="165">
        <v>57510</v>
      </c>
      <c r="AC75" s="165">
        <v>150.33333333333334</v>
      </c>
      <c r="AD75" s="165">
        <v>259387518.72</v>
      </c>
      <c r="AE75" s="165">
        <v>1725415.867317073</v>
      </c>
      <c r="AF75" s="166">
        <v>153258184</v>
      </c>
      <c r="AG75" s="11">
        <v>7536045.7199999988</v>
      </c>
      <c r="AH75" s="12">
        <v>10.833333333333343</v>
      </c>
      <c r="AI75" s="132">
        <v>0</v>
      </c>
      <c r="AJ75" s="132">
        <v>0</v>
      </c>
      <c r="AK75" s="13">
        <v>0.1</v>
      </c>
      <c r="AL75" s="13">
        <v>-4.4295785019820344E-2</v>
      </c>
      <c r="AM75" s="14">
        <v>0</v>
      </c>
      <c r="AN75" s="14">
        <v>-1</v>
      </c>
      <c r="AO75" s="82">
        <v>919337.61290322582</v>
      </c>
      <c r="AP75" s="82">
        <v>523719.5589578714</v>
      </c>
      <c r="AQ75" s="82">
        <v>-395618.05394535442</v>
      </c>
      <c r="AR75" s="129">
        <v>-0.43032945502578845</v>
      </c>
    </row>
    <row r="76" spans="1:44" ht="28.8" x14ac:dyDescent="0.3">
      <c r="A76" s="136" t="s">
        <v>216</v>
      </c>
      <c r="B76" s="137" t="s">
        <v>4850</v>
      </c>
      <c r="C76" s="134">
        <v>2020</v>
      </c>
      <c r="D76" s="149" t="s">
        <v>1190</v>
      </c>
      <c r="E76" s="135" t="s">
        <v>1175</v>
      </c>
      <c r="F76" s="384" t="s">
        <v>196</v>
      </c>
      <c r="G76" s="138" t="s">
        <v>4773</v>
      </c>
      <c r="H76" s="138" t="s">
        <v>3545</v>
      </c>
      <c r="I76" s="138" t="s">
        <v>1566</v>
      </c>
      <c r="J76" s="135" t="s">
        <v>4798</v>
      </c>
      <c r="K76" s="164">
        <v>687721542</v>
      </c>
      <c r="L76" s="165">
        <v>154855346</v>
      </c>
      <c r="M76" s="165">
        <v>539901511</v>
      </c>
      <c r="N76" s="165">
        <v>9504225</v>
      </c>
      <c r="O76" s="165">
        <v>235173851</v>
      </c>
      <c r="P76" s="165">
        <v>72224919</v>
      </c>
      <c r="Q76" s="165">
        <v>1297138</v>
      </c>
      <c r="R76" s="165">
        <v>600.66666666666663</v>
      </c>
      <c r="S76" s="165">
        <v>311164818</v>
      </c>
      <c r="T76" s="165">
        <v>518032.43840177584</v>
      </c>
      <c r="U76" s="166">
        <v>-7035315</v>
      </c>
      <c r="V76" s="168">
        <v>872691610</v>
      </c>
      <c r="W76" s="165">
        <v>149812344</v>
      </c>
      <c r="X76" s="165">
        <v>663986025</v>
      </c>
      <c r="Y76" s="165">
        <v>8533528</v>
      </c>
      <c r="Z76" s="165">
        <v>220306641.88</v>
      </c>
      <c r="AA76" s="165">
        <v>68223589.370000005</v>
      </c>
      <c r="AB76" s="165">
        <v>3221445</v>
      </c>
      <c r="AC76" s="165">
        <v>520.08333333333337</v>
      </c>
      <c r="AD76" s="165">
        <v>359178445.25</v>
      </c>
      <c r="AE76" s="165">
        <v>690617.10350905301</v>
      </c>
      <c r="AF76" s="166">
        <v>58893241</v>
      </c>
      <c r="AG76" s="11">
        <v>48013627.25</v>
      </c>
      <c r="AH76" s="12">
        <v>-80.583333333333258</v>
      </c>
      <c r="AI76" s="132">
        <v>1</v>
      </c>
      <c r="AJ76" s="132">
        <v>1</v>
      </c>
      <c r="AK76" s="13">
        <v>0.1</v>
      </c>
      <c r="AL76" s="13">
        <v>0.33315415536525084</v>
      </c>
      <c r="AM76" s="14">
        <v>1</v>
      </c>
      <c r="AN76" s="14">
        <v>0</v>
      </c>
      <c r="AO76" s="82">
        <v>391521.39456159825</v>
      </c>
      <c r="AP76" s="82">
        <v>423598.73458740581</v>
      </c>
      <c r="AQ76" s="82">
        <v>32077.340025807556</v>
      </c>
      <c r="AR76" s="129">
        <v>8.1929979999498581E-2</v>
      </c>
    </row>
    <row r="77" spans="1:44" ht="28.8" x14ac:dyDescent="0.3">
      <c r="A77" s="136" t="s">
        <v>217</v>
      </c>
      <c r="B77" s="137" t="s">
        <v>4851</v>
      </c>
      <c r="C77" s="134">
        <v>2020</v>
      </c>
      <c r="D77" s="149" t="s">
        <v>1128</v>
      </c>
      <c r="E77" s="135" t="s">
        <v>1117</v>
      </c>
      <c r="F77" s="384" t="s">
        <v>218</v>
      </c>
      <c r="G77" s="138" t="s">
        <v>4773</v>
      </c>
      <c r="H77" s="138" t="s">
        <v>2554</v>
      </c>
      <c r="I77" s="138" t="s">
        <v>1566</v>
      </c>
      <c r="J77" s="135" t="s">
        <v>4778</v>
      </c>
      <c r="K77" s="164">
        <v>245689586</v>
      </c>
      <c r="L77" s="165">
        <v>79623524</v>
      </c>
      <c r="M77" s="165">
        <v>119892936</v>
      </c>
      <c r="N77" s="165">
        <v>3798118</v>
      </c>
      <c r="O77" s="165">
        <v>151828873.22999999</v>
      </c>
      <c r="P77" s="165">
        <v>43509241.719999999</v>
      </c>
      <c r="Q77" s="165">
        <v>7999656</v>
      </c>
      <c r="R77" s="165">
        <v>306.16666666666669</v>
      </c>
      <c r="S77" s="165">
        <v>253309014.94999999</v>
      </c>
      <c r="T77" s="165">
        <v>827356.60843767005</v>
      </c>
      <c r="U77" s="166">
        <v>46173126</v>
      </c>
      <c r="V77" s="168">
        <v>2026925412</v>
      </c>
      <c r="W77" s="165">
        <v>633016783</v>
      </c>
      <c r="X77" s="165">
        <v>969479989</v>
      </c>
      <c r="Y77" s="165">
        <v>22700681</v>
      </c>
      <c r="Z77" s="165">
        <v>141045963.47</v>
      </c>
      <c r="AA77" s="165">
        <v>39552331</v>
      </c>
      <c r="AB77" s="165">
        <v>7760641</v>
      </c>
      <c r="AC77" s="165">
        <v>272.91666666666669</v>
      </c>
      <c r="AD77" s="165">
        <v>635488256.47000003</v>
      </c>
      <c r="AE77" s="165">
        <v>2328506.5885923663</v>
      </c>
      <c r="AF77" s="166">
        <v>424428640</v>
      </c>
      <c r="AG77" s="11">
        <v>382179241.52000004</v>
      </c>
      <c r="AH77" s="12">
        <v>-33.25</v>
      </c>
      <c r="AI77" s="132">
        <v>1</v>
      </c>
      <c r="AJ77" s="132">
        <v>1</v>
      </c>
      <c r="AK77" s="13">
        <v>0.1</v>
      </c>
      <c r="AL77" s="13">
        <v>1.8143929254399742</v>
      </c>
      <c r="AM77" s="14">
        <v>1</v>
      </c>
      <c r="AN77" s="14">
        <v>0</v>
      </c>
      <c r="AO77" s="82">
        <v>495902.68882961344</v>
      </c>
      <c r="AP77" s="82">
        <v>516809.63714198471</v>
      </c>
      <c r="AQ77" s="82">
        <v>20906.948312371271</v>
      </c>
      <c r="AR77" s="129">
        <v>4.2159376795705805E-2</v>
      </c>
    </row>
    <row r="78" spans="1:44" ht="43.2" x14ac:dyDescent="0.3">
      <c r="A78" s="136" t="s">
        <v>219</v>
      </c>
      <c r="B78" s="137" t="s">
        <v>4852</v>
      </c>
      <c r="C78" s="134">
        <v>2020</v>
      </c>
      <c r="D78" s="149" t="s">
        <v>1128</v>
      </c>
      <c r="E78" s="135" t="s">
        <v>1117</v>
      </c>
      <c r="F78" s="384" t="s">
        <v>220</v>
      </c>
      <c r="G78" s="138" t="s">
        <v>4773</v>
      </c>
      <c r="H78" s="138" t="s">
        <v>3339</v>
      </c>
      <c r="I78" s="138" t="s">
        <v>1566</v>
      </c>
      <c r="J78" s="135" t="s">
        <v>4778</v>
      </c>
      <c r="K78" s="164">
        <v>663937659</v>
      </c>
      <c r="L78" s="165">
        <v>527711369</v>
      </c>
      <c r="M78" s="165">
        <v>92708117</v>
      </c>
      <c r="N78" s="165">
        <v>53436063</v>
      </c>
      <c r="O78" s="165">
        <v>86479556.260000005</v>
      </c>
      <c r="P78" s="165">
        <v>20512702.040000003</v>
      </c>
      <c r="Q78" s="165">
        <v>4160785</v>
      </c>
      <c r="R78" s="165">
        <v>196.08333333333334</v>
      </c>
      <c r="S78" s="165">
        <v>208107279.29999998</v>
      </c>
      <c r="T78" s="165">
        <v>1061320.5914152146</v>
      </c>
      <c r="U78" s="166">
        <v>43518173</v>
      </c>
      <c r="V78" s="168">
        <v>1180565657</v>
      </c>
      <c r="W78" s="165">
        <v>866301129</v>
      </c>
      <c r="X78" s="165">
        <v>87483151</v>
      </c>
      <c r="Y78" s="165">
        <v>42647758</v>
      </c>
      <c r="Z78" s="165">
        <v>119657943.52</v>
      </c>
      <c r="AA78" s="165">
        <v>24554783.140000001</v>
      </c>
      <c r="AB78" s="165">
        <v>3713304</v>
      </c>
      <c r="AC78" s="165">
        <v>233.58333333333334</v>
      </c>
      <c r="AD78" s="165">
        <v>417355165.65999997</v>
      </c>
      <c r="AE78" s="165">
        <v>1786750.6200214054</v>
      </c>
      <c r="AF78" s="166">
        <v>226781377</v>
      </c>
      <c r="AG78" s="11">
        <v>209247886.35999998</v>
      </c>
      <c r="AH78" s="12">
        <v>37.5</v>
      </c>
      <c r="AI78" s="132">
        <v>1</v>
      </c>
      <c r="AJ78" s="132">
        <v>1</v>
      </c>
      <c r="AK78" s="13">
        <v>0.1</v>
      </c>
      <c r="AL78" s="13">
        <v>0.68351640101507871</v>
      </c>
      <c r="AM78" s="14">
        <v>1</v>
      </c>
      <c r="AN78" s="14">
        <v>0</v>
      </c>
      <c r="AO78" s="82">
        <v>441034.71105822356</v>
      </c>
      <c r="AP78" s="82">
        <v>512270.89626828395</v>
      </c>
      <c r="AQ78" s="82">
        <v>71236.185210060386</v>
      </c>
      <c r="AR78" s="129">
        <v>0.16152058652965318</v>
      </c>
    </row>
    <row r="79" spans="1:44" ht="28.8" x14ac:dyDescent="0.3">
      <c r="A79" s="136" t="s">
        <v>221</v>
      </c>
      <c r="B79" s="137" t="s">
        <v>4853</v>
      </c>
      <c r="C79" s="134">
        <v>2019</v>
      </c>
      <c r="D79" s="149" t="s">
        <v>1128</v>
      </c>
      <c r="E79" s="135" t="s">
        <v>1117</v>
      </c>
      <c r="F79" s="384" t="s">
        <v>222</v>
      </c>
      <c r="G79" s="138" t="s">
        <v>4773</v>
      </c>
      <c r="H79" s="138" t="s">
        <v>2755</v>
      </c>
      <c r="I79" s="138" t="s">
        <v>1566</v>
      </c>
      <c r="J79" s="135" t="s">
        <v>4774</v>
      </c>
      <c r="K79" s="164">
        <v>1557334371</v>
      </c>
      <c r="L79" s="165">
        <v>1513807379</v>
      </c>
      <c r="M79" s="165">
        <v>4202756</v>
      </c>
      <c r="N79" s="165">
        <v>45862058</v>
      </c>
      <c r="O79" s="165">
        <v>98637796.299999997</v>
      </c>
      <c r="P79" s="165">
        <v>24230513.84</v>
      </c>
      <c r="Q79" s="165">
        <v>3839324</v>
      </c>
      <c r="R79" s="165">
        <v>246.66666666666666</v>
      </c>
      <c r="S79" s="165">
        <v>211893928.14000002</v>
      </c>
      <c r="T79" s="165">
        <v>859029.4384054055</v>
      </c>
      <c r="U79" s="166">
        <v>39324236</v>
      </c>
      <c r="V79" s="168">
        <v>2901844178</v>
      </c>
      <c r="W79" s="165">
        <v>2627231170</v>
      </c>
      <c r="X79" s="165">
        <v>102032409</v>
      </c>
      <c r="Y79" s="165">
        <v>39703782</v>
      </c>
      <c r="Z79" s="165">
        <v>92658018</v>
      </c>
      <c r="AA79" s="165">
        <v>21164723</v>
      </c>
      <c r="AB79" s="165">
        <v>3890488</v>
      </c>
      <c r="AC79" s="165">
        <v>238.5</v>
      </c>
      <c r="AD79" s="165">
        <v>329997610</v>
      </c>
      <c r="AE79" s="165">
        <v>1383637.7777777778</v>
      </c>
      <c r="AF79" s="166">
        <v>172580599</v>
      </c>
      <c r="AG79" s="11">
        <v>118103681.85999998</v>
      </c>
      <c r="AH79" s="12">
        <v>-8.1666666666666572</v>
      </c>
      <c r="AI79" s="132">
        <v>1</v>
      </c>
      <c r="AJ79" s="132">
        <v>1</v>
      </c>
      <c r="AK79" s="13">
        <v>0.15</v>
      </c>
      <c r="AL79" s="13">
        <v>0.610698906896602</v>
      </c>
      <c r="AM79" s="14">
        <v>1</v>
      </c>
      <c r="AN79" s="14">
        <v>0</v>
      </c>
      <c r="AO79" s="82">
        <v>399882.957972973</v>
      </c>
      <c r="AP79" s="82">
        <v>388503.22012578615</v>
      </c>
      <c r="AQ79" s="82">
        <v>-11379.737847186858</v>
      </c>
      <c r="AR79" s="129">
        <v>-2.8457671476852409E-2</v>
      </c>
    </row>
    <row r="80" spans="1:44" ht="28.8" x14ac:dyDescent="0.3">
      <c r="A80" s="136" t="s">
        <v>223</v>
      </c>
      <c r="B80" s="137" t="s">
        <v>4854</v>
      </c>
      <c r="C80" s="134">
        <v>2020</v>
      </c>
      <c r="D80" s="149" t="s">
        <v>1128</v>
      </c>
      <c r="E80" s="135" t="s">
        <v>1117</v>
      </c>
      <c r="F80" s="384" t="s">
        <v>218</v>
      </c>
      <c r="G80" s="138" t="s">
        <v>4773</v>
      </c>
      <c r="H80" s="138" t="s">
        <v>1868</v>
      </c>
      <c r="I80" s="138" t="s">
        <v>1566</v>
      </c>
      <c r="J80" s="135" t="s">
        <v>4774</v>
      </c>
      <c r="K80" s="164">
        <v>1301022816</v>
      </c>
      <c r="L80" s="165">
        <v>1100081455</v>
      </c>
      <c r="M80" s="165">
        <v>145377003</v>
      </c>
      <c r="N80" s="165">
        <v>9382912</v>
      </c>
      <c r="O80" s="165">
        <v>19871082.800000001</v>
      </c>
      <c r="P80" s="165">
        <v>4432063.45</v>
      </c>
      <c r="Q80" s="165">
        <v>0</v>
      </c>
      <c r="R80" s="165">
        <v>42.25</v>
      </c>
      <c r="S80" s="165">
        <v>89250416.25</v>
      </c>
      <c r="T80" s="165">
        <v>2112435.8875739644</v>
      </c>
      <c r="U80" s="166">
        <v>55564358</v>
      </c>
      <c r="V80" s="168">
        <v>1219006210</v>
      </c>
      <c r="W80" s="165">
        <v>1099235010</v>
      </c>
      <c r="X80" s="165">
        <v>90778989</v>
      </c>
      <c r="Y80" s="165">
        <v>13177451</v>
      </c>
      <c r="Z80" s="165">
        <v>17340100.989999998</v>
      </c>
      <c r="AA80" s="165">
        <v>3524301.92</v>
      </c>
      <c r="AB80" s="165">
        <v>0</v>
      </c>
      <c r="AC80" s="165">
        <v>41.583333333333336</v>
      </c>
      <c r="AD80" s="165">
        <v>63034064.909999996</v>
      </c>
      <c r="AE80" s="165">
        <v>1515849.2563527052</v>
      </c>
      <c r="AF80" s="166">
        <v>28992211</v>
      </c>
      <c r="AG80" s="11">
        <v>-26216351.340000004</v>
      </c>
      <c r="AH80" s="12">
        <v>-0.6666666666666643</v>
      </c>
      <c r="AI80" s="132">
        <v>0</v>
      </c>
      <c r="AJ80" s="132">
        <v>0</v>
      </c>
      <c r="AK80" s="13">
        <v>0.1</v>
      </c>
      <c r="AL80" s="13">
        <v>-0.28241644294350632</v>
      </c>
      <c r="AM80" s="14">
        <v>0</v>
      </c>
      <c r="AN80" s="14">
        <v>-1</v>
      </c>
      <c r="AO80" s="82">
        <v>470321.48639053258</v>
      </c>
      <c r="AP80" s="82">
        <v>416996.41659318632</v>
      </c>
      <c r="AQ80" s="82">
        <v>-53325.069797346252</v>
      </c>
      <c r="AR80" s="129">
        <v>-0.11338004182328099</v>
      </c>
    </row>
    <row r="81" spans="1:44" ht="28.8" x14ac:dyDescent="0.3">
      <c r="A81" s="136" t="s">
        <v>224</v>
      </c>
      <c r="B81" s="137" t="s">
        <v>4855</v>
      </c>
      <c r="C81" s="134">
        <v>2020</v>
      </c>
      <c r="D81" s="149" t="s">
        <v>4843</v>
      </c>
      <c r="E81" s="135" t="s">
        <v>1131</v>
      </c>
      <c r="F81" s="384" t="s">
        <v>225</v>
      </c>
      <c r="G81" s="138" t="s">
        <v>4773</v>
      </c>
      <c r="H81" s="138" t="s">
        <v>4651</v>
      </c>
      <c r="I81" s="138" t="s">
        <v>4612</v>
      </c>
      <c r="J81" s="135" t="s">
        <v>4780</v>
      </c>
      <c r="K81" s="164">
        <v>1235022268</v>
      </c>
      <c r="L81" s="165">
        <v>1075856884</v>
      </c>
      <c r="M81" s="165">
        <v>14822843</v>
      </c>
      <c r="N81" s="165">
        <v>14822843</v>
      </c>
      <c r="O81" s="165">
        <v>181634632</v>
      </c>
      <c r="P81" s="165">
        <v>54768279.729999997</v>
      </c>
      <c r="Q81" s="165">
        <v>3676070</v>
      </c>
      <c r="R81" s="165">
        <v>338.41666666666669</v>
      </c>
      <c r="S81" s="165">
        <v>399244365.73000002</v>
      </c>
      <c r="T81" s="165">
        <v>1179742.0312139867</v>
      </c>
      <c r="U81" s="166">
        <v>144342541</v>
      </c>
      <c r="V81" s="168">
        <v>663708394</v>
      </c>
      <c r="W81" s="165">
        <v>408499569</v>
      </c>
      <c r="X81" s="165">
        <v>202357649</v>
      </c>
      <c r="Y81" s="165">
        <v>11717676</v>
      </c>
      <c r="Z81" s="165">
        <v>199158269.16999999</v>
      </c>
      <c r="AA81" s="165">
        <v>60158910.439999998</v>
      </c>
      <c r="AB81" s="165">
        <v>3522858</v>
      </c>
      <c r="AC81" s="165">
        <v>330.33333333333331</v>
      </c>
      <c r="AD81" s="165">
        <v>327408889.61000001</v>
      </c>
      <c r="AE81" s="165">
        <v>991146.9917558023</v>
      </c>
      <c r="AF81" s="166">
        <v>52851176</v>
      </c>
      <c r="AG81" s="11">
        <v>-71835476.120000005</v>
      </c>
      <c r="AH81" s="12">
        <v>-8.0833333333333712</v>
      </c>
      <c r="AI81" s="132">
        <v>0</v>
      </c>
      <c r="AJ81" s="132">
        <v>0</v>
      </c>
      <c r="AK81" s="13">
        <v>0.1</v>
      </c>
      <c r="AL81" s="13">
        <v>-0.15986125373527638</v>
      </c>
      <c r="AM81" s="14">
        <v>0</v>
      </c>
      <c r="AN81" s="14">
        <v>-1</v>
      </c>
      <c r="AO81" s="82">
        <v>536718.93228268891</v>
      </c>
      <c r="AP81" s="82">
        <v>602900.91575176583</v>
      </c>
      <c r="AQ81" s="82">
        <v>66181.98346907692</v>
      </c>
      <c r="AR81" s="129">
        <v>0.1233084571613714</v>
      </c>
    </row>
    <row r="82" spans="1:44" ht="28.8" x14ac:dyDescent="0.3">
      <c r="A82" s="136" t="s">
        <v>226</v>
      </c>
      <c r="B82" s="137" t="s">
        <v>4856</v>
      </c>
      <c r="C82" s="134">
        <v>2020</v>
      </c>
      <c r="D82" s="149" t="s">
        <v>4843</v>
      </c>
      <c r="E82" s="135" t="s">
        <v>1131</v>
      </c>
      <c r="F82" s="384" t="s">
        <v>227</v>
      </c>
      <c r="G82" s="138" t="s">
        <v>4773</v>
      </c>
      <c r="H82" s="138" t="s">
        <v>2707</v>
      </c>
      <c r="I82" s="138" t="s">
        <v>1566</v>
      </c>
      <c r="J82" s="135" t="s">
        <v>4774</v>
      </c>
      <c r="K82" s="164">
        <v>559752588</v>
      </c>
      <c r="L82" s="165">
        <v>542720888</v>
      </c>
      <c r="M82" s="165">
        <v>3894686</v>
      </c>
      <c r="N82" s="165">
        <v>14186531</v>
      </c>
      <c r="O82" s="165">
        <v>56207721.549999997</v>
      </c>
      <c r="P82" s="165">
        <v>15388900.059999999</v>
      </c>
      <c r="Q82" s="165">
        <v>988953</v>
      </c>
      <c r="R82" s="165">
        <v>229.5</v>
      </c>
      <c r="S82" s="165">
        <v>99909119.609999999</v>
      </c>
      <c r="T82" s="165">
        <v>435333.85450980393</v>
      </c>
      <c r="U82" s="166">
        <v>13137014</v>
      </c>
      <c r="V82" s="168">
        <v>688168509</v>
      </c>
      <c r="W82" s="165">
        <v>518944230</v>
      </c>
      <c r="X82" s="165">
        <v>154892382</v>
      </c>
      <c r="Y82" s="165">
        <v>13805974</v>
      </c>
      <c r="Z82" s="165">
        <v>68992183.25</v>
      </c>
      <c r="AA82" s="165">
        <v>16770844.9</v>
      </c>
      <c r="AB82" s="165">
        <v>0</v>
      </c>
      <c r="AC82" s="165">
        <v>242.5</v>
      </c>
      <c r="AD82" s="165">
        <v>113900899.15000001</v>
      </c>
      <c r="AE82" s="165">
        <v>469694.42948453611</v>
      </c>
      <c r="AF82" s="166">
        <v>14331897</v>
      </c>
      <c r="AG82" s="11">
        <v>13991779.540000007</v>
      </c>
      <c r="AH82" s="12">
        <v>13</v>
      </c>
      <c r="AI82" s="132">
        <v>0</v>
      </c>
      <c r="AJ82" s="132">
        <v>1</v>
      </c>
      <c r="AK82" s="13">
        <v>0.1</v>
      </c>
      <c r="AL82" s="13">
        <v>7.8929263139082773E-2</v>
      </c>
      <c r="AM82" s="14">
        <v>0</v>
      </c>
      <c r="AN82" s="14">
        <v>-1</v>
      </c>
      <c r="AO82" s="82">
        <v>244913.81938997819</v>
      </c>
      <c r="AP82" s="82">
        <v>284503.84845360823</v>
      </c>
      <c r="AQ82" s="82">
        <v>39590.029063630034</v>
      </c>
      <c r="AR82" s="129">
        <v>0.16164881656020613</v>
      </c>
    </row>
    <row r="83" spans="1:44" ht="28.8" x14ac:dyDescent="0.3">
      <c r="A83" s="136" t="s">
        <v>228</v>
      </c>
      <c r="B83" s="137" t="s">
        <v>4857</v>
      </c>
      <c r="C83" s="134">
        <v>2020</v>
      </c>
      <c r="D83" s="149" t="s">
        <v>4843</v>
      </c>
      <c r="E83" s="135" t="s">
        <v>1131</v>
      </c>
      <c r="F83" s="384" t="s">
        <v>227</v>
      </c>
      <c r="G83" s="138" t="s">
        <v>4773</v>
      </c>
      <c r="H83" s="138" t="s">
        <v>2898</v>
      </c>
      <c r="I83" s="138" t="s">
        <v>1566</v>
      </c>
      <c r="J83" s="135" t="s">
        <v>4774</v>
      </c>
      <c r="K83" s="164">
        <v>369149692</v>
      </c>
      <c r="L83" s="165">
        <v>264363817</v>
      </c>
      <c r="M83" s="165">
        <v>111460411</v>
      </c>
      <c r="N83" s="165">
        <v>9668406</v>
      </c>
      <c r="O83" s="165">
        <v>148031931.65000001</v>
      </c>
      <c r="P83" s="165">
        <v>44331457.860000007</v>
      </c>
      <c r="Q83" s="165">
        <v>0</v>
      </c>
      <c r="R83" s="165">
        <v>315.83333333333331</v>
      </c>
      <c r="S83" s="165">
        <v>195357259.51000002</v>
      </c>
      <c r="T83" s="165">
        <v>618545.41269657004</v>
      </c>
      <c r="U83" s="166">
        <v>-6674536</v>
      </c>
      <c r="V83" s="168">
        <v>459615052</v>
      </c>
      <c r="W83" s="165">
        <v>305015493</v>
      </c>
      <c r="X83" s="165">
        <v>117598303</v>
      </c>
      <c r="Y83" s="165">
        <v>9911825</v>
      </c>
      <c r="Z83" s="165">
        <v>142082827.02000001</v>
      </c>
      <c r="AA83" s="165">
        <v>42364080.849999994</v>
      </c>
      <c r="AB83" s="165">
        <v>9066</v>
      </c>
      <c r="AC83" s="165">
        <v>288.75</v>
      </c>
      <c r="AD83" s="165">
        <v>231369054.87</v>
      </c>
      <c r="AE83" s="165">
        <v>801278.1121038961</v>
      </c>
      <c r="AF83" s="166">
        <v>37001256</v>
      </c>
      <c r="AG83" s="11">
        <v>36011795.359999985</v>
      </c>
      <c r="AH83" s="12">
        <v>-27.083333333333314</v>
      </c>
      <c r="AI83" s="132">
        <v>1</v>
      </c>
      <c r="AJ83" s="132">
        <v>1</v>
      </c>
      <c r="AK83" s="13">
        <v>0.1</v>
      </c>
      <c r="AL83" s="13">
        <v>0.29542325760690713</v>
      </c>
      <c r="AM83" s="14">
        <v>1</v>
      </c>
      <c r="AN83" s="14">
        <v>0</v>
      </c>
      <c r="AO83" s="82">
        <v>468702.68596306071</v>
      </c>
      <c r="AP83" s="82">
        <v>492061.73859740264</v>
      </c>
      <c r="AQ83" s="82">
        <v>23359.052634341933</v>
      </c>
      <c r="AR83" s="129">
        <v>4.9837676066108338E-2</v>
      </c>
    </row>
    <row r="84" spans="1:44" ht="28.8" x14ac:dyDescent="0.3">
      <c r="A84" s="136" t="s">
        <v>229</v>
      </c>
      <c r="B84" s="137" t="s">
        <v>4858</v>
      </c>
      <c r="C84" s="134">
        <v>2019</v>
      </c>
      <c r="D84" s="149" t="s">
        <v>4859</v>
      </c>
      <c r="E84" s="135" t="s">
        <v>1131</v>
      </c>
      <c r="F84" s="384" t="s">
        <v>227</v>
      </c>
      <c r="G84" s="138" t="s">
        <v>4773</v>
      </c>
      <c r="H84" s="138" t="s">
        <v>3569</v>
      </c>
      <c r="I84" s="138" t="s">
        <v>3557</v>
      </c>
      <c r="J84" s="135" t="s">
        <v>4774</v>
      </c>
      <c r="K84" s="164">
        <v>732476347</v>
      </c>
      <c r="L84" s="165">
        <v>691112482</v>
      </c>
      <c r="M84" s="165">
        <v>66750531</v>
      </c>
      <c r="N84" s="165">
        <v>78142800</v>
      </c>
      <c r="O84" s="165">
        <v>90764690</v>
      </c>
      <c r="P84" s="165">
        <v>26280910.330000002</v>
      </c>
      <c r="Q84" s="165">
        <v>0</v>
      </c>
      <c r="R84" s="165">
        <v>321.33333333333331</v>
      </c>
      <c r="S84" s="165">
        <v>169801734.33000001</v>
      </c>
      <c r="T84" s="165">
        <v>528428.63380705402</v>
      </c>
      <c r="U84" s="166">
        <v>-25386666</v>
      </c>
      <c r="V84" s="168">
        <v>463059299</v>
      </c>
      <c r="W84" s="165">
        <v>538220312</v>
      </c>
      <c r="X84" s="165">
        <v>68193730</v>
      </c>
      <c r="Y84" s="165">
        <v>122769285</v>
      </c>
      <c r="Z84" s="165">
        <v>104930952.77000001</v>
      </c>
      <c r="AA84" s="165">
        <v>31172826.889999997</v>
      </c>
      <c r="AB84" s="165">
        <v>0</v>
      </c>
      <c r="AC84" s="165">
        <v>279.91666666666669</v>
      </c>
      <c r="AD84" s="165">
        <v>115518321.66000001</v>
      </c>
      <c r="AE84" s="165">
        <v>412688.25838642457</v>
      </c>
      <c r="AF84" s="166">
        <v>-143354743</v>
      </c>
      <c r="AG84" s="11">
        <v>-54283412.670000002</v>
      </c>
      <c r="AH84" s="12">
        <v>-41.416666666666629</v>
      </c>
      <c r="AI84" s="132">
        <v>0</v>
      </c>
      <c r="AJ84" s="132">
        <v>0</v>
      </c>
      <c r="AK84" s="13">
        <v>0.15</v>
      </c>
      <c r="AL84" s="13">
        <v>-0.21902743990233842</v>
      </c>
      <c r="AM84" s="14">
        <v>0</v>
      </c>
      <c r="AN84" s="14">
        <v>-1</v>
      </c>
      <c r="AO84" s="82">
        <v>282462.72821576765</v>
      </c>
      <c r="AP84" s="82">
        <v>374864.96970526944</v>
      </c>
      <c r="AQ84" s="82">
        <v>92402.241489501786</v>
      </c>
      <c r="AR84" s="129">
        <v>0.32713074065799419</v>
      </c>
    </row>
    <row r="85" spans="1:44" ht="28.8" x14ac:dyDescent="0.3">
      <c r="A85" s="136" t="s">
        <v>230</v>
      </c>
      <c r="B85" s="137" t="s">
        <v>4860</v>
      </c>
      <c r="C85" s="134">
        <v>2020</v>
      </c>
      <c r="D85" s="149" t="s">
        <v>4859</v>
      </c>
      <c r="E85" s="135" t="s">
        <v>1131</v>
      </c>
      <c r="F85" s="384" t="s">
        <v>227</v>
      </c>
      <c r="G85" s="138" t="s">
        <v>4773</v>
      </c>
      <c r="H85" s="138" t="s">
        <v>3564</v>
      </c>
      <c r="I85" s="138" t="s">
        <v>3557</v>
      </c>
      <c r="J85" s="135" t="s">
        <v>4774</v>
      </c>
      <c r="K85" s="164">
        <v>3874930845</v>
      </c>
      <c r="L85" s="165">
        <v>3723214687</v>
      </c>
      <c r="M85" s="165">
        <v>63239126</v>
      </c>
      <c r="N85" s="165">
        <v>122135708</v>
      </c>
      <c r="O85" s="165">
        <v>124587916.63</v>
      </c>
      <c r="P85" s="165">
        <v>32426617.629999999</v>
      </c>
      <c r="Q85" s="165">
        <v>0</v>
      </c>
      <c r="R85" s="165">
        <v>458.33333333333331</v>
      </c>
      <c r="S85" s="165">
        <v>367627274.25999999</v>
      </c>
      <c r="T85" s="165">
        <v>802095.87111272733</v>
      </c>
      <c r="U85" s="166">
        <v>88477032</v>
      </c>
      <c r="V85" s="168">
        <v>3655363423</v>
      </c>
      <c r="W85" s="165">
        <v>3452131197</v>
      </c>
      <c r="X85" s="165">
        <v>90492380</v>
      </c>
      <c r="Y85" s="165">
        <v>127498430</v>
      </c>
      <c r="Z85" s="165">
        <v>138872740.19000003</v>
      </c>
      <c r="AA85" s="165">
        <v>39692481.039999999</v>
      </c>
      <c r="AB85" s="165">
        <v>0</v>
      </c>
      <c r="AC85" s="165">
        <v>419.58333333333331</v>
      </c>
      <c r="AD85" s="165">
        <v>418803497.23000008</v>
      </c>
      <c r="AE85" s="165">
        <v>998141.40352730907</v>
      </c>
      <c r="AF85" s="166">
        <v>112739846</v>
      </c>
      <c r="AG85" s="11">
        <v>51176222.970000088</v>
      </c>
      <c r="AH85" s="12">
        <v>-38.75</v>
      </c>
      <c r="AI85" s="132">
        <v>1</v>
      </c>
      <c r="AJ85" s="132">
        <v>1</v>
      </c>
      <c r="AK85" s="13">
        <v>0.1</v>
      </c>
      <c r="AL85" s="13">
        <v>0.24441658077606121</v>
      </c>
      <c r="AM85" s="14">
        <v>1</v>
      </c>
      <c r="AN85" s="14">
        <v>0</v>
      </c>
      <c r="AO85" s="82">
        <v>271828.1817381818</v>
      </c>
      <c r="AP85" s="82">
        <v>330977.73232969223</v>
      </c>
      <c r="AQ85" s="82">
        <v>59149.55059151043</v>
      </c>
      <c r="AR85" s="129">
        <v>0.2175990370582026</v>
      </c>
    </row>
    <row r="86" spans="1:44" ht="28.8" x14ac:dyDescent="0.3">
      <c r="A86" s="136" t="s">
        <v>231</v>
      </c>
      <c r="B86" s="137" t="s">
        <v>4861</v>
      </c>
      <c r="C86" s="134">
        <v>2019</v>
      </c>
      <c r="D86" s="149" t="s">
        <v>4859</v>
      </c>
      <c r="E86" s="135" t="s">
        <v>1131</v>
      </c>
      <c r="F86" s="384" t="s">
        <v>227</v>
      </c>
      <c r="G86" s="138" t="s">
        <v>4773</v>
      </c>
      <c r="H86" s="138" t="s">
        <v>3569</v>
      </c>
      <c r="I86" s="138" t="s">
        <v>3557</v>
      </c>
      <c r="J86" s="135" t="s">
        <v>4778</v>
      </c>
      <c r="K86" s="164">
        <v>1495257801</v>
      </c>
      <c r="L86" s="165">
        <v>1347956098</v>
      </c>
      <c r="M86" s="165">
        <v>158761195</v>
      </c>
      <c r="N86" s="165">
        <v>44704731</v>
      </c>
      <c r="O86" s="165">
        <v>372696078</v>
      </c>
      <c r="P86" s="165">
        <v>122691620</v>
      </c>
      <c r="Q86" s="165">
        <v>2714956</v>
      </c>
      <c r="R86" s="165">
        <v>559.5</v>
      </c>
      <c r="S86" s="165">
        <v>531347893</v>
      </c>
      <c r="T86" s="165">
        <v>949683.45487042004</v>
      </c>
      <c r="U86" s="166">
        <v>-11459492</v>
      </c>
      <c r="V86" s="168">
        <v>1768352145</v>
      </c>
      <c r="W86" s="165">
        <v>1682005546</v>
      </c>
      <c r="X86" s="165">
        <v>109188158</v>
      </c>
      <c r="Y86" s="165">
        <v>55650258</v>
      </c>
      <c r="Z86" s="165">
        <v>525543747.83000004</v>
      </c>
      <c r="AA86" s="165">
        <v>152802187.55000001</v>
      </c>
      <c r="AB86" s="165">
        <v>2485032</v>
      </c>
      <c r="AC86" s="165">
        <v>612.91666666666663</v>
      </c>
      <c r="AD86" s="165">
        <v>713639666.38000011</v>
      </c>
      <c r="AE86" s="165">
        <v>1164333.9220339907</v>
      </c>
      <c r="AF86" s="166">
        <v>-22841559</v>
      </c>
      <c r="AG86" s="11">
        <v>182291773.38000011</v>
      </c>
      <c r="AH86" s="12">
        <v>53.416666666666629</v>
      </c>
      <c r="AI86" s="132">
        <v>1</v>
      </c>
      <c r="AJ86" s="132">
        <v>0</v>
      </c>
      <c r="AK86" s="13">
        <v>0.15</v>
      </c>
      <c r="AL86" s="13">
        <v>0.22602317645948244</v>
      </c>
      <c r="AM86" s="14">
        <v>1</v>
      </c>
      <c r="AN86" s="14">
        <v>0</v>
      </c>
      <c r="AO86" s="82">
        <v>666123.46380697051</v>
      </c>
      <c r="AP86" s="82">
        <v>857447.31121142092</v>
      </c>
      <c r="AQ86" s="82">
        <v>191323.84740445041</v>
      </c>
      <c r="AR86" s="129">
        <v>0.28721979903096817</v>
      </c>
    </row>
    <row r="87" spans="1:44" ht="28.8" x14ac:dyDescent="0.3">
      <c r="A87" s="136" t="s">
        <v>232</v>
      </c>
      <c r="B87" s="137" t="s">
        <v>4862</v>
      </c>
      <c r="C87" s="134">
        <v>2019</v>
      </c>
      <c r="D87" s="149" t="s">
        <v>4859</v>
      </c>
      <c r="E87" s="135" t="s">
        <v>1131</v>
      </c>
      <c r="F87" s="384" t="s">
        <v>227</v>
      </c>
      <c r="G87" s="138" t="s">
        <v>4773</v>
      </c>
      <c r="H87" s="138" t="s">
        <v>4288</v>
      </c>
      <c r="I87" s="138" t="s">
        <v>4255</v>
      </c>
      <c r="J87" s="135" t="s">
        <v>4780</v>
      </c>
      <c r="K87" s="164">
        <v>647280226</v>
      </c>
      <c r="L87" s="165">
        <v>393455771</v>
      </c>
      <c r="M87" s="165">
        <v>199860899</v>
      </c>
      <c r="N87" s="165">
        <v>22079152</v>
      </c>
      <c r="O87" s="165">
        <v>321216253</v>
      </c>
      <c r="P87" s="165">
        <v>86531396</v>
      </c>
      <c r="Q87" s="165">
        <v>1720414</v>
      </c>
      <c r="R87" s="165">
        <v>395.58333333333331</v>
      </c>
      <c r="S87" s="165">
        <v>485510771</v>
      </c>
      <c r="T87" s="165">
        <v>1227328.6816937013</v>
      </c>
      <c r="U87" s="166">
        <v>53963556</v>
      </c>
      <c r="V87" s="168">
        <v>610074925</v>
      </c>
      <c r="W87" s="165">
        <v>400136936</v>
      </c>
      <c r="X87" s="165">
        <v>231882536</v>
      </c>
      <c r="Y87" s="165">
        <v>3660361</v>
      </c>
      <c r="Z87" s="165">
        <v>325739149.80000001</v>
      </c>
      <c r="AA87" s="165">
        <v>98546270.5</v>
      </c>
      <c r="AB87" s="165">
        <v>1879556</v>
      </c>
      <c r="AC87" s="165">
        <v>341.5</v>
      </c>
      <c r="AD87" s="165">
        <v>407880790.30000001</v>
      </c>
      <c r="AE87" s="165">
        <v>1194380.059443631</v>
      </c>
      <c r="AF87" s="166">
        <v>-21944547</v>
      </c>
      <c r="AG87" s="11">
        <v>-77629980.699999988</v>
      </c>
      <c r="AH87" s="12">
        <v>-54.083333333333314</v>
      </c>
      <c r="AI87" s="132">
        <v>0</v>
      </c>
      <c r="AJ87" s="132">
        <v>1</v>
      </c>
      <c r="AK87" s="13">
        <v>0.15</v>
      </c>
      <c r="AL87" s="13">
        <v>-2.6845799773863255E-2</v>
      </c>
      <c r="AM87" s="14">
        <v>0</v>
      </c>
      <c r="AN87" s="14">
        <v>-1</v>
      </c>
      <c r="AO87" s="82">
        <v>812006.53802401526</v>
      </c>
      <c r="AP87" s="82">
        <v>953848.16925329436</v>
      </c>
      <c r="AQ87" s="82">
        <v>141841.6312292791</v>
      </c>
      <c r="AR87" s="129">
        <v>0.17468040537511542</v>
      </c>
    </row>
    <row r="88" spans="1:44" ht="28.8" x14ac:dyDescent="0.3">
      <c r="A88" s="136" t="s">
        <v>233</v>
      </c>
      <c r="B88" s="137" t="s">
        <v>4863</v>
      </c>
      <c r="C88" s="134">
        <v>2019</v>
      </c>
      <c r="D88" s="149" t="s">
        <v>4859</v>
      </c>
      <c r="E88" s="135" t="s">
        <v>1131</v>
      </c>
      <c r="F88" s="384" t="s">
        <v>227</v>
      </c>
      <c r="G88" s="138" t="s">
        <v>4773</v>
      </c>
      <c r="H88" s="138" t="s">
        <v>4330</v>
      </c>
      <c r="I88" s="138" t="s">
        <v>4255</v>
      </c>
      <c r="J88" s="135" t="s">
        <v>4774</v>
      </c>
      <c r="K88" s="164">
        <v>1723176561</v>
      </c>
      <c r="L88" s="165">
        <v>1434025584</v>
      </c>
      <c r="M88" s="165">
        <v>135198029</v>
      </c>
      <c r="N88" s="165">
        <v>65730340</v>
      </c>
      <c r="O88" s="165">
        <v>358827799</v>
      </c>
      <c r="P88" s="165">
        <v>94517137</v>
      </c>
      <c r="Q88" s="165">
        <v>638508</v>
      </c>
      <c r="R88" s="165">
        <v>565.41666666666663</v>
      </c>
      <c r="S88" s="165">
        <v>673666732</v>
      </c>
      <c r="T88" s="165">
        <v>1191451.8473102432</v>
      </c>
      <c r="U88" s="166">
        <v>153952948</v>
      </c>
      <c r="V88" s="168">
        <v>1866607018</v>
      </c>
      <c r="W88" s="165">
        <v>1520161475</v>
      </c>
      <c r="X88" s="165">
        <v>202144450</v>
      </c>
      <c r="Y88" s="165">
        <v>90499161</v>
      </c>
      <c r="Z88" s="165">
        <v>391157100.40000004</v>
      </c>
      <c r="AA88" s="165">
        <v>113700740.72999999</v>
      </c>
      <c r="AB88" s="165">
        <v>752615</v>
      </c>
      <c r="AC88" s="165">
        <v>498.83333333333331</v>
      </c>
      <c r="AD88" s="165">
        <v>740410710.13000011</v>
      </c>
      <c r="AE88" s="165">
        <v>1484284.7513464754</v>
      </c>
      <c r="AF88" s="166">
        <v>144301093</v>
      </c>
      <c r="AG88" s="11">
        <v>66743978.130000114</v>
      </c>
      <c r="AH88" s="12">
        <v>-66.583333333333314</v>
      </c>
      <c r="AI88" s="132">
        <v>1</v>
      </c>
      <c r="AJ88" s="132">
        <v>1</v>
      </c>
      <c r="AK88" s="13">
        <v>0.15</v>
      </c>
      <c r="AL88" s="13">
        <v>0.24577820748694124</v>
      </c>
      <c r="AM88" s="14">
        <v>1</v>
      </c>
      <c r="AN88" s="14">
        <v>0</v>
      </c>
      <c r="AO88" s="82">
        <v>634625.43669859995</v>
      </c>
      <c r="AP88" s="82">
        <v>784143.86982960254</v>
      </c>
      <c r="AQ88" s="82">
        <v>149518.43313100259</v>
      </c>
      <c r="AR88" s="129">
        <v>0.23560107188393831</v>
      </c>
    </row>
    <row r="89" spans="1:44" ht="28.8" x14ac:dyDescent="0.3">
      <c r="A89" s="136" t="s">
        <v>234</v>
      </c>
      <c r="B89" s="137" t="s">
        <v>4864</v>
      </c>
      <c r="C89" s="134">
        <v>2019</v>
      </c>
      <c r="D89" s="149" t="s">
        <v>4865</v>
      </c>
      <c r="E89" s="135" t="s">
        <v>1108</v>
      </c>
      <c r="F89" s="384" t="s">
        <v>235</v>
      </c>
      <c r="G89" s="138" t="s">
        <v>4773</v>
      </c>
      <c r="H89" s="138" t="s">
        <v>3311</v>
      </c>
      <c r="I89" s="138" t="s">
        <v>1566</v>
      </c>
      <c r="J89" s="135" t="s">
        <v>4778</v>
      </c>
      <c r="K89" s="164">
        <v>485336492</v>
      </c>
      <c r="L89" s="165">
        <v>269367450</v>
      </c>
      <c r="M89" s="165">
        <v>133795329</v>
      </c>
      <c r="N89" s="165">
        <v>11077262</v>
      </c>
      <c r="O89" s="165">
        <v>84931064</v>
      </c>
      <c r="P89" s="165">
        <v>24212518.140000001</v>
      </c>
      <c r="Q89" s="165">
        <v>1852002</v>
      </c>
      <c r="R89" s="165">
        <v>135.83333333333334</v>
      </c>
      <c r="S89" s="165">
        <v>204246559.13999999</v>
      </c>
      <c r="T89" s="165">
        <v>1503655.6501104292</v>
      </c>
      <c r="U89" s="166">
        <v>82173713</v>
      </c>
      <c r="V89" s="168">
        <v>443445907</v>
      </c>
      <c r="W89" s="165">
        <v>208703081</v>
      </c>
      <c r="X89" s="165">
        <v>136240007</v>
      </c>
      <c r="Y89" s="165">
        <v>15548423</v>
      </c>
      <c r="Z89" s="165">
        <v>86340694.640000001</v>
      </c>
      <c r="AA89" s="165">
        <v>15487436.4</v>
      </c>
      <c r="AB89" s="165">
        <v>1655945</v>
      </c>
      <c r="AC89" s="165">
        <v>134.41666666666666</v>
      </c>
      <c r="AD89" s="165">
        <v>217535318.03999999</v>
      </c>
      <c r="AE89" s="165">
        <v>1618365.6642777433</v>
      </c>
      <c r="AF89" s="166">
        <v>98502819</v>
      </c>
      <c r="AG89" s="11">
        <v>13288758.900000006</v>
      </c>
      <c r="AH89" s="12">
        <v>-1.4166666666666856</v>
      </c>
      <c r="AI89" s="132">
        <v>0</v>
      </c>
      <c r="AJ89" s="132">
        <v>0</v>
      </c>
      <c r="AK89" s="13">
        <v>0.15</v>
      </c>
      <c r="AL89" s="13">
        <v>7.6287419928891209E-2</v>
      </c>
      <c r="AM89" s="14">
        <v>0</v>
      </c>
      <c r="AN89" s="14">
        <v>-1</v>
      </c>
      <c r="AO89" s="82">
        <v>625259.36687116558</v>
      </c>
      <c r="AP89" s="82">
        <v>642336.22794792312</v>
      </c>
      <c r="AQ89" s="82">
        <v>17076.861076757545</v>
      </c>
      <c r="AR89" s="129">
        <v>2.7311643745876468E-2</v>
      </c>
    </row>
    <row r="90" spans="1:44" ht="28.8" x14ac:dyDescent="0.3">
      <c r="A90" s="136" t="s">
        <v>236</v>
      </c>
      <c r="B90" s="137" t="s">
        <v>4866</v>
      </c>
      <c r="C90" s="134">
        <v>2019</v>
      </c>
      <c r="D90" s="149" t="s">
        <v>4865</v>
      </c>
      <c r="E90" s="135" t="s">
        <v>1108</v>
      </c>
      <c r="F90" s="384" t="s">
        <v>235</v>
      </c>
      <c r="G90" s="138" t="s">
        <v>4773</v>
      </c>
      <c r="H90" s="138" t="s">
        <v>2975</v>
      </c>
      <c r="I90" s="138" t="s">
        <v>1566</v>
      </c>
      <c r="J90" s="135" t="s">
        <v>4778</v>
      </c>
      <c r="K90" s="164">
        <v>1302921695</v>
      </c>
      <c r="L90" s="165">
        <v>1038697466</v>
      </c>
      <c r="M90" s="165">
        <v>332916610</v>
      </c>
      <c r="N90" s="165">
        <v>44703973</v>
      </c>
      <c r="O90" s="165">
        <v>421669569</v>
      </c>
      <c r="P90" s="165">
        <v>111568231</v>
      </c>
      <c r="Q90" s="165">
        <v>7265042</v>
      </c>
      <c r="R90" s="165">
        <v>585.33333333333337</v>
      </c>
      <c r="S90" s="165">
        <v>516514434</v>
      </c>
      <c r="T90" s="165">
        <v>882427.84851936216</v>
      </c>
      <c r="U90" s="166">
        <v>-68692381</v>
      </c>
      <c r="V90" s="168">
        <v>1972745540</v>
      </c>
      <c r="W90" s="165">
        <v>1840740379</v>
      </c>
      <c r="X90" s="165">
        <v>223567068</v>
      </c>
      <c r="Y90" s="165">
        <v>46641055</v>
      </c>
      <c r="Z90" s="165">
        <v>401618910.89999998</v>
      </c>
      <c r="AA90" s="165">
        <v>113268004.32000001</v>
      </c>
      <c r="AB90" s="165">
        <v>11158507</v>
      </c>
      <c r="AC90" s="165">
        <v>473.58333333333331</v>
      </c>
      <c r="AD90" s="165">
        <v>481124570.21999997</v>
      </c>
      <c r="AE90" s="165">
        <v>1015923.780158367</v>
      </c>
      <c r="AF90" s="166">
        <v>-91561907</v>
      </c>
      <c r="AG90" s="11">
        <v>-35389863.780000031</v>
      </c>
      <c r="AH90" s="12">
        <v>-111.75000000000006</v>
      </c>
      <c r="AI90" s="132">
        <v>1</v>
      </c>
      <c r="AJ90" s="132">
        <v>1</v>
      </c>
      <c r="AK90" s="13">
        <v>0.15</v>
      </c>
      <c r="AL90" s="13">
        <v>0.15128254394962726</v>
      </c>
      <c r="AM90" s="14">
        <v>1</v>
      </c>
      <c r="AN90" s="14">
        <v>0</v>
      </c>
      <c r="AO90" s="82">
        <v>720392.2021640091</v>
      </c>
      <c r="AP90" s="82">
        <v>848042.74692943867</v>
      </c>
      <c r="AQ90" s="82">
        <v>127650.54476542957</v>
      </c>
      <c r="AR90" s="129">
        <v>0.17719590020821441</v>
      </c>
    </row>
    <row r="91" spans="1:44" ht="28.8" x14ac:dyDescent="0.3">
      <c r="A91" s="136" t="s">
        <v>237</v>
      </c>
      <c r="B91" s="137" t="s">
        <v>4867</v>
      </c>
      <c r="C91" s="134">
        <v>2019</v>
      </c>
      <c r="D91" s="149" t="s">
        <v>4865</v>
      </c>
      <c r="E91" s="135" t="s">
        <v>1108</v>
      </c>
      <c r="F91" s="384" t="s">
        <v>235</v>
      </c>
      <c r="G91" s="138" t="s">
        <v>4773</v>
      </c>
      <c r="H91" s="138" t="s">
        <v>2975</v>
      </c>
      <c r="I91" s="138" t="s">
        <v>1566</v>
      </c>
      <c r="J91" s="135" t="s">
        <v>4778</v>
      </c>
      <c r="K91" s="164">
        <v>6951937209</v>
      </c>
      <c r="L91" s="165">
        <v>6706483233</v>
      </c>
      <c r="M91" s="165">
        <v>619031215</v>
      </c>
      <c r="N91" s="165">
        <v>333569744</v>
      </c>
      <c r="O91" s="165">
        <v>1235938254</v>
      </c>
      <c r="P91" s="165">
        <v>331450883</v>
      </c>
      <c r="Q91" s="165">
        <v>40391182</v>
      </c>
      <c r="R91" s="165">
        <v>1429.6666666666667</v>
      </c>
      <c r="S91" s="165">
        <v>1567772824</v>
      </c>
      <c r="T91" s="165">
        <v>1096600.2499417113</v>
      </c>
      <c r="U91" s="166">
        <v>-373577239</v>
      </c>
      <c r="V91" s="168">
        <v>5475223209</v>
      </c>
      <c r="W91" s="165">
        <v>5734431037</v>
      </c>
      <c r="X91" s="165">
        <v>314760943</v>
      </c>
      <c r="Y91" s="165">
        <v>346558463</v>
      </c>
      <c r="Z91" s="165">
        <v>1122706269.6699998</v>
      </c>
      <c r="AA91" s="165">
        <v>341228895.64999998</v>
      </c>
      <c r="AB91" s="165">
        <v>38740626</v>
      </c>
      <c r="AC91" s="165">
        <v>1347.75</v>
      </c>
      <c r="AD91" s="165">
        <v>1275265483.3199997</v>
      </c>
      <c r="AE91" s="165">
        <v>946218.12897050614</v>
      </c>
      <c r="AF91" s="166">
        <v>-573968771</v>
      </c>
      <c r="AG91" s="11">
        <v>-292507340.68000031</v>
      </c>
      <c r="AH91" s="12">
        <v>-81.916666666666742</v>
      </c>
      <c r="AI91" s="132">
        <v>0</v>
      </c>
      <c r="AJ91" s="132">
        <v>0</v>
      </c>
      <c r="AK91" s="13">
        <v>0.15</v>
      </c>
      <c r="AL91" s="13">
        <v>-0.13713485839529949</v>
      </c>
      <c r="AM91" s="14">
        <v>0</v>
      </c>
      <c r="AN91" s="14">
        <v>-1</v>
      </c>
      <c r="AO91" s="82">
        <v>864493.99906738161</v>
      </c>
      <c r="AP91" s="82">
        <v>833022.6449044703</v>
      </c>
      <c r="AQ91" s="82">
        <v>-31471.354162911302</v>
      </c>
      <c r="AR91" s="129">
        <v>-3.6404363936432982E-2</v>
      </c>
    </row>
    <row r="92" spans="1:44" ht="28.8" x14ac:dyDescent="0.3">
      <c r="A92" s="136" t="s">
        <v>238</v>
      </c>
      <c r="B92" s="137" t="s">
        <v>4868</v>
      </c>
      <c r="C92" s="134">
        <v>2020</v>
      </c>
      <c r="D92" s="149" t="s">
        <v>4865</v>
      </c>
      <c r="E92" s="135" t="s">
        <v>1108</v>
      </c>
      <c r="F92" s="384" t="s">
        <v>235</v>
      </c>
      <c r="G92" s="138" t="s">
        <v>4773</v>
      </c>
      <c r="H92" s="138" t="s">
        <v>3455</v>
      </c>
      <c r="I92" s="138" t="s">
        <v>1566</v>
      </c>
      <c r="J92" s="135" t="s">
        <v>4778</v>
      </c>
      <c r="K92" s="164">
        <v>2152575111</v>
      </c>
      <c r="L92" s="165">
        <v>1216314658</v>
      </c>
      <c r="M92" s="165">
        <v>742587157</v>
      </c>
      <c r="N92" s="165">
        <v>63476524</v>
      </c>
      <c r="O92" s="165">
        <v>138061013</v>
      </c>
      <c r="P92" s="165">
        <v>36279363</v>
      </c>
      <c r="Q92" s="165">
        <v>1388779</v>
      </c>
      <c r="R92" s="165">
        <v>404.91666666666669</v>
      </c>
      <c r="S92" s="165">
        <v>432878975</v>
      </c>
      <c r="T92" s="165">
        <v>1069056.9458736365</v>
      </c>
      <c r="U92" s="166">
        <v>193673296</v>
      </c>
      <c r="V92" s="168">
        <v>1473441231</v>
      </c>
      <c r="W92" s="165">
        <v>926134079</v>
      </c>
      <c r="X92" s="165">
        <v>527088754</v>
      </c>
      <c r="Y92" s="165">
        <v>66955799</v>
      </c>
      <c r="Z92" s="165">
        <v>157990743.91000003</v>
      </c>
      <c r="AA92" s="165">
        <v>44152244</v>
      </c>
      <c r="AB92" s="165">
        <v>1220117</v>
      </c>
      <c r="AC92" s="165">
        <v>399.83333333333331</v>
      </c>
      <c r="AD92" s="165">
        <v>290537301.91000003</v>
      </c>
      <c r="AE92" s="165">
        <v>726646.02395164664</v>
      </c>
      <c r="AF92" s="166">
        <v>20218398</v>
      </c>
      <c r="AG92" s="11">
        <v>-142341673.08999997</v>
      </c>
      <c r="AH92" s="12">
        <v>-5.0833333333333712</v>
      </c>
      <c r="AI92" s="132">
        <v>0</v>
      </c>
      <c r="AJ92" s="132">
        <v>0</v>
      </c>
      <c r="AK92" s="13">
        <v>0.1</v>
      </c>
      <c r="AL92" s="13">
        <v>-0.32029250640015006</v>
      </c>
      <c r="AM92" s="14">
        <v>0</v>
      </c>
      <c r="AN92" s="14">
        <v>-1</v>
      </c>
      <c r="AO92" s="82">
        <v>340961.5468203334</v>
      </c>
      <c r="AP92" s="82">
        <v>395141.5020675282</v>
      </c>
      <c r="AQ92" s="82">
        <v>54179.955247194797</v>
      </c>
      <c r="AR92" s="129">
        <v>0.15890341814921571</v>
      </c>
    </row>
    <row r="93" spans="1:44" ht="28.8" x14ac:dyDescent="0.3">
      <c r="A93" s="136" t="s">
        <v>239</v>
      </c>
      <c r="B93" s="137" t="s">
        <v>4869</v>
      </c>
      <c r="C93" s="134">
        <v>2020</v>
      </c>
      <c r="D93" s="149" t="s">
        <v>4865</v>
      </c>
      <c r="E93" s="135" t="s">
        <v>1108</v>
      </c>
      <c r="F93" s="384" t="s">
        <v>235</v>
      </c>
      <c r="G93" s="138" t="s">
        <v>4796</v>
      </c>
      <c r="H93" s="138" t="s">
        <v>2566</v>
      </c>
      <c r="I93" s="138" t="s">
        <v>1566</v>
      </c>
      <c r="J93" s="135" t="s">
        <v>4774</v>
      </c>
      <c r="K93" s="164">
        <v>643892812</v>
      </c>
      <c r="L93" s="165">
        <v>382273345</v>
      </c>
      <c r="M93" s="165">
        <v>214518696</v>
      </c>
      <c r="N93" s="165">
        <v>28739774</v>
      </c>
      <c r="O93" s="165">
        <v>35699305.5</v>
      </c>
      <c r="P93" s="165">
        <v>7034661.8700000001</v>
      </c>
      <c r="Q93" s="165">
        <v>251435</v>
      </c>
      <c r="R93" s="165">
        <v>88.083333333333329</v>
      </c>
      <c r="S93" s="165">
        <v>118825947.37</v>
      </c>
      <c r="T93" s="165">
        <v>1349017.3778997164</v>
      </c>
      <c r="U93" s="166">
        <v>47100771</v>
      </c>
      <c r="V93" s="168">
        <v>750150548</v>
      </c>
      <c r="W93" s="165">
        <v>404568119</v>
      </c>
      <c r="X93" s="165">
        <v>162683469</v>
      </c>
      <c r="Y93" s="165">
        <v>32269639</v>
      </c>
      <c r="Z93" s="165">
        <v>34531424.090000004</v>
      </c>
      <c r="AA93" s="165">
        <v>6897567.1000000006</v>
      </c>
      <c r="AB93" s="165">
        <v>251435</v>
      </c>
      <c r="AC93" s="165">
        <v>94.416666666666671</v>
      </c>
      <c r="AD93" s="165">
        <v>256849025.19</v>
      </c>
      <c r="AE93" s="165">
        <v>2720378.0249602823</v>
      </c>
      <c r="AF93" s="166">
        <v>182898960</v>
      </c>
      <c r="AG93" s="11">
        <v>138023077.81999999</v>
      </c>
      <c r="AH93" s="12">
        <v>6.3333333333333428</v>
      </c>
      <c r="AI93" s="132">
        <v>1</v>
      </c>
      <c r="AJ93" s="132">
        <v>1</v>
      </c>
      <c r="AK93" s="13">
        <v>0.05</v>
      </c>
      <c r="AL93" s="13">
        <v>1.0165626183407661</v>
      </c>
      <c r="AM93" s="14">
        <v>1</v>
      </c>
      <c r="AN93" s="14">
        <v>0</v>
      </c>
      <c r="AO93" s="82">
        <v>405290.12866603595</v>
      </c>
      <c r="AP93" s="82">
        <v>365734.41225066199</v>
      </c>
      <c r="AQ93" s="82">
        <v>-39555.716415373958</v>
      </c>
      <c r="AR93" s="129">
        <v>-9.7598519227613201E-2</v>
      </c>
    </row>
    <row r="94" spans="1:44" ht="28.8" x14ac:dyDescent="0.3">
      <c r="A94" s="136" t="s">
        <v>240</v>
      </c>
      <c r="B94" s="137" t="s">
        <v>4870</v>
      </c>
      <c r="C94" s="134">
        <v>2019</v>
      </c>
      <c r="D94" s="149" t="s">
        <v>4865</v>
      </c>
      <c r="E94" s="135" t="s">
        <v>1108</v>
      </c>
      <c r="F94" s="384" t="s">
        <v>235</v>
      </c>
      <c r="G94" s="138" t="s">
        <v>4773</v>
      </c>
      <c r="H94" s="138" t="s">
        <v>2151</v>
      </c>
      <c r="I94" s="138" t="s">
        <v>1566</v>
      </c>
      <c r="J94" s="135" t="s">
        <v>4778</v>
      </c>
      <c r="K94" s="164">
        <v>1286105569</v>
      </c>
      <c r="L94" s="165">
        <v>1094609166</v>
      </c>
      <c r="M94" s="165">
        <v>194813517</v>
      </c>
      <c r="N94" s="165">
        <v>30650548</v>
      </c>
      <c r="O94" s="165">
        <v>149067689</v>
      </c>
      <c r="P94" s="165">
        <v>40965737</v>
      </c>
      <c r="Q94" s="165">
        <v>835679</v>
      </c>
      <c r="R94" s="165">
        <v>340.08333333333331</v>
      </c>
      <c r="S94" s="165">
        <v>218202539</v>
      </c>
      <c r="T94" s="165">
        <v>641614.91497182066</v>
      </c>
      <c r="U94" s="166">
        <v>-3317114</v>
      </c>
      <c r="V94" s="168">
        <v>1597318340</v>
      </c>
      <c r="W94" s="165">
        <v>1217515231</v>
      </c>
      <c r="X94" s="165">
        <v>277242306</v>
      </c>
      <c r="Y94" s="165">
        <v>57057325</v>
      </c>
      <c r="Z94" s="165">
        <v>174259512</v>
      </c>
      <c r="AA94" s="165">
        <v>34660065.939999998</v>
      </c>
      <c r="AB94" s="165">
        <v>719574</v>
      </c>
      <c r="AC94" s="165">
        <v>348.16666666666669</v>
      </c>
      <c r="AD94" s="165">
        <v>369257279.94</v>
      </c>
      <c r="AE94" s="165">
        <v>1060576.1989660123</v>
      </c>
      <c r="AF94" s="166">
        <v>102560803</v>
      </c>
      <c r="AG94" s="11">
        <v>151054740.94</v>
      </c>
      <c r="AH94" s="12">
        <v>8.0833333333333712</v>
      </c>
      <c r="AI94" s="132">
        <v>1</v>
      </c>
      <c r="AJ94" s="132">
        <v>1</v>
      </c>
      <c r="AK94" s="13">
        <v>0.15</v>
      </c>
      <c r="AL94" s="13">
        <v>0.65297935485944358</v>
      </c>
      <c r="AM94" s="14">
        <v>1</v>
      </c>
      <c r="AN94" s="14">
        <v>0</v>
      </c>
      <c r="AO94" s="82">
        <v>438326.94633668219</v>
      </c>
      <c r="AP94" s="82">
        <v>500506.01819052175</v>
      </c>
      <c r="AQ94" s="82">
        <v>62179.071853839559</v>
      </c>
      <c r="AR94" s="129">
        <v>0.14185546285370143</v>
      </c>
    </row>
    <row r="95" spans="1:44" ht="28.8" x14ac:dyDescent="0.3">
      <c r="A95" s="136" t="s">
        <v>241</v>
      </c>
      <c r="B95" s="137" t="s">
        <v>4871</v>
      </c>
      <c r="C95" s="134">
        <v>2020</v>
      </c>
      <c r="D95" s="149" t="s">
        <v>4865</v>
      </c>
      <c r="E95" s="135" t="s">
        <v>1108</v>
      </c>
      <c r="F95" s="384" t="s">
        <v>235</v>
      </c>
      <c r="G95" s="138" t="s">
        <v>4773</v>
      </c>
      <c r="H95" s="138" t="s">
        <v>2276</v>
      </c>
      <c r="I95" s="138" t="s">
        <v>1566</v>
      </c>
      <c r="J95" s="135" t="s">
        <v>4778</v>
      </c>
      <c r="K95" s="164">
        <v>2605283885</v>
      </c>
      <c r="L95" s="165">
        <v>2407293052</v>
      </c>
      <c r="M95" s="165">
        <v>111231869</v>
      </c>
      <c r="N95" s="165">
        <v>8593750</v>
      </c>
      <c r="O95" s="165">
        <v>233696189</v>
      </c>
      <c r="P95" s="165">
        <v>59367492</v>
      </c>
      <c r="Q95" s="165">
        <v>0</v>
      </c>
      <c r="R95" s="165">
        <v>367.75</v>
      </c>
      <c r="S95" s="165">
        <v>388416395</v>
      </c>
      <c r="T95" s="165">
        <v>1056196.8592794018</v>
      </c>
      <c r="U95" s="166">
        <v>86758964</v>
      </c>
      <c r="V95" s="168">
        <v>3076966968</v>
      </c>
      <c r="W95" s="165">
        <v>2811744908</v>
      </c>
      <c r="X95" s="165">
        <v>175281222</v>
      </c>
      <c r="Y95" s="165">
        <v>9820475</v>
      </c>
      <c r="Z95" s="165">
        <v>255838690.52000001</v>
      </c>
      <c r="AA95" s="165">
        <v>73803831.980000004</v>
      </c>
      <c r="AB95" s="165">
        <v>0</v>
      </c>
      <c r="AC95" s="165">
        <v>365.75</v>
      </c>
      <c r="AD95" s="165">
        <v>429403835.5</v>
      </c>
      <c r="AE95" s="165">
        <v>1174036.4606971976</v>
      </c>
      <c r="AF95" s="166">
        <v>89940838</v>
      </c>
      <c r="AG95" s="11">
        <v>40987440.5</v>
      </c>
      <c r="AH95" s="12">
        <v>-2</v>
      </c>
      <c r="AI95" s="132">
        <v>1</v>
      </c>
      <c r="AJ95" s="132">
        <v>1</v>
      </c>
      <c r="AK95" s="13">
        <v>0.1</v>
      </c>
      <c r="AL95" s="13">
        <v>0.11156973142298487</v>
      </c>
      <c r="AM95" s="14">
        <v>1</v>
      </c>
      <c r="AN95" s="14">
        <v>0</v>
      </c>
      <c r="AO95" s="82">
        <v>635475.70088375255</v>
      </c>
      <c r="AP95" s="82">
        <v>699490.60976076557</v>
      </c>
      <c r="AQ95" s="82">
        <v>64014.908877013018</v>
      </c>
      <c r="AR95" s="129">
        <v>0.10073541567047783</v>
      </c>
    </row>
    <row r="96" spans="1:44" ht="28.8" x14ac:dyDescent="0.3">
      <c r="A96" s="136" t="s">
        <v>242</v>
      </c>
      <c r="B96" s="137" t="s">
        <v>4872</v>
      </c>
      <c r="C96" s="134">
        <v>2020</v>
      </c>
      <c r="D96" s="149" t="s">
        <v>4873</v>
      </c>
      <c r="E96" s="135" t="s">
        <v>1140</v>
      </c>
      <c r="F96" s="384" t="s">
        <v>243</v>
      </c>
      <c r="G96" s="138" t="s">
        <v>4773</v>
      </c>
      <c r="H96" s="138" t="s">
        <v>1792</v>
      </c>
      <c r="I96" s="138" t="s">
        <v>1566</v>
      </c>
      <c r="J96" s="135" t="s">
        <v>4778</v>
      </c>
      <c r="K96" s="164">
        <v>2618971721</v>
      </c>
      <c r="L96" s="165">
        <v>1972848586</v>
      </c>
      <c r="M96" s="165">
        <v>626743018</v>
      </c>
      <c r="N96" s="165">
        <v>21403236</v>
      </c>
      <c r="O96" s="165">
        <v>352565016</v>
      </c>
      <c r="P96" s="165">
        <v>104717041</v>
      </c>
      <c r="Q96" s="165">
        <v>1689687</v>
      </c>
      <c r="R96" s="165">
        <v>1192.8333333333333</v>
      </c>
      <c r="S96" s="165">
        <v>499755097</v>
      </c>
      <c r="T96" s="165">
        <v>418964.73131200229</v>
      </c>
      <c r="U96" s="166">
        <v>19380117</v>
      </c>
      <c r="V96" s="168">
        <v>3054085732</v>
      </c>
      <c r="W96" s="165">
        <v>2345163716</v>
      </c>
      <c r="X96" s="165">
        <v>595734619</v>
      </c>
      <c r="Y96" s="165">
        <v>21946452</v>
      </c>
      <c r="Z96" s="165">
        <v>393451973</v>
      </c>
      <c r="AA96" s="165">
        <v>116943079</v>
      </c>
      <c r="AB96" s="165">
        <v>1622552</v>
      </c>
      <c r="AC96" s="165">
        <v>1157.25</v>
      </c>
      <c r="AD96" s="165">
        <v>647151453</v>
      </c>
      <c r="AE96" s="165">
        <v>559214.90861957229</v>
      </c>
      <c r="AF96" s="166">
        <v>113187397</v>
      </c>
      <c r="AG96" s="11">
        <v>147396356</v>
      </c>
      <c r="AH96" s="12">
        <v>-35.583333333333258</v>
      </c>
      <c r="AI96" s="132">
        <v>1</v>
      </c>
      <c r="AJ96" s="132">
        <v>1</v>
      </c>
      <c r="AK96" s="13">
        <v>0.1</v>
      </c>
      <c r="AL96" s="13">
        <v>0.3347541450565541</v>
      </c>
      <c r="AM96" s="14">
        <v>1</v>
      </c>
      <c r="AN96" s="14">
        <v>0</v>
      </c>
      <c r="AO96" s="82">
        <v>295569.38605560991</v>
      </c>
      <c r="AP96" s="82">
        <v>339988.74314106716</v>
      </c>
      <c r="AQ96" s="82">
        <v>44419.357085457246</v>
      </c>
      <c r="AR96" s="129">
        <v>0.15028402527824714</v>
      </c>
    </row>
    <row r="97" spans="1:44" ht="28.8" x14ac:dyDescent="0.3">
      <c r="A97" s="136" t="s">
        <v>244</v>
      </c>
      <c r="B97" s="137" t="s">
        <v>4874</v>
      </c>
      <c r="C97" s="134">
        <v>2019</v>
      </c>
      <c r="D97" s="149" t="s">
        <v>1143</v>
      </c>
      <c r="E97" s="135" t="s">
        <v>1140</v>
      </c>
      <c r="F97" s="384" t="s">
        <v>243</v>
      </c>
      <c r="G97" s="138" t="s">
        <v>4773</v>
      </c>
      <c r="H97" s="138" t="s">
        <v>3361</v>
      </c>
      <c r="I97" s="138" t="s">
        <v>1566</v>
      </c>
      <c r="J97" s="135" t="s">
        <v>4774</v>
      </c>
      <c r="K97" s="164">
        <v>3174739741</v>
      </c>
      <c r="L97" s="165">
        <v>2276474964</v>
      </c>
      <c r="M97" s="165">
        <v>100386020</v>
      </c>
      <c r="N97" s="165">
        <v>126523591</v>
      </c>
      <c r="O97" s="165">
        <v>501014973</v>
      </c>
      <c r="P97" s="165">
        <v>148551323</v>
      </c>
      <c r="Q97" s="165">
        <v>1578780</v>
      </c>
      <c r="R97" s="165">
        <v>969.66666666666663</v>
      </c>
      <c r="S97" s="165">
        <v>1575547424</v>
      </c>
      <c r="T97" s="165">
        <v>1624834.0570642834</v>
      </c>
      <c r="U97" s="166">
        <v>797878757</v>
      </c>
      <c r="V97" s="168">
        <v>5546957044</v>
      </c>
      <c r="W97" s="165">
        <v>3758384860</v>
      </c>
      <c r="X97" s="165">
        <v>135819157</v>
      </c>
      <c r="Y97" s="165">
        <v>193096886</v>
      </c>
      <c r="Z97" s="165">
        <v>798977913</v>
      </c>
      <c r="AA97" s="165">
        <v>230477442</v>
      </c>
      <c r="AB97" s="165">
        <v>191724</v>
      </c>
      <c r="AC97" s="165">
        <v>1273.9166666666667</v>
      </c>
      <c r="AD97" s="165">
        <v>2875496992</v>
      </c>
      <c r="AE97" s="165">
        <v>2257209.6489827959</v>
      </c>
      <c r="AF97" s="166">
        <v>1652753027</v>
      </c>
      <c r="AG97" s="11">
        <v>1299949568</v>
      </c>
      <c r="AH97" s="12">
        <v>304.25000000000011</v>
      </c>
      <c r="AI97" s="132">
        <v>1</v>
      </c>
      <c r="AJ97" s="132">
        <v>1</v>
      </c>
      <c r="AK97" s="13">
        <v>0.15</v>
      </c>
      <c r="AL97" s="13">
        <v>0.38919395251968059</v>
      </c>
      <c r="AM97" s="14">
        <v>1</v>
      </c>
      <c r="AN97" s="14">
        <v>0</v>
      </c>
      <c r="AO97" s="82">
        <v>516687.83740116883</v>
      </c>
      <c r="AP97" s="82">
        <v>627182.24347484787</v>
      </c>
      <c r="AQ97" s="82">
        <v>110494.40607367904</v>
      </c>
      <c r="AR97" s="129">
        <v>0.21385137809599453</v>
      </c>
    </row>
    <row r="98" spans="1:44" ht="28.8" x14ac:dyDescent="0.3">
      <c r="A98" s="136" t="s">
        <v>245</v>
      </c>
      <c r="B98" s="137" t="s">
        <v>4875</v>
      </c>
      <c r="C98" s="134">
        <v>2019</v>
      </c>
      <c r="D98" s="149" t="s">
        <v>1143</v>
      </c>
      <c r="E98" s="135" t="s">
        <v>1140</v>
      </c>
      <c r="F98" s="384" t="s">
        <v>243</v>
      </c>
      <c r="G98" s="138" t="s">
        <v>4773</v>
      </c>
      <c r="H98" s="138" t="s">
        <v>2524</v>
      </c>
      <c r="I98" s="138" t="s">
        <v>1566</v>
      </c>
      <c r="J98" s="135" t="s">
        <v>4778</v>
      </c>
      <c r="K98" s="164">
        <v>488930984</v>
      </c>
      <c r="L98" s="165">
        <v>387726351</v>
      </c>
      <c r="M98" s="165">
        <v>92323368</v>
      </c>
      <c r="N98" s="165">
        <v>12893996</v>
      </c>
      <c r="O98" s="165">
        <v>167085400</v>
      </c>
      <c r="P98" s="165">
        <v>49635075</v>
      </c>
      <c r="Q98" s="165">
        <v>0</v>
      </c>
      <c r="R98" s="165">
        <v>390.83333333333331</v>
      </c>
      <c r="S98" s="165">
        <v>238495736</v>
      </c>
      <c r="T98" s="165">
        <v>610223.63155650324</v>
      </c>
      <c r="U98" s="166">
        <v>8881265</v>
      </c>
      <c r="V98" s="168">
        <v>604675671</v>
      </c>
      <c r="W98" s="165">
        <v>433413006</v>
      </c>
      <c r="X98" s="165">
        <v>117218912</v>
      </c>
      <c r="Y98" s="165">
        <v>14045114</v>
      </c>
      <c r="Z98" s="165">
        <v>184855107.63</v>
      </c>
      <c r="AA98" s="165">
        <v>54940085.890000001</v>
      </c>
      <c r="AB98" s="165">
        <v>711798</v>
      </c>
      <c r="AC98" s="165">
        <v>382.08333333333331</v>
      </c>
      <c r="AD98" s="165">
        <v>308595858.51999998</v>
      </c>
      <c r="AE98" s="165">
        <v>807666.36908178846</v>
      </c>
      <c r="AF98" s="166">
        <v>54043753</v>
      </c>
      <c r="AG98" s="11">
        <v>70100122.519999981</v>
      </c>
      <c r="AH98" s="12">
        <v>-8.75</v>
      </c>
      <c r="AI98" s="132">
        <v>1</v>
      </c>
      <c r="AJ98" s="132">
        <v>1</v>
      </c>
      <c r="AK98" s="13">
        <v>0.15</v>
      </c>
      <c r="AL98" s="13">
        <v>0.32355800446469107</v>
      </c>
      <c r="AM98" s="14">
        <v>1</v>
      </c>
      <c r="AN98" s="14">
        <v>0</v>
      </c>
      <c r="AO98" s="82">
        <v>427510.61833688704</v>
      </c>
      <c r="AP98" s="82">
        <v>483808.35148527811</v>
      </c>
      <c r="AQ98" s="82">
        <v>56297.733148391068</v>
      </c>
      <c r="AR98" s="129">
        <v>0.13168733297760404</v>
      </c>
    </row>
    <row r="99" spans="1:44" ht="28.8" x14ac:dyDescent="0.3">
      <c r="A99" s="136" t="s">
        <v>246</v>
      </c>
      <c r="B99" s="137" t="s">
        <v>4876</v>
      </c>
      <c r="C99" s="134">
        <v>2019</v>
      </c>
      <c r="D99" s="149" t="s">
        <v>1143</v>
      </c>
      <c r="E99" s="135" t="s">
        <v>1140</v>
      </c>
      <c r="F99" s="384" t="s">
        <v>243</v>
      </c>
      <c r="G99" s="138" t="s">
        <v>4773</v>
      </c>
      <c r="H99" s="138" t="s">
        <v>2333</v>
      </c>
      <c r="I99" s="138" t="s">
        <v>1566</v>
      </c>
      <c r="J99" s="135" t="s">
        <v>4774</v>
      </c>
      <c r="K99" s="164">
        <v>1419297192</v>
      </c>
      <c r="L99" s="165">
        <v>1274407563</v>
      </c>
      <c r="M99" s="165">
        <v>95682179</v>
      </c>
      <c r="N99" s="165">
        <v>3213818</v>
      </c>
      <c r="O99" s="165">
        <v>65265023</v>
      </c>
      <c r="P99" s="165">
        <v>19178601</v>
      </c>
      <c r="Q99" s="165">
        <v>212590</v>
      </c>
      <c r="R99" s="165">
        <v>135.16666666666666</v>
      </c>
      <c r="S99" s="165">
        <v>137077482</v>
      </c>
      <c r="T99" s="165">
        <v>1014136.7348951912</v>
      </c>
      <c r="U99" s="166">
        <v>49207450</v>
      </c>
      <c r="V99" s="168">
        <v>1983618076</v>
      </c>
      <c r="W99" s="165">
        <v>1781185939</v>
      </c>
      <c r="X99" s="165">
        <v>118164764</v>
      </c>
      <c r="Y99" s="165">
        <v>2096477</v>
      </c>
      <c r="Z99" s="165">
        <v>74160804.039999992</v>
      </c>
      <c r="AA99" s="165">
        <v>22177057.66</v>
      </c>
      <c r="AB99" s="165">
        <v>170596</v>
      </c>
      <c r="AC99" s="165">
        <v>127.66666666666667</v>
      </c>
      <c r="AD99" s="165">
        <v>182872307.69999999</v>
      </c>
      <c r="AE99" s="165">
        <v>1432420.1647519581</v>
      </c>
      <c r="AF99" s="166">
        <v>84267373</v>
      </c>
      <c r="AG99" s="11">
        <v>45794825.699999988</v>
      </c>
      <c r="AH99" s="12">
        <v>-7.4999999999999858</v>
      </c>
      <c r="AI99" s="132">
        <v>1</v>
      </c>
      <c r="AJ99" s="132">
        <v>1</v>
      </c>
      <c r="AK99" s="13">
        <v>0.15</v>
      </c>
      <c r="AL99" s="13">
        <v>0.41245269757658809</v>
      </c>
      <c r="AM99" s="14">
        <v>1</v>
      </c>
      <c r="AN99" s="14">
        <v>0</v>
      </c>
      <c r="AO99" s="82">
        <v>482848.50554870535</v>
      </c>
      <c r="AP99" s="82">
        <v>580894.0264229764</v>
      </c>
      <c r="AQ99" s="82">
        <v>98045.520874271053</v>
      </c>
      <c r="AR99" s="129">
        <v>0.20305648613917304</v>
      </c>
    </row>
    <row r="100" spans="1:44" ht="28.8" x14ac:dyDescent="0.3">
      <c r="A100" s="136" t="s">
        <v>247</v>
      </c>
      <c r="B100" s="137" t="s">
        <v>4877</v>
      </c>
      <c r="C100" s="134">
        <v>2019</v>
      </c>
      <c r="D100" s="149" t="s">
        <v>1143</v>
      </c>
      <c r="E100" s="135" t="s">
        <v>1140</v>
      </c>
      <c r="F100" s="384" t="s">
        <v>243</v>
      </c>
      <c r="G100" s="138" t="s">
        <v>4773</v>
      </c>
      <c r="H100" s="138" t="s">
        <v>3064</v>
      </c>
      <c r="I100" s="138" t="s">
        <v>1566</v>
      </c>
      <c r="J100" s="135" t="s">
        <v>4774</v>
      </c>
      <c r="K100" s="164">
        <v>921537366</v>
      </c>
      <c r="L100" s="165">
        <v>647839835</v>
      </c>
      <c r="M100" s="165">
        <v>214373038</v>
      </c>
      <c r="N100" s="165">
        <v>27295802</v>
      </c>
      <c r="O100" s="165">
        <v>204556728</v>
      </c>
      <c r="P100" s="165">
        <v>51348966</v>
      </c>
      <c r="Q100" s="165">
        <v>2046647</v>
      </c>
      <c r="R100" s="165">
        <v>242.66666666666666</v>
      </c>
      <c r="S100" s="165">
        <v>344572636</v>
      </c>
      <c r="T100" s="165">
        <v>1419942.1813186815</v>
      </c>
      <c r="U100" s="166">
        <v>59324493</v>
      </c>
      <c r="V100" s="168">
        <v>827137478</v>
      </c>
      <c r="W100" s="165">
        <v>616821495</v>
      </c>
      <c r="X100" s="165">
        <v>165261155</v>
      </c>
      <c r="Y100" s="165">
        <v>31749906</v>
      </c>
      <c r="Z100" s="165">
        <v>206202712.38</v>
      </c>
      <c r="AA100" s="165">
        <v>35352539.939999998</v>
      </c>
      <c r="AB100" s="165">
        <v>2237461</v>
      </c>
      <c r="AC100" s="165">
        <v>191.25</v>
      </c>
      <c r="AD100" s="165">
        <v>320597447.31999999</v>
      </c>
      <c r="AE100" s="165">
        <v>1676326.5219346406</v>
      </c>
      <c r="AF100" s="166">
        <v>45054828</v>
      </c>
      <c r="AG100" s="11">
        <v>-23975188.680000007</v>
      </c>
      <c r="AH100" s="12">
        <v>-51.416666666666657</v>
      </c>
      <c r="AI100" s="132">
        <v>1</v>
      </c>
      <c r="AJ100" s="132">
        <v>1</v>
      </c>
      <c r="AK100" s="13">
        <v>0.15</v>
      </c>
      <c r="AL100" s="13">
        <v>0.18055970419865974</v>
      </c>
      <c r="AM100" s="14">
        <v>1</v>
      </c>
      <c r="AN100" s="14">
        <v>0</v>
      </c>
      <c r="AO100" s="82">
        <v>842953.54945054953</v>
      </c>
      <c r="AP100" s="82">
        <v>1078184.1170196079</v>
      </c>
      <c r="AQ100" s="82">
        <v>235230.56756905839</v>
      </c>
      <c r="AR100" s="129">
        <v>0.27905519553525271</v>
      </c>
    </row>
    <row r="101" spans="1:44" ht="28.8" x14ac:dyDescent="0.3">
      <c r="A101" s="136" t="s">
        <v>248</v>
      </c>
      <c r="B101" s="137" t="s">
        <v>4878</v>
      </c>
      <c r="C101" s="134">
        <v>2019</v>
      </c>
      <c r="D101" s="149" t="s">
        <v>1143</v>
      </c>
      <c r="E101" s="135" t="s">
        <v>1140</v>
      </c>
      <c r="F101" s="384" t="s">
        <v>243</v>
      </c>
      <c r="G101" s="138" t="s">
        <v>4773</v>
      </c>
      <c r="H101" s="138" t="s">
        <v>3353</v>
      </c>
      <c r="I101" s="138" t="s">
        <v>1566</v>
      </c>
      <c r="J101" s="135" t="s">
        <v>4774</v>
      </c>
      <c r="K101" s="164">
        <v>1881718920</v>
      </c>
      <c r="L101" s="165">
        <v>1110817367</v>
      </c>
      <c r="M101" s="165">
        <v>691386906</v>
      </c>
      <c r="N101" s="165">
        <v>53095509</v>
      </c>
      <c r="O101" s="165">
        <v>203672539</v>
      </c>
      <c r="P101" s="165">
        <v>59566460</v>
      </c>
      <c r="Q101" s="165">
        <v>2679125</v>
      </c>
      <c r="R101" s="165">
        <v>444.83333333333331</v>
      </c>
      <c r="S101" s="165">
        <v>398528280</v>
      </c>
      <c r="T101" s="165">
        <v>895904.71337579621</v>
      </c>
      <c r="U101" s="166">
        <v>79514647</v>
      </c>
      <c r="V101" s="168">
        <v>1933003377</v>
      </c>
      <c r="W101" s="165">
        <v>1224932692</v>
      </c>
      <c r="X101" s="165">
        <v>675916454</v>
      </c>
      <c r="Y101" s="165">
        <v>38502536</v>
      </c>
      <c r="Z101" s="165">
        <v>189938108</v>
      </c>
      <c r="AA101" s="165">
        <v>56052551.359999999</v>
      </c>
      <c r="AB101" s="165">
        <v>2622278</v>
      </c>
      <c r="AC101" s="165">
        <v>352</v>
      </c>
      <c r="AD101" s="165">
        <v>319269704.36000001</v>
      </c>
      <c r="AE101" s="165">
        <v>907016.20556818182</v>
      </c>
      <c r="AF101" s="166">
        <v>32154231</v>
      </c>
      <c r="AG101" s="11">
        <v>-79258575.639999986</v>
      </c>
      <c r="AH101" s="12">
        <v>-92.833333333333314</v>
      </c>
      <c r="AI101" s="132">
        <v>0</v>
      </c>
      <c r="AJ101" s="132">
        <v>1</v>
      </c>
      <c r="AK101" s="13">
        <v>0.15</v>
      </c>
      <c r="AL101" s="13">
        <v>1.2402546694949335E-2</v>
      </c>
      <c r="AM101" s="14">
        <v>0</v>
      </c>
      <c r="AN101" s="14">
        <v>-1</v>
      </c>
      <c r="AO101" s="82">
        <v>457862.5829898839</v>
      </c>
      <c r="AP101" s="82">
        <v>539596.89772727271</v>
      </c>
      <c r="AQ101" s="82">
        <v>81734.314737388806</v>
      </c>
      <c r="AR101" s="129">
        <v>0.17851276294222673</v>
      </c>
    </row>
    <row r="102" spans="1:44" ht="28.8" x14ac:dyDescent="0.3">
      <c r="A102" s="136" t="s">
        <v>249</v>
      </c>
      <c r="B102" s="137" t="s">
        <v>4879</v>
      </c>
      <c r="C102" s="134">
        <v>2020</v>
      </c>
      <c r="D102" s="149" t="s">
        <v>1141</v>
      </c>
      <c r="E102" s="135" t="s">
        <v>1140</v>
      </c>
      <c r="F102" s="384" t="s">
        <v>243</v>
      </c>
      <c r="G102" s="138" t="s">
        <v>4773</v>
      </c>
      <c r="H102" s="138" t="s">
        <v>2975</v>
      </c>
      <c r="I102" s="138" t="s">
        <v>1566</v>
      </c>
      <c r="J102" s="135" t="s">
        <v>4774</v>
      </c>
      <c r="K102" s="164">
        <v>523177384</v>
      </c>
      <c r="L102" s="165">
        <v>242551942</v>
      </c>
      <c r="M102" s="165">
        <v>113527877</v>
      </c>
      <c r="N102" s="165">
        <v>17262651</v>
      </c>
      <c r="O102" s="165">
        <v>113549868</v>
      </c>
      <c r="P102" s="165">
        <v>22076000</v>
      </c>
      <c r="Q102" s="165">
        <v>608628</v>
      </c>
      <c r="R102" s="165">
        <v>153.75</v>
      </c>
      <c r="S102" s="165">
        <v>320594712</v>
      </c>
      <c r="T102" s="165">
        <v>2085168.8585365855</v>
      </c>
      <c r="U102" s="166">
        <v>167097565</v>
      </c>
      <c r="V102" s="168">
        <v>565318552</v>
      </c>
      <c r="W102" s="165">
        <v>255365233</v>
      </c>
      <c r="X102" s="165">
        <v>103904435</v>
      </c>
      <c r="Y102" s="165">
        <v>18495665</v>
      </c>
      <c r="Z102" s="165">
        <v>116027022</v>
      </c>
      <c r="AA102" s="165">
        <v>20705651</v>
      </c>
      <c r="AB102" s="165">
        <v>522117</v>
      </c>
      <c r="AC102" s="165">
        <v>147.5</v>
      </c>
      <c r="AD102" s="165">
        <v>361799339</v>
      </c>
      <c r="AE102" s="165">
        <v>2452876.874576271</v>
      </c>
      <c r="AF102" s="166">
        <v>206048884</v>
      </c>
      <c r="AG102" s="11">
        <v>41204627</v>
      </c>
      <c r="AH102" s="12">
        <v>-6.25</v>
      </c>
      <c r="AI102" s="132">
        <v>1</v>
      </c>
      <c r="AJ102" s="132">
        <v>1</v>
      </c>
      <c r="AK102" s="13">
        <v>0.1</v>
      </c>
      <c r="AL102" s="13">
        <v>0.17634447600565073</v>
      </c>
      <c r="AM102" s="14">
        <v>1</v>
      </c>
      <c r="AN102" s="14">
        <v>0</v>
      </c>
      <c r="AO102" s="82">
        <v>738535.72682926827</v>
      </c>
      <c r="AP102" s="82">
        <v>786623.87796610175</v>
      </c>
      <c r="AQ102" s="82">
        <v>48088.151136833476</v>
      </c>
      <c r="AR102" s="129">
        <v>6.5112829873902989E-2</v>
      </c>
    </row>
    <row r="103" spans="1:44" ht="28.8" x14ac:dyDescent="0.3">
      <c r="A103" s="136" t="s">
        <v>250</v>
      </c>
      <c r="B103" s="137" t="s">
        <v>4880</v>
      </c>
      <c r="C103" s="134">
        <v>2019</v>
      </c>
      <c r="D103" s="149" t="s">
        <v>1125</v>
      </c>
      <c r="E103" s="135" t="s">
        <v>1117</v>
      </c>
      <c r="F103" s="384" t="s">
        <v>251</v>
      </c>
      <c r="G103" s="138" t="s">
        <v>4773</v>
      </c>
      <c r="H103" s="138" t="s">
        <v>2599</v>
      </c>
      <c r="I103" s="138" t="s">
        <v>1566</v>
      </c>
      <c r="J103" s="135" t="s">
        <v>4778</v>
      </c>
      <c r="K103" s="164">
        <v>928457809</v>
      </c>
      <c r="L103" s="165">
        <v>474024112</v>
      </c>
      <c r="M103" s="165">
        <v>313325544</v>
      </c>
      <c r="N103" s="165">
        <v>46684426</v>
      </c>
      <c r="O103" s="165">
        <v>158911274</v>
      </c>
      <c r="P103" s="165">
        <v>41730304</v>
      </c>
      <c r="Q103" s="165">
        <v>1780153</v>
      </c>
      <c r="R103" s="165">
        <v>403.58333333333331</v>
      </c>
      <c r="S103" s="165">
        <v>390214310</v>
      </c>
      <c r="T103" s="165">
        <v>966874.19368160237</v>
      </c>
      <c r="U103" s="166">
        <v>141108153</v>
      </c>
      <c r="V103" s="168">
        <v>1176352915</v>
      </c>
      <c r="W103" s="165">
        <v>695969747</v>
      </c>
      <c r="X103" s="165">
        <v>343796459</v>
      </c>
      <c r="Y103" s="165">
        <v>43642936</v>
      </c>
      <c r="Z103" s="165">
        <v>183412044</v>
      </c>
      <c r="AA103" s="165">
        <v>54117123</v>
      </c>
      <c r="AB103" s="165">
        <v>1670824</v>
      </c>
      <c r="AC103" s="165">
        <v>379.16666666666669</v>
      </c>
      <c r="AD103" s="165">
        <v>419429636</v>
      </c>
      <c r="AE103" s="165">
        <v>1106188.0509890108</v>
      </c>
      <c r="AF103" s="166">
        <v>136586709</v>
      </c>
      <c r="AG103" s="11">
        <v>29215326</v>
      </c>
      <c r="AH103" s="12">
        <v>-24.416666666666629</v>
      </c>
      <c r="AI103" s="132">
        <v>0</v>
      </c>
      <c r="AJ103" s="132">
        <v>1</v>
      </c>
      <c r="AK103" s="13">
        <v>0.15</v>
      </c>
      <c r="AL103" s="13">
        <v>0.144086853740506</v>
      </c>
      <c r="AM103" s="14">
        <v>0</v>
      </c>
      <c r="AN103" s="14">
        <v>-1</v>
      </c>
      <c r="AO103" s="82">
        <v>393750.83378071443</v>
      </c>
      <c r="AP103" s="82">
        <v>483724.07208791206</v>
      </c>
      <c r="AQ103" s="82">
        <v>89973.238307197636</v>
      </c>
      <c r="AR103" s="129">
        <v>0.22850297850367229</v>
      </c>
    </row>
    <row r="104" spans="1:44" ht="28.8" x14ac:dyDescent="0.3">
      <c r="A104" s="136" t="s">
        <v>252</v>
      </c>
      <c r="B104" s="137" t="s">
        <v>4881</v>
      </c>
      <c r="C104" s="134">
        <v>2020</v>
      </c>
      <c r="D104" s="149" t="s">
        <v>1125</v>
      </c>
      <c r="E104" s="135" t="s">
        <v>1117</v>
      </c>
      <c r="F104" s="384" t="s">
        <v>251</v>
      </c>
      <c r="G104" s="138" t="s">
        <v>4773</v>
      </c>
      <c r="H104" s="138" t="s">
        <v>3122</v>
      </c>
      <c r="I104" s="138" t="s">
        <v>1566</v>
      </c>
      <c r="J104" s="135" t="s">
        <v>4774</v>
      </c>
      <c r="K104" s="164">
        <v>2873617006</v>
      </c>
      <c r="L104" s="165">
        <v>2283667078</v>
      </c>
      <c r="M104" s="165">
        <v>270810370</v>
      </c>
      <c r="N104" s="165">
        <v>46314792</v>
      </c>
      <c r="O104" s="165">
        <v>403118267</v>
      </c>
      <c r="P104" s="165">
        <v>93514862</v>
      </c>
      <c r="Q104" s="165">
        <v>0</v>
      </c>
      <c r="R104" s="165">
        <v>509.66666666666669</v>
      </c>
      <c r="S104" s="165">
        <v>862087479</v>
      </c>
      <c r="T104" s="165">
        <v>1691473.1438848921</v>
      </c>
      <c r="U104" s="166">
        <v>319139558</v>
      </c>
      <c r="V104" s="168">
        <v>3904509136</v>
      </c>
      <c r="W104" s="165">
        <v>3145823771</v>
      </c>
      <c r="X104" s="165">
        <v>285926619</v>
      </c>
      <c r="Y104" s="165">
        <v>53588864</v>
      </c>
      <c r="Z104" s="165">
        <v>439643713.23000002</v>
      </c>
      <c r="AA104" s="165">
        <v>112392039.60000001</v>
      </c>
      <c r="AB104" s="165">
        <v>0</v>
      </c>
      <c r="AC104" s="165">
        <v>527.5</v>
      </c>
      <c r="AD104" s="165">
        <v>1078383362.8299999</v>
      </c>
      <c r="AE104" s="165">
        <v>2044328.6499146917</v>
      </c>
      <c r="AF104" s="166">
        <v>472758746</v>
      </c>
      <c r="AG104" s="11">
        <v>216295883.82999992</v>
      </c>
      <c r="AH104" s="12">
        <v>17.833333333333314</v>
      </c>
      <c r="AI104" s="132">
        <v>1</v>
      </c>
      <c r="AJ104" s="132">
        <v>1</v>
      </c>
      <c r="AK104" s="13">
        <v>0.1</v>
      </c>
      <c r="AL104" s="13">
        <v>0.20860840273230719</v>
      </c>
      <c r="AM104" s="14">
        <v>1</v>
      </c>
      <c r="AN104" s="14">
        <v>0</v>
      </c>
      <c r="AO104" s="82">
        <v>790944.93198168732</v>
      </c>
      <c r="AP104" s="82">
        <v>833447.7975924171</v>
      </c>
      <c r="AQ104" s="82">
        <v>42502.865610729787</v>
      </c>
      <c r="AR104" s="129">
        <v>5.3736820216092829E-2</v>
      </c>
    </row>
    <row r="105" spans="1:44" ht="43.2" x14ac:dyDescent="0.3">
      <c r="A105" s="136" t="s">
        <v>253</v>
      </c>
      <c r="B105" s="137" t="s">
        <v>4882</v>
      </c>
      <c r="C105" s="134">
        <v>2019</v>
      </c>
      <c r="D105" s="149" t="s">
        <v>1125</v>
      </c>
      <c r="E105" s="135" t="s">
        <v>1117</v>
      </c>
      <c r="F105" s="384" t="s">
        <v>254</v>
      </c>
      <c r="G105" s="138" t="s">
        <v>4773</v>
      </c>
      <c r="H105" s="138" t="s">
        <v>2425</v>
      </c>
      <c r="I105" s="138" t="s">
        <v>1566</v>
      </c>
      <c r="J105" s="135" t="s">
        <v>4774</v>
      </c>
      <c r="K105" s="164">
        <v>1020736963</v>
      </c>
      <c r="L105" s="165">
        <v>786623308</v>
      </c>
      <c r="M105" s="165">
        <v>149048923</v>
      </c>
      <c r="N105" s="165">
        <v>1144989</v>
      </c>
      <c r="O105" s="165">
        <v>57040129</v>
      </c>
      <c r="P105" s="165">
        <v>15744833</v>
      </c>
      <c r="Q105" s="165">
        <v>0</v>
      </c>
      <c r="R105" s="165">
        <v>107.58333333333333</v>
      </c>
      <c r="S105" s="165">
        <v>158994683</v>
      </c>
      <c r="T105" s="165">
        <v>1477874.6676994578</v>
      </c>
      <c r="U105" s="166">
        <v>85064732</v>
      </c>
      <c r="V105" s="168">
        <v>566306523</v>
      </c>
      <c r="W105" s="165">
        <v>421064204</v>
      </c>
      <c r="X105" s="165">
        <v>128488078</v>
      </c>
      <c r="Y105" s="165">
        <v>15647596</v>
      </c>
      <c r="Z105" s="165">
        <v>58209978.920000002</v>
      </c>
      <c r="AA105" s="165">
        <v>14113414.910000002</v>
      </c>
      <c r="AB105" s="165">
        <v>0</v>
      </c>
      <c r="AC105" s="165">
        <v>113.41666666666667</v>
      </c>
      <c r="AD105" s="165">
        <v>104725230.83</v>
      </c>
      <c r="AE105" s="165">
        <v>923367.20790595142</v>
      </c>
      <c r="AF105" s="166">
        <v>16754241</v>
      </c>
      <c r="AG105" s="11">
        <v>-54269452.170000002</v>
      </c>
      <c r="AH105" s="12">
        <v>5.8333333333333428</v>
      </c>
      <c r="AI105" s="132">
        <v>0</v>
      </c>
      <c r="AJ105" s="132">
        <v>0</v>
      </c>
      <c r="AK105" s="13">
        <v>0.15</v>
      </c>
      <c r="AL105" s="13">
        <v>-0.37520601121067998</v>
      </c>
      <c r="AM105" s="14">
        <v>0</v>
      </c>
      <c r="AN105" s="14">
        <v>-1</v>
      </c>
      <c r="AO105" s="82">
        <v>530194.84740511235</v>
      </c>
      <c r="AP105" s="82">
        <v>513240.07864805288</v>
      </c>
      <c r="AQ105" s="82">
        <v>-16954.768757059472</v>
      </c>
      <c r="AR105" s="129">
        <v>-3.197837330943476E-2</v>
      </c>
    </row>
    <row r="106" spans="1:44" ht="43.2" x14ac:dyDescent="0.3">
      <c r="A106" s="136" t="s">
        <v>255</v>
      </c>
      <c r="B106" s="137" t="s">
        <v>4883</v>
      </c>
      <c r="C106" s="134">
        <v>2019</v>
      </c>
      <c r="D106" s="149" t="s">
        <v>1125</v>
      </c>
      <c r="E106" s="135" t="s">
        <v>1117</v>
      </c>
      <c r="F106" s="384" t="s">
        <v>254</v>
      </c>
      <c r="G106" s="138" t="s">
        <v>4773</v>
      </c>
      <c r="H106" s="138" t="s">
        <v>1806</v>
      </c>
      <c r="I106" s="138" t="s">
        <v>1566</v>
      </c>
      <c r="J106" s="135" t="s">
        <v>4774</v>
      </c>
      <c r="K106" s="164">
        <v>1626643136</v>
      </c>
      <c r="L106" s="165">
        <v>1476721098</v>
      </c>
      <c r="M106" s="165">
        <v>96775676</v>
      </c>
      <c r="N106" s="165">
        <v>12062798</v>
      </c>
      <c r="O106" s="165">
        <v>125292357</v>
      </c>
      <c r="P106" s="165">
        <v>33728950</v>
      </c>
      <c r="Q106" s="165">
        <v>0</v>
      </c>
      <c r="R106" s="165">
        <v>334.91666666666669</v>
      </c>
      <c r="S106" s="165">
        <v>224230467</v>
      </c>
      <c r="T106" s="165">
        <v>669511.22269221197</v>
      </c>
      <c r="U106" s="166">
        <v>53146362</v>
      </c>
      <c r="V106" s="168">
        <v>1744704296</v>
      </c>
      <c r="W106" s="165">
        <v>1493703146</v>
      </c>
      <c r="X106" s="165">
        <v>5414029</v>
      </c>
      <c r="Y106" s="165">
        <v>9842852</v>
      </c>
      <c r="Z106" s="165">
        <v>103456794.88</v>
      </c>
      <c r="AA106" s="165">
        <v>21424146.539999999</v>
      </c>
      <c r="AB106" s="165">
        <v>0</v>
      </c>
      <c r="AC106" s="165">
        <v>253.58333333333334</v>
      </c>
      <c r="AD106" s="165">
        <v>380310914.42000002</v>
      </c>
      <c r="AE106" s="165">
        <v>1499747.28</v>
      </c>
      <c r="AF106" s="166">
        <v>245587121</v>
      </c>
      <c r="AG106" s="11">
        <v>156080447.42000002</v>
      </c>
      <c r="AH106" s="12">
        <v>-81.333333333333343</v>
      </c>
      <c r="AI106" s="132">
        <v>1</v>
      </c>
      <c r="AJ106" s="132">
        <v>1</v>
      </c>
      <c r="AK106" s="13">
        <v>0.15</v>
      </c>
      <c r="AL106" s="13">
        <v>1.2400629521936914</v>
      </c>
      <c r="AM106" s="14">
        <v>1</v>
      </c>
      <c r="AN106" s="14">
        <v>0</v>
      </c>
      <c r="AO106" s="82">
        <v>374100.09554615576</v>
      </c>
      <c r="AP106" s="82">
        <v>407979.4737298718</v>
      </c>
      <c r="AQ106" s="82">
        <v>33879.378183716035</v>
      </c>
      <c r="AR106" s="129">
        <v>9.0562335019601869E-2</v>
      </c>
    </row>
    <row r="107" spans="1:44" ht="28.8" x14ac:dyDescent="0.3">
      <c r="A107" s="136" t="s">
        <v>256</v>
      </c>
      <c r="B107" s="137" t="s">
        <v>4884</v>
      </c>
      <c r="C107" s="134">
        <v>2020</v>
      </c>
      <c r="D107" s="149" t="s">
        <v>1125</v>
      </c>
      <c r="E107" s="135" t="s">
        <v>1117</v>
      </c>
      <c r="F107" s="384" t="s">
        <v>251</v>
      </c>
      <c r="G107" s="138" t="s">
        <v>4773</v>
      </c>
      <c r="H107" s="138" t="s">
        <v>4491</v>
      </c>
      <c r="I107" s="138" t="s">
        <v>4255</v>
      </c>
      <c r="J107" s="135" t="s">
        <v>4778</v>
      </c>
      <c r="K107" s="164">
        <v>2879611119</v>
      </c>
      <c r="L107" s="165">
        <v>2188339243</v>
      </c>
      <c r="M107" s="165">
        <v>633170105</v>
      </c>
      <c r="N107" s="165">
        <v>141690090</v>
      </c>
      <c r="O107" s="165">
        <v>624749623.12</v>
      </c>
      <c r="P107" s="165">
        <v>175020494.38000003</v>
      </c>
      <c r="Q107" s="165">
        <v>982132</v>
      </c>
      <c r="R107" s="165">
        <v>1446.9166666666667</v>
      </c>
      <c r="S107" s="165">
        <v>1000544110.5</v>
      </c>
      <c r="T107" s="165">
        <v>691500.85388469731</v>
      </c>
      <c r="U107" s="166">
        <v>58101771</v>
      </c>
      <c r="V107" s="168">
        <v>3337832938</v>
      </c>
      <c r="W107" s="165">
        <v>2576134215</v>
      </c>
      <c r="X107" s="165">
        <v>672238392</v>
      </c>
      <c r="Y107" s="165">
        <v>145754374</v>
      </c>
      <c r="Z107" s="165">
        <v>677576974.98000002</v>
      </c>
      <c r="AA107" s="165">
        <v>199616197.30000004</v>
      </c>
      <c r="AB107" s="165">
        <v>902519</v>
      </c>
      <c r="AC107" s="165">
        <v>1429.1666666666667</v>
      </c>
      <c r="AD107" s="165">
        <v>1113310396.28</v>
      </c>
      <c r="AE107" s="165">
        <v>778992.69710553926</v>
      </c>
      <c r="AF107" s="166">
        <v>89460331</v>
      </c>
      <c r="AG107" s="11">
        <v>112766285.77999997</v>
      </c>
      <c r="AH107" s="12">
        <v>-17.75</v>
      </c>
      <c r="AI107" s="132">
        <v>1</v>
      </c>
      <c r="AJ107" s="132">
        <v>1</v>
      </c>
      <c r="AK107" s="13">
        <v>0.1</v>
      </c>
      <c r="AL107" s="13">
        <v>0.12652457332481948</v>
      </c>
      <c r="AM107" s="14">
        <v>1</v>
      </c>
      <c r="AN107" s="14">
        <v>0</v>
      </c>
      <c r="AO107" s="82">
        <v>431779.9618406957</v>
      </c>
      <c r="AP107" s="82">
        <v>474106.33817842562</v>
      </c>
      <c r="AQ107" s="82">
        <v>42326.376337729918</v>
      </c>
      <c r="AR107" s="129">
        <v>9.8027653152987559E-2</v>
      </c>
    </row>
    <row r="108" spans="1:44" ht="28.8" x14ac:dyDescent="0.3">
      <c r="A108" s="136" t="s">
        <v>257</v>
      </c>
      <c r="B108" s="137" t="s">
        <v>4885</v>
      </c>
      <c r="C108" s="134">
        <v>2020</v>
      </c>
      <c r="D108" s="149" t="s">
        <v>1187</v>
      </c>
      <c r="E108" s="135" t="s">
        <v>1175</v>
      </c>
      <c r="F108" s="384" t="s">
        <v>258</v>
      </c>
      <c r="G108" s="138" t="s">
        <v>4773</v>
      </c>
      <c r="H108" s="138" t="s">
        <v>1702</v>
      </c>
      <c r="I108" s="138" t="s">
        <v>1566</v>
      </c>
      <c r="J108" s="135" t="s">
        <v>4774</v>
      </c>
      <c r="K108" s="164">
        <v>991617788</v>
      </c>
      <c r="L108" s="165">
        <v>791435824</v>
      </c>
      <c r="M108" s="165">
        <v>181924547</v>
      </c>
      <c r="N108" s="165">
        <v>57192663</v>
      </c>
      <c r="O108" s="165">
        <v>125814081</v>
      </c>
      <c r="P108" s="165">
        <v>13849762</v>
      </c>
      <c r="Q108" s="165">
        <v>87583</v>
      </c>
      <c r="R108" s="165">
        <v>39.75</v>
      </c>
      <c r="S108" s="165">
        <v>215201506</v>
      </c>
      <c r="T108" s="165">
        <v>5413874.3647798738</v>
      </c>
      <c r="U108" s="166">
        <v>18257417</v>
      </c>
      <c r="V108" s="168">
        <v>1432732569</v>
      </c>
      <c r="W108" s="165">
        <v>1162792361</v>
      </c>
      <c r="X108" s="165">
        <v>250634024</v>
      </c>
      <c r="Y108" s="165">
        <v>62275248</v>
      </c>
      <c r="Z108" s="165">
        <v>135495420.88</v>
      </c>
      <c r="AA108" s="165">
        <v>15257171.98</v>
      </c>
      <c r="AB108" s="165">
        <v>83843</v>
      </c>
      <c r="AC108" s="165">
        <v>48.25</v>
      </c>
      <c r="AD108" s="165">
        <v>232417867.85999998</v>
      </c>
      <c r="AE108" s="165">
        <v>4816950.6292227972</v>
      </c>
      <c r="AF108" s="166">
        <v>19306184</v>
      </c>
      <c r="AG108" s="11">
        <v>17216361.859999985</v>
      </c>
      <c r="AH108" s="12">
        <v>8.5</v>
      </c>
      <c r="AI108" s="132">
        <v>0</v>
      </c>
      <c r="AJ108" s="132">
        <v>0</v>
      </c>
      <c r="AK108" s="13">
        <v>0.1</v>
      </c>
      <c r="AL108" s="13">
        <v>-0.11025814237772602</v>
      </c>
      <c r="AM108" s="14">
        <v>0</v>
      </c>
      <c r="AN108" s="14">
        <v>-1</v>
      </c>
      <c r="AO108" s="82">
        <v>3165134.113207547</v>
      </c>
      <c r="AP108" s="82">
        <v>2808195.2513989639</v>
      </c>
      <c r="AQ108" s="82">
        <v>-356938.86180858314</v>
      </c>
      <c r="AR108" s="129">
        <v>-0.11277211297908041</v>
      </c>
    </row>
    <row r="109" spans="1:44" ht="43.2" x14ac:dyDescent="0.3">
      <c r="A109" s="136" t="s">
        <v>259</v>
      </c>
      <c r="B109" s="137" t="s">
        <v>4886</v>
      </c>
      <c r="C109" s="134">
        <v>2019</v>
      </c>
      <c r="D109" s="149" t="s">
        <v>1187</v>
      </c>
      <c r="E109" s="135" t="s">
        <v>1175</v>
      </c>
      <c r="F109" s="384" t="s">
        <v>258</v>
      </c>
      <c r="G109" s="138" t="s">
        <v>4773</v>
      </c>
      <c r="H109" s="138" t="s">
        <v>1223</v>
      </c>
      <c r="I109" s="138" t="s">
        <v>1217</v>
      </c>
      <c r="J109" s="135" t="s">
        <v>4887</v>
      </c>
      <c r="K109" s="164">
        <v>333755495</v>
      </c>
      <c r="L109" s="165">
        <v>365126259</v>
      </c>
      <c r="M109" s="165">
        <v>0</v>
      </c>
      <c r="N109" s="165">
        <v>0</v>
      </c>
      <c r="O109" s="165">
        <v>105919851</v>
      </c>
      <c r="P109" s="165">
        <v>27184888</v>
      </c>
      <c r="Q109" s="165">
        <v>8192</v>
      </c>
      <c r="R109" s="165">
        <v>388</v>
      </c>
      <c r="S109" s="165">
        <v>101742167</v>
      </c>
      <c r="T109" s="165">
        <v>262222.07989690721</v>
      </c>
      <c r="U109" s="166">
        <v>-31370764</v>
      </c>
      <c r="V109" s="168">
        <v>612202432</v>
      </c>
      <c r="W109" s="165">
        <v>521355723</v>
      </c>
      <c r="X109" s="165">
        <v>0</v>
      </c>
      <c r="Y109" s="165">
        <v>0</v>
      </c>
      <c r="Z109" s="165">
        <v>120609338.56999999</v>
      </c>
      <c r="AA109" s="165">
        <v>34939581.950000003</v>
      </c>
      <c r="AB109" s="165">
        <v>5882</v>
      </c>
      <c r="AC109" s="165">
        <v>315</v>
      </c>
      <c r="AD109" s="165">
        <v>246401511.51999998</v>
      </c>
      <c r="AE109" s="165">
        <v>782227.02069841267</v>
      </c>
      <c r="AF109" s="166">
        <v>90846709</v>
      </c>
      <c r="AG109" s="11">
        <v>144659344.51999998</v>
      </c>
      <c r="AH109" s="12">
        <v>-73</v>
      </c>
      <c r="AI109" s="132">
        <v>1</v>
      </c>
      <c r="AJ109" s="132">
        <v>1</v>
      </c>
      <c r="AK109" s="13">
        <v>0.15</v>
      </c>
      <c r="AL109" s="13">
        <v>1.983070762004481</v>
      </c>
      <c r="AM109" s="14">
        <v>1</v>
      </c>
      <c r="AN109" s="14">
        <v>0</v>
      </c>
      <c r="AO109" s="82">
        <v>272989.30670103093</v>
      </c>
      <c r="AP109" s="82">
        <v>382886.78911111108</v>
      </c>
      <c r="AQ109" s="82">
        <v>109897.48241008015</v>
      </c>
      <c r="AR109" s="129">
        <v>0.40257064915160323</v>
      </c>
    </row>
    <row r="110" spans="1:44" ht="28.8" x14ac:dyDescent="0.3">
      <c r="A110" s="136" t="s">
        <v>260</v>
      </c>
      <c r="B110" s="137" t="s">
        <v>4888</v>
      </c>
      <c r="C110" s="134">
        <v>2019</v>
      </c>
      <c r="D110" s="149" t="s">
        <v>1187</v>
      </c>
      <c r="E110" s="135" t="s">
        <v>1175</v>
      </c>
      <c r="F110" s="384" t="s">
        <v>258</v>
      </c>
      <c r="G110" s="138" t="s">
        <v>4773</v>
      </c>
      <c r="H110" s="138" t="s">
        <v>1895</v>
      </c>
      <c r="I110" s="138" t="s">
        <v>1566</v>
      </c>
      <c r="J110" s="135" t="s">
        <v>4798</v>
      </c>
      <c r="K110" s="164">
        <v>1164204852</v>
      </c>
      <c r="L110" s="165">
        <v>799201615</v>
      </c>
      <c r="M110" s="165">
        <v>287938374</v>
      </c>
      <c r="N110" s="165">
        <v>29000867</v>
      </c>
      <c r="O110" s="165">
        <v>181449009</v>
      </c>
      <c r="P110" s="165">
        <v>48467704</v>
      </c>
      <c r="Q110" s="165">
        <v>2650552</v>
      </c>
      <c r="R110" s="165">
        <v>484.58333333333331</v>
      </c>
      <c r="S110" s="165">
        <v>338632995</v>
      </c>
      <c r="T110" s="165">
        <v>698812.71539122961</v>
      </c>
      <c r="U110" s="166">
        <v>77064863</v>
      </c>
      <c r="V110" s="168">
        <v>1243735970</v>
      </c>
      <c r="W110" s="165">
        <v>870612716</v>
      </c>
      <c r="X110" s="165">
        <v>310477462</v>
      </c>
      <c r="Y110" s="165">
        <v>25830702</v>
      </c>
      <c r="Z110" s="165">
        <v>181165364.57999998</v>
      </c>
      <c r="AA110" s="165">
        <v>53701598.719999991</v>
      </c>
      <c r="AB110" s="165">
        <v>2509485</v>
      </c>
      <c r="AC110" s="165">
        <v>451.83333333333331</v>
      </c>
      <c r="AD110" s="165">
        <v>325852942.29999995</v>
      </c>
      <c r="AE110" s="165">
        <v>721179.5108078199</v>
      </c>
      <c r="AF110" s="166">
        <v>62645792</v>
      </c>
      <c r="AG110" s="11">
        <v>-12780052.700000048</v>
      </c>
      <c r="AH110" s="12">
        <v>-32.75</v>
      </c>
      <c r="AI110" s="132">
        <v>0</v>
      </c>
      <c r="AJ110" s="132">
        <v>0</v>
      </c>
      <c r="AK110" s="13">
        <v>0.15</v>
      </c>
      <c r="AL110" s="13">
        <v>3.2006844408899671E-2</v>
      </c>
      <c r="AM110" s="14">
        <v>0</v>
      </c>
      <c r="AN110" s="14">
        <v>-1</v>
      </c>
      <c r="AO110" s="82">
        <v>374443.35477214103</v>
      </c>
      <c r="AP110" s="82">
        <v>400956.17391368496</v>
      </c>
      <c r="AQ110" s="82">
        <v>26512.819141543936</v>
      </c>
      <c r="AR110" s="129">
        <v>7.0805954501923729E-2</v>
      </c>
    </row>
    <row r="111" spans="1:44" ht="28.8" x14ac:dyDescent="0.3">
      <c r="A111" s="136" t="s">
        <v>261</v>
      </c>
      <c r="B111" s="137" t="s">
        <v>4889</v>
      </c>
      <c r="C111" s="134">
        <v>2020</v>
      </c>
      <c r="D111" s="149" t="s">
        <v>1170</v>
      </c>
      <c r="E111" s="135" t="s">
        <v>1152</v>
      </c>
      <c r="F111" s="384" t="s">
        <v>262</v>
      </c>
      <c r="G111" s="138" t="s">
        <v>4773</v>
      </c>
      <c r="H111" s="138" t="s">
        <v>3564</v>
      </c>
      <c r="I111" s="138" t="s">
        <v>3557</v>
      </c>
      <c r="J111" s="135" t="s">
        <v>4774</v>
      </c>
      <c r="K111" s="164">
        <v>669786445</v>
      </c>
      <c r="L111" s="165">
        <v>529740276</v>
      </c>
      <c r="M111" s="165">
        <v>72166801</v>
      </c>
      <c r="N111" s="165">
        <v>5790978</v>
      </c>
      <c r="O111" s="165">
        <v>60442742</v>
      </c>
      <c r="P111" s="165">
        <v>18262038</v>
      </c>
      <c r="Q111" s="165">
        <v>0</v>
      </c>
      <c r="R111" s="165">
        <v>127.66666666666667</v>
      </c>
      <c r="S111" s="165">
        <v>152375126</v>
      </c>
      <c r="T111" s="165">
        <v>1193538.8459530026</v>
      </c>
      <c r="U111" s="166">
        <v>67879368</v>
      </c>
      <c r="V111" s="168">
        <v>954999503</v>
      </c>
      <c r="W111" s="165">
        <v>761297193</v>
      </c>
      <c r="X111" s="165">
        <v>115578734</v>
      </c>
      <c r="Y111" s="165">
        <v>5443666</v>
      </c>
      <c r="Z111" s="165">
        <v>166347434</v>
      </c>
      <c r="AA111" s="165">
        <v>29266063</v>
      </c>
      <c r="AB111" s="165">
        <v>0</v>
      </c>
      <c r="AC111" s="165">
        <v>184.33333333333334</v>
      </c>
      <c r="AD111" s="165">
        <v>279180739</v>
      </c>
      <c r="AE111" s="165">
        <v>1514542.8878842676</v>
      </c>
      <c r="AF111" s="166">
        <v>78123576</v>
      </c>
      <c r="AG111" s="11">
        <v>126805613</v>
      </c>
      <c r="AH111" s="12">
        <v>56.666666666666671</v>
      </c>
      <c r="AI111" s="132">
        <v>1</v>
      </c>
      <c r="AJ111" s="132">
        <v>1</v>
      </c>
      <c r="AK111" s="13">
        <v>0.1</v>
      </c>
      <c r="AL111" s="13">
        <v>0.26895147987851398</v>
      </c>
      <c r="AM111" s="14">
        <v>1</v>
      </c>
      <c r="AN111" s="14">
        <v>0</v>
      </c>
      <c r="AO111" s="82">
        <v>473441.84334203653</v>
      </c>
      <c r="AP111" s="82">
        <v>902427.30922242312</v>
      </c>
      <c r="AQ111" s="82">
        <v>428985.46588038659</v>
      </c>
      <c r="AR111" s="129">
        <v>0.90609960212255136</v>
      </c>
    </row>
    <row r="112" spans="1:44" ht="57.6" x14ac:dyDescent="0.3">
      <c r="A112" s="136" t="s">
        <v>263</v>
      </c>
      <c r="B112" s="137" t="s">
        <v>4890</v>
      </c>
      <c r="C112" s="134">
        <v>2020</v>
      </c>
      <c r="D112" s="149" t="s">
        <v>1170</v>
      </c>
      <c r="E112" s="135" t="s">
        <v>1152</v>
      </c>
      <c r="F112" s="384" t="s">
        <v>262</v>
      </c>
      <c r="G112" s="138" t="s">
        <v>4773</v>
      </c>
      <c r="H112" s="138" t="s">
        <v>4288</v>
      </c>
      <c r="I112" s="138" t="s">
        <v>4255</v>
      </c>
      <c r="J112" s="135" t="s">
        <v>4780</v>
      </c>
      <c r="K112" s="164">
        <v>686925632</v>
      </c>
      <c r="L112" s="165">
        <v>1117209567</v>
      </c>
      <c r="M112" s="165">
        <v>145117135</v>
      </c>
      <c r="N112" s="165">
        <v>5233945</v>
      </c>
      <c r="O112" s="165">
        <v>716581091</v>
      </c>
      <c r="P112" s="165">
        <v>207899171</v>
      </c>
      <c r="Q112" s="165">
        <v>346541</v>
      </c>
      <c r="R112" s="165">
        <v>757.75</v>
      </c>
      <c r="S112" s="165">
        <v>354659678</v>
      </c>
      <c r="T112" s="165">
        <v>468043.12504124054</v>
      </c>
      <c r="U112" s="166">
        <v>-575401070</v>
      </c>
      <c r="V112" s="168">
        <v>754172045</v>
      </c>
      <c r="W112" s="165">
        <v>1315552481</v>
      </c>
      <c r="X112" s="165">
        <v>140000957</v>
      </c>
      <c r="Y112" s="165">
        <v>17154694</v>
      </c>
      <c r="Z112" s="165">
        <v>767945578</v>
      </c>
      <c r="AA112" s="165">
        <v>242634839</v>
      </c>
      <c r="AB112" s="165">
        <v>334997</v>
      </c>
      <c r="AC112" s="165">
        <v>753.66666666666663</v>
      </c>
      <c r="AD112" s="165">
        <v>326688715</v>
      </c>
      <c r="AE112" s="165">
        <v>433465.78726227337</v>
      </c>
      <c r="AF112" s="166">
        <v>-701381393</v>
      </c>
      <c r="AG112" s="11">
        <v>-27970963</v>
      </c>
      <c r="AH112" s="12">
        <v>-4.0833333333333712</v>
      </c>
      <c r="AI112" s="132">
        <v>0</v>
      </c>
      <c r="AJ112" s="132">
        <v>0</v>
      </c>
      <c r="AK112" s="13">
        <v>0.1</v>
      </c>
      <c r="AL112" s="13">
        <v>-7.3876396818387313E-2</v>
      </c>
      <c r="AM112" s="14">
        <v>0</v>
      </c>
      <c r="AN112" s="14">
        <v>-1</v>
      </c>
      <c r="AO112" s="82">
        <v>945669.53612669092</v>
      </c>
      <c r="AP112" s="82">
        <v>1018945.9239274658</v>
      </c>
      <c r="AQ112" s="82">
        <v>73276.387800774886</v>
      </c>
      <c r="AR112" s="129">
        <v>7.7486251805152895E-2</v>
      </c>
    </row>
    <row r="113" spans="1:44" ht="28.8" x14ac:dyDescent="0.3">
      <c r="A113" s="136" t="s">
        <v>264</v>
      </c>
      <c r="B113" s="137" t="s">
        <v>4891</v>
      </c>
      <c r="C113" s="134">
        <v>2020</v>
      </c>
      <c r="D113" s="149" t="s">
        <v>1170</v>
      </c>
      <c r="E113" s="135" t="s">
        <v>1152</v>
      </c>
      <c r="F113" s="384" t="s">
        <v>262</v>
      </c>
      <c r="G113" s="138" t="s">
        <v>4773</v>
      </c>
      <c r="H113" s="138" t="s">
        <v>4278</v>
      </c>
      <c r="I113" s="138" t="s">
        <v>4255</v>
      </c>
      <c r="J113" s="135" t="s">
        <v>4778</v>
      </c>
      <c r="K113" s="164">
        <v>794355130</v>
      </c>
      <c r="L113" s="165">
        <v>208914317</v>
      </c>
      <c r="M113" s="165">
        <v>991377630</v>
      </c>
      <c r="N113" s="165">
        <v>51157080</v>
      </c>
      <c r="O113" s="165">
        <v>304136584</v>
      </c>
      <c r="P113" s="165">
        <v>89510039</v>
      </c>
      <c r="Q113" s="165">
        <v>6513915</v>
      </c>
      <c r="R113" s="165">
        <v>366.83333333333331</v>
      </c>
      <c r="S113" s="165">
        <v>45380801</v>
      </c>
      <c r="T113" s="165">
        <v>123709.5892776011</v>
      </c>
      <c r="U113" s="166">
        <v>-405936817</v>
      </c>
      <c r="V113" s="168">
        <v>912359175</v>
      </c>
      <c r="W113" s="165">
        <v>273353255</v>
      </c>
      <c r="X113" s="165">
        <v>1063875330</v>
      </c>
      <c r="Y113" s="165">
        <v>150642028</v>
      </c>
      <c r="Z113" s="165">
        <v>330465791</v>
      </c>
      <c r="AA113" s="165">
        <v>96696609</v>
      </c>
      <c r="AB113" s="165">
        <v>6876658</v>
      </c>
      <c r="AC113" s="165">
        <v>357.75</v>
      </c>
      <c r="AD113" s="165">
        <v>159811676</v>
      </c>
      <c r="AE113" s="165">
        <v>446713.28022361983</v>
      </c>
      <c r="AF113" s="166">
        <v>-424869410</v>
      </c>
      <c r="AG113" s="11">
        <v>114430875</v>
      </c>
      <c r="AH113" s="12">
        <v>-9.0833333333333144</v>
      </c>
      <c r="AI113" s="132">
        <v>1</v>
      </c>
      <c r="AJ113" s="132">
        <v>1</v>
      </c>
      <c r="AK113" s="13">
        <v>0.1</v>
      </c>
      <c r="AL113" s="13">
        <v>2.6109834330547863</v>
      </c>
      <c r="AM113" s="14">
        <v>1</v>
      </c>
      <c r="AN113" s="14">
        <v>0</v>
      </c>
      <c r="AO113" s="82">
        <v>829086.55338482512</v>
      </c>
      <c r="AP113" s="82">
        <v>923733.86722571624</v>
      </c>
      <c r="AQ113" s="82">
        <v>94647.313840891118</v>
      </c>
      <c r="AR113" s="129">
        <v>0.11415854406814874</v>
      </c>
    </row>
    <row r="114" spans="1:44" ht="43.2" x14ac:dyDescent="0.3">
      <c r="A114" s="136" t="s">
        <v>265</v>
      </c>
      <c r="B114" s="137" t="s">
        <v>4892</v>
      </c>
      <c r="C114" s="134">
        <v>2020</v>
      </c>
      <c r="D114" s="149" t="s">
        <v>1170</v>
      </c>
      <c r="E114" s="135" t="s">
        <v>1152</v>
      </c>
      <c r="F114" s="384" t="s">
        <v>262</v>
      </c>
      <c r="G114" s="138" t="s">
        <v>4773</v>
      </c>
      <c r="H114" s="138" t="s">
        <v>3569</v>
      </c>
      <c r="I114" s="138" t="s">
        <v>3557</v>
      </c>
      <c r="J114" s="135" t="s">
        <v>4805</v>
      </c>
      <c r="K114" s="164">
        <v>462960000</v>
      </c>
      <c r="L114" s="165">
        <v>456159749</v>
      </c>
      <c r="M114" s="165">
        <v>27702698</v>
      </c>
      <c r="N114" s="165">
        <v>37301391</v>
      </c>
      <c r="O114" s="165">
        <v>146198441</v>
      </c>
      <c r="P114" s="165">
        <v>41564819</v>
      </c>
      <c r="Q114" s="165">
        <v>174433</v>
      </c>
      <c r="R114" s="165">
        <v>168.33333333333334</v>
      </c>
      <c r="S114" s="165">
        <v>204336637</v>
      </c>
      <c r="T114" s="165">
        <v>1213881.011881188</v>
      </c>
      <c r="U114" s="166">
        <v>-20902447</v>
      </c>
      <c r="V114" s="168">
        <v>149190528</v>
      </c>
      <c r="W114" s="165">
        <v>154133715</v>
      </c>
      <c r="X114" s="165">
        <v>26152052</v>
      </c>
      <c r="Y114" s="165">
        <v>8776770</v>
      </c>
      <c r="Z114" s="165">
        <v>5239769</v>
      </c>
      <c r="AA114" s="165">
        <v>1443966</v>
      </c>
      <c r="AB114" s="165">
        <v>39964</v>
      </c>
      <c r="AC114" s="165">
        <v>7</v>
      </c>
      <c r="AD114" s="165">
        <v>-15594770</v>
      </c>
      <c r="AE114" s="165">
        <v>-2227824.2857142859</v>
      </c>
      <c r="AF114" s="166">
        <v>-31095239</v>
      </c>
      <c r="AG114" s="11">
        <v>-219931407</v>
      </c>
      <c r="AH114" s="12">
        <v>-161.33333333333334</v>
      </c>
      <c r="AI114" s="132">
        <v>0</v>
      </c>
      <c r="AJ114" s="132">
        <v>1</v>
      </c>
      <c r="AK114" s="13">
        <v>0.1</v>
      </c>
      <c r="AL114" s="13">
        <v>-2.8352905034736477</v>
      </c>
      <c r="AM114" s="14">
        <v>0</v>
      </c>
      <c r="AN114" s="14">
        <v>-1</v>
      </c>
      <c r="AO114" s="82">
        <v>868505.5900990098</v>
      </c>
      <c r="AP114" s="82">
        <v>748538.42857142852</v>
      </c>
      <c r="AQ114" s="82">
        <v>-119967.16152758128</v>
      </c>
      <c r="AR114" s="129">
        <v>-0.13813055770188543</v>
      </c>
    </row>
    <row r="115" spans="1:44" ht="28.8" x14ac:dyDescent="0.3">
      <c r="A115" s="136" t="s">
        <v>266</v>
      </c>
      <c r="B115" s="137" t="s">
        <v>4893</v>
      </c>
      <c r="C115" s="134">
        <v>2019</v>
      </c>
      <c r="D115" s="149" t="s">
        <v>1184</v>
      </c>
      <c r="E115" s="135" t="s">
        <v>1175</v>
      </c>
      <c r="F115" s="384" t="s">
        <v>267</v>
      </c>
      <c r="G115" s="138" t="s">
        <v>4773</v>
      </c>
      <c r="H115" s="138" t="s">
        <v>1740</v>
      </c>
      <c r="I115" s="138" t="s">
        <v>1566</v>
      </c>
      <c r="J115" s="135" t="s">
        <v>4774</v>
      </c>
      <c r="K115" s="164">
        <v>1252577642</v>
      </c>
      <c r="L115" s="165">
        <v>1103228896</v>
      </c>
      <c r="M115" s="165">
        <v>62412</v>
      </c>
      <c r="N115" s="165">
        <v>32160951</v>
      </c>
      <c r="O115" s="165">
        <v>204828978</v>
      </c>
      <c r="P115" s="165">
        <v>59833527</v>
      </c>
      <c r="Q115" s="165">
        <v>62412</v>
      </c>
      <c r="R115" s="165">
        <v>750.25</v>
      </c>
      <c r="S115" s="165">
        <v>446172202</v>
      </c>
      <c r="T115" s="165">
        <v>594698.03665444849</v>
      </c>
      <c r="U115" s="166">
        <v>149286334</v>
      </c>
      <c r="V115" s="168">
        <v>1657385208</v>
      </c>
      <c r="W115" s="165">
        <v>1342256703</v>
      </c>
      <c r="X115" s="165">
        <v>4008480</v>
      </c>
      <c r="Y115" s="165">
        <v>30499071</v>
      </c>
      <c r="Z115" s="165">
        <v>226276371.82000002</v>
      </c>
      <c r="AA115" s="165">
        <v>65027491.120000005</v>
      </c>
      <c r="AB115" s="165">
        <v>3514788</v>
      </c>
      <c r="AC115" s="165">
        <v>628</v>
      </c>
      <c r="AD115" s="165">
        <v>636437746.94000006</v>
      </c>
      <c r="AE115" s="165">
        <v>1013435.9027707007</v>
      </c>
      <c r="AF115" s="166">
        <v>311120025</v>
      </c>
      <c r="AG115" s="11">
        <v>190265544.94000006</v>
      </c>
      <c r="AH115" s="12">
        <v>-122.25</v>
      </c>
      <c r="AI115" s="132">
        <v>1</v>
      </c>
      <c r="AJ115" s="132">
        <v>1</v>
      </c>
      <c r="AK115" s="13">
        <v>0.15</v>
      </c>
      <c r="AL115" s="13">
        <v>0.70411844639676291</v>
      </c>
      <c r="AM115" s="14">
        <v>1</v>
      </c>
      <c r="AN115" s="14">
        <v>0</v>
      </c>
      <c r="AO115" s="82">
        <v>273014.2992335888</v>
      </c>
      <c r="AP115" s="82">
        <v>360312.69398089178</v>
      </c>
      <c r="AQ115" s="82">
        <v>87298.394747302984</v>
      </c>
      <c r="AR115" s="129">
        <v>0.31975759142421767</v>
      </c>
    </row>
    <row r="116" spans="1:44" ht="28.8" x14ac:dyDescent="0.3">
      <c r="A116" s="136" t="s">
        <v>268</v>
      </c>
      <c r="B116" s="137" t="s">
        <v>4894</v>
      </c>
      <c r="C116" s="134">
        <v>2018</v>
      </c>
      <c r="D116" s="149" t="s">
        <v>1184</v>
      </c>
      <c r="E116" s="135" t="s">
        <v>1175</v>
      </c>
      <c r="F116" s="384" t="s">
        <v>142</v>
      </c>
      <c r="G116" s="138" t="s">
        <v>4773</v>
      </c>
      <c r="H116" s="138" t="s">
        <v>2734</v>
      </c>
      <c r="I116" s="138" t="s">
        <v>1566</v>
      </c>
      <c r="J116" s="135" t="s">
        <v>4774</v>
      </c>
      <c r="K116" s="164">
        <v>1130883962</v>
      </c>
      <c r="L116" s="165">
        <v>1043960000</v>
      </c>
      <c r="M116" s="165">
        <v>76611000</v>
      </c>
      <c r="N116" s="165">
        <v>5570000</v>
      </c>
      <c r="O116" s="165">
        <v>58849000</v>
      </c>
      <c r="P116" s="165">
        <v>17640000</v>
      </c>
      <c r="Q116" s="165">
        <v>650346</v>
      </c>
      <c r="R116" s="165">
        <v>167.16666666666669</v>
      </c>
      <c r="S116" s="165">
        <v>93022308</v>
      </c>
      <c r="T116" s="165">
        <v>556464.45463609172</v>
      </c>
      <c r="U116" s="166">
        <v>10312962</v>
      </c>
      <c r="V116" s="168">
        <v>1980011690</v>
      </c>
      <c r="W116" s="165">
        <v>1640879694</v>
      </c>
      <c r="X116" s="165">
        <v>141457207</v>
      </c>
      <c r="Y116" s="165">
        <v>12197470</v>
      </c>
      <c r="Z116" s="165">
        <v>107211196.09</v>
      </c>
      <c r="AA116" s="165">
        <v>21517597.690000001</v>
      </c>
      <c r="AB116" s="165">
        <v>428677</v>
      </c>
      <c r="AC116" s="165">
        <v>229.91666666666666</v>
      </c>
      <c r="AD116" s="165">
        <v>339029729.78000003</v>
      </c>
      <c r="AE116" s="165">
        <v>1474576.5702645888</v>
      </c>
      <c r="AF116" s="166">
        <v>197674789</v>
      </c>
      <c r="AG116" s="11">
        <v>246007421.78000003</v>
      </c>
      <c r="AH116" s="12">
        <v>62.749999999999972</v>
      </c>
      <c r="AI116" s="132">
        <v>1</v>
      </c>
      <c r="AJ116" s="132">
        <v>1</v>
      </c>
      <c r="AK116" s="13">
        <v>0.3</v>
      </c>
      <c r="AL116" s="13">
        <v>1.6499025589145906</v>
      </c>
      <c r="AM116" s="14">
        <v>1</v>
      </c>
      <c r="AN116" s="14">
        <v>0</v>
      </c>
      <c r="AO116" s="82">
        <v>352037.88634097704</v>
      </c>
      <c r="AP116" s="82">
        <v>466304.58611090976</v>
      </c>
      <c r="AQ116" s="82">
        <v>114266.69976993272</v>
      </c>
      <c r="AR116" s="129">
        <v>0.32458637039780491</v>
      </c>
    </row>
    <row r="117" spans="1:44" ht="28.8" x14ac:dyDescent="0.3">
      <c r="A117" s="136" t="s">
        <v>269</v>
      </c>
      <c r="B117" s="137" t="s">
        <v>4895</v>
      </c>
      <c r="C117" s="134">
        <v>2019</v>
      </c>
      <c r="D117" s="149" t="s">
        <v>1184</v>
      </c>
      <c r="E117" s="135" t="s">
        <v>1175</v>
      </c>
      <c r="F117" s="384" t="s">
        <v>267</v>
      </c>
      <c r="G117" s="138" t="s">
        <v>4773</v>
      </c>
      <c r="H117" s="138" t="s">
        <v>3355</v>
      </c>
      <c r="I117" s="138" t="s">
        <v>1566</v>
      </c>
      <c r="J117" s="135" t="s">
        <v>4774</v>
      </c>
      <c r="K117" s="164">
        <v>1233062243</v>
      </c>
      <c r="L117" s="165">
        <v>1032628466</v>
      </c>
      <c r="M117" s="165">
        <v>162362438</v>
      </c>
      <c r="N117" s="165">
        <v>61390406</v>
      </c>
      <c r="O117" s="165">
        <v>237640999</v>
      </c>
      <c r="P117" s="165">
        <v>71175212</v>
      </c>
      <c r="Q117" s="165">
        <v>0</v>
      </c>
      <c r="R117" s="165">
        <v>601.91666666666663</v>
      </c>
      <c r="S117" s="165">
        <v>408277956</v>
      </c>
      <c r="T117" s="165">
        <v>678296.47957912227</v>
      </c>
      <c r="U117" s="166">
        <v>38071339</v>
      </c>
      <c r="V117" s="168">
        <v>2150953325</v>
      </c>
      <c r="W117" s="165">
        <v>939579912</v>
      </c>
      <c r="X117" s="165">
        <v>1018073784</v>
      </c>
      <c r="Y117" s="165">
        <v>62731770</v>
      </c>
      <c r="Z117" s="165">
        <v>586622807.99000001</v>
      </c>
      <c r="AA117" s="165">
        <v>168371824.07000002</v>
      </c>
      <c r="AB117" s="165">
        <v>0</v>
      </c>
      <c r="AC117" s="165">
        <v>1175.3333333333333</v>
      </c>
      <c r="AD117" s="165">
        <v>1011026031.0600001</v>
      </c>
      <c r="AE117" s="165">
        <v>860203.65660238243</v>
      </c>
      <c r="AF117" s="166">
        <v>193299629</v>
      </c>
      <c r="AG117" s="11">
        <v>602748075.06000006</v>
      </c>
      <c r="AH117" s="12">
        <v>573.41666666666663</v>
      </c>
      <c r="AI117" s="132">
        <v>1</v>
      </c>
      <c r="AJ117" s="132">
        <v>1</v>
      </c>
      <c r="AK117" s="13">
        <v>0.15</v>
      </c>
      <c r="AL117" s="13">
        <v>0.26818240306952501</v>
      </c>
      <c r="AM117" s="14">
        <v>1</v>
      </c>
      <c r="AN117" s="14">
        <v>0</v>
      </c>
      <c r="AO117" s="82">
        <v>394807.14218468784</v>
      </c>
      <c r="AP117" s="82">
        <v>499111.86159103806</v>
      </c>
      <c r="AQ117" s="82">
        <v>104304.71940635022</v>
      </c>
      <c r="AR117" s="129">
        <v>0.26419157168528939</v>
      </c>
    </row>
    <row r="118" spans="1:44" ht="28.8" x14ac:dyDescent="0.3">
      <c r="A118" s="136" t="s">
        <v>270</v>
      </c>
      <c r="B118" s="137" t="s">
        <v>4896</v>
      </c>
      <c r="C118" s="134">
        <v>2019</v>
      </c>
      <c r="D118" s="149" t="s">
        <v>1184</v>
      </c>
      <c r="E118" s="135" t="s">
        <v>1175</v>
      </c>
      <c r="F118" s="384" t="s">
        <v>267</v>
      </c>
      <c r="G118" s="138" t="s">
        <v>4773</v>
      </c>
      <c r="H118" s="138" t="s">
        <v>2717</v>
      </c>
      <c r="I118" s="138" t="s">
        <v>1566</v>
      </c>
      <c r="J118" s="135" t="s">
        <v>4774</v>
      </c>
      <c r="K118" s="164">
        <v>554658980</v>
      </c>
      <c r="L118" s="165">
        <v>417690612</v>
      </c>
      <c r="M118" s="165">
        <v>118107976</v>
      </c>
      <c r="N118" s="165">
        <v>2929475</v>
      </c>
      <c r="O118" s="165">
        <v>61284210.100000001</v>
      </c>
      <c r="P118" s="165">
        <v>18300603.68</v>
      </c>
      <c r="Q118" s="165">
        <v>0</v>
      </c>
      <c r="R118" s="165">
        <v>144.66666666666666</v>
      </c>
      <c r="S118" s="165">
        <v>101374680.78</v>
      </c>
      <c r="T118" s="165">
        <v>700746.64133640553</v>
      </c>
      <c r="U118" s="166">
        <v>18860392</v>
      </c>
      <c r="V118" s="168">
        <v>446983506</v>
      </c>
      <c r="W118" s="165">
        <v>385050961</v>
      </c>
      <c r="X118" s="165">
        <v>49236438</v>
      </c>
      <c r="Y118" s="165">
        <v>4591069</v>
      </c>
      <c r="Z118" s="165">
        <v>59977537.130000003</v>
      </c>
      <c r="AA118" s="165">
        <v>11989950.950000001</v>
      </c>
      <c r="AB118" s="165">
        <v>0</v>
      </c>
      <c r="AC118" s="165">
        <v>141.58333333333334</v>
      </c>
      <c r="AD118" s="165">
        <v>89254664.079999998</v>
      </c>
      <c r="AE118" s="165">
        <v>630403.74865214829</v>
      </c>
      <c r="AF118" s="166">
        <v>12696107</v>
      </c>
      <c r="AG118" s="11">
        <v>-12120016.700000003</v>
      </c>
      <c r="AH118" s="12">
        <v>-3.0833333333333144</v>
      </c>
      <c r="AI118" s="132">
        <v>0</v>
      </c>
      <c r="AJ118" s="132">
        <v>1</v>
      </c>
      <c r="AK118" s="13">
        <v>0.15</v>
      </c>
      <c r="AL118" s="13">
        <v>-0.10038277172474208</v>
      </c>
      <c r="AM118" s="14">
        <v>0</v>
      </c>
      <c r="AN118" s="14">
        <v>-1</v>
      </c>
      <c r="AO118" s="82">
        <v>423623.57211981568</v>
      </c>
      <c r="AP118" s="82">
        <v>423620.03858740436</v>
      </c>
      <c r="AQ118" s="82">
        <v>-3.5335324113257229</v>
      </c>
      <c r="AR118" s="129">
        <v>-8.3412081949285621E-6</v>
      </c>
    </row>
    <row r="119" spans="1:44" ht="28.8" x14ac:dyDescent="0.3">
      <c r="A119" s="136" t="s">
        <v>271</v>
      </c>
      <c r="B119" s="137" t="s">
        <v>1182</v>
      </c>
      <c r="C119" s="134">
        <v>2020</v>
      </c>
      <c r="D119" s="149" t="s">
        <v>1181</v>
      </c>
      <c r="E119" s="135" t="s">
        <v>1175</v>
      </c>
      <c r="F119" s="384" t="s">
        <v>272</v>
      </c>
      <c r="G119" s="138" t="s">
        <v>4787</v>
      </c>
      <c r="H119" s="138" t="s">
        <v>4200</v>
      </c>
      <c r="I119" s="138" t="s">
        <v>3673</v>
      </c>
      <c r="J119" s="135" t="s">
        <v>4778</v>
      </c>
      <c r="K119" s="164">
        <v>13117762027</v>
      </c>
      <c r="L119" s="165">
        <v>10492966195</v>
      </c>
      <c r="M119" s="165">
        <v>2272870777</v>
      </c>
      <c r="N119" s="165">
        <v>54645811</v>
      </c>
      <c r="O119" s="165">
        <v>1173772307.6923077</v>
      </c>
      <c r="P119" s="165">
        <v>336471556.16000003</v>
      </c>
      <c r="Q119" s="165">
        <v>2352136</v>
      </c>
      <c r="R119" s="165">
        <v>2307.75</v>
      </c>
      <c r="S119" s="165">
        <v>1919166865.8523078</v>
      </c>
      <c r="T119" s="165">
        <v>831618.18474804796</v>
      </c>
      <c r="U119" s="166">
        <v>351925055</v>
      </c>
      <c r="V119" s="168">
        <v>14949866332</v>
      </c>
      <c r="W119" s="165">
        <v>12037435394</v>
      </c>
      <c r="X119" s="165">
        <v>2620863986</v>
      </c>
      <c r="Y119" s="165">
        <v>66951462</v>
      </c>
      <c r="Z119" s="165">
        <v>1381094615.98</v>
      </c>
      <c r="AA119" s="165">
        <v>403594607.35999995</v>
      </c>
      <c r="AB119" s="165">
        <v>2341417</v>
      </c>
      <c r="AC119" s="165">
        <v>2657.9166666666665</v>
      </c>
      <c r="AD119" s="165">
        <v>2145549054.3399999</v>
      </c>
      <c r="AE119" s="165">
        <v>807229.61756011914</v>
      </c>
      <c r="AF119" s="166">
        <v>291566952</v>
      </c>
      <c r="AG119" s="11">
        <v>226382188.48769212</v>
      </c>
      <c r="AH119" s="12">
        <v>350.16666666666652</v>
      </c>
      <c r="AI119" s="132">
        <v>0</v>
      </c>
      <c r="AJ119" s="132">
        <v>0</v>
      </c>
      <c r="AK119" s="13">
        <v>0.1</v>
      </c>
      <c r="AL119" s="13">
        <v>-2.9326631603941222E-2</v>
      </c>
      <c r="AM119" s="14">
        <v>0</v>
      </c>
      <c r="AN119" s="14">
        <v>-1</v>
      </c>
      <c r="AO119" s="82">
        <v>508621.95111788873</v>
      </c>
      <c r="AP119" s="82">
        <v>519615.46925097983</v>
      </c>
      <c r="AQ119" s="82">
        <v>10993.5181330911</v>
      </c>
      <c r="AR119" s="129">
        <v>2.1614321027491501E-2</v>
      </c>
    </row>
    <row r="120" spans="1:44" ht="28.8" x14ac:dyDescent="0.3">
      <c r="A120" s="136" t="s">
        <v>273</v>
      </c>
      <c r="B120" s="137" t="s">
        <v>4897</v>
      </c>
      <c r="C120" s="134">
        <v>2019</v>
      </c>
      <c r="D120" s="149" t="s">
        <v>1143</v>
      </c>
      <c r="E120" s="135" t="s">
        <v>1140</v>
      </c>
      <c r="F120" s="384" t="s">
        <v>274</v>
      </c>
      <c r="G120" s="138" t="s">
        <v>4773</v>
      </c>
      <c r="H120" s="138" t="s">
        <v>2611</v>
      </c>
      <c r="I120" s="138" t="s">
        <v>1566</v>
      </c>
      <c r="J120" s="135" t="s">
        <v>4774</v>
      </c>
      <c r="K120" s="164">
        <v>1982655331</v>
      </c>
      <c r="L120" s="165">
        <v>1221172923</v>
      </c>
      <c r="M120" s="165">
        <v>680532418</v>
      </c>
      <c r="N120" s="165">
        <v>12805046</v>
      </c>
      <c r="O120" s="165">
        <v>99797974</v>
      </c>
      <c r="P120" s="165">
        <v>27847514</v>
      </c>
      <c r="Q120" s="165">
        <v>115980</v>
      </c>
      <c r="R120" s="165">
        <v>218.41666666666666</v>
      </c>
      <c r="S120" s="165">
        <v>221516504</v>
      </c>
      <c r="T120" s="165">
        <v>1014192.3113315529</v>
      </c>
      <c r="U120" s="166">
        <v>80949990</v>
      </c>
      <c r="V120" s="168">
        <v>1806057035</v>
      </c>
      <c r="W120" s="165">
        <v>750968199</v>
      </c>
      <c r="X120" s="165">
        <v>884990786</v>
      </c>
      <c r="Y120" s="165">
        <v>18980419</v>
      </c>
      <c r="Z120" s="165">
        <v>95483515</v>
      </c>
      <c r="AA120" s="165">
        <v>22662518.960000001</v>
      </c>
      <c r="AB120" s="165">
        <v>188072</v>
      </c>
      <c r="AC120" s="165">
        <v>183.83333333333334</v>
      </c>
      <c r="AD120" s="165">
        <v>307412574.95999998</v>
      </c>
      <c r="AE120" s="165">
        <v>1672235.2219038983</v>
      </c>
      <c r="AF120" s="166">
        <v>170098050</v>
      </c>
      <c r="AG120" s="11">
        <v>85896070.959999979</v>
      </c>
      <c r="AH120" s="12">
        <v>-34.583333333333314</v>
      </c>
      <c r="AI120" s="132">
        <v>1</v>
      </c>
      <c r="AJ120" s="132">
        <v>1</v>
      </c>
      <c r="AK120" s="13">
        <v>0.15</v>
      </c>
      <c r="AL120" s="13">
        <v>0.64883445034206577</v>
      </c>
      <c r="AM120" s="14">
        <v>1</v>
      </c>
      <c r="AN120" s="14">
        <v>0</v>
      </c>
      <c r="AO120" s="82">
        <v>456915.56199923693</v>
      </c>
      <c r="AP120" s="82">
        <v>519402.62012692651</v>
      </c>
      <c r="AQ120" s="82">
        <v>62487.058127689583</v>
      </c>
      <c r="AR120" s="129">
        <v>0.13675843706061808</v>
      </c>
    </row>
    <row r="121" spans="1:44" ht="28.8" x14ac:dyDescent="0.3">
      <c r="A121" s="136" t="s">
        <v>275</v>
      </c>
      <c r="B121" s="137" t="s">
        <v>4898</v>
      </c>
      <c r="C121" s="134">
        <v>2019</v>
      </c>
      <c r="D121" s="149" t="s">
        <v>1143</v>
      </c>
      <c r="E121" s="135" t="s">
        <v>1140</v>
      </c>
      <c r="F121" s="384" t="s">
        <v>274</v>
      </c>
      <c r="G121" s="138" t="s">
        <v>4773</v>
      </c>
      <c r="H121" s="138" t="s">
        <v>2522</v>
      </c>
      <c r="I121" s="138" t="s">
        <v>1566</v>
      </c>
      <c r="J121" s="135" t="s">
        <v>4774</v>
      </c>
      <c r="K121" s="164">
        <v>4580414644</v>
      </c>
      <c r="L121" s="165">
        <v>2994738013</v>
      </c>
      <c r="M121" s="165">
        <v>1230017469</v>
      </c>
      <c r="N121" s="165">
        <v>0</v>
      </c>
      <c r="O121" s="165">
        <v>1003216287</v>
      </c>
      <c r="P121" s="165">
        <v>294761751</v>
      </c>
      <c r="Q121" s="165">
        <v>10103597</v>
      </c>
      <c r="R121" s="165">
        <v>2066.6666666666665</v>
      </c>
      <c r="S121" s="165">
        <v>1663740797</v>
      </c>
      <c r="T121" s="165">
        <v>805035.86951612914</v>
      </c>
      <c r="U121" s="166">
        <v>355659162</v>
      </c>
      <c r="V121" s="168">
        <v>5242612179</v>
      </c>
      <c r="W121" s="165">
        <v>3457401294</v>
      </c>
      <c r="X121" s="165">
        <v>1299829668</v>
      </c>
      <c r="Y121" s="165">
        <v>110236133</v>
      </c>
      <c r="Z121" s="165">
        <v>1090519317.3900001</v>
      </c>
      <c r="AA121" s="165">
        <v>322607216.77999997</v>
      </c>
      <c r="AB121" s="165">
        <v>89886667</v>
      </c>
      <c r="AC121" s="165">
        <v>2009.0833333333333</v>
      </c>
      <c r="AD121" s="165">
        <v>2098630551.1700001</v>
      </c>
      <c r="AE121" s="165">
        <v>1044571.1814691609</v>
      </c>
      <c r="AF121" s="166">
        <v>485381217</v>
      </c>
      <c r="AG121" s="11">
        <v>434889754.17000008</v>
      </c>
      <c r="AH121" s="12">
        <v>-57.583333333333258</v>
      </c>
      <c r="AI121" s="132">
        <v>1</v>
      </c>
      <c r="AJ121" s="132">
        <v>1</v>
      </c>
      <c r="AK121" s="13">
        <v>0.15</v>
      </c>
      <c r="AL121" s="13">
        <v>0.29754613294436183</v>
      </c>
      <c r="AM121" s="14">
        <v>1</v>
      </c>
      <c r="AN121" s="14">
        <v>0</v>
      </c>
      <c r="AO121" s="82">
        <v>485427.2356451613</v>
      </c>
      <c r="AP121" s="82">
        <v>542794.46715666354</v>
      </c>
      <c r="AQ121" s="82">
        <v>57367.231511502236</v>
      </c>
      <c r="AR121" s="129">
        <v>0.11817884803117362</v>
      </c>
    </row>
    <row r="122" spans="1:44" ht="28.8" x14ac:dyDescent="0.3">
      <c r="A122" s="136" t="s">
        <v>276</v>
      </c>
      <c r="B122" s="137" t="s">
        <v>4899</v>
      </c>
      <c r="C122" s="134">
        <v>2019</v>
      </c>
      <c r="D122" s="149" t="s">
        <v>1165</v>
      </c>
      <c r="E122" s="135" t="s">
        <v>1152</v>
      </c>
      <c r="F122" s="384" t="s">
        <v>277</v>
      </c>
      <c r="G122" s="138" t="s">
        <v>4773</v>
      </c>
      <c r="H122" s="138" t="s">
        <v>1740</v>
      </c>
      <c r="I122" s="138" t="s">
        <v>1566</v>
      </c>
      <c r="J122" s="135" t="s">
        <v>4774</v>
      </c>
      <c r="K122" s="164">
        <v>606650710</v>
      </c>
      <c r="L122" s="165">
        <v>323173012</v>
      </c>
      <c r="M122" s="165">
        <v>253297530</v>
      </c>
      <c r="N122" s="165">
        <v>3057714</v>
      </c>
      <c r="O122" s="165">
        <v>205758318</v>
      </c>
      <c r="P122" s="165">
        <v>54427831</v>
      </c>
      <c r="Q122" s="165">
        <v>86830</v>
      </c>
      <c r="R122" s="165">
        <v>485.16666666666669</v>
      </c>
      <c r="S122" s="165">
        <v>293510861</v>
      </c>
      <c r="T122" s="165">
        <v>604969.13981449674</v>
      </c>
      <c r="U122" s="166">
        <v>30180168</v>
      </c>
      <c r="V122" s="168">
        <v>661800578</v>
      </c>
      <c r="W122" s="165">
        <v>348490682</v>
      </c>
      <c r="X122" s="165">
        <v>283479082</v>
      </c>
      <c r="Y122" s="165">
        <v>2887336</v>
      </c>
      <c r="Z122" s="165">
        <v>215648821</v>
      </c>
      <c r="AA122" s="165">
        <v>63739208</v>
      </c>
      <c r="AB122" s="165">
        <v>77847</v>
      </c>
      <c r="AC122" s="165">
        <v>462.41666666666669</v>
      </c>
      <c r="AD122" s="165">
        <v>312184026</v>
      </c>
      <c r="AE122" s="165">
        <v>675114.13083438459</v>
      </c>
      <c r="AF122" s="166">
        <v>29830814</v>
      </c>
      <c r="AG122" s="11">
        <v>18673165</v>
      </c>
      <c r="AH122" s="12">
        <v>-22.75</v>
      </c>
      <c r="AI122" s="132">
        <v>0</v>
      </c>
      <c r="AJ122" s="132">
        <v>1</v>
      </c>
      <c r="AK122" s="13">
        <v>0.15</v>
      </c>
      <c r="AL122" s="13">
        <v>0.11594804654002688</v>
      </c>
      <c r="AM122" s="14">
        <v>0</v>
      </c>
      <c r="AN122" s="14">
        <v>-1</v>
      </c>
      <c r="AO122" s="82">
        <v>424098.21642047405</v>
      </c>
      <c r="AP122" s="82">
        <v>466351.74842313927</v>
      </c>
      <c r="AQ122" s="82">
        <v>42253.532002665219</v>
      </c>
      <c r="AR122" s="129">
        <v>9.9631477725369066E-2</v>
      </c>
    </row>
    <row r="123" spans="1:44" ht="28.8" x14ac:dyDescent="0.3">
      <c r="A123" s="136" t="s">
        <v>278</v>
      </c>
      <c r="B123" s="137" t="s">
        <v>4900</v>
      </c>
      <c r="C123" s="134">
        <v>2019</v>
      </c>
      <c r="D123" s="149" t="s">
        <v>1165</v>
      </c>
      <c r="E123" s="135" t="s">
        <v>1152</v>
      </c>
      <c r="F123" s="384" t="s">
        <v>277</v>
      </c>
      <c r="G123" s="138" t="s">
        <v>4773</v>
      </c>
      <c r="H123" s="138" t="s">
        <v>4443</v>
      </c>
      <c r="I123" s="138" t="s">
        <v>4255</v>
      </c>
      <c r="J123" s="135" t="s">
        <v>4778</v>
      </c>
      <c r="K123" s="164">
        <v>2148770292</v>
      </c>
      <c r="L123" s="165">
        <v>1493663225</v>
      </c>
      <c r="M123" s="165">
        <v>589333921</v>
      </c>
      <c r="N123" s="165">
        <v>27762774</v>
      </c>
      <c r="O123" s="165">
        <v>433477095</v>
      </c>
      <c r="P123" s="165">
        <v>148100706</v>
      </c>
      <c r="Q123" s="165">
        <v>3132319</v>
      </c>
      <c r="R123" s="165">
        <v>505.66666666666669</v>
      </c>
      <c r="S123" s="165">
        <v>678246040</v>
      </c>
      <c r="T123" s="165">
        <v>1341290.7844429796</v>
      </c>
      <c r="U123" s="166">
        <v>65773146</v>
      </c>
      <c r="V123" s="168">
        <v>3071850593</v>
      </c>
      <c r="W123" s="165">
        <v>2385169136</v>
      </c>
      <c r="X123" s="165">
        <v>552375451</v>
      </c>
      <c r="Y123" s="165">
        <v>30295894</v>
      </c>
      <c r="Z123" s="165">
        <v>784702492</v>
      </c>
      <c r="AA123" s="165">
        <v>219735643</v>
      </c>
      <c r="AB123" s="165">
        <v>3004850</v>
      </c>
      <c r="AC123" s="165">
        <v>527.08333333333337</v>
      </c>
      <c r="AD123" s="165">
        <v>1172044885</v>
      </c>
      <c r="AE123" s="165">
        <v>2223642.4695652174</v>
      </c>
      <c r="AF123" s="166">
        <v>134306006</v>
      </c>
      <c r="AG123" s="11">
        <v>493798845</v>
      </c>
      <c r="AH123" s="12">
        <v>21.416666666666686</v>
      </c>
      <c r="AI123" s="132">
        <v>1</v>
      </c>
      <c r="AJ123" s="132">
        <v>1</v>
      </c>
      <c r="AK123" s="13">
        <v>0.15</v>
      </c>
      <c r="AL123" s="13">
        <v>0.65783773597549078</v>
      </c>
      <c r="AM123" s="14">
        <v>1</v>
      </c>
      <c r="AN123" s="14">
        <v>0</v>
      </c>
      <c r="AO123" s="82">
        <v>857238.81674357282</v>
      </c>
      <c r="AP123" s="82">
        <v>1488763.6211857707</v>
      </c>
      <c r="AQ123" s="82">
        <v>631524.8044421979</v>
      </c>
      <c r="AR123" s="129">
        <v>0.73669646323436022</v>
      </c>
    </row>
    <row r="124" spans="1:44" ht="43.2" x14ac:dyDescent="0.3">
      <c r="A124" s="136" t="s">
        <v>279</v>
      </c>
      <c r="B124" s="137" t="s">
        <v>4901</v>
      </c>
      <c r="C124" s="134">
        <v>2018</v>
      </c>
      <c r="D124" s="149" t="s">
        <v>1165</v>
      </c>
      <c r="E124" s="135" t="s">
        <v>1152</v>
      </c>
      <c r="F124" s="384" t="s">
        <v>277</v>
      </c>
      <c r="G124" s="138" t="s">
        <v>4773</v>
      </c>
      <c r="H124" s="138" t="s">
        <v>1722</v>
      </c>
      <c r="I124" s="138" t="s">
        <v>1566</v>
      </c>
      <c r="J124" s="135" t="s">
        <v>4778</v>
      </c>
      <c r="K124" s="164">
        <v>1975815000</v>
      </c>
      <c r="L124" s="165">
        <v>1775339480.0000002</v>
      </c>
      <c r="M124" s="165">
        <v>151676860</v>
      </c>
      <c r="N124" s="165">
        <v>12403420</v>
      </c>
      <c r="O124" s="165">
        <v>158491300</v>
      </c>
      <c r="P124" s="165">
        <v>34770751.700000003</v>
      </c>
      <c r="Q124" s="165">
        <v>820040</v>
      </c>
      <c r="R124" s="165">
        <v>351.5</v>
      </c>
      <c r="S124" s="165">
        <v>255284171.69999975</v>
      </c>
      <c r="T124" s="165">
        <v>726270.75874822121</v>
      </c>
      <c r="U124" s="166">
        <v>48798659.999999762</v>
      </c>
      <c r="V124" s="168">
        <v>3113570284</v>
      </c>
      <c r="W124" s="165">
        <v>2660426399</v>
      </c>
      <c r="X124" s="165">
        <v>263919210</v>
      </c>
      <c r="Y124" s="165">
        <v>20633507</v>
      </c>
      <c r="Z124" s="165">
        <v>139785679</v>
      </c>
      <c r="AA124" s="165">
        <v>41123430</v>
      </c>
      <c r="AB124" s="165">
        <v>1096914</v>
      </c>
      <c r="AC124" s="165">
        <v>297.41666666666669</v>
      </c>
      <c r="AD124" s="165">
        <v>391864205</v>
      </c>
      <c r="AE124" s="165">
        <v>1317559.6693751751</v>
      </c>
      <c r="AF124" s="166">
        <v>189224675</v>
      </c>
      <c r="AG124" s="11">
        <v>136580033.30000025</v>
      </c>
      <c r="AH124" s="12">
        <v>-54.083333333333314</v>
      </c>
      <c r="AI124" s="132">
        <v>1</v>
      </c>
      <c r="AJ124" s="132">
        <v>1</v>
      </c>
      <c r="AK124" s="13">
        <v>0.3</v>
      </c>
      <c r="AL124" s="13">
        <v>0.81414390137364179</v>
      </c>
      <c r="AM124" s="14">
        <v>1</v>
      </c>
      <c r="AN124" s="14">
        <v>0</v>
      </c>
      <c r="AO124" s="82">
        <v>450899.85775248933</v>
      </c>
      <c r="AP124" s="82">
        <v>469999.48108713923</v>
      </c>
      <c r="AQ124" s="82">
        <v>19099.623334649892</v>
      </c>
      <c r="AR124" s="129">
        <v>4.2358902994230174E-2</v>
      </c>
    </row>
    <row r="125" spans="1:44" ht="28.8" x14ac:dyDescent="0.3">
      <c r="A125" s="136" t="s">
        <v>280</v>
      </c>
      <c r="B125" s="137" t="s">
        <v>4902</v>
      </c>
      <c r="C125" s="134">
        <v>2019</v>
      </c>
      <c r="D125" s="149" t="s">
        <v>1165</v>
      </c>
      <c r="E125" s="135" t="s">
        <v>1152</v>
      </c>
      <c r="F125" s="384" t="s">
        <v>277</v>
      </c>
      <c r="G125" s="138" t="s">
        <v>4773</v>
      </c>
      <c r="H125" s="138" t="s">
        <v>2566</v>
      </c>
      <c r="I125" s="138" t="s">
        <v>1566</v>
      </c>
      <c r="J125" s="135" t="s">
        <v>4798</v>
      </c>
      <c r="K125" s="164">
        <v>2856701192</v>
      </c>
      <c r="L125" s="165">
        <v>1738981940</v>
      </c>
      <c r="M125" s="165">
        <v>919810385</v>
      </c>
      <c r="N125" s="165">
        <v>45261574</v>
      </c>
      <c r="O125" s="165">
        <v>526300965</v>
      </c>
      <c r="P125" s="165">
        <v>145403286</v>
      </c>
      <c r="Q125" s="165">
        <v>1881988</v>
      </c>
      <c r="R125" s="165">
        <v>1236.8333333333333</v>
      </c>
      <c r="S125" s="165">
        <v>916756680</v>
      </c>
      <c r="T125" s="165">
        <v>741212.7853389032</v>
      </c>
      <c r="U125" s="166">
        <v>197908867</v>
      </c>
      <c r="V125" s="168">
        <v>3158932592</v>
      </c>
      <c r="W125" s="165">
        <v>2281225040</v>
      </c>
      <c r="X125" s="165">
        <v>769622247</v>
      </c>
      <c r="Y125" s="165">
        <v>54076865</v>
      </c>
      <c r="Z125" s="165">
        <v>580567288</v>
      </c>
      <c r="AA125" s="165">
        <v>173667683</v>
      </c>
      <c r="AB125" s="165">
        <v>1643664</v>
      </c>
      <c r="AC125" s="165">
        <v>1188.9166666666667</v>
      </c>
      <c r="AD125" s="165">
        <v>918040805</v>
      </c>
      <c r="AE125" s="165">
        <v>772165.81341557438</v>
      </c>
      <c r="AF125" s="166">
        <v>108085305</v>
      </c>
      <c r="AG125" s="11">
        <v>1284125</v>
      </c>
      <c r="AH125" s="12">
        <v>-47.916666666666515</v>
      </c>
      <c r="AI125" s="132">
        <v>0</v>
      </c>
      <c r="AJ125" s="132">
        <v>0</v>
      </c>
      <c r="AK125" s="13">
        <v>0.15</v>
      </c>
      <c r="AL125" s="13">
        <v>4.175996477340882E-2</v>
      </c>
      <c r="AM125" s="14">
        <v>0</v>
      </c>
      <c r="AN125" s="14">
        <v>-1</v>
      </c>
      <c r="AO125" s="82">
        <v>425522.94704217761</v>
      </c>
      <c r="AP125" s="82">
        <v>488316.21616317373</v>
      </c>
      <c r="AQ125" s="82">
        <v>62793.269120996119</v>
      </c>
      <c r="AR125" s="129">
        <v>0.14756729233399501</v>
      </c>
    </row>
    <row r="126" spans="1:44" ht="43.2" x14ac:dyDescent="0.3">
      <c r="A126" s="136" t="s">
        <v>281</v>
      </c>
      <c r="B126" s="137" t="s">
        <v>4903</v>
      </c>
      <c r="C126" s="134">
        <v>2018</v>
      </c>
      <c r="D126" s="149" t="s">
        <v>1165</v>
      </c>
      <c r="E126" s="135" t="s">
        <v>1152</v>
      </c>
      <c r="F126" s="384" t="s">
        <v>277</v>
      </c>
      <c r="G126" s="138" t="s">
        <v>4773</v>
      </c>
      <c r="H126" s="138" t="s">
        <v>3569</v>
      </c>
      <c r="I126" s="138" t="s">
        <v>3557</v>
      </c>
      <c r="J126" s="135" t="s">
        <v>4778</v>
      </c>
      <c r="K126" s="164">
        <v>1095597000</v>
      </c>
      <c r="L126" s="165">
        <v>796758160</v>
      </c>
      <c r="M126" s="165">
        <v>216394930</v>
      </c>
      <c r="N126" s="165">
        <v>55205620</v>
      </c>
      <c r="O126" s="165">
        <v>242553630</v>
      </c>
      <c r="P126" s="165">
        <v>63308187.670000002</v>
      </c>
      <c r="Q126" s="165">
        <v>3769000</v>
      </c>
      <c r="R126" s="165">
        <v>588.16666666666674</v>
      </c>
      <c r="S126" s="165">
        <v>447280347.67000002</v>
      </c>
      <c r="T126" s="165">
        <v>760465.31199206563</v>
      </c>
      <c r="U126" s="166">
        <v>82443910</v>
      </c>
      <c r="V126" s="168">
        <v>1422396661</v>
      </c>
      <c r="W126" s="165">
        <v>1275944640</v>
      </c>
      <c r="X126" s="165">
        <v>132394073</v>
      </c>
      <c r="Y126" s="165">
        <v>54167241</v>
      </c>
      <c r="Z126" s="165">
        <v>332837379</v>
      </c>
      <c r="AA126" s="165">
        <v>99440521</v>
      </c>
      <c r="AB126" s="165">
        <v>1058089</v>
      </c>
      <c r="AC126" s="165">
        <v>605.33333333333337</v>
      </c>
      <c r="AD126" s="165">
        <v>501561178</v>
      </c>
      <c r="AE126" s="165">
        <v>828570.22797356825</v>
      </c>
      <c r="AF126" s="166">
        <v>14057948</v>
      </c>
      <c r="AG126" s="11">
        <v>54280830.329999983</v>
      </c>
      <c r="AH126" s="12">
        <v>17.166666666666629</v>
      </c>
      <c r="AI126" s="132">
        <v>0</v>
      </c>
      <c r="AJ126" s="132">
        <v>0</v>
      </c>
      <c r="AK126" s="13">
        <v>0.3</v>
      </c>
      <c r="AL126" s="13">
        <v>8.9556905626635208E-2</v>
      </c>
      <c r="AM126" s="14">
        <v>0</v>
      </c>
      <c r="AN126" s="14">
        <v>-1</v>
      </c>
      <c r="AO126" s="82">
        <v>412389.2830830263</v>
      </c>
      <c r="AP126" s="82">
        <v>549841.4851321585</v>
      </c>
      <c r="AQ126" s="82">
        <v>137452.2020491322</v>
      </c>
      <c r="AR126" s="129">
        <v>0.3333069206394943</v>
      </c>
    </row>
    <row r="127" spans="1:44" ht="28.8" x14ac:dyDescent="0.3">
      <c r="A127" s="136" t="s">
        <v>282</v>
      </c>
      <c r="B127" s="137" t="s">
        <v>4904</v>
      </c>
      <c r="C127" s="134">
        <v>2018</v>
      </c>
      <c r="D127" s="149" t="s">
        <v>1165</v>
      </c>
      <c r="E127" s="135" t="s">
        <v>1152</v>
      </c>
      <c r="F127" s="384" t="s">
        <v>277</v>
      </c>
      <c r="G127" s="138" t="s">
        <v>4773</v>
      </c>
      <c r="H127" s="138" t="s">
        <v>1748</v>
      </c>
      <c r="I127" s="138" t="s">
        <v>1566</v>
      </c>
      <c r="J127" s="135" t="s">
        <v>4798</v>
      </c>
      <c r="K127" s="164">
        <v>1270584000</v>
      </c>
      <c r="L127" s="165">
        <v>1086051280</v>
      </c>
      <c r="M127" s="165">
        <v>104292930</v>
      </c>
      <c r="N127" s="165">
        <v>26276700</v>
      </c>
      <c r="O127" s="165">
        <v>102552920</v>
      </c>
      <c r="P127" s="165">
        <v>28377930.940000001</v>
      </c>
      <c r="Q127" s="165">
        <v>3317000</v>
      </c>
      <c r="R127" s="165">
        <v>570.16666666666674</v>
      </c>
      <c r="S127" s="165">
        <v>240764340.94</v>
      </c>
      <c r="T127" s="165">
        <v>422270.10980415076</v>
      </c>
      <c r="U127" s="166">
        <v>80239790</v>
      </c>
      <c r="V127" s="168">
        <v>1894259862</v>
      </c>
      <c r="W127" s="165">
        <v>1762596720</v>
      </c>
      <c r="X127" s="165">
        <v>58824889</v>
      </c>
      <c r="Y127" s="165">
        <v>11387539</v>
      </c>
      <c r="Z127" s="165">
        <v>110382781</v>
      </c>
      <c r="AA127" s="165">
        <v>32999326</v>
      </c>
      <c r="AB127" s="165">
        <v>1932074</v>
      </c>
      <c r="AC127" s="165">
        <v>344.41666666666669</v>
      </c>
      <c r="AD127" s="165">
        <v>229539973</v>
      </c>
      <c r="AE127" s="165">
        <v>666460.12000967818</v>
      </c>
      <c r="AF127" s="166">
        <v>72838253</v>
      </c>
      <c r="AG127" s="11">
        <v>-11224367.939999998</v>
      </c>
      <c r="AH127" s="12">
        <v>-225.75000000000006</v>
      </c>
      <c r="AI127" s="132">
        <v>1</v>
      </c>
      <c r="AJ127" s="132">
        <v>1</v>
      </c>
      <c r="AK127" s="13">
        <v>0.3</v>
      </c>
      <c r="AL127" s="13">
        <v>0.57827917301558474</v>
      </c>
      <c r="AM127" s="14">
        <v>1</v>
      </c>
      <c r="AN127" s="14">
        <v>0</v>
      </c>
      <c r="AO127" s="82">
        <v>179864.81145863779</v>
      </c>
      <c r="AP127" s="82">
        <v>320491.98451488023</v>
      </c>
      <c r="AQ127" s="82">
        <v>140627.17305624243</v>
      </c>
      <c r="AR127" s="129">
        <v>0.78184927844311258</v>
      </c>
    </row>
    <row r="128" spans="1:44" ht="43.2" x14ac:dyDescent="0.3">
      <c r="A128" s="136" t="s">
        <v>283</v>
      </c>
      <c r="B128" s="137" t="s">
        <v>4905</v>
      </c>
      <c r="C128" s="134">
        <v>2018</v>
      </c>
      <c r="D128" s="149" t="s">
        <v>1155</v>
      </c>
      <c r="E128" s="135" t="s">
        <v>1152</v>
      </c>
      <c r="F128" s="384" t="s">
        <v>284</v>
      </c>
      <c r="G128" s="138" t="s">
        <v>4773</v>
      </c>
      <c r="H128" s="138" t="s">
        <v>1401</v>
      </c>
      <c r="I128" s="138" t="s">
        <v>1217</v>
      </c>
      <c r="J128" s="135" t="s">
        <v>4798</v>
      </c>
      <c r="K128" s="164">
        <v>5754150000</v>
      </c>
      <c r="L128" s="165">
        <v>3823870010.0000005</v>
      </c>
      <c r="M128" s="165">
        <v>1759750280</v>
      </c>
      <c r="N128" s="165">
        <v>262960740</v>
      </c>
      <c r="O128" s="165">
        <v>1058209725</v>
      </c>
      <c r="P128" s="165">
        <v>294128547</v>
      </c>
      <c r="Q128" s="165">
        <v>0</v>
      </c>
      <c r="R128" s="165">
        <v>2574.583333333333</v>
      </c>
      <c r="S128" s="165">
        <v>1785828721.9999995</v>
      </c>
      <c r="T128" s="165">
        <v>693637.95643307967</v>
      </c>
      <c r="U128" s="166">
        <v>170529709.99999952</v>
      </c>
      <c r="V128" s="168">
        <v>6203633639</v>
      </c>
      <c r="W128" s="165">
        <v>4488436157</v>
      </c>
      <c r="X128" s="165">
        <v>1914509995</v>
      </c>
      <c r="Y128" s="165">
        <v>111357268</v>
      </c>
      <c r="Z128" s="165">
        <v>1033404137</v>
      </c>
      <c r="AA128" s="165">
        <v>303498088</v>
      </c>
      <c r="AB128" s="165">
        <v>0</v>
      </c>
      <c r="AC128" s="165">
        <v>2280.5833333333335</v>
      </c>
      <c r="AD128" s="165">
        <v>1248946980</v>
      </c>
      <c r="AE128" s="165">
        <v>547643.64965103951</v>
      </c>
      <c r="AF128" s="166">
        <v>-199312513</v>
      </c>
      <c r="AG128" s="11">
        <v>-536881741.99999952</v>
      </c>
      <c r="AH128" s="12">
        <v>-293.99999999999955</v>
      </c>
      <c r="AI128" s="132">
        <v>0</v>
      </c>
      <c r="AJ128" s="132">
        <v>0</v>
      </c>
      <c r="AK128" s="13">
        <v>0.3</v>
      </c>
      <c r="AL128" s="13">
        <v>-0.21047624037185042</v>
      </c>
      <c r="AM128" s="14">
        <v>0</v>
      </c>
      <c r="AN128" s="14">
        <v>-1</v>
      </c>
      <c r="AO128" s="82">
        <v>411021.74138210074</v>
      </c>
      <c r="AP128" s="82">
        <v>453131.49574304814</v>
      </c>
      <c r="AQ128" s="82">
        <v>42109.754360947409</v>
      </c>
      <c r="AR128" s="129">
        <v>0.10245140371248795</v>
      </c>
    </row>
    <row r="129" spans="1:44" ht="43.2" x14ac:dyDescent="0.3">
      <c r="A129" s="136" t="s">
        <v>285</v>
      </c>
      <c r="B129" s="137" t="s">
        <v>4906</v>
      </c>
      <c r="C129" s="134">
        <v>2019</v>
      </c>
      <c r="D129" s="149" t="s">
        <v>1155</v>
      </c>
      <c r="E129" s="135" t="s">
        <v>1152</v>
      </c>
      <c r="F129" s="384" t="s">
        <v>284</v>
      </c>
      <c r="G129" s="138" t="s">
        <v>4773</v>
      </c>
      <c r="H129" s="138" t="s">
        <v>2967</v>
      </c>
      <c r="I129" s="138" t="s">
        <v>1566</v>
      </c>
      <c r="J129" s="135" t="s">
        <v>4778</v>
      </c>
      <c r="K129" s="164">
        <v>1009946091</v>
      </c>
      <c r="L129" s="165">
        <v>523900614</v>
      </c>
      <c r="M129" s="165">
        <v>707408899</v>
      </c>
      <c r="N129" s="165">
        <v>48858224</v>
      </c>
      <c r="O129" s="165">
        <v>449504449</v>
      </c>
      <c r="P129" s="165">
        <v>118434692</v>
      </c>
      <c r="Q129" s="165">
        <v>1653904</v>
      </c>
      <c r="R129" s="165">
        <v>967.58333333333348</v>
      </c>
      <c r="S129" s="165">
        <v>397087847</v>
      </c>
      <c r="T129" s="165">
        <v>410391.36715183873</v>
      </c>
      <c r="U129" s="166">
        <v>-221363422</v>
      </c>
      <c r="V129" s="168">
        <v>2017336991</v>
      </c>
      <c r="W129" s="165">
        <v>1232587923</v>
      </c>
      <c r="X129" s="165">
        <v>817271932</v>
      </c>
      <c r="Y129" s="165">
        <v>70387818</v>
      </c>
      <c r="Z129" s="165">
        <v>567768148</v>
      </c>
      <c r="AA129" s="165">
        <v>170527766</v>
      </c>
      <c r="AB129" s="165">
        <v>13308212</v>
      </c>
      <c r="AC129" s="165">
        <v>1080.5</v>
      </c>
      <c r="AD129" s="165">
        <v>789469080</v>
      </c>
      <c r="AE129" s="165">
        <v>730651.62424803327</v>
      </c>
      <c r="AF129" s="166">
        <v>-32522864</v>
      </c>
      <c r="AG129" s="11">
        <v>392381233</v>
      </c>
      <c r="AH129" s="12">
        <v>112.91666666666652</v>
      </c>
      <c r="AI129" s="132">
        <v>1</v>
      </c>
      <c r="AJ129" s="132">
        <v>1</v>
      </c>
      <c r="AK129" s="13">
        <v>0.15</v>
      </c>
      <c r="AL129" s="13">
        <v>0.78037764293142908</v>
      </c>
      <c r="AM129" s="14">
        <v>1</v>
      </c>
      <c r="AN129" s="14">
        <v>0</v>
      </c>
      <c r="AO129" s="82">
        <v>464564.06752217718</v>
      </c>
      <c r="AP129" s="82">
        <v>525467.97593706613</v>
      </c>
      <c r="AQ129" s="82">
        <v>60903.908414888952</v>
      </c>
      <c r="AR129" s="129">
        <v>0.13109905107325481</v>
      </c>
    </row>
    <row r="130" spans="1:44" ht="43.2" x14ac:dyDescent="0.3">
      <c r="A130" s="136" t="s">
        <v>286</v>
      </c>
      <c r="B130" s="137" t="s">
        <v>4907</v>
      </c>
      <c r="C130" s="134">
        <v>2018</v>
      </c>
      <c r="D130" s="149" t="s">
        <v>1155</v>
      </c>
      <c r="E130" s="135" t="s">
        <v>1152</v>
      </c>
      <c r="F130" s="384" t="s">
        <v>284</v>
      </c>
      <c r="G130" s="138" t="s">
        <v>4773</v>
      </c>
      <c r="H130" s="138" t="s">
        <v>2755</v>
      </c>
      <c r="I130" s="138" t="s">
        <v>1566</v>
      </c>
      <c r="J130" s="135" t="s">
        <v>4774</v>
      </c>
      <c r="K130" s="164">
        <v>1918079000</v>
      </c>
      <c r="L130" s="165">
        <v>1758777000</v>
      </c>
      <c r="M130" s="165">
        <v>134640000</v>
      </c>
      <c r="N130" s="165">
        <v>24703000</v>
      </c>
      <c r="O130" s="165">
        <v>262424000</v>
      </c>
      <c r="P130" s="165">
        <v>73365000</v>
      </c>
      <c r="Q130" s="165">
        <v>629000</v>
      </c>
      <c r="R130" s="165">
        <v>536.25</v>
      </c>
      <c r="S130" s="165">
        <v>385783000</v>
      </c>
      <c r="T130" s="165">
        <v>719408.85780885781</v>
      </c>
      <c r="U130" s="166">
        <v>24662000</v>
      </c>
      <c r="V130" s="168">
        <v>573373417</v>
      </c>
      <c r="W130" s="165">
        <v>492603997</v>
      </c>
      <c r="X130" s="165">
        <v>64056154</v>
      </c>
      <c r="Y130" s="165">
        <v>13942538</v>
      </c>
      <c r="Z130" s="165">
        <v>192278769</v>
      </c>
      <c r="AA130" s="165">
        <v>58813245</v>
      </c>
      <c r="AB130" s="165">
        <v>0</v>
      </c>
      <c r="AC130" s="165">
        <v>273.16666666666669</v>
      </c>
      <c r="AD130" s="165">
        <v>281747818</v>
      </c>
      <c r="AE130" s="165">
        <v>1031413.610738255</v>
      </c>
      <c r="AF130" s="166">
        <v>16713266</v>
      </c>
      <c r="AG130" s="11">
        <v>-104035182</v>
      </c>
      <c r="AH130" s="12">
        <v>-263.08333333333331</v>
      </c>
      <c r="AI130" s="132">
        <v>1</v>
      </c>
      <c r="AJ130" s="132">
        <v>0</v>
      </c>
      <c r="AK130" s="13">
        <v>0.3</v>
      </c>
      <c r="AL130" s="13">
        <v>0.433696007024434</v>
      </c>
      <c r="AM130" s="14">
        <v>1</v>
      </c>
      <c r="AN130" s="14">
        <v>0</v>
      </c>
      <c r="AO130" s="82">
        <v>489368.76456876454</v>
      </c>
      <c r="AP130" s="82">
        <v>703888.11104331911</v>
      </c>
      <c r="AQ130" s="82">
        <v>214519.34647455456</v>
      </c>
      <c r="AR130" s="129">
        <v>0.43835929467952583</v>
      </c>
    </row>
    <row r="131" spans="1:44" ht="86.4" x14ac:dyDescent="0.3">
      <c r="A131" s="136" t="s">
        <v>287</v>
      </c>
      <c r="B131" s="137" t="s">
        <v>4908</v>
      </c>
      <c r="C131" s="134">
        <v>2020</v>
      </c>
      <c r="D131" s="149" t="s">
        <v>4777</v>
      </c>
      <c r="E131" s="135" t="s">
        <v>1152</v>
      </c>
      <c r="F131" s="384" t="s">
        <v>284</v>
      </c>
      <c r="G131" s="138" t="s">
        <v>4773</v>
      </c>
      <c r="H131" s="138" t="s">
        <v>4657</v>
      </c>
      <c r="I131" s="138" t="s">
        <v>4612</v>
      </c>
      <c r="J131" s="135" t="s">
        <v>4780</v>
      </c>
      <c r="K131" s="164">
        <v>1383152495</v>
      </c>
      <c r="L131" s="165">
        <v>527116055</v>
      </c>
      <c r="M131" s="165">
        <v>907602345</v>
      </c>
      <c r="N131" s="165">
        <v>179057796</v>
      </c>
      <c r="O131" s="165">
        <v>237055970</v>
      </c>
      <c r="P131" s="165">
        <v>61546438</v>
      </c>
      <c r="Q131" s="165">
        <v>43703375</v>
      </c>
      <c r="R131" s="165">
        <v>336.41666666666669</v>
      </c>
      <c r="S131" s="165">
        <v>469797674</v>
      </c>
      <c r="T131" s="165">
        <v>1396475.6224919495</v>
      </c>
      <c r="U131" s="166">
        <v>-51565905</v>
      </c>
      <c r="V131" s="168">
        <v>782569043</v>
      </c>
      <c r="W131" s="165">
        <v>520228742</v>
      </c>
      <c r="X131" s="165">
        <v>315939635</v>
      </c>
      <c r="Y131" s="165">
        <v>181449457</v>
      </c>
      <c r="Z131" s="165">
        <v>248260497.09</v>
      </c>
      <c r="AA131" s="165">
        <v>75338016.25</v>
      </c>
      <c r="AB131" s="165">
        <v>31831830</v>
      </c>
      <c r="AC131" s="165">
        <v>326.66666666666669</v>
      </c>
      <c r="AD131" s="165">
        <v>483280466.34000003</v>
      </c>
      <c r="AE131" s="165">
        <v>1479429.9990000001</v>
      </c>
      <c r="AF131" s="166">
        <v>-53599334</v>
      </c>
      <c r="AG131" s="11">
        <v>13482792.340000033</v>
      </c>
      <c r="AH131" s="12">
        <v>-9.75</v>
      </c>
      <c r="AI131" s="132">
        <v>0</v>
      </c>
      <c r="AJ131" s="132">
        <v>1</v>
      </c>
      <c r="AK131" s="13">
        <v>0.1</v>
      </c>
      <c r="AL131" s="13">
        <v>5.9402669700742594E-2</v>
      </c>
      <c r="AM131" s="14">
        <v>0</v>
      </c>
      <c r="AN131" s="14">
        <v>-1</v>
      </c>
      <c r="AO131" s="82">
        <v>704649.89843943517</v>
      </c>
      <c r="AP131" s="82">
        <v>759981.11354081624</v>
      </c>
      <c r="AQ131" s="82">
        <v>55331.215101381065</v>
      </c>
      <c r="AR131" s="129">
        <v>7.8522987406826061E-2</v>
      </c>
    </row>
    <row r="132" spans="1:44" ht="43.2" x14ac:dyDescent="0.3">
      <c r="A132" s="136" t="s">
        <v>288</v>
      </c>
      <c r="B132" s="137" t="s">
        <v>4909</v>
      </c>
      <c r="C132" s="134">
        <v>2019</v>
      </c>
      <c r="D132" s="149" t="s">
        <v>4777</v>
      </c>
      <c r="E132" s="135" t="s">
        <v>1152</v>
      </c>
      <c r="F132" s="384" t="s">
        <v>284</v>
      </c>
      <c r="G132" s="138" t="s">
        <v>4773</v>
      </c>
      <c r="H132" s="138" t="s">
        <v>4491</v>
      </c>
      <c r="I132" s="138" t="s">
        <v>4255</v>
      </c>
      <c r="J132" s="135" t="s">
        <v>4778</v>
      </c>
      <c r="K132" s="164">
        <v>6243135324</v>
      </c>
      <c r="L132" s="165">
        <v>4608848795</v>
      </c>
      <c r="M132" s="165">
        <v>1436269834</v>
      </c>
      <c r="N132" s="165">
        <v>266300707</v>
      </c>
      <c r="O132" s="165">
        <v>1451689722</v>
      </c>
      <c r="P132" s="165">
        <v>398917141</v>
      </c>
      <c r="Q132" s="165">
        <v>19296206</v>
      </c>
      <c r="R132" s="165">
        <v>1761.0833333333333</v>
      </c>
      <c r="S132" s="165">
        <v>2334220471</v>
      </c>
      <c r="T132" s="165">
        <v>1325445.7792078741</v>
      </c>
      <c r="U132" s="166">
        <v>198016695</v>
      </c>
      <c r="V132" s="168">
        <v>6544618715</v>
      </c>
      <c r="W132" s="165">
        <v>5311803497</v>
      </c>
      <c r="X132" s="165">
        <v>1241585146</v>
      </c>
      <c r="Y132" s="165">
        <v>385729593</v>
      </c>
      <c r="Z132" s="165">
        <v>1708035143</v>
      </c>
      <c r="AA132" s="165">
        <v>491398876</v>
      </c>
      <c r="AB132" s="165">
        <v>17624402</v>
      </c>
      <c r="AC132" s="165">
        <v>1811.6666666666667</v>
      </c>
      <c r="AD132" s="165">
        <v>2594018086</v>
      </c>
      <c r="AE132" s="165">
        <v>1431840.7098436062</v>
      </c>
      <c r="AF132" s="166">
        <v>-8769928</v>
      </c>
      <c r="AG132" s="11">
        <v>259797615</v>
      </c>
      <c r="AH132" s="12">
        <v>50.583333333333485</v>
      </c>
      <c r="AI132" s="132">
        <v>0</v>
      </c>
      <c r="AJ132" s="132">
        <v>1</v>
      </c>
      <c r="AK132" s="13">
        <v>0.15</v>
      </c>
      <c r="AL132" s="13">
        <v>8.0271054165640843E-2</v>
      </c>
      <c r="AM132" s="14">
        <v>0</v>
      </c>
      <c r="AN132" s="14">
        <v>-1</v>
      </c>
      <c r="AO132" s="82">
        <v>824316.31401126203</v>
      </c>
      <c r="AP132" s="82">
        <v>942797.68702851888</v>
      </c>
      <c r="AQ132" s="82">
        <v>118481.37301725685</v>
      </c>
      <c r="AR132" s="129">
        <v>0.1437328984072952</v>
      </c>
    </row>
    <row r="133" spans="1:44" ht="43.2" x14ac:dyDescent="0.3">
      <c r="A133" s="136" t="s">
        <v>289</v>
      </c>
      <c r="B133" s="137" t="s">
        <v>4910</v>
      </c>
      <c r="C133" s="134">
        <v>2020</v>
      </c>
      <c r="D133" s="149" t="s">
        <v>4777</v>
      </c>
      <c r="E133" s="135" t="s">
        <v>1152</v>
      </c>
      <c r="F133" s="384" t="s">
        <v>284</v>
      </c>
      <c r="G133" s="138" t="s">
        <v>4773</v>
      </c>
      <c r="H133" s="138" t="s">
        <v>3539</v>
      </c>
      <c r="I133" s="138" t="s">
        <v>1566</v>
      </c>
      <c r="J133" s="135" t="s">
        <v>4778</v>
      </c>
      <c r="K133" s="164">
        <v>1000715717</v>
      </c>
      <c r="L133" s="165">
        <v>318594644</v>
      </c>
      <c r="M133" s="165">
        <v>809629551</v>
      </c>
      <c r="N133" s="165">
        <v>7985844</v>
      </c>
      <c r="O133" s="165">
        <v>293208554</v>
      </c>
      <c r="P133" s="165">
        <v>78337890</v>
      </c>
      <c r="Q133" s="165">
        <v>501740</v>
      </c>
      <c r="R133" s="165">
        <v>474.91666666666669</v>
      </c>
      <c r="S133" s="165">
        <v>252525550</v>
      </c>
      <c r="T133" s="165">
        <v>531726.02210914192</v>
      </c>
      <c r="U133" s="166">
        <v>-127508478</v>
      </c>
      <c r="V133" s="168">
        <v>1034440288</v>
      </c>
      <c r="W133" s="165">
        <v>393597300</v>
      </c>
      <c r="X133" s="165">
        <v>733648898</v>
      </c>
      <c r="Y133" s="165">
        <v>6220462</v>
      </c>
      <c r="Z133" s="165">
        <v>278553728</v>
      </c>
      <c r="AA133" s="165">
        <v>90137912</v>
      </c>
      <c r="AB133" s="165">
        <v>437650</v>
      </c>
      <c r="AC133" s="165">
        <v>424.75</v>
      </c>
      <c r="AD133" s="165">
        <v>282543842</v>
      </c>
      <c r="AE133" s="165">
        <v>665200.33431430254</v>
      </c>
      <c r="AF133" s="166">
        <v>-92805910</v>
      </c>
      <c r="AG133" s="11">
        <v>30018292</v>
      </c>
      <c r="AH133" s="12">
        <v>-50.166666666666686</v>
      </c>
      <c r="AI133" s="132">
        <v>1</v>
      </c>
      <c r="AJ133" s="132">
        <v>1</v>
      </c>
      <c r="AK133" s="13">
        <v>0.1</v>
      </c>
      <c r="AL133" s="13">
        <v>0.25102083588085455</v>
      </c>
      <c r="AM133" s="14">
        <v>1</v>
      </c>
      <c r="AN133" s="14">
        <v>0</v>
      </c>
      <c r="AO133" s="82">
        <v>617389.48025969462</v>
      </c>
      <c r="AP133" s="82">
        <v>655806.30488522665</v>
      </c>
      <c r="AQ133" s="82">
        <v>38416.824625532026</v>
      </c>
      <c r="AR133" s="129">
        <v>6.2224618095813033E-2</v>
      </c>
    </row>
    <row r="134" spans="1:44" ht="43.2" x14ac:dyDescent="0.3">
      <c r="A134" s="136" t="s">
        <v>290</v>
      </c>
      <c r="B134" s="137" t="s">
        <v>4911</v>
      </c>
      <c r="C134" s="134">
        <v>2019</v>
      </c>
      <c r="D134" s="149" t="s">
        <v>4777</v>
      </c>
      <c r="E134" s="135" t="s">
        <v>1152</v>
      </c>
      <c r="F134" s="384" t="s">
        <v>284</v>
      </c>
      <c r="G134" s="138" t="s">
        <v>4773</v>
      </c>
      <c r="H134" s="138" t="s">
        <v>1472</v>
      </c>
      <c r="I134" s="138" t="s">
        <v>1217</v>
      </c>
      <c r="J134" s="135" t="s">
        <v>4774</v>
      </c>
      <c r="K134" s="164">
        <v>1409492134</v>
      </c>
      <c r="L134" s="165">
        <v>658003990</v>
      </c>
      <c r="M134" s="165">
        <v>632199912</v>
      </c>
      <c r="N134" s="165">
        <v>32168243</v>
      </c>
      <c r="O134" s="165">
        <v>406232930</v>
      </c>
      <c r="P134" s="165">
        <v>106655901</v>
      </c>
      <c r="Q134" s="165">
        <v>2678292</v>
      </c>
      <c r="R134" s="165">
        <v>673</v>
      </c>
      <c r="S134" s="165">
        <v>667023598</v>
      </c>
      <c r="T134" s="165">
        <v>991119.7592867756</v>
      </c>
      <c r="U134" s="166">
        <v>119288232</v>
      </c>
      <c r="V134" s="168">
        <v>1836996347</v>
      </c>
      <c r="W134" s="165">
        <v>910367823</v>
      </c>
      <c r="X134" s="165">
        <v>874667124</v>
      </c>
      <c r="Y134" s="165">
        <v>35294600</v>
      </c>
      <c r="Z134" s="165">
        <v>420897478</v>
      </c>
      <c r="AA134" s="165">
        <v>128316836</v>
      </c>
      <c r="AB134" s="165">
        <v>2364351</v>
      </c>
      <c r="AC134" s="165">
        <v>590.58333333333337</v>
      </c>
      <c r="AD134" s="165">
        <v>638834665</v>
      </c>
      <c r="AE134" s="165">
        <v>1081701.1401157049</v>
      </c>
      <c r="AF134" s="166">
        <v>51961400</v>
      </c>
      <c r="AG134" s="11">
        <v>-28188933</v>
      </c>
      <c r="AH134" s="12">
        <v>-82.416666666666629</v>
      </c>
      <c r="AI134" s="132">
        <v>0</v>
      </c>
      <c r="AJ134" s="132">
        <v>0</v>
      </c>
      <c r="AK134" s="13">
        <v>0.15</v>
      </c>
      <c r="AL134" s="13">
        <v>9.1392971521423227E-2</v>
      </c>
      <c r="AM134" s="14">
        <v>0</v>
      </c>
      <c r="AN134" s="14">
        <v>-1</v>
      </c>
      <c r="AO134" s="82">
        <v>603615.05200594349</v>
      </c>
      <c r="AP134" s="82">
        <v>712680.92789614783</v>
      </c>
      <c r="AQ134" s="82">
        <v>109065.87589020433</v>
      </c>
      <c r="AR134" s="129">
        <v>0.18068780015964614</v>
      </c>
    </row>
    <row r="135" spans="1:44" ht="28.8" x14ac:dyDescent="0.3">
      <c r="A135" s="136" t="s">
        <v>291</v>
      </c>
      <c r="B135" s="137" t="s">
        <v>4912</v>
      </c>
      <c r="C135" s="134">
        <v>2020</v>
      </c>
      <c r="D135" s="149" t="s">
        <v>4913</v>
      </c>
      <c r="E135" s="135" t="s">
        <v>1108</v>
      </c>
      <c r="F135" s="384" t="s">
        <v>292</v>
      </c>
      <c r="G135" s="138" t="s">
        <v>4773</v>
      </c>
      <c r="H135" s="138" t="s">
        <v>1597</v>
      </c>
      <c r="I135" s="138" t="s">
        <v>1566</v>
      </c>
      <c r="J135" s="135" t="s">
        <v>4778</v>
      </c>
      <c r="K135" s="164">
        <v>1448642458</v>
      </c>
      <c r="L135" s="165">
        <v>1203036922</v>
      </c>
      <c r="M135" s="165">
        <v>192501274</v>
      </c>
      <c r="N135" s="165">
        <v>32400556</v>
      </c>
      <c r="O135" s="165">
        <v>201687485.86999997</v>
      </c>
      <c r="P135" s="165">
        <v>58996944.839999996</v>
      </c>
      <c r="Q135" s="165">
        <v>2642498</v>
      </c>
      <c r="R135" s="165">
        <v>493.75</v>
      </c>
      <c r="S135" s="165">
        <v>348831746.70999998</v>
      </c>
      <c r="T135" s="165">
        <v>706494.67688101262</v>
      </c>
      <c r="U135" s="166">
        <v>53104262</v>
      </c>
      <c r="V135" s="168">
        <v>1448311401</v>
      </c>
      <c r="W135" s="165">
        <v>1242715856</v>
      </c>
      <c r="X135" s="165">
        <v>3826932</v>
      </c>
      <c r="Y135" s="165">
        <v>31498101</v>
      </c>
      <c r="Z135" s="165">
        <v>206157818.35000002</v>
      </c>
      <c r="AA135" s="165">
        <v>59983981.559999995</v>
      </c>
      <c r="AB135" s="165">
        <v>2338079</v>
      </c>
      <c r="AC135" s="165">
        <v>445.66666666666669</v>
      </c>
      <c r="AD135" s="165">
        <v>501746592.91000003</v>
      </c>
      <c r="AE135" s="165">
        <v>1125833.7911219147</v>
      </c>
      <c r="AF135" s="166">
        <v>201768613</v>
      </c>
      <c r="AG135" s="11">
        <v>152914846.20000005</v>
      </c>
      <c r="AH135" s="12">
        <v>-48.083333333333314</v>
      </c>
      <c r="AI135" s="132">
        <v>1</v>
      </c>
      <c r="AJ135" s="132">
        <v>1</v>
      </c>
      <c r="AK135" s="13">
        <v>0.1</v>
      </c>
      <c r="AL135" s="13">
        <v>0.59354885729642004</v>
      </c>
      <c r="AM135" s="14">
        <v>1</v>
      </c>
      <c r="AN135" s="14">
        <v>0</v>
      </c>
      <c r="AO135" s="82">
        <v>408480.9840405063</v>
      </c>
      <c r="AP135" s="82">
        <v>462582.98807030672</v>
      </c>
      <c r="AQ135" s="82">
        <v>54102.004029800417</v>
      </c>
      <c r="AR135" s="129">
        <v>0.13244681183111195</v>
      </c>
    </row>
    <row r="136" spans="1:44" ht="28.8" x14ac:dyDescent="0.3">
      <c r="A136" s="136" t="s">
        <v>293</v>
      </c>
      <c r="B136" s="137" t="s">
        <v>4914</v>
      </c>
      <c r="C136" s="134">
        <v>2019</v>
      </c>
      <c r="D136" s="149" t="s">
        <v>4915</v>
      </c>
      <c r="E136" s="135" t="s">
        <v>1131</v>
      </c>
      <c r="F136" s="384" t="s">
        <v>294</v>
      </c>
      <c r="G136" s="138" t="s">
        <v>4773</v>
      </c>
      <c r="H136" s="138" t="s">
        <v>1968</v>
      </c>
      <c r="I136" s="138" t="s">
        <v>1566</v>
      </c>
      <c r="J136" s="135" t="s">
        <v>4774</v>
      </c>
      <c r="K136" s="164">
        <v>4400235282</v>
      </c>
      <c r="L136" s="165">
        <v>3167895247</v>
      </c>
      <c r="M136" s="165">
        <v>529911063</v>
      </c>
      <c r="N136" s="165">
        <v>136995249</v>
      </c>
      <c r="O136" s="165">
        <v>265059583.41999999</v>
      </c>
      <c r="P136" s="165">
        <v>74725557.690000013</v>
      </c>
      <c r="Q136" s="165">
        <v>388809</v>
      </c>
      <c r="R136" s="165">
        <v>896.75</v>
      </c>
      <c r="S136" s="165">
        <v>1179598171.1100001</v>
      </c>
      <c r="T136" s="165">
        <v>1315414.7433621413</v>
      </c>
      <c r="U136" s="166">
        <v>702428972</v>
      </c>
      <c r="V136" s="168">
        <v>6559494210</v>
      </c>
      <c r="W136" s="165">
        <v>4927074889</v>
      </c>
      <c r="X136" s="165">
        <v>851116234</v>
      </c>
      <c r="Y136" s="165">
        <v>107426160</v>
      </c>
      <c r="Z136" s="165">
        <v>459875578.92000002</v>
      </c>
      <c r="AA136" s="165">
        <v>142265488.11000001</v>
      </c>
      <c r="AB136" s="165">
        <v>4321966</v>
      </c>
      <c r="AC136" s="165">
        <v>1094.4166666666667</v>
      </c>
      <c r="AD136" s="165">
        <v>1495192280.0300002</v>
      </c>
      <c r="AE136" s="165">
        <v>1366200.2101850302</v>
      </c>
      <c r="AF136" s="166">
        <v>781303087</v>
      </c>
      <c r="AG136" s="11">
        <v>315594108.92000008</v>
      </c>
      <c r="AH136" s="12">
        <v>197.66666666666674</v>
      </c>
      <c r="AI136" s="132">
        <v>0</v>
      </c>
      <c r="AJ136" s="132">
        <v>0</v>
      </c>
      <c r="AK136" s="13">
        <v>0.15</v>
      </c>
      <c r="AL136" s="13">
        <v>3.860795265225625E-2</v>
      </c>
      <c r="AM136" s="14">
        <v>0</v>
      </c>
      <c r="AN136" s="14">
        <v>-1</v>
      </c>
      <c r="AO136" s="82">
        <v>295578.01329244493</v>
      </c>
      <c r="AP136" s="82">
        <v>420201.54930632754</v>
      </c>
      <c r="AQ136" s="82">
        <v>124623.53601388261</v>
      </c>
      <c r="AR136" s="129">
        <v>0.4216265432793882</v>
      </c>
    </row>
    <row r="137" spans="1:44" ht="28.8" x14ac:dyDescent="0.3">
      <c r="A137" s="136" t="s">
        <v>295</v>
      </c>
      <c r="B137" s="137" t="s">
        <v>4916</v>
      </c>
      <c r="C137" s="134">
        <v>2019</v>
      </c>
      <c r="D137" s="149" t="s">
        <v>4915</v>
      </c>
      <c r="E137" s="135" t="s">
        <v>1131</v>
      </c>
      <c r="F137" s="384" t="s">
        <v>294</v>
      </c>
      <c r="G137" s="138" t="s">
        <v>4773</v>
      </c>
      <c r="H137" s="138" t="s">
        <v>3980</v>
      </c>
      <c r="I137" s="138" t="s">
        <v>3673</v>
      </c>
      <c r="J137" s="135" t="s">
        <v>4774</v>
      </c>
      <c r="K137" s="164">
        <v>397683628</v>
      </c>
      <c r="L137" s="165">
        <v>347944633</v>
      </c>
      <c r="M137" s="165">
        <v>43735422</v>
      </c>
      <c r="N137" s="165">
        <v>62456</v>
      </c>
      <c r="O137" s="165">
        <v>6091700.6900000004</v>
      </c>
      <c r="P137" s="165">
        <v>1796264.29</v>
      </c>
      <c r="Q137" s="165">
        <v>0</v>
      </c>
      <c r="R137" s="165">
        <v>43.5</v>
      </c>
      <c r="S137" s="165">
        <v>13953993.98</v>
      </c>
      <c r="T137" s="165">
        <v>320781.47080459772</v>
      </c>
      <c r="U137" s="166">
        <v>6003573</v>
      </c>
      <c r="V137" s="168">
        <v>863848815</v>
      </c>
      <c r="W137" s="165">
        <v>813383803</v>
      </c>
      <c r="X137" s="165">
        <v>35383537</v>
      </c>
      <c r="Y137" s="165">
        <v>1049675</v>
      </c>
      <c r="Z137" s="165">
        <v>6145108.9299999997</v>
      </c>
      <c r="AA137" s="165">
        <v>1842340.7200000002</v>
      </c>
      <c r="AB137" s="165">
        <v>0</v>
      </c>
      <c r="AC137" s="165">
        <v>41.166666666666664</v>
      </c>
      <c r="AD137" s="165">
        <v>24118599.649999999</v>
      </c>
      <c r="AE137" s="165">
        <v>585876.91457489878</v>
      </c>
      <c r="AF137" s="166">
        <v>15081475</v>
      </c>
      <c r="AG137" s="11">
        <v>10164605.669999998</v>
      </c>
      <c r="AH137" s="12">
        <v>-2.3333333333333357</v>
      </c>
      <c r="AI137" s="132">
        <v>1</v>
      </c>
      <c r="AJ137" s="132">
        <v>1</v>
      </c>
      <c r="AK137" s="13">
        <v>0.15</v>
      </c>
      <c r="AL137" s="13">
        <v>0.82640509129158879</v>
      </c>
      <c r="AM137" s="14">
        <v>1</v>
      </c>
      <c r="AN137" s="14">
        <v>0</v>
      </c>
      <c r="AO137" s="82">
        <v>140039.09632183908</v>
      </c>
      <c r="AP137" s="82">
        <v>149273.90113360324</v>
      </c>
      <c r="AQ137" s="82">
        <v>9234.8048117641592</v>
      </c>
      <c r="AR137" s="129">
        <v>6.5944475895078902E-2</v>
      </c>
    </row>
    <row r="138" spans="1:44" ht="28.8" x14ac:dyDescent="0.3">
      <c r="A138" s="136" t="s">
        <v>296</v>
      </c>
      <c r="B138" s="137" t="s">
        <v>4917</v>
      </c>
      <c r="C138" s="134">
        <v>2020</v>
      </c>
      <c r="D138" s="149" t="s">
        <v>1137</v>
      </c>
      <c r="E138" s="135" t="s">
        <v>1131</v>
      </c>
      <c r="F138" s="384" t="s">
        <v>294</v>
      </c>
      <c r="G138" s="138" t="s">
        <v>4773</v>
      </c>
      <c r="H138" s="138" t="s">
        <v>3058</v>
      </c>
      <c r="I138" s="138" t="s">
        <v>1566</v>
      </c>
      <c r="J138" s="135" t="s">
        <v>4778</v>
      </c>
      <c r="K138" s="164">
        <v>446290067</v>
      </c>
      <c r="L138" s="165">
        <v>334032293</v>
      </c>
      <c r="M138" s="165">
        <v>4644492</v>
      </c>
      <c r="N138" s="165">
        <v>23772892</v>
      </c>
      <c r="O138" s="165">
        <v>162256772.49000001</v>
      </c>
      <c r="P138" s="165">
        <v>41707071.140000001</v>
      </c>
      <c r="Q138" s="165">
        <v>4516193</v>
      </c>
      <c r="R138" s="165">
        <v>505.25</v>
      </c>
      <c r="S138" s="165">
        <v>339866210.63</v>
      </c>
      <c r="T138" s="165">
        <v>672669.39263730822</v>
      </c>
      <c r="U138" s="166">
        <v>107613282</v>
      </c>
      <c r="V138" s="168">
        <v>648959525</v>
      </c>
      <c r="W138" s="165">
        <v>376871806</v>
      </c>
      <c r="X138" s="165">
        <v>115249498</v>
      </c>
      <c r="Y138" s="165">
        <v>19423640</v>
      </c>
      <c r="Z138" s="165">
        <v>193584890.81999999</v>
      </c>
      <c r="AA138" s="165">
        <v>56644816.18</v>
      </c>
      <c r="AB138" s="165">
        <v>4574008</v>
      </c>
      <c r="AC138" s="165">
        <v>485.91666666666669</v>
      </c>
      <c r="AD138" s="165">
        <v>431065576</v>
      </c>
      <c r="AE138" s="165">
        <v>887118.31795575365</v>
      </c>
      <c r="AF138" s="166">
        <v>156838221</v>
      </c>
      <c r="AG138" s="11">
        <v>91199365.370000005</v>
      </c>
      <c r="AH138" s="12">
        <v>-19.333333333333314</v>
      </c>
      <c r="AI138" s="132">
        <v>1</v>
      </c>
      <c r="AJ138" s="132">
        <v>1</v>
      </c>
      <c r="AK138" s="13">
        <v>0.1</v>
      </c>
      <c r="AL138" s="13">
        <v>0.31880286688829407</v>
      </c>
      <c r="AM138" s="14">
        <v>1</v>
      </c>
      <c r="AN138" s="14">
        <v>0</v>
      </c>
      <c r="AO138" s="82">
        <v>321141.55861454725</v>
      </c>
      <c r="AP138" s="82">
        <v>398391.13185388438</v>
      </c>
      <c r="AQ138" s="82">
        <v>77249.573239337129</v>
      </c>
      <c r="AR138" s="129">
        <v>0.24054679678520396</v>
      </c>
    </row>
    <row r="139" spans="1:44" ht="28.8" x14ac:dyDescent="0.3">
      <c r="A139" s="136" t="s">
        <v>297</v>
      </c>
      <c r="B139" s="137" t="s">
        <v>4918</v>
      </c>
      <c r="C139" s="134">
        <v>2020</v>
      </c>
      <c r="D139" s="149" t="s">
        <v>1137</v>
      </c>
      <c r="E139" s="135" t="s">
        <v>1131</v>
      </c>
      <c r="F139" s="384" t="s">
        <v>294</v>
      </c>
      <c r="G139" s="138" t="s">
        <v>4773</v>
      </c>
      <c r="H139" s="138" t="s">
        <v>3110</v>
      </c>
      <c r="I139" s="138" t="s">
        <v>1566</v>
      </c>
      <c r="J139" s="135" t="s">
        <v>4778</v>
      </c>
      <c r="K139" s="164">
        <v>2753250238</v>
      </c>
      <c r="L139" s="165">
        <v>2282952897</v>
      </c>
      <c r="M139" s="165">
        <v>467580348</v>
      </c>
      <c r="N139" s="165">
        <v>42245406</v>
      </c>
      <c r="O139" s="165">
        <v>323907768.27999997</v>
      </c>
      <c r="P139" s="165">
        <v>84071443.939999983</v>
      </c>
      <c r="Q139" s="165">
        <v>1228447</v>
      </c>
      <c r="R139" s="165">
        <v>746.5</v>
      </c>
      <c r="S139" s="165">
        <v>454170058.21999997</v>
      </c>
      <c r="T139" s="165">
        <v>608399.27423978562</v>
      </c>
      <c r="U139" s="166">
        <v>2716993</v>
      </c>
      <c r="V139" s="168">
        <v>4375998123</v>
      </c>
      <c r="W139" s="165">
        <v>3205925040</v>
      </c>
      <c r="X139" s="165">
        <v>910113163</v>
      </c>
      <c r="Y139" s="165">
        <v>37966408</v>
      </c>
      <c r="Z139" s="165">
        <v>405510414</v>
      </c>
      <c r="AA139" s="165">
        <v>88444083.260000005</v>
      </c>
      <c r="AB139" s="165">
        <v>1057751</v>
      </c>
      <c r="AC139" s="165">
        <v>807.08333333333337</v>
      </c>
      <c r="AD139" s="165">
        <v>792938576.25999999</v>
      </c>
      <c r="AE139" s="165">
        <v>982474.22974909644</v>
      </c>
      <c r="AF139" s="166">
        <v>259959920</v>
      </c>
      <c r="AG139" s="11">
        <v>338768518.04000002</v>
      </c>
      <c r="AH139" s="12">
        <v>60.583333333333371</v>
      </c>
      <c r="AI139" s="132">
        <v>1</v>
      </c>
      <c r="AJ139" s="132">
        <v>1</v>
      </c>
      <c r="AK139" s="13">
        <v>0.1</v>
      </c>
      <c r="AL139" s="13">
        <v>0.61485109934467852</v>
      </c>
      <c r="AM139" s="14">
        <v>1</v>
      </c>
      <c r="AN139" s="14">
        <v>0</v>
      </c>
      <c r="AO139" s="82">
        <v>433901.89990622905</v>
      </c>
      <c r="AP139" s="82">
        <v>502439.33588022715</v>
      </c>
      <c r="AQ139" s="82">
        <v>68537.435973998101</v>
      </c>
      <c r="AR139" s="129">
        <v>0.15795606331479495</v>
      </c>
    </row>
    <row r="140" spans="1:44" ht="43.2" x14ac:dyDescent="0.3">
      <c r="A140" s="136" t="s">
        <v>298</v>
      </c>
      <c r="B140" s="137" t="s">
        <v>4919</v>
      </c>
      <c r="C140" s="134">
        <v>2020</v>
      </c>
      <c r="D140" s="149" t="s">
        <v>1137</v>
      </c>
      <c r="E140" s="135" t="s">
        <v>1131</v>
      </c>
      <c r="F140" s="384" t="s">
        <v>299</v>
      </c>
      <c r="G140" s="138" t="s">
        <v>4773</v>
      </c>
      <c r="H140" s="138" t="s">
        <v>3429</v>
      </c>
      <c r="I140" s="138" t="s">
        <v>1566</v>
      </c>
      <c r="J140" s="135" t="s">
        <v>4778</v>
      </c>
      <c r="K140" s="164">
        <v>1256725078</v>
      </c>
      <c r="L140" s="165">
        <v>645321752</v>
      </c>
      <c r="M140" s="165">
        <v>406916320</v>
      </c>
      <c r="N140" s="165">
        <v>25709850</v>
      </c>
      <c r="O140" s="165">
        <v>363325291.30000001</v>
      </c>
      <c r="P140" s="165">
        <v>92046967.24000001</v>
      </c>
      <c r="Q140" s="165">
        <v>2536692</v>
      </c>
      <c r="R140" s="165">
        <v>535.66666666666663</v>
      </c>
      <c r="S140" s="165">
        <v>688105806.53999996</v>
      </c>
      <c r="T140" s="165">
        <v>1284578.35695084</v>
      </c>
      <c r="U140" s="166">
        <v>204487006</v>
      </c>
      <c r="V140" s="168">
        <v>1305720563</v>
      </c>
      <c r="W140" s="165">
        <v>630335465</v>
      </c>
      <c r="X140" s="165">
        <v>497697366</v>
      </c>
      <c r="Y140" s="165">
        <v>24685884</v>
      </c>
      <c r="Z140" s="165">
        <v>384830220.73000002</v>
      </c>
      <c r="AA140" s="165">
        <v>114523196.66999999</v>
      </c>
      <c r="AB140" s="165">
        <v>2613044</v>
      </c>
      <c r="AC140" s="165">
        <v>528.91666666666663</v>
      </c>
      <c r="AD140" s="165">
        <v>704340077.39999998</v>
      </c>
      <c r="AE140" s="165">
        <v>1331665.5000472665</v>
      </c>
      <c r="AF140" s="166">
        <v>177687732</v>
      </c>
      <c r="AG140" s="11">
        <v>16234270.860000014</v>
      </c>
      <c r="AH140" s="12">
        <v>-6.75</v>
      </c>
      <c r="AI140" s="132">
        <v>0</v>
      </c>
      <c r="AJ140" s="132">
        <v>0</v>
      </c>
      <c r="AK140" s="13">
        <v>0.1</v>
      </c>
      <c r="AL140" s="13">
        <v>3.6655716355053602E-2</v>
      </c>
      <c r="AM140" s="14">
        <v>0</v>
      </c>
      <c r="AN140" s="14">
        <v>-1</v>
      </c>
      <c r="AO140" s="82">
        <v>678267.50087118859</v>
      </c>
      <c r="AP140" s="82">
        <v>727581.95190798817</v>
      </c>
      <c r="AQ140" s="82">
        <v>49314.451036799583</v>
      </c>
      <c r="AR140" s="129">
        <v>7.2706492605732365E-2</v>
      </c>
    </row>
    <row r="141" spans="1:44" ht="28.8" x14ac:dyDescent="0.3">
      <c r="A141" s="136" t="s">
        <v>300</v>
      </c>
      <c r="B141" s="137" t="s">
        <v>4920</v>
      </c>
      <c r="C141" s="134">
        <v>2019</v>
      </c>
      <c r="D141" s="149" t="s">
        <v>1153</v>
      </c>
      <c r="E141" s="135" t="s">
        <v>1152</v>
      </c>
      <c r="F141" s="384" t="s">
        <v>301</v>
      </c>
      <c r="G141" s="138" t="s">
        <v>4773</v>
      </c>
      <c r="H141" s="138" t="s">
        <v>3367</v>
      </c>
      <c r="I141" s="138" t="s">
        <v>1566</v>
      </c>
      <c r="J141" s="135" t="s">
        <v>4778</v>
      </c>
      <c r="K141" s="164">
        <v>6168145678</v>
      </c>
      <c r="L141" s="165">
        <v>3118802162</v>
      </c>
      <c r="M141" s="165">
        <v>4953154287</v>
      </c>
      <c r="N141" s="165">
        <v>151302115</v>
      </c>
      <c r="O141" s="165">
        <v>3034350345</v>
      </c>
      <c r="P141" s="165">
        <v>933425718.61000001</v>
      </c>
      <c r="Q141" s="165">
        <v>23775457</v>
      </c>
      <c r="R141" s="165">
        <v>4563.166666666667</v>
      </c>
      <c r="S141" s="165">
        <v>2239042864.6100001</v>
      </c>
      <c r="T141" s="165">
        <v>490677.42385258776</v>
      </c>
      <c r="U141" s="166">
        <v>-1903810771</v>
      </c>
      <c r="V141" s="168">
        <v>4855449510</v>
      </c>
      <c r="W141" s="165">
        <v>1993252307</v>
      </c>
      <c r="X141" s="165">
        <v>2691197596</v>
      </c>
      <c r="Y141" s="165">
        <v>120167702</v>
      </c>
      <c r="Z141" s="165">
        <v>3307287206</v>
      </c>
      <c r="AA141" s="165">
        <v>1024178730</v>
      </c>
      <c r="AB141" s="165">
        <v>22816284</v>
      </c>
      <c r="AC141" s="165">
        <v>4825.666666666667</v>
      </c>
      <c r="AD141" s="165">
        <v>4645449529</v>
      </c>
      <c r="AE141" s="165">
        <v>962654.45789873588</v>
      </c>
      <c r="AF141" s="166">
        <v>170999607</v>
      </c>
      <c r="AG141" s="11">
        <v>2406406664.3899999</v>
      </c>
      <c r="AH141" s="12">
        <v>262.5</v>
      </c>
      <c r="AI141" s="132">
        <v>1</v>
      </c>
      <c r="AJ141" s="132">
        <v>1</v>
      </c>
      <c r="AK141" s="13">
        <v>0.15</v>
      </c>
      <c r="AL141" s="13">
        <v>0.96188864773928251</v>
      </c>
      <c r="AM141" s="14">
        <v>1</v>
      </c>
      <c r="AN141" s="14">
        <v>0</v>
      </c>
      <c r="AO141" s="82">
        <v>664965.9253442419</v>
      </c>
      <c r="AP141" s="82">
        <v>685353.4308213027</v>
      </c>
      <c r="AQ141" s="82">
        <v>20387.505477060797</v>
      </c>
      <c r="AR141" s="129">
        <v>3.0659473967040496E-2</v>
      </c>
    </row>
    <row r="142" spans="1:44" ht="43.2" x14ac:dyDescent="0.3">
      <c r="A142" s="136" t="s">
        <v>302</v>
      </c>
      <c r="B142" s="137" t="s">
        <v>4921</v>
      </c>
      <c r="C142" s="134">
        <v>2020</v>
      </c>
      <c r="D142" s="149" t="s">
        <v>1153</v>
      </c>
      <c r="E142" s="135" t="s">
        <v>1152</v>
      </c>
      <c r="F142" s="384" t="s">
        <v>148</v>
      </c>
      <c r="G142" s="138" t="s">
        <v>4773</v>
      </c>
      <c r="H142" s="138" t="s">
        <v>4651</v>
      </c>
      <c r="I142" s="138" t="s">
        <v>4612</v>
      </c>
      <c r="J142" s="135" t="s">
        <v>4805</v>
      </c>
      <c r="K142" s="164">
        <v>1885042515</v>
      </c>
      <c r="L142" s="165">
        <v>1792194670</v>
      </c>
      <c r="M142" s="165">
        <v>363238235</v>
      </c>
      <c r="N142" s="165">
        <v>448665301</v>
      </c>
      <c r="O142" s="165">
        <v>611062735</v>
      </c>
      <c r="P142" s="165">
        <v>177983345</v>
      </c>
      <c r="Q142" s="165">
        <v>198407560</v>
      </c>
      <c r="R142" s="165">
        <v>1345.1666666666667</v>
      </c>
      <c r="S142" s="165">
        <v>1165728551</v>
      </c>
      <c r="T142" s="165">
        <v>866605.29128980299</v>
      </c>
      <c r="U142" s="166">
        <v>-270390390</v>
      </c>
      <c r="V142" s="168">
        <v>2068016941</v>
      </c>
      <c r="W142" s="165">
        <v>1769895286</v>
      </c>
      <c r="X142" s="165">
        <v>301632773</v>
      </c>
      <c r="Y142" s="165">
        <v>508735303</v>
      </c>
      <c r="Z142" s="165">
        <v>659791025.30999994</v>
      </c>
      <c r="AA142" s="165">
        <v>193681889</v>
      </c>
      <c r="AB142" s="165">
        <v>129247518</v>
      </c>
      <c r="AC142" s="165">
        <v>1358.4166666666667</v>
      </c>
      <c r="AD142" s="165">
        <v>1487944617.3099999</v>
      </c>
      <c r="AE142" s="165">
        <v>1095352.1506484263</v>
      </c>
      <c r="AF142" s="166">
        <v>-3511118</v>
      </c>
      <c r="AG142" s="11">
        <v>322216066.30999994</v>
      </c>
      <c r="AH142" s="12">
        <v>13.25</v>
      </c>
      <c r="AI142" s="132">
        <v>1</v>
      </c>
      <c r="AJ142" s="132">
        <v>1</v>
      </c>
      <c r="AK142" s="13">
        <v>0.1</v>
      </c>
      <c r="AL142" s="13">
        <v>0.26395737787384133</v>
      </c>
      <c r="AM142" s="14">
        <v>1</v>
      </c>
      <c r="AN142" s="14">
        <v>0</v>
      </c>
      <c r="AO142" s="82">
        <v>454265.44542188081</v>
      </c>
      <c r="AP142" s="82">
        <v>485705.92624501558</v>
      </c>
      <c r="AQ142" s="82">
        <v>31440.480823134771</v>
      </c>
      <c r="AR142" s="129">
        <v>6.9211693603363766E-2</v>
      </c>
    </row>
    <row r="143" spans="1:44" ht="43.2" x14ac:dyDescent="0.3">
      <c r="A143" s="136" t="s">
        <v>303</v>
      </c>
      <c r="B143" s="137" t="s">
        <v>4922</v>
      </c>
      <c r="C143" s="134">
        <v>2020</v>
      </c>
      <c r="D143" s="149" t="s">
        <v>1153</v>
      </c>
      <c r="E143" s="135" t="s">
        <v>1152</v>
      </c>
      <c r="F143" s="384" t="s">
        <v>301</v>
      </c>
      <c r="G143" s="138" t="s">
        <v>4773</v>
      </c>
      <c r="H143" s="138" t="s">
        <v>4923</v>
      </c>
      <c r="I143" s="138" t="s">
        <v>4612</v>
      </c>
      <c r="J143" s="135" t="s">
        <v>4778</v>
      </c>
      <c r="K143" s="164">
        <v>626808297</v>
      </c>
      <c r="L143" s="165">
        <v>520872603</v>
      </c>
      <c r="M143" s="165">
        <v>56829616</v>
      </c>
      <c r="N143" s="165">
        <v>65151127</v>
      </c>
      <c r="O143" s="165">
        <v>44078774</v>
      </c>
      <c r="P143" s="165">
        <v>12836132</v>
      </c>
      <c r="Q143" s="165">
        <v>16427540</v>
      </c>
      <c r="R143" s="165">
        <v>70.75</v>
      </c>
      <c r="S143" s="165">
        <v>187599651</v>
      </c>
      <c r="T143" s="165">
        <v>2651585.1731448765</v>
      </c>
      <c r="U143" s="166">
        <v>49106078</v>
      </c>
      <c r="V143" s="168">
        <v>725845429</v>
      </c>
      <c r="W143" s="165">
        <v>661536981</v>
      </c>
      <c r="X143" s="165">
        <v>54526807</v>
      </c>
      <c r="Y143" s="165">
        <v>75123565</v>
      </c>
      <c r="Z143" s="165">
        <v>44265661</v>
      </c>
      <c r="AA143" s="165">
        <v>13044161</v>
      </c>
      <c r="AB143" s="165">
        <v>18466323</v>
      </c>
      <c r="AC143" s="165">
        <v>69.25</v>
      </c>
      <c r="AD143" s="165">
        <v>160681351</v>
      </c>
      <c r="AE143" s="165">
        <v>2320308.3176895306</v>
      </c>
      <c r="AF143" s="166">
        <v>9781641</v>
      </c>
      <c r="AG143" s="11">
        <v>-26918300</v>
      </c>
      <c r="AH143" s="12">
        <v>-1.5</v>
      </c>
      <c r="AI143" s="132">
        <v>0</v>
      </c>
      <c r="AJ143" s="132">
        <v>0</v>
      </c>
      <c r="AK143" s="13">
        <v>0.1</v>
      </c>
      <c r="AL143" s="13">
        <v>-0.12493539854878588</v>
      </c>
      <c r="AM143" s="14">
        <v>0</v>
      </c>
      <c r="AN143" s="14">
        <v>-1</v>
      </c>
      <c r="AO143" s="82">
        <v>623021.54063604237</v>
      </c>
      <c r="AP143" s="82">
        <v>639215.32129963895</v>
      </c>
      <c r="AQ143" s="82">
        <v>16193.780663596583</v>
      </c>
      <c r="AR143" s="129">
        <v>2.5992328687487021E-2</v>
      </c>
    </row>
    <row r="144" spans="1:44" ht="28.8" x14ac:dyDescent="0.3">
      <c r="A144" s="136" t="s">
        <v>304</v>
      </c>
      <c r="B144" s="137" t="s">
        <v>4924</v>
      </c>
      <c r="C144" s="134">
        <v>2019</v>
      </c>
      <c r="D144" s="149" t="s">
        <v>1153</v>
      </c>
      <c r="E144" s="135" t="s">
        <v>1152</v>
      </c>
      <c r="F144" s="384" t="s">
        <v>301</v>
      </c>
      <c r="G144" s="138" t="s">
        <v>4773</v>
      </c>
      <c r="H144" s="138" t="s">
        <v>3545</v>
      </c>
      <c r="I144" s="138" t="s">
        <v>1566</v>
      </c>
      <c r="J144" s="135" t="s">
        <v>4774</v>
      </c>
      <c r="K144" s="164">
        <v>1115850477</v>
      </c>
      <c r="L144" s="165">
        <v>1018106368</v>
      </c>
      <c r="M144" s="165">
        <v>29764871</v>
      </c>
      <c r="N144" s="165">
        <v>5628816</v>
      </c>
      <c r="O144" s="165">
        <v>120041959</v>
      </c>
      <c r="P144" s="165">
        <v>37774073.109999999</v>
      </c>
      <c r="Q144" s="165">
        <v>378993</v>
      </c>
      <c r="R144" s="165">
        <v>224.66666666666666</v>
      </c>
      <c r="S144" s="165">
        <v>231803079.11000001</v>
      </c>
      <c r="T144" s="165">
        <v>1031764.4470771514</v>
      </c>
      <c r="U144" s="166">
        <v>67979238</v>
      </c>
      <c r="V144" s="168">
        <v>1235874317</v>
      </c>
      <c r="W144" s="165">
        <v>1153039243</v>
      </c>
      <c r="X144" s="165">
        <v>43281723</v>
      </c>
      <c r="Y144" s="165">
        <v>16531220</v>
      </c>
      <c r="Z144" s="165">
        <v>143054355</v>
      </c>
      <c r="AA144" s="165">
        <v>28399463</v>
      </c>
      <c r="AB144" s="165">
        <v>6468345</v>
      </c>
      <c r="AC144" s="165">
        <v>251.16666666666666</v>
      </c>
      <c r="AD144" s="165">
        <v>234006734</v>
      </c>
      <c r="AE144" s="165">
        <v>931679.10019907099</v>
      </c>
      <c r="AF144" s="166">
        <v>39553351</v>
      </c>
      <c r="AG144" s="11">
        <v>2203654.8899999857</v>
      </c>
      <c r="AH144" s="12">
        <v>26.5</v>
      </c>
      <c r="AI144" s="132">
        <v>0</v>
      </c>
      <c r="AJ144" s="132">
        <v>0</v>
      </c>
      <c r="AK144" s="13">
        <v>0.15</v>
      </c>
      <c r="AL144" s="13">
        <v>-9.7004069097360368E-2</v>
      </c>
      <c r="AM144" s="14">
        <v>0</v>
      </c>
      <c r="AN144" s="14">
        <v>-1</v>
      </c>
      <c r="AO144" s="82">
        <v>534311.3902077151</v>
      </c>
      <c r="AP144" s="82">
        <v>569559.47577969474</v>
      </c>
      <c r="AQ144" s="82">
        <v>35248.085571979638</v>
      </c>
      <c r="AR144" s="129">
        <v>6.5969182424272965E-2</v>
      </c>
    </row>
    <row r="145" spans="1:44" ht="28.8" x14ac:dyDescent="0.3">
      <c r="A145" s="136" t="s">
        <v>305</v>
      </c>
      <c r="B145" s="137" t="s">
        <v>4925</v>
      </c>
      <c r="C145" s="134">
        <v>2020</v>
      </c>
      <c r="D145" s="149" t="s">
        <v>1153</v>
      </c>
      <c r="E145" s="135" t="s">
        <v>1152</v>
      </c>
      <c r="F145" s="384" t="s">
        <v>301</v>
      </c>
      <c r="G145" s="138" t="s">
        <v>4773</v>
      </c>
      <c r="H145" s="138" t="s">
        <v>4573</v>
      </c>
      <c r="I145" s="138" t="s">
        <v>4255</v>
      </c>
      <c r="J145" s="135" t="s">
        <v>4774</v>
      </c>
      <c r="K145" s="164">
        <v>1460321053</v>
      </c>
      <c r="L145" s="165">
        <v>1164976887</v>
      </c>
      <c r="M145" s="165">
        <v>31168215</v>
      </c>
      <c r="N145" s="165">
        <v>36343430</v>
      </c>
      <c r="O145" s="165">
        <v>18754855</v>
      </c>
      <c r="P145" s="165">
        <v>4700238</v>
      </c>
      <c r="Q145" s="165">
        <v>0</v>
      </c>
      <c r="R145" s="165">
        <v>80.25</v>
      </c>
      <c r="S145" s="165">
        <v>323974474</v>
      </c>
      <c r="T145" s="165">
        <v>4037065.0965732089</v>
      </c>
      <c r="U145" s="166">
        <v>264175951</v>
      </c>
      <c r="V145" s="168">
        <v>1109713640</v>
      </c>
      <c r="W145" s="165">
        <v>957227484</v>
      </c>
      <c r="X145" s="165">
        <v>33611012</v>
      </c>
      <c r="Y145" s="165">
        <v>51580699</v>
      </c>
      <c r="Z145" s="165">
        <v>42627820</v>
      </c>
      <c r="AA145" s="165">
        <v>8461685</v>
      </c>
      <c r="AB145" s="165">
        <v>0</v>
      </c>
      <c r="AC145" s="165">
        <v>101.83333333333333</v>
      </c>
      <c r="AD145" s="165">
        <v>221545348</v>
      </c>
      <c r="AE145" s="165">
        <v>2175568.0654664487</v>
      </c>
      <c r="AF145" s="166">
        <v>118875144</v>
      </c>
      <c r="AG145" s="11">
        <v>-102429126</v>
      </c>
      <c r="AH145" s="12">
        <v>21.583333333333329</v>
      </c>
      <c r="AI145" s="132">
        <v>0</v>
      </c>
      <c r="AJ145" s="132">
        <v>0</v>
      </c>
      <c r="AK145" s="13">
        <v>0.1</v>
      </c>
      <c r="AL145" s="13">
        <v>-0.46110156360867216</v>
      </c>
      <c r="AM145" s="14">
        <v>0</v>
      </c>
      <c r="AN145" s="14">
        <v>-1</v>
      </c>
      <c r="AO145" s="82">
        <v>233705.35825545172</v>
      </c>
      <c r="AP145" s="82">
        <v>418603.79705400986</v>
      </c>
      <c r="AQ145" s="82">
        <v>184898.43879855814</v>
      </c>
      <c r="AR145" s="129">
        <v>0.79116046024265674</v>
      </c>
    </row>
    <row r="146" spans="1:44" ht="28.8" x14ac:dyDescent="0.3">
      <c r="A146" s="136" t="s">
        <v>306</v>
      </c>
      <c r="B146" s="137" t="s">
        <v>4926</v>
      </c>
      <c r="C146" s="134">
        <v>2019</v>
      </c>
      <c r="D146" s="149" t="s">
        <v>1109</v>
      </c>
      <c r="E146" s="135" t="s">
        <v>1108</v>
      </c>
      <c r="F146" s="384" t="s">
        <v>307</v>
      </c>
      <c r="G146" s="138" t="s">
        <v>4773</v>
      </c>
      <c r="H146" s="138" t="s">
        <v>3367</v>
      </c>
      <c r="I146" s="138" t="s">
        <v>1566</v>
      </c>
      <c r="J146" s="135" t="s">
        <v>4774</v>
      </c>
      <c r="K146" s="164">
        <v>3247615162</v>
      </c>
      <c r="L146" s="165">
        <v>2922030922</v>
      </c>
      <c r="M146" s="165">
        <v>287790160</v>
      </c>
      <c r="N146" s="165">
        <v>112321559</v>
      </c>
      <c r="O146" s="165">
        <v>948440483.83999991</v>
      </c>
      <c r="P146" s="165">
        <v>290274255.69</v>
      </c>
      <c r="Q146" s="165">
        <v>8000268</v>
      </c>
      <c r="R146" s="165">
        <v>2265.3333333333335</v>
      </c>
      <c r="S146" s="165">
        <v>1396830646.53</v>
      </c>
      <c r="T146" s="165">
        <v>616611.52730871097</v>
      </c>
      <c r="U146" s="166">
        <v>37794080</v>
      </c>
      <c r="V146" s="168">
        <v>2862700238</v>
      </c>
      <c r="W146" s="165">
        <v>287132752</v>
      </c>
      <c r="X146" s="165">
        <v>310615637</v>
      </c>
      <c r="Y146" s="165">
        <v>614879506</v>
      </c>
      <c r="Z146" s="165">
        <v>1152260950.1799998</v>
      </c>
      <c r="AA146" s="165">
        <v>306930464.01000005</v>
      </c>
      <c r="AB146" s="165">
        <v>15559068</v>
      </c>
      <c r="AC146" s="165">
        <v>2177.4166666666665</v>
      </c>
      <c r="AD146" s="165">
        <v>4354581837.1899996</v>
      </c>
      <c r="AE146" s="165">
        <v>1999884.4979249109</v>
      </c>
      <c r="AF146" s="166">
        <v>2264951849</v>
      </c>
      <c r="AG146" s="11">
        <v>2957751190.6599998</v>
      </c>
      <c r="AH146" s="12">
        <v>-87.91666666666697</v>
      </c>
      <c r="AI146" s="132">
        <v>1</v>
      </c>
      <c r="AJ146" s="132">
        <v>1</v>
      </c>
      <c r="AK146" s="13">
        <v>0.15</v>
      </c>
      <c r="AL146" s="13">
        <v>2.2433459361358357</v>
      </c>
      <c r="AM146" s="14">
        <v>1</v>
      </c>
      <c r="AN146" s="14">
        <v>0</v>
      </c>
      <c r="AO146" s="82">
        <v>418675.90516774566</v>
      </c>
      <c r="AP146" s="82">
        <v>529187.16377052316</v>
      </c>
      <c r="AQ146" s="82">
        <v>110511.2586027775</v>
      </c>
      <c r="AR146" s="129">
        <v>0.26395418804552495</v>
      </c>
    </row>
    <row r="147" spans="1:44" ht="43.2" x14ac:dyDescent="0.3">
      <c r="A147" s="136" t="s">
        <v>308</v>
      </c>
      <c r="B147" s="137" t="s">
        <v>4927</v>
      </c>
      <c r="C147" s="134">
        <v>2020</v>
      </c>
      <c r="D147" s="149" t="s">
        <v>1109</v>
      </c>
      <c r="E147" s="135" t="s">
        <v>1108</v>
      </c>
      <c r="F147" s="384" t="s">
        <v>307</v>
      </c>
      <c r="G147" s="138" t="s">
        <v>4773</v>
      </c>
      <c r="H147" s="138" t="s">
        <v>4611</v>
      </c>
      <c r="I147" s="138" t="s">
        <v>4612</v>
      </c>
      <c r="J147" s="135" t="s">
        <v>4805</v>
      </c>
      <c r="K147" s="164">
        <v>1599434110</v>
      </c>
      <c r="L147" s="165">
        <v>2118813017</v>
      </c>
      <c r="M147" s="165">
        <v>11456218</v>
      </c>
      <c r="N147" s="165">
        <v>28019597</v>
      </c>
      <c r="O147" s="165">
        <v>170369454.22999999</v>
      </c>
      <c r="P147" s="165">
        <v>50566248.859999999</v>
      </c>
      <c r="Q147" s="165">
        <v>680154</v>
      </c>
      <c r="R147" s="165">
        <v>405.58333333333331</v>
      </c>
      <c r="S147" s="165">
        <v>-281199670.90999997</v>
      </c>
      <c r="T147" s="165">
        <v>-693321.56378056295</v>
      </c>
      <c r="U147" s="166">
        <v>-530835125</v>
      </c>
      <c r="V147" s="168">
        <v>1703236927</v>
      </c>
      <c r="W147" s="165">
        <v>2085965606</v>
      </c>
      <c r="X147" s="165">
        <v>16034885</v>
      </c>
      <c r="Y147" s="165">
        <v>28469413</v>
      </c>
      <c r="Z147" s="165">
        <v>187689722.19</v>
      </c>
      <c r="AA147" s="165">
        <v>55665253.500000007</v>
      </c>
      <c r="AB147" s="165">
        <v>779749</v>
      </c>
      <c r="AC147" s="165">
        <v>429.91666666666669</v>
      </c>
      <c r="AD147" s="165">
        <v>-126159426.31</v>
      </c>
      <c r="AE147" s="165">
        <v>-293450.88500096917</v>
      </c>
      <c r="AF147" s="166">
        <v>-398763564</v>
      </c>
      <c r="AG147" s="11">
        <v>155040244.59999996</v>
      </c>
      <c r="AH147" s="12">
        <v>24.333333333333371</v>
      </c>
      <c r="AI147" s="132">
        <v>0</v>
      </c>
      <c r="AJ147" s="132">
        <v>0</v>
      </c>
      <c r="AK147" s="13">
        <v>0.1</v>
      </c>
      <c r="AL147" s="13">
        <v>0.57674633686568177</v>
      </c>
      <c r="AM147" s="14">
        <v>1</v>
      </c>
      <c r="AN147" s="14">
        <v>0</v>
      </c>
      <c r="AO147" s="82">
        <v>420060.29397164576</v>
      </c>
      <c r="AP147" s="82">
        <v>436572.33306454739</v>
      </c>
      <c r="AQ147" s="82">
        <v>16512.039092901628</v>
      </c>
      <c r="AR147" s="129">
        <v>3.9308735745483769E-2</v>
      </c>
    </row>
    <row r="148" spans="1:44" ht="43.2" x14ac:dyDescent="0.3">
      <c r="A148" s="136" t="s">
        <v>309</v>
      </c>
      <c r="B148" s="137" t="s">
        <v>4928</v>
      </c>
      <c r="C148" s="134">
        <v>2020</v>
      </c>
      <c r="D148" s="149" t="s">
        <v>1109</v>
      </c>
      <c r="E148" s="135" t="s">
        <v>1108</v>
      </c>
      <c r="F148" s="384" t="s">
        <v>310</v>
      </c>
      <c r="G148" s="138" t="s">
        <v>4773</v>
      </c>
      <c r="H148" s="138" t="s">
        <v>4616</v>
      </c>
      <c r="I148" s="138" t="s">
        <v>4612</v>
      </c>
      <c r="J148" s="135" t="s">
        <v>4805</v>
      </c>
      <c r="K148" s="164">
        <v>5598808590</v>
      </c>
      <c r="L148" s="165">
        <v>4758840622</v>
      </c>
      <c r="M148" s="165">
        <v>701620490</v>
      </c>
      <c r="N148" s="165">
        <v>327324769</v>
      </c>
      <c r="O148" s="165">
        <v>1352217570</v>
      </c>
      <c r="P148" s="165">
        <v>307838468.88999999</v>
      </c>
      <c r="Q148" s="165">
        <v>181792271</v>
      </c>
      <c r="R148" s="165">
        <v>3313.6666666666665</v>
      </c>
      <c r="S148" s="165">
        <v>2307520556.8899999</v>
      </c>
      <c r="T148" s="165">
        <v>696364.71890856046</v>
      </c>
      <c r="U148" s="166">
        <v>138347478</v>
      </c>
      <c r="V148" s="168">
        <v>6439819829</v>
      </c>
      <c r="W148" s="165">
        <v>5404344451</v>
      </c>
      <c r="X148" s="165">
        <v>968468168</v>
      </c>
      <c r="Y148" s="165">
        <v>348396529</v>
      </c>
      <c r="Z148" s="165">
        <v>1399830653.4400001</v>
      </c>
      <c r="AA148" s="165">
        <v>299511599.09000003</v>
      </c>
      <c r="AB148" s="165">
        <v>189741253</v>
      </c>
      <c r="AC148" s="165">
        <v>3310.8333333333335</v>
      </c>
      <c r="AD148" s="165">
        <v>2304487244.5300002</v>
      </c>
      <c r="AE148" s="165">
        <v>696044.47355549969</v>
      </c>
      <c r="AF148" s="166">
        <v>67007210</v>
      </c>
      <c r="AG148" s="11">
        <v>-3033312.3599996567</v>
      </c>
      <c r="AH148" s="12">
        <v>-2.8333333333330302</v>
      </c>
      <c r="AI148" s="132">
        <v>0</v>
      </c>
      <c r="AJ148" s="132">
        <v>0</v>
      </c>
      <c r="AK148" s="13">
        <v>0.1</v>
      </c>
      <c r="AL148" s="13">
        <v>-4.5988831829391064E-4</v>
      </c>
      <c r="AM148" s="14">
        <v>0</v>
      </c>
      <c r="AN148" s="14">
        <v>-1</v>
      </c>
      <c r="AO148" s="82">
        <v>408072.90111658786</v>
      </c>
      <c r="AP148" s="82">
        <v>422803.1170722376</v>
      </c>
      <c r="AQ148" s="82">
        <v>14730.215955649735</v>
      </c>
      <c r="AR148" s="129">
        <v>3.6097020692489545E-2</v>
      </c>
    </row>
    <row r="149" spans="1:44" ht="28.8" x14ac:dyDescent="0.3">
      <c r="A149" s="136" t="s">
        <v>311</v>
      </c>
      <c r="B149" s="137" t="s">
        <v>4929</v>
      </c>
      <c r="C149" s="134">
        <v>2019</v>
      </c>
      <c r="D149" s="149" t="s">
        <v>1109</v>
      </c>
      <c r="E149" s="135" t="s">
        <v>1108</v>
      </c>
      <c r="F149" s="384" t="s">
        <v>307</v>
      </c>
      <c r="G149" s="138" t="s">
        <v>4773</v>
      </c>
      <c r="H149" s="138" t="s">
        <v>2898</v>
      </c>
      <c r="I149" s="138" t="s">
        <v>1566</v>
      </c>
      <c r="J149" s="135" t="s">
        <v>4778</v>
      </c>
      <c r="K149" s="164">
        <v>1382351654</v>
      </c>
      <c r="L149" s="165">
        <v>1163944344</v>
      </c>
      <c r="M149" s="165">
        <v>79463295</v>
      </c>
      <c r="N149" s="165">
        <v>26213783</v>
      </c>
      <c r="O149" s="165">
        <v>578187069.26999998</v>
      </c>
      <c r="P149" s="165">
        <v>174377707.68000001</v>
      </c>
      <c r="Q149" s="165">
        <v>586422</v>
      </c>
      <c r="R149" s="165">
        <v>1496.5</v>
      </c>
      <c r="S149" s="165">
        <v>918308996.95000005</v>
      </c>
      <c r="T149" s="165">
        <v>613637.8195456065</v>
      </c>
      <c r="U149" s="166">
        <v>138944015</v>
      </c>
      <c r="V149" s="168">
        <v>1610436520</v>
      </c>
      <c r="W149" s="165">
        <v>1320147847</v>
      </c>
      <c r="X149" s="165">
        <v>226631958</v>
      </c>
      <c r="Y149" s="165">
        <v>29652405</v>
      </c>
      <c r="Z149" s="165">
        <v>687526946</v>
      </c>
      <c r="AA149" s="165">
        <v>206828468</v>
      </c>
      <c r="AB149" s="165">
        <v>864237</v>
      </c>
      <c r="AC149" s="165">
        <v>1446.5833333333333</v>
      </c>
      <c r="AD149" s="165">
        <v>988528771</v>
      </c>
      <c r="AE149" s="165">
        <v>683354.18238377792</v>
      </c>
      <c r="AF149" s="166">
        <v>63656715</v>
      </c>
      <c r="AG149" s="11">
        <v>70219774.049999952</v>
      </c>
      <c r="AH149" s="12">
        <v>-49.916666666666742</v>
      </c>
      <c r="AI149" s="132">
        <v>0</v>
      </c>
      <c r="AJ149" s="132">
        <v>1</v>
      </c>
      <c r="AK149" s="13">
        <v>0.15</v>
      </c>
      <c r="AL149" s="13">
        <v>0.11361157628778495</v>
      </c>
      <c r="AM149" s="14">
        <v>0</v>
      </c>
      <c r="AN149" s="14">
        <v>-1</v>
      </c>
      <c r="AO149" s="82">
        <v>386359.55180086871</v>
      </c>
      <c r="AP149" s="82">
        <v>475276.41868771246</v>
      </c>
      <c r="AQ149" s="82">
        <v>88916.866886843753</v>
      </c>
      <c r="AR149" s="129">
        <v>0.23014020611731079</v>
      </c>
    </row>
    <row r="150" spans="1:44" ht="43.2" x14ac:dyDescent="0.3">
      <c r="A150" s="136" t="s">
        <v>312</v>
      </c>
      <c r="B150" s="137" t="s">
        <v>4930</v>
      </c>
      <c r="C150" s="134">
        <v>2019</v>
      </c>
      <c r="D150" s="149" t="s">
        <v>1109</v>
      </c>
      <c r="E150" s="135" t="s">
        <v>1108</v>
      </c>
      <c r="F150" s="384" t="s">
        <v>307</v>
      </c>
      <c r="G150" s="138" t="s">
        <v>4773</v>
      </c>
      <c r="H150" s="138" t="s">
        <v>4286</v>
      </c>
      <c r="I150" s="138" t="s">
        <v>4255</v>
      </c>
      <c r="J150" s="135" t="s">
        <v>4805</v>
      </c>
      <c r="K150" s="164">
        <v>969487654</v>
      </c>
      <c r="L150" s="165">
        <v>1136095195</v>
      </c>
      <c r="M150" s="165">
        <v>46184805</v>
      </c>
      <c r="N150" s="165">
        <v>0</v>
      </c>
      <c r="O150" s="165">
        <v>678922247.90999997</v>
      </c>
      <c r="P150" s="165">
        <v>212666814.20000002</v>
      </c>
      <c r="Q150" s="165">
        <v>263261</v>
      </c>
      <c r="R150" s="165">
        <v>1670.8333333333333</v>
      </c>
      <c r="S150" s="165">
        <v>679059977.11000001</v>
      </c>
      <c r="T150" s="165">
        <v>406419.93642493768</v>
      </c>
      <c r="U150" s="166">
        <v>-212792346</v>
      </c>
      <c r="V150" s="168">
        <v>1843500581</v>
      </c>
      <c r="W150" s="165">
        <v>1593847145</v>
      </c>
      <c r="X150" s="165">
        <v>293609939</v>
      </c>
      <c r="Y150" s="165">
        <v>92020005</v>
      </c>
      <c r="Z150" s="165">
        <v>1008743689.39</v>
      </c>
      <c r="AA150" s="165">
        <v>315324824.94999999</v>
      </c>
      <c r="AB150" s="165">
        <v>446845</v>
      </c>
      <c r="AC150" s="165">
        <v>2118.5833333333335</v>
      </c>
      <c r="AD150" s="165">
        <v>1372578861.3399999</v>
      </c>
      <c r="AE150" s="165">
        <v>647875.7949919363</v>
      </c>
      <c r="AF150" s="166">
        <v>-43956503</v>
      </c>
      <c r="AG150" s="11">
        <v>693518884.2299999</v>
      </c>
      <c r="AH150" s="12">
        <v>447.75000000000023</v>
      </c>
      <c r="AI150" s="132">
        <v>1</v>
      </c>
      <c r="AJ150" s="132">
        <v>1</v>
      </c>
      <c r="AK150" s="13">
        <v>0.15</v>
      </c>
      <c r="AL150" s="13">
        <v>0.59410433946720231</v>
      </c>
      <c r="AM150" s="14">
        <v>1</v>
      </c>
      <c r="AN150" s="14">
        <v>0</v>
      </c>
      <c r="AO150" s="82">
        <v>406337.50498354115</v>
      </c>
      <c r="AP150" s="82">
        <v>476140.67075797502</v>
      </c>
      <c r="AQ150" s="82">
        <v>69803.165774433874</v>
      </c>
      <c r="AR150" s="129">
        <v>0.17178617508433369</v>
      </c>
    </row>
    <row r="151" spans="1:44" ht="28.8" x14ac:dyDescent="0.3">
      <c r="A151" s="136" t="s">
        <v>313</v>
      </c>
      <c r="B151" s="137" t="s">
        <v>4931</v>
      </c>
      <c r="C151" s="134">
        <v>2019</v>
      </c>
      <c r="D151" s="149" t="s">
        <v>1109</v>
      </c>
      <c r="E151" s="135" t="s">
        <v>1108</v>
      </c>
      <c r="F151" s="384" t="s">
        <v>307</v>
      </c>
      <c r="G151" s="138" t="s">
        <v>4773</v>
      </c>
      <c r="H151" s="138" t="s">
        <v>1702</v>
      </c>
      <c r="I151" s="138" t="s">
        <v>1566</v>
      </c>
      <c r="J151" s="135" t="s">
        <v>4774</v>
      </c>
      <c r="K151" s="164">
        <v>2428971230</v>
      </c>
      <c r="L151" s="165">
        <v>2297449488</v>
      </c>
      <c r="M151" s="165">
        <v>0</v>
      </c>
      <c r="N151" s="165">
        <v>150439803</v>
      </c>
      <c r="O151" s="165">
        <v>293487666.94999999</v>
      </c>
      <c r="P151" s="165">
        <v>23463084.59</v>
      </c>
      <c r="Q151" s="165">
        <v>73785</v>
      </c>
      <c r="R151" s="165">
        <v>985</v>
      </c>
      <c r="S151" s="165">
        <v>598986081.54000008</v>
      </c>
      <c r="T151" s="165">
        <v>608107.69699492399</v>
      </c>
      <c r="U151" s="166">
        <v>131521742</v>
      </c>
      <c r="V151" s="168">
        <v>3880996998</v>
      </c>
      <c r="W151" s="165">
        <v>3677461437</v>
      </c>
      <c r="X151" s="165">
        <v>0</v>
      </c>
      <c r="Y151" s="165">
        <v>105979453</v>
      </c>
      <c r="Z151" s="165">
        <v>501291770.49000013</v>
      </c>
      <c r="AA151" s="165">
        <v>37293403.210000001</v>
      </c>
      <c r="AB151" s="165">
        <v>41432</v>
      </c>
      <c r="AC151" s="165">
        <v>1215</v>
      </c>
      <c r="AD151" s="165">
        <v>848141619.70000017</v>
      </c>
      <c r="AE151" s="165">
        <v>698058.9462551442</v>
      </c>
      <c r="AF151" s="166">
        <v>203535561</v>
      </c>
      <c r="AG151" s="11">
        <v>249155538.16000009</v>
      </c>
      <c r="AH151" s="12">
        <v>230</v>
      </c>
      <c r="AI151" s="132">
        <v>1</v>
      </c>
      <c r="AJ151" s="132">
        <v>1</v>
      </c>
      <c r="AK151" s="13">
        <v>0.15</v>
      </c>
      <c r="AL151" s="13">
        <v>0.14791993260404368</v>
      </c>
      <c r="AM151" s="14">
        <v>0</v>
      </c>
      <c r="AN151" s="14">
        <v>-1</v>
      </c>
      <c r="AO151" s="82">
        <v>297957.02228426392</v>
      </c>
      <c r="AP151" s="82">
        <v>412585.81933333346</v>
      </c>
      <c r="AQ151" s="82">
        <v>114628.79704906954</v>
      </c>
      <c r="AR151" s="129">
        <v>0.38471587670690544</v>
      </c>
    </row>
    <row r="152" spans="1:44" ht="28.8" x14ac:dyDescent="0.3">
      <c r="A152" s="136" t="s">
        <v>314</v>
      </c>
      <c r="B152" s="137" t="s">
        <v>4932</v>
      </c>
      <c r="C152" s="134">
        <v>2020</v>
      </c>
      <c r="D152" s="149" t="s">
        <v>1109</v>
      </c>
      <c r="E152" s="135" t="s">
        <v>1108</v>
      </c>
      <c r="F152" s="384" t="s">
        <v>307</v>
      </c>
      <c r="G152" s="138" t="s">
        <v>4773</v>
      </c>
      <c r="H152" s="138" t="s">
        <v>1585</v>
      </c>
      <c r="I152" s="138" t="s">
        <v>1566</v>
      </c>
      <c r="J152" s="135" t="s">
        <v>4778</v>
      </c>
      <c r="K152" s="164">
        <v>6907063513</v>
      </c>
      <c r="L152" s="165">
        <v>6114469158</v>
      </c>
      <c r="M152" s="165">
        <v>371468757</v>
      </c>
      <c r="N152" s="165">
        <v>123615875</v>
      </c>
      <c r="O152" s="165">
        <v>783862002.23000002</v>
      </c>
      <c r="P152" s="165">
        <v>59952668.779999994</v>
      </c>
      <c r="Q152" s="165">
        <v>4570398</v>
      </c>
      <c r="R152" s="165">
        <v>1896.5</v>
      </c>
      <c r="S152" s="165">
        <v>1393126542.01</v>
      </c>
      <c r="T152" s="165">
        <v>734577.66517795937</v>
      </c>
      <c r="U152" s="166">
        <v>421125598</v>
      </c>
      <c r="V152" s="168">
        <v>8175839799</v>
      </c>
      <c r="W152" s="165">
        <v>6970478090</v>
      </c>
      <c r="X152" s="165">
        <v>370096277</v>
      </c>
      <c r="Y152" s="165">
        <v>0</v>
      </c>
      <c r="Z152" s="165">
        <v>836065926.89999998</v>
      </c>
      <c r="AA152" s="165">
        <v>66781186.500000007</v>
      </c>
      <c r="AB152" s="165">
        <v>4521332</v>
      </c>
      <c r="AC152" s="165">
        <v>1799.6666666666667</v>
      </c>
      <c r="AD152" s="165">
        <v>1742633877.4000001</v>
      </c>
      <c r="AE152" s="165">
        <v>968309.24841637339</v>
      </c>
      <c r="AF152" s="166">
        <v>835265432</v>
      </c>
      <c r="AG152" s="11">
        <v>349507335.3900001</v>
      </c>
      <c r="AH152" s="12">
        <v>-96.833333333333258</v>
      </c>
      <c r="AI152" s="132">
        <v>1</v>
      </c>
      <c r="AJ152" s="132">
        <v>1</v>
      </c>
      <c r="AK152" s="13">
        <v>0.1</v>
      </c>
      <c r="AL152" s="13">
        <v>0.3181849783154993</v>
      </c>
      <c r="AM152" s="14">
        <v>1</v>
      </c>
      <c r="AN152" s="14">
        <v>0</v>
      </c>
      <c r="AO152" s="82">
        <v>413320.3280938571</v>
      </c>
      <c r="AP152" s="82">
        <v>464567.10144471197</v>
      </c>
      <c r="AQ152" s="82">
        <v>51246.77335085487</v>
      </c>
      <c r="AR152" s="129">
        <v>0.1239880302698726</v>
      </c>
    </row>
    <row r="153" spans="1:44" ht="28.8" x14ac:dyDescent="0.3">
      <c r="A153" s="136" t="s">
        <v>315</v>
      </c>
      <c r="B153" s="137" t="s">
        <v>4933</v>
      </c>
      <c r="C153" s="134">
        <v>2020</v>
      </c>
      <c r="D153" s="149" t="s">
        <v>1109</v>
      </c>
      <c r="E153" s="135" t="s">
        <v>1108</v>
      </c>
      <c r="F153" s="384" t="s">
        <v>307</v>
      </c>
      <c r="G153" s="138" t="s">
        <v>4773</v>
      </c>
      <c r="H153" s="138" t="s">
        <v>1597</v>
      </c>
      <c r="I153" s="138" t="s">
        <v>1566</v>
      </c>
      <c r="J153" s="135" t="s">
        <v>4774</v>
      </c>
      <c r="K153" s="164">
        <v>7358401574</v>
      </c>
      <c r="L153" s="165">
        <v>6533014109</v>
      </c>
      <c r="M153" s="165">
        <v>472954053</v>
      </c>
      <c r="N153" s="165">
        <v>35852104</v>
      </c>
      <c r="O153" s="165">
        <v>370739929.14999998</v>
      </c>
      <c r="P153" s="165">
        <v>54768846.729999997</v>
      </c>
      <c r="Q153" s="165">
        <v>24625</v>
      </c>
      <c r="R153" s="165">
        <v>769.16666666666663</v>
      </c>
      <c r="S153" s="165">
        <v>813818916.88</v>
      </c>
      <c r="T153" s="165">
        <v>1058052.763007584</v>
      </c>
      <c r="U153" s="166">
        <v>352433412</v>
      </c>
      <c r="V153" s="168">
        <v>7237529453</v>
      </c>
      <c r="W153" s="165">
        <v>6672684660</v>
      </c>
      <c r="X153" s="165">
        <v>555832354</v>
      </c>
      <c r="Y153" s="165">
        <v>2431024</v>
      </c>
      <c r="Z153" s="165">
        <v>459738842.14999998</v>
      </c>
      <c r="AA153" s="165">
        <v>76052765</v>
      </c>
      <c r="AB153" s="165">
        <v>643394</v>
      </c>
      <c r="AC153" s="165">
        <v>843.91666666666663</v>
      </c>
      <c r="AD153" s="165">
        <v>547878464.14999998</v>
      </c>
      <c r="AE153" s="165">
        <v>649209.20013824431</v>
      </c>
      <c r="AF153" s="166">
        <v>9012439</v>
      </c>
      <c r="AG153" s="11">
        <v>-265940452.73000002</v>
      </c>
      <c r="AH153" s="12">
        <v>74.75</v>
      </c>
      <c r="AI153" s="132">
        <v>0</v>
      </c>
      <c r="AJ153" s="132">
        <v>0</v>
      </c>
      <c r="AK153" s="13">
        <v>0.1</v>
      </c>
      <c r="AL153" s="13">
        <v>-0.38641131657744554</v>
      </c>
      <c r="AM153" s="14">
        <v>0</v>
      </c>
      <c r="AN153" s="14">
        <v>-1</v>
      </c>
      <c r="AO153" s="82">
        <v>482002.0747345612</v>
      </c>
      <c r="AP153" s="82">
        <v>544768.05626542901</v>
      </c>
      <c r="AQ153" s="82">
        <v>62765.981530867808</v>
      </c>
      <c r="AR153" s="129">
        <v>0.13021931817499555</v>
      </c>
    </row>
    <row r="154" spans="1:44" ht="28.8" x14ac:dyDescent="0.3">
      <c r="A154" s="136" t="s">
        <v>316</v>
      </c>
      <c r="B154" s="137" t="s">
        <v>4934</v>
      </c>
      <c r="C154" s="134">
        <v>2020</v>
      </c>
      <c r="D154" s="149" t="s">
        <v>1109</v>
      </c>
      <c r="E154" s="135" t="s">
        <v>1108</v>
      </c>
      <c r="F154" s="384" t="s">
        <v>307</v>
      </c>
      <c r="G154" s="138" t="s">
        <v>4773</v>
      </c>
      <c r="H154" s="138" t="s">
        <v>1702</v>
      </c>
      <c r="I154" s="138" t="s">
        <v>1566</v>
      </c>
      <c r="J154" s="135" t="s">
        <v>4774</v>
      </c>
      <c r="K154" s="164">
        <v>751017930.49000001</v>
      </c>
      <c r="L154" s="165">
        <v>590205435.39999998</v>
      </c>
      <c r="M154" s="165">
        <v>53860431</v>
      </c>
      <c r="N154" s="165">
        <v>11689911</v>
      </c>
      <c r="O154" s="165">
        <v>70638061.399999991</v>
      </c>
      <c r="P154" s="165">
        <v>21153742.09</v>
      </c>
      <c r="Q154" s="165">
        <v>699852</v>
      </c>
      <c r="R154" s="165">
        <v>310.66666666666669</v>
      </c>
      <c r="S154" s="165">
        <v>211133630.58000001</v>
      </c>
      <c r="T154" s="165">
        <v>679614.69070815446</v>
      </c>
      <c r="U154" s="166">
        <v>106952064.09000003</v>
      </c>
      <c r="V154" s="168">
        <v>867759515</v>
      </c>
      <c r="W154" s="165">
        <v>708700927</v>
      </c>
      <c r="X154" s="165">
        <v>55970690</v>
      </c>
      <c r="Y154" s="165">
        <v>13048074</v>
      </c>
      <c r="Z154" s="165">
        <v>83160601.489999995</v>
      </c>
      <c r="AA154" s="165">
        <v>24866177.630000003</v>
      </c>
      <c r="AB154" s="165">
        <v>694742</v>
      </c>
      <c r="AC154" s="165">
        <v>322.83333333333331</v>
      </c>
      <c r="AD154" s="165">
        <v>224857493.12</v>
      </c>
      <c r="AE154" s="165">
        <v>696512.62711409398</v>
      </c>
      <c r="AF154" s="166">
        <v>103087898</v>
      </c>
      <c r="AG154" s="11">
        <v>13723862.539999992</v>
      </c>
      <c r="AH154" s="12">
        <v>12.166666666666629</v>
      </c>
      <c r="AI154" s="132">
        <v>0</v>
      </c>
      <c r="AJ154" s="132">
        <v>0</v>
      </c>
      <c r="AK154" s="13">
        <v>0.1</v>
      </c>
      <c r="AL154" s="13">
        <v>2.4864000511819473E-2</v>
      </c>
      <c r="AM154" s="14">
        <v>0</v>
      </c>
      <c r="AN154" s="14">
        <v>-1</v>
      </c>
      <c r="AO154" s="82">
        <v>227375.73412017163</v>
      </c>
      <c r="AP154" s="82">
        <v>257596.08102219927</v>
      </c>
      <c r="AQ154" s="82">
        <v>30220.346902027639</v>
      </c>
      <c r="AR154" s="129">
        <v>0.13290928787526513</v>
      </c>
    </row>
    <row r="155" spans="1:44" ht="28.8" x14ac:dyDescent="0.3">
      <c r="A155" s="136" t="s">
        <v>317</v>
      </c>
      <c r="B155" s="137" t="s">
        <v>4935</v>
      </c>
      <c r="C155" s="134">
        <v>2019</v>
      </c>
      <c r="D155" s="149" t="s">
        <v>4843</v>
      </c>
      <c r="E155" s="135" t="s">
        <v>1131</v>
      </c>
      <c r="F155" s="384" t="s">
        <v>227</v>
      </c>
      <c r="G155" s="138" t="s">
        <v>4773</v>
      </c>
      <c r="H155" s="138" t="s">
        <v>2705</v>
      </c>
      <c r="I155" s="138" t="s">
        <v>1566</v>
      </c>
      <c r="J155" s="135" t="s">
        <v>4774</v>
      </c>
      <c r="K155" s="164">
        <v>2453837681</v>
      </c>
      <c r="L155" s="165">
        <v>1058673851</v>
      </c>
      <c r="M155" s="165">
        <v>1092093463</v>
      </c>
      <c r="N155" s="165">
        <v>75482042</v>
      </c>
      <c r="O155" s="165">
        <v>610571767.28999996</v>
      </c>
      <c r="P155" s="165">
        <v>174898064.45999998</v>
      </c>
      <c r="Q155" s="165">
        <v>3170046</v>
      </c>
      <c r="R155" s="165">
        <v>1047.6666666666667</v>
      </c>
      <c r="S155" s="165">
        <v>1167192286.75</v>
      </c>
      <c r="T155" s="165">
        <v>1114087.45155902</v>
      </c>
      <c r="U155" s="166">
        <v>303070367</v>
      </c>
      <c r="V155" s="168">
        <v>2638745659</v>
      </c>
      <c r="W155" s="165">
        <v>1226718730</v>
      </c>
      <c r="X155" s="165">
        <v>1124251332</v>
      </c>
      <c r="Y155" s="165">
        <v>122875236</v>
      </c>
      <c r="Z155" s="165">
        <v>636057100</v>
      </c>
      <c r="AA155" s="165">
        <v>195346974.18999997</v>
      </c>
      <c r="AB155" s="165">
        <v>2374895</v>
      </c>
      <c r="AC155" s="165">
        <v>1064.9166666666667</v>
      </c>
      <c r="AD155" s="165">
        <v>1244429802.1900001</v>
      </c>
      <c r="AE155" s="165">
        <v>1168570.1249143125</v>
      </c>
      <c r="AF155" s="166">
        <v>287775597</v>
      </c>
      <c r="AG155" s="11">
        <v>77237515.440000057</v>
      </c>
      <c r="AH155" s="12">
        <v>17.25</v>
      </c>
      <c r="AI155" s="132">
        <v>0</v>
      </c>
      <c r="AJ155" s="132">
        <v>1</v>
      </c>
      <c r="AK155" s="13">
        <v>0.15</v>
      </c>
      <c r="AL155" s="13">
        <v>4.8903405203963191E-2</v>
      </c>
      <c r="AM155" s="14">
        <v>0</v>
      </c>
      <c r="AN155" s="14">
        <v>-1</v>
      </c>
      <c r="AO155" s="82">
        <v>582792.01459433651</v>
      </c>
      <c r="AP155" s="82">
        <v>597283.44940918696</v>
      </c>
      <c r="AQ155" s="82">
        <v>14491.43481485045</v>
      </c>
      <c r="AR155" s="129">
        <v>2.4865534276301782E-2</v>
      </c>
    </row>
    <row r="156" spans="1:44" ht="43.2" x14ac:dyDescent="0.3">
      <c r="A156" s="136" t="s">
        <v>318</v>
      </c>
      <c r="B156" s="137" t="s">
        <v>1124</v>
      </c>
      <c r="C156" s="134">
        <v>2020</v>
      </c>
      <c r="D156" s="149" t="s">
        <v>1120</v>
      </c>
      <c r="E156" s="135" t="s">
        <v>1117</v>
      </c>
      <c r="F156" s="384" t="s">
        <v>254</v>
      </c>
      <c r="G156" s="138" t="s">
        <v>4787</v>
      </c>
      <c r="H156" s="138" t="s">
        <v>2717</v>
      </c>
      <c r="I156" s="138" t="s">
        <v>1566</v>
      </c>
      <c r="J156" s="135" t="s">
        <v>4774</v>
      </c>
      <c r="K156" s="164">
        <v>1433938150</v>
      </c>
      <c r="L156" s="165">
        <v>1577383531</v>
      </c>
      <c r="M156" s="165">
        <v>227408418</v>
      </c>
      <c r="N156" s="165">
        <v>72702040</v>
      </c>
      <c r="O156" s="165">
        <v>617775261.26999998</v>
      </c>
      <c r="P156" s="165">
        <v>190188306.25</v>
      </c>
      <c r="Q156" s="165">
        <v>8423659</v>
      </c>
      <c r="R156" s="165">
        <v>1453.5</v>
      </c>
      <c r="S156" s="165">
        <v>518235467.51999998</v>
      </c>
      <c r="T156" s="165">
        <v>356543.14930856554</v>
      </c>
      <c r="U156" s="166">
        <v>-370853799</v>
      </c>
      <c r="V156" s="168">
        <v>4034742836</v>
      </c>
      <c r="W156" s="165">
        <v>4086785761</v>
      </c>
      <c r="X156" s="165">
        <v>338105877</v>
      </c>
      <c r="Y156" s="165">
        <v>76761032</v>
      </c>
      <c r="Z156" s="165">
        <v>738158193.63999999</v>
      </c>
      <c r="AA156" s="165">
        <v>226076855.68999997</v>
      </c>
      <c r="AB156" s="165">
        <v>8006213</v>
      </c>
      <c r="AC156" s="165">
        <v>1470.4166666666667</v>
      </c>
      <c r="AD156" s="165">
        <v>658853492.32999992</v>
      </c>
      <c r="AE156" s="165">
        <v>448072.64992689138</v>
      </c>
      <c r="AF156" s="166">
        <v>-390148802</v>
      </c>
      <c r="AG156" s="11">
        <v>140618024.80999994</v>
      </c>
      <c r="AH156" s="12">
        <v>16.916666666666742</v>
      </c>
      <c r="AI156" s="132">
        <v>1</v>
      </c>
      <c r="AJ156" s="132">
        <v>1</v>
      </c>
      <c r="AK156" s="13">
        <v>0.1</v>
      </c>
      <c r="AL156" s="13">
        <v>0.25671366845780086</v>
      </c>
      <c r="AM156" s="14">
        <v>1</v>
      </c>
      <c r="AN156" s="14">
        <v>0</v>
      </c>
      <c r="AO156" s="82">
        <v>425025.97954592365</v>
      </c>
      <c r="AP156" s="82">
        <v>502006.13905809005</v>
      </c>
      <c r="AQ156" s="82">
        <v>76980.1595121664</v>
      </c>
      <c r="AR156" s="129">
        <v>0.18111871560041615</v>
      </c>
    </row>
    <row r="157" spans="1:44" ht="28.8" x14ac:dyDescent="0.3">
      <c r="A157" s="136" t="s">
        <v>319</v>
      </c>
      <c r="B157" s="137" t="s">
        <v>4936</v>
      </c>
      <c r="C157" s="134">
        <v>2020</v>
      </c>
      <c r="D157" s="149" t="s">
        <v>1111</v>
      </c>
      <c r="E157" s="135" t="s">
        <v>1108</v>
      </c>
      <c r="F157" s="384" t="s">
        <v>320</v>
      </c>
      <c r="G157" s="138" t="s">
        <v>4773</v>
      </c>
      <c r="H157" s="138" t="s">
        <v>2027</v>
      </c>
      <c r="I157" s="138" t="s">
        <v>1566</v>
      </c>
      <c r="J157" s="135" t="s">
        <v>4774</v>
      </c>
      <c r="K157" s="164">
        <v>523245287</v>
      </c>
      <c r="L157" s="165">
        <v>446810160</v>
      </c>
      <c r="M157" s="165">
        <v>57145027</v>
      </c>
      <c r="N157" s="165">
        <v>2518682</v>
      </c>
      <c r="O157" s="165">
        <v>37559680.509999998</v>
      </c>
      <c r="P157" s="165">
        <v>8431440.129999999</v>
      </c>
      <c r="Q157" s="165">
        <v>0</v>
      </c>
      <c r="R157" s="165">
        <v>109.16666666666667</v>
      </c>
      <c r="S157" s="165">
        <v>67799902.640000001</v>
      </c>
      <c r="T157" s="165">
        <v>621067.81044274801</v>
      </c>
      <c r="U157" s="166">
        <v>19290100</v>
      </c>
      <c r="V157" s="168">
        <v>440996617</v>
      </c>
      <c r="W157" s="165">
        <v>361020679</v>
      </c>
      <c r="X157" s="165">
        <v>68338060</v>
      </c>
      <c r="Y157" s="165">
        <v>2679904</v>
      </c>
      <c r="Z157" s="165">
        <v>43895875</v>
      </c>
      <c r="AA157" s="165">
        <v>8896620</v>
      </c>
      <c r="AB157" s="165">
        <v>0</v>
      </c>
      <c r="AC157" s="165">
        <v>110.41666666666667</v>
      </c>
      <c r="AD157" s="165">
        <v>67110277</v>
      </c>
      <c r="AE157" s="165">
        <v>607791.18792452826</v>
      </c>
      <c r="AF157" s="166">
        <v>11637878</v>
      </c>
      <c r="AG157" s="11">
        <v>-689625.6400000006</v>
      </c>
      <c r="AH157" s="12">
        <v>1.25</v>
      </c>
      <c r="AI157" s="132">
        <v>0</v>
      </c>
      <c r="AJ157" s="132">
        <v>0</v>
      </c>
      <c r="AK157" s="13">
        <v>0.1</v>
      </c>
      <c r="AL157" s="13">
        <v>-2.1377086022217329E-2</v>
      </c>
      <c r="AM157" s="14">
        <v>0</v>
      </c>
      <c r="AN157" s="14">
        <v>-1</v>
      </c>
      <c r="AO157" s="82">
        <v>344058.14207633585</v>
      </c>
      <c r="AP157" s="82">
        <v>397547.54716981133</v>
      </c>
      <c r="AQ157" s="82">
        <v>53489.405093475478</v>
      </c>
      <c r="AR157" s="129">
        <v>0.15546618013651847</v>
      </c>
    </row>
    <row r="158" spans="1:44" ht="28.8" x14ac:dyDescent="0.3">
      <c r="A158" s="136" t="s">
        <v>321</v>
      </c>
      <c r="B158" s="137" t="s">
        <v>4937</v>
      </c>
      <c r="C158" s="134">
        <v>2020</v>
      </c>
      <c r="D158" s="149" t="s">
        <v>1111</v>
      </c>
      <c r="E158" s="135" t="s">
        <v>1108</v>
      </c>
      <c r="F158" s="384" t="s">
        <v>320</v>
      </c>
      <c r="G158" s="138" t="s">
        <v>4773</v>
      </c>
      <c r="H158" s="138" t="s">
        <v>4645</v>
      </c>
      <c r="I158" s="138" t="s">
        <v>4612</v>
      </c>
      <c r="J158" s="135" t="s">
        <v>4774</v>
      </c>
      <c r="K158" s="164">
        <v>4271549871</v>
      </c>
      <c r="L158" s="165">
        <v>3182951536</v>
      </c>
      <c r="M158" s="165">
        <v>1079285951</v>
      </c>
      <c r="N158" s="165">
        <v>188205932</v>
      </c>
      <c r="O158" s="165">
        <v>833585873.96000004</v>
      </c>
      <c r="P158" s="165">
        <v>248400086.81999999</v>
      </c>
      <c r="Q158" s="165">
        <v>31275222</v>
      </c>
      <c r="R158" s="165">
        <v>2523.75</v>
      </c>
      <c r="S158" s="165">
        <v>1310779498.78</v>
      </c>
      <c r="T158" s="165">
        <v>519377.71125507675</v>
      </c>
      <c r="U158" s="166">
        <v>9312384</v>
      </c>
      <c r="V158" s="168">
        <v>4862348171</v>
      </c>
      <c r="W158" s="165">
        <v>3671912779</v>
      </c>
      <c r="X158" s="165">
        <v>1062605286</v>
      </c>
      <c r="Y158" s="165">
        <v>209665434</v>
      </c>
      <c r="Z158" s="165">
        <v>848340945.37</v>
      </c>
      <c r="AA158" s="165">
        <v>252698737.80000001</v>
      </c>
      <c r="AB158" s="165">
        <v>33110716</v>
      </c>
      <c r="AC158" s="165">
        <v>2404</v>
      </c>
      <c r="AD158" s="165">
        <v>1471645939.1699998</v>
      </c>
      <c r="AE158" s="165">
        <v>612165.5321006655</v>
      </c>
      <c r="AF158" s="166">
        <v>127830106</v>
      </c>
      <c r="AG158" s="11">
        <v>160866440.38999987</v>
      </c>
      <c r="AH158" s="12">
        <v>-119.75</v>
      </c>
      <c r="AI158" s="132">
        <v>1</v>
      </c>
      <c r="AJ158" s="132">
        <v>1</v>
      </c>
      <c r="AK158" s="13">
        <v>0.1</v>
      </c>
      <c r="AL158" s="13">
        <v>0.17865191018690418</v>
      </c>
      <c r="AM158" s="14">
        <v>1</v>
      </c>
      <c r="AN158" s="14">
        <v>0</v>
      </c>
      <c r="AO158" s="82">
        <v>330296.53252501239</v>
      </c>
      <c r="AP158" s="82">
        <v>352887.24849001662</v>
      </c>
      <c r="AQ158" s="82">
        <v>22590.71596500423</v>
      </c>
      <c r="AR158" s="129">
        <v>6.839525620298037E-2</v>
      </c>
    </row>
    <row r="159" spans="1:44" ht="28.8" x14ac:dyDescent="0.3">
      <c r="A159" s="136" t="s">
        <v>322</v>
      </c>
      <c r="B159" s="137" t="s">
        <v>4938</v>
      </c>
      <c r="C159" s="134">
        <v>2019</v>
      </c>
      <c r="D159" s="149" t="s">
        <v>1111</v>
      </c>
      <c r="E159" s="135" t="s">
        <v>1108</v>
      </c>
      <c r="F159" s="384" t="s">
        <v>320</v>
      </c>
      <c r="G159" s="138" t="s">
        <v>4773</v>
      </c>
      <c r="H159" s="138" t="s">
        <v>3461</v>
      </c>
      <c r="I159" s="138" t="s">
        <v>1566</v>
      </c>
      <c r="J159" s="135" t="s">
        <v>4774</v>
      </c>
      <c r="K159" s="164">
        <v>1599867434</v>
      </c>
      <c r="L159" s="165">
        <v>1292413753</v>
      </c>
      <c r="M159" s="165">
        <v>225280636</v>
      </c>
      <c r="N159" s="165">
        <v>28767472</v>
      </c>
      <c r="O159" s="165">
        <v>233537231.12</v>
      </c>
      <c r="P159" s="165">
        <v>61335777.010000005</v>
      </c>
      <c r="Q159" s="165">
        <v>4898829</v>
      </c>
      <c r="R159" s="165">
        <v>584.33333333333337</v>
      </c>
      <c r="S159" s="165">
        <v>410712354.13</v>
      </c>
      <c r="T159" s="165">
        <v>702873.3955447803</v>
      </c>
      <c r="U159" s="166">
        <v>82173045</v>
      </c>
      <c r="V159" s="168">
        <v>1470748318</v>
      </c>
      <c r="W159" s="165">
        <v>1227687622</v>
      </c>
      <c r="X159" s="165">
        <v>212160240</v>
      </c>
      <c r="Y159" s="165">
        <v>27064517</v>
      </c>
      <c r="Z159" s="165">
        <v>233130541.55000001</v>
      </c>
      <c r="AA159" s="165">
        <v>63410700.399999991</v>
      </c>
      <c r="AB159" s="165">
        <v>4623919</v>
      </c>
      <c r="AC159" s="165">
        <v>527.33333333333337</v>
      </c>
      <c r="AD159" s="165">
        <v>359130133.94999999</v>
      </c>
      <c r="AE159" s="165">
        <v>681030.59535398218</v>
      </c>
      <c r="AF159" s="166">
        <v>30900456</v>
      </c>
      <c r="AG159" s="11">
        <v>-51582220.180000007</v>
      </c>
      <c r="AH159" s="12">
        <v>-57</v>
      </c>
      <c r="AI159" s="132">
        <v>0</v>
      </c>
      <c r="AJ159" s="132">
        <v>1</v>
      </c>
      <c r="AK159" s="13">
        <v>0.15</v>
      </c>
      <c r="AL159" s="13">
        <v>-3.107643567106122E-2</v>
      </c>
      <c r="AM159" s="14">
        <v>0</v>
      </c>
      <c r="AN159" s="14">
        <v>-1</v>
      </c>
      <c r="AO159" s="82">
        <v>399664.40009127208</v>
      </c>
      <c r="AP159" s="82">
        <v>442093.31520227558</v>
      </c>
      <c r="AQ159" s="82">
        <v>42428.915111003502</v>
      </c>
      <c r="AR159" s="129">
        <v>0.10616135713191843</v>
      </c>
    </row>
    <row r="160" spans="1:44" ht="28.8" x14ac:dyDescent="0.3">
      <c r="A160" s="136" t="s">
        <v>323</v>
      </c>
      <c r="B160" s="137" t="s">
        <v>4939</v>
      </c>
      <c r="C160" s="134">
        <v>2019</v>
      </c>
      <c r="D160" s="149" t="s">
        <v>1111</v>
      </c>
      <c r="E160" s="135" t="s">
        <v>1108</v>
      </c>
      <c r="F160" s="384" t="s">
        <v>320</v>
      </c>
      <c r="G160" s="138" t="s">
        <v>4773</v>
      </c>
      <c r="H160" s="138" t="s">
        <v>4940</v>
      </c>
      <c r="I160" s="138" t="s">
        <v>1566</v>
      </c>
      <c r="J160" s="135" t="s">
        <v>4774</v>
      </c>
      <c r="K160" s="164">
        <v>1199696466</v>
      </c>
      <c r="L160" s="165">
        <v>951368844</v>
      </c>
      <c r="M160" s="165">
        <v>179877385</v>
      </c>
      <c r="N160" s="165">
        <v>19619115</v>
      </c>
      <c r="O160" s="165">
        <v>132166615.62</v>
      </c>
      <c r="P160" s="165">
        <v>40705103.350000001</v>
      </c>
      <c r="Q160" s="165">
        <v>603388</v>
      </c>
      <c r="R160" s="165">
        <v>521.66666666666663</v>
      </c>
      <c r="S160" s="165">
        <v>261544458.97</v>
      </c>
      <c r="T160" s="165">
        <v>501363.18013418536</v>
      </c>
      <c r="U160" s="166">
        <v>68450237</v>
      </c>
      <c r="V160" s="168">
        <v>953741073</v>
      </c>
      <c r="W160" s="165">
        <v>829117933</v>
      </c>
      <c r="X160" s="165">
        <v>156689418</v>
      </c>
      <c r="Y160" s="165">
        <v>56224531</v>
      </c>
      <c r="Z160" s="165">
        <v>133094615.36</v>
      </c>
      <c r="AA160" s="165">
        <v>31127124.219999999</v>
      </c>
      <c r="AB160" s="165">
        <v>1000964</v>
      </c>
      <c r="AC160" s="165">
        <v>482.66666666666669</v>
      </c>
      <c r="AD160" s="165">
        <v>189380956.58000001</v>
      </c>
      <c r="AE160" s="165">
        <v>392363.86031767959</v>
      </c>
      <c r="AF160" s="166">
        <v>-32066278</v>
      </c>
      <c r="AG160" s="11">
        <v>-72163502.389999986</v>
      </c>
      <c r="AH160" s="12">
        <v>-38.999999999999943</v>
      </c>
      <c r="AI160" s="132">
        <v>0</v>
      </c>
      <c r="AJ160" s="132">
        <v>0</v>
      </c>
      <c r="AK160" s="13">
        <v>0.15</v>
      </c>
      <c r="AL160" s="13">
        <v>-0.21740591321444869</v>
      </c>
      <c r="AM160" s="14">
        <v>0</v>
      </c>
      <c r="AN160" s="14">
        <v>-1</v>
      </c>
      <c r="AO160" s="82">
        <v>253354.53473482432</v>
      </c>
      <c r="AP160" s="82">
        <v>275748.51248618786</v>
      </c>
      <c r="AQ160" s="82">
        <v>22393.977751363534</v>
      </c>
      <c r="AR160" s="129">
        <v>8.8389883270896918E-2</v>
      </c>
    </row>
    <row r="161" spans="1:44" ht="28.8" x14ac:dyDescent="0.3">
      <c r="A161" s="136" t="s">
        <v>324</v>
      </c>
      <c r="B161" s="137" t="s">
        <v>4941</v>
      </c>
      <c r="C161" s="134">
        <v>2019</v>
      </c>
      <c r="D161" s="149" t="s">
        <v>1111</v>
      </c>
      <c r="E161" s="135" t="s">
        <v>1108</v>
      </c>
      <c r="F161" s="384" t="s">
        <v>320</v>
      </c>
      <c r="G161" s="138" t="s">
        <v>4773</v>
      </c>
      <c r="H161" s="138" t="s">
        <v>2475</v>
      </c>
      <c r="I161" s="138" t="s">
        <v>1566</v>
      </c>
      <c r="J161" s="135" t="s">
        <v>4774</v>
      </c>
      <c r="K161" s="164">
        <v>2913581739</v>
      </c>
      <c r="L161" s="165">
        <v>2146069414</v>
      </c>
      <c r="M161" s="165">
        <v>334961403</v>
      </c>
      <c r="N161" s="165">
        <v>80303955</v>
      </c>
      <c r="O161" s="165">
        <v>349136365.58999997</v>
      </c>
      <c r="P161" s="165">
        <v>105993597.11999999</v>
      </c>
      <c r="Q161" s="165">
        <v>1203188</v>
      </c>
      <c r="R161" s="165">
        <v>1065.4166666666667</v>
      </c>
      <c r="S161" s="165">
        <v>969188027.70999992</v>
      </c>
      <c r="T161" s="165">
        <v>909679.80700195523</v>
      </c>
      <c r="U161" s="166">
        <v>432550922</v>
      </c>
      <c r="V161" s="168">
        <v>3696706739</v>
      </c>
      <c r="W161" s="165">
        <v>2494215893</v>
      </c>
      <c r="X161" s="165">
        <v>440822156</v>
      </c>
      <c r="Y161" s="165">
        <v>127714346</v>
      </c>
      <c r="Z161" s="165">
        <v>427377271.74000001</v>
      </c>
      <c r="AA161" s="165">
        <v>129773925.43999998</v>
      </c>
      <c r="AB161" s="165">
        <v>2345144</v>
      </c>
      <c r="AC161" s="165">
        <v>963.41666666666663</v>
      </c>
      <c r="AD161" s="165">
        <v>1448879377.1800001</v>
      </c>
      <c r="AE161" s="165">
        <v>1503896.9402439236</v>
      </c>
      <c r="AF161" s="166">
        <v>761668690</v>
      </c>
      <c r="AG161" s="11">
        <v>479691349.47000015</v>
      </c>
      <c r="AH161" s="12">
        <v>-102.00000000000011</v>
      </c>
      <c r="AI161" s="132">
        <v>1</v>
      </c>
      <c r="AJ161" s="132">
        <v>1</v>
      </c>
      <c r="AK161" s="13">
        <v>0.15</v>
      </c>
      <c r="AL161" s="13">
        <v>0.65321569575123339</v>
      </c>
      <c r="AM161" s="14">
        <v>1</v>
      </c>
      <c r="AN161" s="14">
        <v>0</v>
      </c>
      <c r="AO161" s="82">
        <v>327699.36543449352</v>
      </c>
      <c r="AP161" s="82">
        <v>443605.85251102847</v>
      </c>
      <c r="AQ161" s="82">
        <v>115906.48707653495</v>
      </c>
      <c r="AR161" s="129">
        <v>0.35369762441515751</v>
      </c>
    </row>
    <row r="162" spans="1:44" ht="28.8" x14ac:dyDescent="0.3">
      <c r="A162" s="136" t="s">
        <v>325</v>
      </c>
      <c r="B162" s="137" t="s">
        <v>4942</v>
      </c>
      <c r="C162" s="134">
        <v>2018</v>
      </c>
      <c r="D162" s="149" t="s">
        <v>4943</v>
      </c>
      <c r="E162" s="135" t="s">
        <v>1140</v>
      </c>
      <c r="F162" s="384" t="s">
        <v>326</v>
      </c>
      <c r="G162" s="138" t="s">
        <v>4773</v>
      </c>
      <c r="H162" s="138" t="s">
        <v>3339</v>
      </c>
      <c r="I162" s="138" t="s">
        <v>1566</v>
      </c>
      <c r="J162" s="135" t="s">
        <v>4778</v>
      </c>
      <c r="K162" s="164">
        <v>3010405000</v>
      </c>
      <c r="L162" s="165">
        <v>2347590620</v>
      </c>
      <c r="M162" s="165">
        <v>605143460</v>
      </c>
      <c r="N162" s="165">
        <v>85416700</v>
      </c>
      <c r="O162" s="165">
        <v>390195660</v>
      </c>
      <c r="P162" s="165">
        <v>105373474.56</v>
      </c>
      <c r="Q162" s="165">
        <v>3345850</v>
      </c>
      <c r="R162" s="165">
        <v>609.08333333333326</v>
      </c>
      <c r="S162" s="165">
        <v>642002604.55999994</v>
      </c>
      <c r="T162" s="165">
        <v>1054047.2369298127</v>
      </c>
      <c r="U162" s="166">
        <v>57670920</v>
      </c>
      <c r="V162" s="168">
        <v>3522258530</v>
      </c>
      <c r="W162" s="165">
        <v>2935294460</v>
      </c>
      <c r="X162" s="165">
        <v>601652229</v>
      </c>
      <c r="Y162" s="165">
        <v>138234284</v>
      </c>
      <c r="Z162" s="165">
        <v>612486059.86000001</v>
      </c>
      <c r="AA162" s="165">
        <v>236591735.19999999</v>
      </c>
      <c r="AB162" s="165">
        <v>20571180</v>
      </c>
      <c r="AC162" s="165">
        <v>876.16666666666663</v>
      </c>
      <c r="AD162" s="165">
        <v>993195100.05999994</v>
      </c>
      <c r="AE162" s="165">
        <v>1133568.6894350389</v>
      </c>
      <c r="AF162" s="166">
        <v>-14688159</v>
      </c>
      <c r="AG162" s="11">
        <v>351192495.5</v>
      </c>
      <c r="AH162" s="12">
        <v>267.08333333333337</v>
      </c>
      <c r="AI162" s="132">
        <v>0</v>
      </c>
      <c r="AJ162" s="132">
        <v>0</v>
      </c>
      <c r="AK162" s="13">
        <v>0.3</v>
      </c>
      <c r="AL162" s="13">
        <v>7.5443914638968046E-2</v>
      </c>
      <c r="AM162" s="14">
        <v>0</v>
      </c>
      <c r="AN162" s="14">
        <v>-1</v>
      </c>
      <c r="AO162" s="82">
        <v>640627.70830482978</v>
      </c>
      <c r="AP162" s="82">
        <v>699051.99907932291</v>
      </c>
      <c r="AQ162" s="82">
        <v>58424.290774493129</v>
      </c>
      <c r="AR162" s="129">
        <v>9.1198507365674475E-2</v>
      </c>
    </row>
    <row r="163" spans="1:44" ht="28.8" x14ac:dyDescent="0.3">
      <c r="A163" s="136" t="s">
        <v>327</v>
      </c>
      <c r="B163" s="137" t="s">
        <v>4944</v>
      </c>
      <c r="C163" s="134">
        <v>2018</v>
      </c>
      <c r="D163" s="149" t="s">
        <v>4943</v>
      </c>
      <c r="E163" s="135" t="s">
        <v>1140</v>
      </c>
      <c r="F163" s="384" t="s">
        <v>326</v>
      </c>
      <c r="G163" s="138" t="s">
        <v>4773</v>
      </c>
      <c r="H163" s="138" t="s">
        <v>1989</v>
      </c>
      <c r="I163" s="138" t="s">
        <v>1566</v>
      </c>
      <c r="J163" s="135" t="s">
        <v>4778</v>
      </c>
      <c r="K163" s="164">
        <v>937951000</v>
      </c>
      <c r="L163" s="165">
        <v>526051420.00000006</v>
      </c>
      <c r="M163" s="165">
        <v>290530270</v>
      </c>
      <c r="N163" s="165">
        <v>28887640</v>
      </c>
      <c r="O163" s="165">
        <v>177899890</v>
      </c>
      <c r="P163" s="165">
        <v>45510613.550000004</v>
      </c>
      <c r="Q163" s="165">
        <v>4279990</v>
      </c>
      <c r="R163" s="165">
        <v>508.5</v>
      </c>
      <c r="S163" s="165">
        <v>377947443.54999995</v>
      </c>
      <c r="T163" s="165">
        <v>743259.47600786621</v>
      </c>
      <c r="U163" s="166">
        <v>121369309.99999994</v>
      </c>
      <c r="V163" s="168">
        <v>782623000</v>
      </c>
      <c r="W163" s="165">
        <v>500733104</v>
      </c>
      <c r="X163" s="165">
        <v>230734035</v>
      </c>
      <c r="Y163" s="165">
        <v>29020792</v>
      </c>
      <c r="Z163" s="165">
        <v>170937968</v>
      </c>
      <c r="AA163" s="165">
        <v>35218413</v>
      </c>
      <c r="AB163" s="165">
        <v>1388581</v>
      </c>
      <c r="AC163" s="165">
        <v>431.08333333333331</v>
      </c>
      <c r="AD163" s="165">
        <v>287721615</v>
      </c>
      <c r="AE163" s="165">
        <v>667438.50376957282</v>
      </c>
      <c r="AF163" s="166">
        <v>51155861</v>
      </c>
      <c r="AG163" s="11">
        <v>-90225828.549999952</v>
      </c>
      <c r="AH163" s="12">
        <v>-77.416666666666686</v>
      </c>
      <c r="AI163" s="132">
        <v>0</v>
      </c>
      <c r="AJ163" s="132">
        <v>1</v>
      </c>
      <c r="AK163" s="13">
        <v>0.3</v>
      </c>
      <c r="AL163" s="13">
        <v>-0.10201145365814912</v>
      </c>
      <c r="AM163" s="14">
        <v>0</v>
      </c>
      <c r="AN163" s="14">
        <v>-1</v>
      </c>
      <c r="AO163" s="82">
        <v>349852.29105211404</v>
      </c>
      <c r="AP163" s="82">
        <v>396531.1455635028</v>
      </c>
      <c r="AQ163" s="82">
        <v>46678.854511388752</v>
      </c>
      <c r="AR163" s="129">
        <v>0.1334244642818001</v>
      </c>
    </row>
    <row r="164" spans="1:44" ht="28.8" x14ac:dyDescent="0.3">
      <c r="A164" s="136" t="s">
        <v>328</v>
      </c>
      <c r="B164" s="137" t="s">
        <v>4945</v>
      </c>
      <c r="C164" s="134">
        <v>2019</v>
      </c>
      <c r="D164" s="149" t="s">
        <v>1153</v>
      </c>
      <c r="E164" s="135" t="s">
        <v>1152</v>
      </c>
      <c r="F164" s="384" t="s">
        <v>326</v>
      </c>
      <c r="G164" s="138" t="s">
        <v>4773</v>
      </c>
      <c r="H164" s="138" t="s">
        <v>2566</v>
      </c>
      <c r="I164" s="138" t="s">
        <v>1566</v>
      </c>
      <c r="J164" s="135" t="s">
        <v>4778</v>
      </c>
      <c r="K164" s="164">
        <v>1497442796</v>
      </c>
      <c r="L164" s="165">
        <v>1060337325</v>
      </c>
      <c r="M164" s="165">
        <v>207961633</v>
      </c>
      <c r="N164" s="165">
        <v>86832102</v>
      </c>
      <c r="O164" s="165">
        <v>256128548</v>
      </c>
      <c r="P164" s="165">
        <v>69177552</v>
      </c>
      <c r="Q164" s="165">
        <v>889765</v>
      </c>
      <c r="R164" s="165">
        <v>484</v>
      </c>
      <c r="S164" s="165">
        <v>642171805</v>
      </c>
      <c r="T164" s="165">
        <v>1326801.25</v>
      </c>
      <c r="U164" s="166">
        <v>229143838</v>
      </c>
      <c r="V164" s="168">
        <v>1450806685</v>
      </c>
      <c r="W164" s="165">
        <v>1038444321</v>
      </c>
      <c r="X164" s="165">
        <v>195477977</v>
      </c>
      <c r="Y164" s="165">
        <v>103023132</v>
      </c>
      <c r="Z164" s="165">
        <v>240992788</v>
      </c>
      <c r="AA164" s="165">
        <v>58419495</v>
      </c>
      <c r="AB164" s="165">
        <v>699845</v>
      </c>
      <c r="AC164" s="165">
        <v>423.5</v>
      </c>
      <c r="AD164" s="165">
        <v>620019647</v>
      </c>
      <c r="AE164" s="165">
        <v>1464036.9468713105</v>
      </c>
      <c r="AF164" s="166">
        <v>216884387</v>
      </c>
      <c r="AG164" s="11">
        <v>-22152158</v>
      </c>
      <c r="AH164" s="12">
        <v>-60.5</v>
      </c>
      <c r="AI164" s="132">
        <v>0</v>
      </c>
      <c r="AJ164" s="132">
        <v>1</v>
      </c>
      <c r="AK164" s="13">
        <v>0.15</v>
      </c>
      <c r="AL164" s="13">
        <v>0.10343350219183156</v>
      </c>
      <c r="AM164" s="14">
        <v>0</v>
      </c>
      <c r="AN164" s="14">
        <v>-1</v>
      </c>
      <c r="AO164" s="82">
        <v>529191.21487603302</v>
      </c>
      <c r="AP164" s="82">
        <v>569050.26682408503</v>
      </c>
      <c r="AQ164" s="82">
        <v>39859.051948052016</v>
      </c>
      <c r="AR164" s="129">
        <v>7.5320698506662342E-2</v>
      </c>
    </row>
    <row r="165" spans="1:44" ht="28.8" x14ac:dyDescent="0.3">
      <c r="A165" s="136" t="s">
        <v>329</v>
      </c>
      <c r="B165" s="137" t="s">
        <v>4946</v>
      </c>
      <c r="C165" s="134">
        <v>2019</v>
      </c>
      <c r="D165" s="149" t="s">
        <v>1153</v>
      </c>
      <c r="E165" s="135" t="s">
        <v>1152</v>
      </c>
      <c r="F165" s="384" t="s">
        <v>301</v>
      </c>
      <c r="G165" s="138" t="s">
        <v>4773</v>
      </c>
      <c r="H165" s="138" t="s">
        <v>2333</v>
      </c>
      <c r="I165" s="138" t="s">
        <v>1566</v>
      </c>
      <c r="J165" s="135" t="s">
        <v>4778</v>
      </c>
      <c r="K165" s="164">
        <v>1318040144</v>
      </c>
      <c r="L165" s="165">
        <v>227152191</v>
      </c>
      <c r="M165" s="165">
        <v>698827199</v>
      </c>
      <c r="N165" s="165">
        <v>99587278</v>
      </c>
      <c r="O165" s="165">
        <v>199606964</v>
      </c>
      <c r="P165" s="165">
        <v>58843729</v>
      </c>
      <c r="Q165" s="165">
        <v>26369953</v>
      </c>
      <c r="R165" s="165">
        <v>311.08333333333331</v>
      </c>
      <c r="S165" s="165">
        <v>776468678</v>
      </c>
      <c r="T165" s="165">
        <v>2496015.0377712296</v>
      </c>
      <c r="U165" s="166">
        <v>392060754</v>
      </c>
      <c r="V165" s="168">
        <v>1412739293</v>
      </c>
      <c r="W165" s="165">
        <v>260416377</v>
      </c>
      <c r="X165" s="165">
        <v>0</v>
      </c>
      <c r="Y165" s="165">
        <v>130147909</v>
      </c>
      <c r="Z165" s="165">
        <v>253107508</v>
      </c>
      <c r="AA165" s="165">
        <v>71470165</v>
      </c>
      <c r="AB165" s="165">
        <v>23872020</v>
      </c>
      <c r="AC165" s="165">
        <v>314.41666666666669</v>
      </c>
      <c r="AD165" s="165">
        <v>1630920518</v>
      </c>
      <c r="AE165" s="165">
        <v>5187131.2525841501</v>
      </c>
      <c r="AF165" s="166">
        <v>1152322916</v>
      </c>
      <c r="AG165" s="11">
        <v>854451840</v>
      </c>
      <c r="AH165" s="12">
        <v>3.3333333333333712</v>
      </c>
      <c r="AI165" s="132">
        <v>1</v>
      </c>
      <c r="AJ165" s="132">
        <v>1</v>
      </c>
      <c r="AK165" s="13">
        <v>0.15</v>
      </c>
      <c r="AL165" s="13">
        <v>1.0781650618579603</v>
      </c>
      <c r="AM165" s="14">
        <v>1</v>
      </c>
      <c r="AN165" s="14">
        <v>0</v>
      </c>
      <c r="AO165" s="82">
        <v>641651.10313420848</v>
      </c>
      <c r="AP165" s="82">
        <v>805006.65147097793</v>
      </c>
      <c r="AQ165" s="82">
        <v>163355.54833676945</v>
      </c>
      <c r="AR165" s="129">
        <v>0.25458625028281423</v>
      </c>
    </row>
    <row r="166" spans="1:44" ht="43.2" x14ac:dyDescent="0.3">
      <c r="A166" s="136" t="s">
        <v>330</v>
      </c>
      <c r="B166" s="137" t="s">
        <v>4947</v>
      </c>
      <c r="C166" s="134">
        <v>2019</v>
      </c>
      <c r="D166" s="149" t="s">
        <v>1153</v>
      </c>
      <c r="E166" s="135" t="s">
        <v>1152</v>
      </c>
      <c r="F166" s="384" t="s">
        <v>326</v>
      </c>
      <c r="G166" s="138" t="s">
        <v>4773</v>
      </c>
      <c r="H166" s="138" t="s">
        <v>3545</v>
      </c>
      <c r="I166" s="138" t="s">
        <v>1566</v>
      </c>
      <c r="J166" s="135" t="s">
        <v>4774</v>
      </c>
      <c r="K166" s="164">
        <v>787685110</v>
      </c>
      <c r="L166" s="165">
        <v>587126820</v>
      </c>
      <c r="M166" s="165">
        <v>176689110</v>
      </c>
      <c r="N166" s="165">
        <v>4139790</v>
      </c>
      <c r="O166" s="165">
        <v>110249293</v>
      </c>
      <c r="P166" s="165">
        <v>33075999.23</v>
      </c>
      <c r="Q166" s="165">
        <v>639000</v>
      </c>
      <c r="R166" s="165">
        <v>246.33333333333334</v>
      </c>
      <c r="S166" s="165">
        <v>171973262.22999999</v>
      </c>
      <c r="T166" s="165">
        <v>698132.32299052773</v>
      </c>
      <c r="U166" s="166">
        <v>23869180</v>
      </c>
      <c r="V166" s="168">
        <v>930355048</v>
      </c>
      <c r="W166" s="165">
        <v>839451978</v>
      </c>
      <c r="X166" s="165">
        <v>47181417</v>
      </c>
      <c r="Y166" s="165">
        <v>9353771</v>
      </c>
      <c r="Z166" s="165">
        <v>142057029</v>
      </c>
      <c r="AA166" s="165">
        <v>22117146</v>
      </c>
      <c r="AB166" s="165">
        <v>866775</v>
      </c>
      <c r="AC166" s="165">
        <v>210.33333333333334</v>
      </c>
      <c r="AD166" s="165">
        <v>218116374</v>
      </c>
      <c r="AE166" s="165">
        <v>1037003.3629160062</v>
      </c>
      <c r="AF166" s="166">
        <v>43721653</v>
      </c>
      <c r="AG166" s="11">
        <v>46143111.770000011</v>
      </c>
      <c r="AH166" s="12">
        <v>-36</v>
      </c>
      <c r="AI166" s="132">
        <v>1</v>
      </c>
      <c r="AJ166" s="132">
        <v>1</v>
      </c>
      <c r="AK166" s="13">
        <v>0.15</v>
      </c>
      <c r="AL166" s="13">
        <v>0.48539657926165058</v>
      </c>
      <c r="AM166" s="14">
        <v>1</v>
      </c>
      <c r="AN166" s="14">
        <v>0</v>
      </c>
      <c r="AO166" s="82">
        <v>447561.40595399187</v>
      </c>
      <c r="AP166" s="82">
        <v>675389.9952456418</v>
      </c>
      <c r="AQ166" s="82">
        <v>227828.58929164993</v>
      </c>
      <c r="AR166" s="129">
        <v>0.50904431494942193</v>
      </c>
    </row>
    <row r="167" spans="1:44" ht="28.8" x14ac:dyDescent="0.3">
      <c r="A167" s="136" t="s">
        <v>331</v>
      </c>
      <c r="B167" s="137" t="s">
        <v>4948</v>
      </c>
      <c r="C167" s="134">
        <v>2019</v>
      </c>
      <c r="D167" s="149" t="s">
        <v>1153</v>
      </c>
      <c r="E167" s="135" t="s">
        <v>1152</v>
      </c>
      <c r="F167" s="384" t="s">
        <v>326</v>
      </c>
      <c r="G167" s="138" t="s">
        <v>4773</v>
      </c>
      <c r="H167" s="138" t="s">
        <v>1636</v>
      </c>
      <c r="I167" s="138" t="s">
        <v>1566</v>
      </c>
      <c r="J167" s="135" t="s">
        <v>4774</v>
      </c>
      <c r="K167" s="164">
        <v>748306116</v>
      </c>
      <c r="L167" s="165">
        <v>587868885</v>
      </c>
      <c r="M167" s="165">
        <v>149591244</v>
      </c>
      <c r="N167" s="165">
        <v>765237</v>
      </c>
      <c r="O167" s="165">
        <v>4752318.3100000005</v>
      </c>
      <c r="P167" s="165">
        <v>1424080.52</v>
      </c>
      <c r="Q167" s="165">
        <v>0</v>
      </c>
      <c r="R167" s="165">
        <v>28.833333333333332</v>
      </c>
      <c r="S167" s="165">
        <v>17787622.830000002</v>
      </c>
      <c r="T167" s="165">
        <v>616911.77445086709</v>
      </c>
      <c r="U167" s="166">
        <v>10845987</v>
      </c>
      <c r="V167" s="168">
        <v>1301635379</v>
      </c>
      <c r="W167" s="165">
        <v>977882843</v>
      </c>
      <c r="X167" s="165">
        <v>280032898</v>
      </c>
      <c r="Y167" s="165">
        <v>4344761</v>
      </c>
      <c r="Z167" s="165">
        <v>34311942</v>
      </c>
      <c r="AA167" s="165">
        <v>7270792</v>
      </c>
      <c r="AB167" s="165">
        <v>0</v>
      </c>
      <c r="AC167" s="165">
        <v>129.58333333333334</v>
      </c>
      <c r="AD167" s="165">
        <v>89647133</v>
      </c>
      <c r="AE167" s="165">
        <v>691810.67266881024</v>
      </c>
      <c r="AF167" s="166">
        <v>43719638</v>
      </c>
      <c r="AG167" s="11">
        <v>71859510.170000002</v>
      </c>
      <c r="AH167" s="12">
        <v>100.75000000000001</v>
      </c>
      <c r="AI167" s="132">
        <v>0</v>
      </c>
      <c r="AJ167" s="132">
        <v>0</v>
      </c>
      <c r="AK167" s="13">
        <v>0.15</v>
      </c>
      <c r="AL167" s="13">
        <v>0.12140941969708252</v>
      </c>
      <c r="AM167" s="14">
        <v>0</v>
      </c>
      <c r="AN167" s="14">
        <v>-1</v>
      </c>
      <c r="AO167" s="82">
        <v>164820.2882080925</v>
      </c>
      <c r="AP167" s="82">
        <v>264786.69067524112</v>
      </c>
      <c r="AQ167" s="82">
        <v>99966.402467148611</v>
      </c>
      <c r="AR167" s="129">
        <v>0.60651758077826479</v>
      </c>
    </row>
    <row r="168" spans="1:44" ht="28.8" x14ac:dyDescent="0.3">
      <c r="A168" s="136" t="s">
        <v>332</v>
      </c>
      <c r="B168" s="137" t="s">
        <v>4949</v>
      </c>
      <c r="C168" s="134">
        <v>2019</v>
      </c>
      <c r="D168" s="149" t="s">
        <v>1146</v>
      </c>
      <c r="E168" s="135" t="s">
        <v>1140</v>
      </c>
      <c r="F168" s="384" t="s">
        <v>333</v>
      </c>
      <c r="G168" s="138" t="s">
        <v>4773</v>
      </c>
      <c r="H168" s="138" t="s">
        <v>1401</v>
      </c>
      <c r="I168" s="138" t="s">
        <v>1217</v>
      </c>
      <c r="J168" s="135" t="s">
        <v>4774</v>
      </c>
      <c r="K168" s="164">
        <v>1021744225</v>
      </c>
      <c r="L168" s="165">
        <v>946109599</v>
      </c>
      <c r="M168" s="165">
        <v>0</v>
      </c>
      <c r="N168" s="165">
        <v>0</v>
      </c>
      <c r="O168" s="165">
        <v>63885086</v>
      </c>
      <c r="P168" s="165">
        <v>20454093</v>
      </c>
      <c r="Q168" s="165">
        <v>0</v>
      </c>
      <c r="R168" s="165">
        <v>220.75</v>
      </c>
      <c r="S168" s="165">
        <v>159973805</v>
      </c>
      <c r="T168" s="165">
        <v>724683.14835787087</v>
      </c>
      <c r="U168" s="166">
        <v>75634626</v>
      </c>
      <c r="V168" s="168">
        <v>1419900454</v>
      </c>
      <c r="W168" s="165">
        <v>1219810554</v>
      </c>
      <c r="X168" s="165">
        <v>0</v>
      </c>
      <c r="Y168" s="165">
        <v>0</v>
      </c>
      <c r="Z168" s="165">
        <v>79514729</v>
      </c>
      <c r="AA168" s="165">
        <v>19155994</v>
      </c>
      <c r="AB168" s="165">
        <v>0</v>
      </c>
      <c r="AC168" s="165">
        <v>232.33333333333334</v>
      </c>
      <c r="AD168" s="165">
        <v>298760623</v>
      </c>
      <c r="AE168" s="165">
        <v>1285913.7288378766</v>
      </c>
      <c r="AF168" s="166">
        <v>200089900</v>
      </c>
      <c r="AG168" s="11">
        <v>138786818</v>
      </c>
      <c r="AH168" s="12">
        <v>11.583333333333343</v>
      </c>
      <c r="AI168" s="132">
        <v>1</v>
      </c>
      <c r="AJ168" s="132">
        <v>1</v>
      </c>
      <c r="AK168" s="13">
        <v>0.15</v>
      </c>
      <c r="AL168" s="13">
        <v>0.77444960601057167</v>
      </c>
      <c r="AM168" s="14">
        <v>1</v>
      </c>
      <c r="AN168" s="14">
        <v>0</v>
      </c>
      <c r="AO168" s="82">
        <v>289400.16308040771</v>
      </c>
      <c r="AP168" s="82">
        <v>342244.1707317073</v>
      </c>
      <c r="AQ168" s="82">
        <v>52844.007651299587</v>
      </c>
      <c r="AR168" s="129">
        <v>0.18259840315507092</v>
      </c>
    </row>
    <row r="169" spans="1:44" ht="43.2" x14ac:dyDescent="0.3">
      <c r="A169" s="136" t="s">
        <v>334</v>
      </c>
      <c r="B169" s="137" t="s">
        <v>4950</v>
      </c>
      <c r="C169" s="134">
        <v>2019</v>
      </c>
      <c r="D169" s="149" t="s">
        <v>1146</v>
      </c>
      <c r="E169" s="135" t="s">
        <v>1140</v>
      </c>
      <c r="F169" s="384" t="s">
        <v>333</v>
      </c>
      <c r="G169" s="138" t="s">
        <v>4773</v>
      </c>
      <c r="H169" s="138" t="s">
        <v>2425</v>
      </c>
      <c r="I169" s="138" t="s">
        <v>1566</v>
      </c>
      <c r="J169" s="135" t="s">
        <v>4778</v>
      </c>
      <c r="K169" s="164">
        <v>2174113140</v>
      </c>
      <c r="L169" s="165">
        <v>1485236470</v>
      </c>
      <c r="M169" s="165">
        <v>422098963</v>
      </c>
      <c r="N169" s="165">
        <v>57108197</v>
      </c>
      <c r="O169" s="165">
        <v>291628332</v>
      </c>
      <c r="P169" s="165">
        <v>91151717</v>
      </c>
      <c r="Q169" s="165">
        <v>1185012</v>
      </c>
      <c r="R169" s="165">
        <v>887.66666666666663</v>
      </c>
      <c r="S169" s="165">
        <v>707850965</v>
      </c>
      <c r="T169" s="165">
        <v>797428.80022530979</v>
      </c>
      <c r="U169" s="166">
        <v>266777707</v>
      </c>
      <c r="V169" s="168">
        <v>3404198415</v>
      </c>
      <c r="W169" s="165">
        <v>2531805582</v>
      </c>
      <c r="X169" s="165">
        <v>497203787</v>
      </c>
      <c r="Y169" s="165">
        <v>97097388</v>
      </c>
      <c r="Z169" s="165">
        <v>362225762</v>
      </c>
      <c r="AA169" s="165">
        <v>111540016</v>
      </c>
      <c r="AB169" s="165">
        <v>5439899</v>
      </c>
      <c r="AC169" s="165">
        <v>928.5</v>
      </c>
      <c r="AD169" s="165">
        <v>951492111</v>
      </c>
      <c r="AE169" s="165">
        <v>1024762.6397415185</v>
      </c>
      <c r="AF169" s="166">
        <v>375189046</v>
      </c>
      <c r="AG169" s="11">
        <v>243641146</v>
      </c>
      <c r="AH169" s="12">
        <v>40.833333333333371</v>
      </c>
      <c r="AI169" s="132">
        <v>1</v>
      </c>
      <c r="AJ169" s="132">
        <v>1</v>
      </c>
      <c r="AK169" s="13">
        <v>0.15</v>
      </c>
      <c r="AL169" s="13">
        <v>0.28508355855720269</v>
      </c>
      <c r="AM169" s="14">
        <v>1</v>
      </c>
      <c r="AN169" s="14">
        <v>0</v>
      </c>
      <c r="AO169" s="82">
        <v>328533.60720991367</v>
      </c>
      <c r="AP169" s="82">
        <v>390119.29133010231</v>
      </c>
      <c r="AQ169" s="82">
        <v>61585.684120188642</v>
      </c>
      <c r="AR169" s="129">
        <v>0.18745626860888853</v>
      </c>
    </row>
    <row r="170" spans="1:44" ht="28.8" x14ac:dyDescent="0.3">
      <c r="A170" s="136" t="s">
        <v>335</v>
      </c>
      <c r="B170" s="137" t="s">
        <v>4951</v>
      </c>
      <c r="C170" s="134">
        <v>2020</v>
      </c>
      <c r="D170" s="149" t="s">
        <v>1146</v>
      </c>
      <c r="E170" s="135" t="s">
        <v>1140</v>
      </c>
      <c r="F170" s="384" t="s">
        <v>333</v>
      </c>
      <c r="G170" s="138" t="s">
        <v>4773</v>
      </c>
      <c r="H170" s="138" t="s">
        <v>3316</v>
      </c>
      <c r="I170" s="138" t="s">
        <v>1566</v>
      </c>
      <c r="J170" s="135" t="s">
        <v>4774</v>
      </c>
      <c r="K170" s="164">
        <v>2034083653</v>
      </c>
      <c r="L170" s="165">
        <v>1522592679</v>
      </c>
      <c r="M170" s="165">
        <v>390769678</v>
      </c>
      <c r="N170" s="165">
        <v>6557219</v>
      </c>
      <c r="O170" s="165">
        <v>300983116</v>
      </c>
      <c r="P170" s="165">
        <v>27826353.530000001</v>
      </c>
      <c r="Q170" s="165">
        <v>0</v>
      </c>
      <c r="R170" s="165">
        <v>267.41666666666669</v>
      </c>
      <c r="S170" s="165">
        <v>456087984.52999997</v>
      </c>
      <c r="T170" s="165">
        <v>1705533.1300592083</v>
      </c>
      <c r="U170" s="166">
        <v>120721296</v>
      </c>
      <c r="V170" s="168">
        <v>2454304618</v>
      </c>
      <c r="W170" s="165">
        <v>1978857635</v>
      </c>
      <c r="X170" s="165">
        <v>346537440</v>
      </c>
      <c r="Y170" s="165">
        <v>8444957</v>
      </c>
      <c r="Z170" s="165">
        <v>265792681.77000001</v>
      </c>
      <c r="AA170" s="165">
        <v>62088636</v>
      </c>
      <c r="AB170" s="165">
        <v>0</v>
      </c>
      <c r="AC170" s="165">
        <v>269.16666666666669</v>
      </c>
      <c r="AD170" s="165">
        <v>465235817.76999998</v>
      </c>
      <c r="AE170" s="165">
        <v>1728430.2827368418</v>
      </c>
      <c r="AF170" s="166">
        <v>128909543</v>
      </c>
      <c r="AG170" s="11">
        <v>9147833.2400000095</v>
      </c>
      <c r="AH170" s="12">
        <v>1.75</v>
      </c>
      <c r="AI170" s="132">
        <v>0</v>
      </c>
      <c r="AJ170" s="132">
        <v>0</v>
      </c>
      <c r="AK170" s="13">
        <v>0.1</v>
      </c>
      <c r="AL170" s="13">
        <v>1.3425215609854657E-2</v>
      </c>
      <c r="AM170" s="14">
        <v>0</v>
      </c>
      <c r="AN170" s="14">
        <v>-1</v>
      </c>
      <c r="AO170" s="82">
        <v>1125521.1567466499</v>
      </c>
      <c r="AP170" s="82">
        <v>987465.07159133127</v>
      </c>
      <c r="AQ170" s="82">
        <v>-138056.08515531861</v>
      </c>
      <c r="AR170" s="129">
        <v>-0.12265969797882215</v>
      </c>
    </row>
    <row r="171" spans="1:44" ht="28.8" x14ac:dyDescent="0.3">
      <c r="A171" s="136" t="s">
        <v>336</v>
      </c>
      <c r="B171" s="137" t="s">
        <v>4952</v>
      </c>
      <c r="C171" s="134">
        <v>2019</v>
      </c>
      <c r="D171" s="149" t="s">
        <v>1146</v>
      </c>
      <c r="E171" s="135" t="s">
        <v>1140</v>
      </c>
      <c r="F171" s="384" t="s">
        <v>333</v>
      </c>
      <c r="G171" s="138" t="s">
        <v>4773</v>
      </c>
      <c r="H171" s="138" t="s">
        <v>2363</v>
      </c>
      <c r="I171" s="138" t="s">
        <v>1566</v>
      </c>
      <c r="J171" s="135" t="s">
        <v>4953</v>
      </c>
      <c r="K171" s="164">
        <v>8979462029</v>
      </c>
      <c r="L171" s="165">
        <v>4583893063</v>
      </c>
      <c r="M171" s="165">
        <v>4417809298</v>
      </c>
      <c r="N171" s="165">
        <v>139685916</v>
      </c>
      <c r="O171" s="165">
        <v>2734151476</v>
      </c>
      <c r="P171" s="165">
        <v>880397412</v>
      </c>
      <c r="Q171" s="165">
        <v>35619202</v>
      </c>
      <c r="R171" s="165">
        <v>5495.666666666667</v>
      </c>
      <c r="S171" s="165">
        <v>3767613674</v>
      </c>
      <c r="T171" s="165">
        <v>685560.80681749259</v>
      </c>
      <c r="U171" s="166">
        <v>-22240332</v>
      </c>
      <c r="V171" s="168">
        <v>14256443852</v>
      </c>
      <c r="W171" s="165">
        <v>7391209401</v>
      </c>
      <c r="X171" s="165">
        <v>5948765681</v>
      </c>
      <c r="Y171" s="165">
        <v>295461476</v>
      </c>
      <c r="Z171" s="165">
        <v>3614209186</v>
      </c>
      <c r="AA171" s="165">
        <v>1155055690</v>
      </c>
      <c r="AB171" s="165">
        <v>0</v>
      </c>
      <c r="AC171" s="165">
        <v>7027.5</v>
      </c>
      <c r="AD171" s="165">
        <v>5981195122</v>
      </c>
      <c r="AE171" s="165">
        <v>851112.78861615085</v>
      </c>
      <c r="AF171" s="166">
        <v>916468770</v>
      </c>
      <c r="AG171" s="11">
        <v>2213581448</v>
      </c>
      <c r="AH171" s="12">
        <v>1531.833333333333</v>
      </c>
      <c r="AI171" s="132">
        <v>1</v>
      </c>
      <c r="AJ171" s="132">
        <v>1</v>
      </c>
      <c r="AK171" s="13">
        <v>0.15</v>
      </c>
      <c r="AL171" s="13">
        <v>0.24148401948471943</v>
      </c>
      <c r="AM171" s="14">
        <v>1</v>
      </c>
      <c r="AN171" s="14">
        <v>0</v>
      </c>
      <c r="AO171" s="82">
        <v>497510.42809486261</v>
      </c>
      <c r="AP171" s="82">
        <v>514295.15275702596</v>
      </c>
      <c r="AQ171" s="82">
        <v>16784.724662163353</v>
      </c>
      <c r="AR171" s="129">
        <v>3.3737432854297644E-2</v>
      </c>
    </row>
    <row r="172" spans="1:44" ht="28.8" x14ac:dyDescent="0.3">
      <c r="A172" s="136" t="s">
        <v>337</v>
      </c>
      <c r="B172" s="137" t="s">
        <v>4954</v>
      </c>
      <c r="C172" s="134">
        <v>2019</v>
      </c>
      <c r="D172" s="149" t="s">
        <v>1146</v>
      </c>
      <c r="E172" s="135" t="s">
        <v>1140</v>
      </c>
      <c r="F172" s="384" t="s">
        <v>333</v>
      </c>
      <c r="G172" s="138" t="s">
        <v>4773</v>
      </c>
      <c r="H172" s="138" t="s">
        <v>1570</v>
      </c>
      <c r="I172" s="138" t="s">
        <v>1566</v>
      </c>
      <c r="J172" s="135" t="s">
        <v>4778</v>
      </c>
      <c r="K172" s="164">
        <v>2488692738</v>
      </c>
      <c r="L172" s="165">
        <v>1908075561</v>
      </c>
      <c r="M172" s="165">
        <v>506370486</v>
      </c>
      <c r="N172" s="165">
        <v>25799561</v>
      </c>
      <c r="O172" s="165">
        <v>213416771</v>
      </c>
      <c r="P172" s="165">
        <v>76690272</v>
      </c>
      <c r="Q172" s="165">
        <v>2958482</v>
      </c>
      <c r="R172" s="165">
        <v>720.91666666666663</v>
      </c>
      <c r="S172" s="165">
        <v>393111777</v>
      </c>
      <c r="T172" s="165">
        <v>545294.33868916892</v>
      </c>
      <c r="U172" s="166">
        <v>74246691</v>
      </c>
      <c r="V172" s="168">
        <v>2404855852</v>
      </c>
      <c r="W172" s="165">
        <v>1953842993</v>
      </c>
      <c r="X172" s="165">
        <v>476920699</v>
      </c>
      <c r="Y172" s="165">
        <v>16168646</v>
      </c>
      <c r="Z172" s="165">
        <v>296218158</v>
      </c>
      <c r="AA172" s="165">
        <v>87397721.319999993</v>
      </c>
      <c r="AB172" s="165">
        <v>2617232</v>
      </c>
      <c r="AC172" s="165">
        <v>680.66666666666663</v>
      </c>
      <c r="AD172" s="165">
        <v>376493917.31999999</v>
      </c>
      <c r="AE172" s="165">
        <v>553125.24581782566</v>
      </c>
      <c r="AF172" s="166">
        <v>-25907840</v>
      </c>
      <c r="AG172" s="11">
        <v>-16617859.680000007</v>
      </c>
      <c r="AH172" s="12">
        <v>-40.25</v>
      </c>
      <c r="AI172" s="132">
        <v>0</v>
      </c>
      <c r="AJ172" s="132">
        <v>0</v>
      </c>
      <c r="AK172" s="13">
        <v>0.15</v>
      </c>
      <c r="AL172" s="13">
        <v>1.4360886269239481E-2</v>
      </c>
      <c r="AM172" s="14">
        <v>0</v>
      </c>
      <c r="AN172" s="14">
        <v>-1</v>
      </c>
      <c r="AO172" s="82">
        <v>296035.28516934463</v>
      </c>
      <c r="AP172" s="82">
        <v>435188.28305582766</v>
      </c>
      <c r="AQ172" s="82">
        <v>139152.99788648303</v>
      </c>
      <c r="AR172" s="129">
        <v>0.470055445609741</v>
      </c>
    </row>
    <row r="173" spans="1:44" ht="28.8" x14ac:dyDescent="0.3">
      <c r="A173" s="136" t="s">
        <v>338</v>
      </c>
      <c r="B173" s="137" t="s">
        <v>4955</v>
      </c>
      <c r="C173" s="134">
        <v>2020</v>
      </c>
      <c r="D173" s="149" t="s">
        <v>1146</v>
      </c>
      <c r="E173" s="135" t="s">
        <v>1140</v>
      </c>
      <c r="F173" s="384" t="s">
        <v>333</v>
      </c>
      <c r="G173" s="138" t="s">
        <v>4796</v>
      </c>
      <c r="H173" s="138" t="s">
        <v>2996</v>
      </c>
      <c r="I173" s="138" t="s">
        <v>1566</v>
      </c>
      <c r="J173" s="135" t="s">
        <v>4774</v>
      </c>
      <c r="K173" s="164">
        <v>808759929</v>
      </c>
      <c r="L173" s="165">
        <v>714347238</v>
      </c>
      <c r="M173" s="165">
        <v>20386714</v>
      </c>
      <c r="N173" s="165">
        <v>2989663</v>
      </c>
      <c r="O173" s="165">
        <v>37552576.109999999</v>
      </c>
      <c r="P173" s="165">
        <v>8502746.9600000009</v>
      </c>
      <c r="Q173" s="165">
        <v>0</v>
      </c>
      <c r="R173" s="165">
        <v>124.66666666666667</v>
      </c>
      <c r="S173" s="165">
        <v>123070963.06999999</v>
      </c>
      <c r="T173" s="165">
        <v>987200.23852941173</v>
      </c>
      <c r="U173" s="166">
        <v>74025977</v>
      </c>
      <c r="V173" s="168">
        <v>1377660858</v>
      </c>
      <c r="W173" s="165">
        <v>1134826706</v>
      </c>
      <c r="X173" s="165">
        <v>205961470</v>
      </c>
      <c r="Y173" s="165">
        <v>3379842</v>
      </c>
      <c r="Z173" s="165">
        <v>26667338</v>
      </c>
      <c r="AA173" s="165">
        <v>6294863.0100000007</v>
      </c>
      <c r="AB173" s="165">
        <v>0</v>
      </c>
      <c r="AC173" s="165">
        <v>118.16666666666667</v>
      </c>
      <c r="AD173" s="165">
        <v>73214725.010000005</v>
      </c>
      <c r="AE173" s="165">
        <v>619588.64606488019</v>
      </c>
      <c r="AF173" s="166">
        <v>36872682</v>
      </c>
      <c r="AG173" s="11">
        <v>-49856238.059999987</v>
      </c>
      <c r="AH173" s="12">
        <v>-6.5</v>
      </c>
      <c r="AI173" s="132">
        <v>0</v>
      </c>
      <c r="AJ173" s="132">
        <v>0</v>
      </c>
      <c r="AK173" s="13">
        <v>0.05</v>
      </c>
      <c r="AL173" s="13">
        <v>-0.37237793823875076</v>
      </c>
      <c r="AM173" s="14">
        <v>0</v>
      </c>
      <c r="AN173" s="14">
        <v>-1</v>
      </c>
      <c r="AO173" s="82">
        <v>301223.87254010694</v>
      </c>
      <c r="AP173" s="82">
        <v>225675.6389280677</v>
      </c>
      <c r="AQ173" s="82">
        <v>-75548.233612039243</v>
      </c>
      <c r="AR173" s="129">
        <v>-0.25080427050807619</v>
      </c>
    </row>
    <row r="174" spans="1:44" ht="28.8" x14ac:dyDescent="0.3">
      <c r="A174" s="136" t="s">
        <v>339</v>
      </c>
      <c r="B174" s="137" t="s">
        <v>4956</v>
      </c>
      <c r="C174" s="134">
        <v>2020</v>
      </c>
      <c r="D174" s="149" t="s">
        <v>1146</v>
      </c>
      <c r="E174" s="135" t="s">
        <v>1140</v>
      </c>
      <c r="F174" s="384" t="s">
        <v>333</v>
      </c>
      <c r="G174" s="138" t="s">
        <v>4773</v>
      </c>
      <c r="H174" s="138" t="s">
        <v>3529</v>
      </c>
      <c r="I174" s="138" t="s">
        <v>1566</v>
      </c>
      <c r="J174" s="135" t="s">
        <v>4798</v>
      </c>
      <c r="K174" s="164">
        <v>415873458</v>
      </c>
      <c r="L174" s="165">
        <v>334481215</v>
      </c>
      <c r="M174" s="165">
        <v>114333949</v>
      </c>
      <c r="N174" s="165">
        <v>24079711</v>
      </c>
      <c r="O174" s="165">
        <v>132355704</v>
      </c>
      <c r="P174" s="165">
        <v>38262733</v>
      </c>
      <c r="Q174" s="165">
        <v>60993</v>
      </c>
      <c r="R174" s="165">
        <v>409.16666666666669</v>
      </c>
      <c r="S174" s="165">
        <v>161817435</v>
      </c>
      <c r="T174" s="165">
        <v>395480.49287169043</v>
      </c>
      <c r="U174" s="166">
        <v>-32941706</v>
      </c>
      <c r="V174" s="168">
        <v>535213329</v>
      </c>
      <c r="W174" s="165">
        <v>419567870</v>
      </c>
      <c r="X174" s="165">
        <v>138265411</v>
      </c>
      <c r="Y174" s="165">
        <v>33990762</v>
      </c>
      <c r="Z174" s="165">
        <v>148894427</v>
      </c>
      <c r="AA174" s="165">
        <v>43703575</v>
      </c>
      <c r="AB174" s="165">
        <v>41572</v>
      </c>
      <c r="AC174" s="165">
        <v>392</v>
      </c>
      <c r="AD174" s="165">
        <v>204010384</v>
      </c>
      <c r="AE174" s="165">
        <v>520434.6530612245</v>
      </c>
      <c r="AF174" s="166">
        <v>-22619952</v>
      </c>
      <c r="AG174" s="11">
        <v>42192949</v>
      </c>
      <c r="AH174" s="12">
        <v>-17.166666666666686</v>
      </c>
      <c r="AI174" s="132">
        <v>1</v>
      </c>
      <c r="AJ174" s="132">
        <v>1</v>
      </c>
      <c r="AK174" s="13">
        <v>0.1</v>
      </c>
      <c r="AL174" s="13">
        <v>0.31595530793440663</v>
      </c>
      <c r="AM174" s="14">
        <v>1</v>
      </c>
      <c r="AN174" s="14">
        <v>0</v>
      </c>
      <c r="AO174" s="82">
        <v>323476.26232179225</v>
      </c>
      <c r="AP174" s="82">
        <v>379832.7219387755</v>
      </c>
      <c r="AQ174" s="82">
        <v>56356.459616983251</v>
      </c>
      <c r="AR174" s="129">
        <v>0.17422131445589728</v>
      </c>
    </row>
    <row r="175" spans="1:44" ht="28.8" x14ac:dyDescent="0.3">
      <c r="A175" s="136" t="s">
        <v>340</v>
      </c>
      <c r="B175" s="137" t="s">
        <v>4957</v>
      </c>
      <c r="C175" s="134">
        <v>2019</v>
      </c>
      <c r="D175" s="149" t="s">
        <v>1146</v>
      </c>
      <c r="E175" s="135" t="s">
        <v>1140</v>
      </c>
      <c r="F175" s="384" t="s">
        <v>333</v>
      </c>
      <c r="G175" s="138" t="s">
        <v>4773</v>
      </c>
      <c r="H175" s="138" t="s">
        <v>1866</v>
      </c>
      <c r="I175" s="138" t="s">
        <v>1566</v>
      </c>
      <c r="J175" s="135" t="s">
        <v>4774</v>
      </c>
      <c r="K175" s="164">
        <v>2148296191</v>
      </c>
      <c r="L175" s="165">
        <v>1917334546</v>
      </c>
      <c r="M175" s="165">
        <v>202486319</v>
      </c>
      <c r="N175" s="165">
        <v>32790906</v>
      </c>
      <c r="O175" s="165">
        <v>55075647</v>
      </c>
      <c r="P175" s="165">
        <v>16437436</v>
      </c>
      <c r="Q175" s="165">
        <v>367297</v>
      </c>
      <c r="R175" s="165">
        <v>173.5</v>
      </c>
      <c r="S175" s="165">
        <v>133146612</v>
      </c>
      <c r="T175" s="165">
        <v>767415.63112391927</v>
      </c>
      <c r="U175" s="166">
        <v>28475326</v>
      </c>
      <c r="V175" s="168">
        <v>3534150743</v>
      </c>
      <c r="W175" s="165">
        <v>3319737461</v>
      </c>
      <c r="X175" s="165">
        <v>172337886</v>
      </c>
      <c r="Y175" s="165">
        <v>12346004</v>
      </c>
      <c r="Z175" s="165">
        <v>55983305</v>
      </c>
      <c r="AA175" s="165">
        <v>17859576.100000001</v>
      </c>
      <c r="AB175" s="165">
        <v>360137</v>
      </c>
      <c r="AC175" s="165">
        <v>166.33333333333334</v>
      </c>
      <c r="AD175" s="165">
        <v>128624418.09999999</v>
      </c>
      <c r="AE175" s="165">
        <v>773293.09478957905</v>
      </c>
      <c r="AF175" s="166">
        <v>42075396</v>
      </c>
      <c r="AG175" s="11">
        <v>-4522193.900000006</v>
      </c>
      <c r="AH175" s="12">
        <v>-7.1666666666666572</v>
      </c>
      <c r="AI175" s="132">
        <v>0</v>
      </c>
      <c r="AJ175" s="132">
        <v>1</v>
      </c>
      <c r="AK175" s="13">
        <v>0.15</v>
      </c>
      <c r="AL175" s="13">
        <v>7.6587702546531133E-3</v>
      </c>
      <c r="AM175" s="14">
        <v>0</v>
      </c>
      <c r="AN175" s="14">
        <v>-1</v>
      </c>
      <c r="AO175" s="82">
        <v>317438.88760806917</v>
      </c>
      <c r="AP175" s="82">
        <v>336572.97595190379</v>
      </c>
      <c r="AQ175" s="82">
        <v>19134.088343834621</v>
      </c>
      <c r="AR175" s="129">
        <v>6.0276447186454307E-2</v>
      </c>
    </row>
    <row r="176" spans="1:44" ht="28.8" x14ac:dyDescent="0.3">
      <c r="A176" s="136" t="s">
        <v>341</v>
      </c>
      <c r="B176" s="137" t="s">
        <v>4958</v>
      </c>
      <c r="C176" s="134">
        <v>2019</v>
      </c>
      <c r="D176" s="149" t="s">
        <v>1146</v>
      </c>
      <c r="E176" s="135" t="s">
        <v>1140</v>
      </c>
      <c r="F176" s="384" t="s">
        <v>333</v>
      </c>
      <c r="G176" s="138" t="s">
        <v>4773</v>
      </c>
      <c r="H176" s="138" t="s">
        <v>1698</v>
      </c>
      <c r="I176" s="138" t="s">
        <v>1566</v>
      </c>
      <c r="J176" s="135" t="s">
        <v>4778</v>
      </c>
      <c r="K176" s="164">
        <v>25598458097</v>
      </c>
      <c r="L176" s="165">
        <v>19654114059</v>
      </c>
      <c r="M176" s="165">
        <v>5520842722</v>
      </c>
      <c r="N176" s="165">
        <v>137224371</v>
      </c>
      <c r="O176" s="165">
        <v>712694865</v>
      </c>
      <c r="P176" s="165">
        <v>69705959</v>
      </c>
      <c r="Q176" s="165">
        <v>6794017</v>
      </c>
      <c r="R176" s="165">
        <v>1582.9166666666667</v>
      </c>
      <c r="S176" s="165">
        <v>1349920528</v>
      </c>
      <c r="T176" s="165">
        <v>852805.80868649646</v>
      </c>
      <c r="U176" s="166">
        <v>423501316</v>
      </c>
      <c r="V176" s="168">
        <v>47711130717</v>
      </c>
      <c r="W176" s="165">
        <v>39526873556</v>
      </c>
      <c r="X176" s="165">
        <v>5138542517</v>
      </c>
      <c r="Y176" s="165">
        <v>125839567</v>
      </c>
      <c r="Z176" s="165">
        <v>853691711</v>
      </c>
      <c r="AA176" s="165">
        <v>253585934</v>
      </c>
      <c r="AB176" s="165">
        <v>7001439</v>
      </c>
      <c r="AC176" s="165">
        <v>1549.3333333333333</v>
      </c>
      <c r="AD176" s="165">
        <v>4285833295</v>
      </c>
      <c r="AE176" s="165">
        <v>2766243.5208691913</v>
      </c>
      <c r="AF176" s="166">
        <v>3045714644</v>
      </c>
      <c r="AG176" s="11">
        <v>2935912767</v>
      </c>
      <c r="AH176" s="12">
        <v>-33.583333333333485</v>
      </c>
      <c r="AI176" s="132">
        <v>1</v>
      </c>
      <c r="AJ176" s="132">
        <v>1</v>
      </c>
      <c r="AK176" s="13">
        <v>0.15</v>
      </c>
      <c r="AL176" s="13">
        <v>2.2436968505174697</v>
      </c>
      <c r="AM176" s="14">
        <v>1</v>
      </c>
      <c r="AN176" s="14">
        <v>0</v>
      </c>
      <c r="AO176" s="82">
        <v>450241.55725190835</v>
      </c>
      <c r="AP176" s="82">
        <v>551005.83756454394</v>
      </c>
      <c r="AQ176" s="82">
        <v>100764.28031263559</v>
      </c>
      <c r="AR176" s="129">
        <v>0.22380048818163267</v>
      </c>
    </row>
    <row r="177" spans="1:44" ht="28.8" x14ac:dyDescent="0.3">
      <c r="A177" s="136" t="s">
        <v>342</v>
      </c>
      <c r="B177" s="137" t="s">
        <v>4959</v>
      </c>
      <c r="C177" s="134">
        <v>2019</v>
      </c>
      <c r="D177" s="149" t="s">
        <v>1146</v>
      </c>
      <c r="E177" s="135" t="s">
        <v>1140</v>
      </c>
      <c r="F177" s="384" t="s">
        <v>333</v>
      </c>
      <c r="G177" s="138" t="s">
        <v>4773</v>
      </c>
      <c r="H177" s="138" t="s">
        <v>4960</v>
      </c>
      <c r="I177" s="138" t="s">
        <v>4612</v>
      </c>
      <c r="J177" s="135" t="s">
        <v>4778</v>
      </c>
      <c r="K177" s="164">
        <v>12197317874</v>
      </c>
      <c r="L177" s="165">
        <v>6842644745</v>
      </c>
      <c r="M177" s="165">
        <v>3345491646</v>
      </c>
      <c r="N177" s="165">
        <v>945110295</v>
      </c>
      <c r="O177" s="165">
        <v>1317362934</v>
      </c>
      <c r="P177" s="165">
        <v>381005410</v>
      </c>
      <c r="Q177" s="165">
        <v>67925325</v>
      </c>
      <c r="R177" s="165">
        <v>2562.9166666666665</v>
      </c>
      <c r="S177" s="165">
        <v>4720585447</v>
      </c>
      <c r="T177" s="165">
        <v>1841880.193919688</v>
      </c>
      <c r="U177" s="166">
        <v>2009181483</v>
      </c>
      <c r="V177" s="168">
        <v>12637299380</v>
      </c>
      <c r="W177" s="165">
        <v>10432656734</v>
      </c>
      <c r="X177" s="165">
        <v>1127343900</v>
      </c>
      <c r="Y177" s="165">
        <v>760546315</v>
      </c>
      <c r="Z177" s="165">
        <v>1505551429.1500001</v>
      </c>
      <c r="AA177" s="165">
        <v>438431165.47000003</v>
      </c>
      <c r="AB177" s="165">
        <v>82238364</v>
      </c>
      <c r="AC177" s="165">
        <v>2590.5</v>
      </c>
      <c r="AD177" s="165">
        <v>3864066019.6199999</v>
      </c>
      <c r="AE177" s="165">
        <v>1491629.4227446439</v>
      </c>
      <c r="AF177" s="166">
        <v>1077298746</v>
      </c>
      <c r="AG177" s="11">
        <v>-856519427.38000011</v>
      </c>
      <c r="AH177" s="12">
        <v>27.583333333333485</v>
      </c>
      <c r="AI177" s="132">
        <v>0</v>
      </c>
      <c r="AJ177" s="132">
        <v>0</v>
      </c>
      <c r="AK177" s="13">
        <v>0.15</v>
      </c>
      <c r="AL177" s="13">
        <v>-0.19015936644608789</v>
      </c>
      <c r="AM177" s="14">
        <v>0</v>
      </c>
      <c r="AN177" s="14">
        <v>-1</v>
      </c>
      <c r="AO177" s="82">
        <v>514009.27354901645</v>
      </c>
      <c r="AP177" s="82">
        <v>581181.79083188577</v>
      </c>
      <c r="AQ177" s="82">
        <v>67172.517282869318</v>
      </c>
      <c r="AR177" s="129">
        <v>0.13068347350831155</v>
      </c>
    </row>
    <row r="178" spans="1:44" ht="28.8" x14ac:dyDescent="0.3">
      <c r="A178" s="136" t="s">
        <v>343</v>
      </c>
      <c r="B178" s="137" t="s">
        <v>4961</v>
      </c>
      <c r="C178" s="134">
        <v>2020</v>
      </c>
      <c r="D178" s="149" t="s">
        <v>1146</v>
      </c>
      <c r="E178" s="135" t="s">
        <v>1140</v>
      </c>
      <c r="F178" s="384" t="s">
        <v>333</v>
      </c>
      <c r="G178" s="138" t="s">
        <v>4773</v>
      </c>
      <c r="H178" s="138" t="s">
        <v>1702</v>
      </c>
      <c r="I178" s="138" t="s">
        <v>1566</v>
      </c>
      <c r="J178" s="135" t="s">
        <v>4774</v>
      </c>
      <c r="K178" s="164">
        <v>1393777699</v>
      </c>
      <c r="L178" s="165">
        <v>1363115638</v>
      </c>
      <c r="M178" s="165">
        <v>63727986</v>
      </c>
      <c r="N178" s="165">
        <v>40316720</v>
      </c>
      <c r="O178" s="165">
        <v>33968652</v>
      </c>
      <c r="P178" s="165">
        <v>7295532</v>
      </c>
      <c r="Q178" s="165">
        <v>5177303</v>
      </c>
      <c r="R178" s="165">
        <v>67</v>
      </c>
      <c r="S178" s="165">
        <v>53692282</v>
      </c>
      <c r="T178" s="165">
        <v>801377.34328358213</v>
      </c>
      <c r="U178" s="166">
        <v>-33065925</v>
      </c>
      <c r="V178" s="168">
        <v>2558144485</v>
      </c>
      <c r="W178" s="165">
        <v>2324079086</v>
      </c>
      <c r="X178" s="165">
        <v>168640982</v>
      </c>
      <c r="Y178" s="165">
        <v>40996926</v>
      </c>
      <c r="Z178" s="165">
        <v>51481899.219999999</v>
      </c>
      <c r="AA178" s="165">
        <v>9629574.2200000007</v>
      </c>
      <c r="AB178" s="165">
        <v>4968557</v>
      </c>
      <c r="AC178" s="165">
        <v>88</v>
      </c>
      <c r="AD178" s="165">
        <v>172501373.44</v>
      </c>
      <c r="AE178" s="165">
        <v>1960242.88</v>
      </c>
      <c r="AF178" s="166">
        <v>65424417</v>
      </c>
      <c r="AG178" s="11">
        <v>118809091.44</v>
      </c>
      <c r="AH178" s="12">
        <v>21</v>
      </c>
      <c r="AI178" s="132">
        <v>1</v>
      </c>
      <c r="AJ178" s="132">
        <v>1</v>
      </c>
      <c r="AK178" s="13">
        <v>0.1</v>
      </c>
      <c r="AL178" s="13">
        <v>1.4460922241699521</v>
      </c>
      <c r="AM178" s="14">
        <v>1</v>
      </c>
      <c r="AN178" s="14">
        <v>0</v>
      </c>
      <c r="AO178" s="82">
        <v>506994.80597014923</v>
      </c>
      <c r="AP178" s="82">
        <v>585021.58204545453</v>
      </c>
      <c r="AQ178" s="82">
        <v>78026.776075305301</v>
      </c>
      <c r="AR178" s="129">
        <v>0.15390054327282265</v>
      </c>
    </row>
    <row r="179" spans="1:44" ht="28.8" x14ac:dyDescent="0.3">
      <c r="A179" s="136" t="s">
        <v>344</v>
      </c>
      <c r="B179" s="137" t="s">
        <v>4962</v>
      </c>
      <c r="C179" s="134">
        <v>2020</v>
      </c>
      <c r="D179" s="149" t="s">
        <v>1146</v>
      </c>
      <c r="E179" s="135" t="s">
        <v>1140</v>
      </c>
      <c r="F179" s="384" t="s">
        <v>333</v>
      </c>
      <c r="G179" s="138" t="s">
        <v>4773</v>
      </c>
      <c r="H179" s="138" t="s">
        <v>2256</v>
      </c>
      <c r="I179" s="138" t="s">
        <v>1566</v>
      </c>
      <c r="J179" s="135" t="s">
        <v>4774</v>
      </c>
      <c r="K179" s="164">
        <v>1430367966</v>
      </c>
      <c r="L179" s="165">
        <v>1337875736</v>
      </c>
      <c r="M179" s="165">
        <v>125297012</v>
      </c>
      <c r="N179" s="165">
        <v>28498383</v>
      </c>
      <c r="O179" s="165">
        <v>121424398</v>
      </c>
      <c r="P179" s="165">
        <v>35339643</v>
      </c>
      <c r="Q179" s="165">
        <v>1257487</v>
      </c>
      <c r="R179" s="165">
        <v>285.41666666666669</v>
      </c>
      <c r="S179" s="165">
        <v>153715129</v>
      </c>
      <c r="T179" s="165">
        <v>538563.95562043798</v>
      </c>
      <c r="U179" s="166">
        <v>-32804782</v>
      </c>
      <c r="V179" s="168">
        <v>2395584519</v>
      </c>
      <c r="W179" s="165">
        <v>2017360251</v>
      </c>
      <c r="X179" s="165">
        <v>191546059</v>
      </c>
      <c r="Y179" s="165">
        <v>34147620</v>
      </c>
      <c r="Z179" s="165">
        <v>157655999.97</v>
      </c>
      <c r="AA179" s="165">
        <v>45411167</v>
      </c>
      <c r="AB179" s="165">
        <v>1200239</v>
      </c>
      <c r="AC179" s="165">
        <v>291.33333333333331</v>
      </c>
      <c r="AD179" s="165">
        <v>425093234.97000003</v>
      </c>
      <c r="AE179" s="165">
        <v>1459130.0971510299</v>
      </c>
      <c r="AF179" s="166">
        <v>186678209</v>
      </c>
      <c r="AG179" s="11">
        <v>271378105.97000003</v>
      </c>
      <c r="AH179" s="12">
        <v>5.9166666666666288</v>
      </c>
      <c r="AI179" s="132">
        <v>1</v>
      </c>
      <c r="AJ179" s="132">
        <v>1</v>
      </c>
      <c r="AK179" s="13">
        <v>0.1</v>
      </c>
      <c r="AL179" s="13">
        <v>1.7092977034705408</v>
      </c>
      <c r="AM179" s="14">
        <v>1</v>
      </c>
      <c r="AN179" s="14">
        <v>0</v>
      </c>
      <c r="AO179" s="82">
        <v>425428.54773722624</v>
      </c>
      <c r="AP179" s="82">
        <v>541153.31797482842</v>
      </c>
      <c r="AQ179" s="82">
        <v>115724.77023760218</v>
      </c>
      <c r="AR179" s="129">
        <v>0.27201928702979683</v>
      </c>
    </row>
    <row r="180" spans="1:44" ht="28.8" x14ac:dyDescent="0.3">
      <c r="A180" s="136" t="s">
        <v>345</v>
      </c>
      <c r="B180" s="137" t="s">
        <v>4963</v>
      </c>
      <c r="C180" s="134">
        <v>2020</v>
      </c>
      <c r="D180" s="149" t="s">
        <v>1146</v>
      </c>
      <c r="E180" s="135" t="s">
        <v>1140</v>
      </c>
      <c r="F180" s="384" t="s">
        <v>333</v>
      </c>
      <c r="G180" s="138" t="s">
        <v>4773</v>
      </c>
      <c r="H180" s="138" t="s">
        <v>2996</v>
      </c>
      <c r="I180" s="138" t="s">
        <v>1566</v>
      </c>
      <c r="J180" s="135" t="s">
        <v>4774</v>
      </c>
      <c r="K180" s="164">
        <v>511802185</v>
      </c>
      <c r="L180" s="165">
        <v>403371070</v>
      </c>
      <c r="M180" s="165">
        <v>86808685</v>
      </c>
      <c r="N180" s="165">
        <v>3905426</v>
      </c>
      <c r="O180" s="165">
        <v>49556793</v>
      </c>
      <c r="P180" s="165">
        <v>14115551</v>
      </c>
      <c r="Q180" s="165">
        <v>0</v>
      </c>
      <c r="R180" s="165">
        <v>363.41666666666669</v>
      </c>
      <c r="S180" s="165">
        <v>89200200</v>
      </c>
      <c r="T180" s="165">
        <v>245448.84200871357</v>
      </c>
      <c r="U180" s="166">
        <v>21622430</v>
      </c>
      <c r="V180" s="168">
        <v>856792672</v>
      </c>
      <c r="W180" s="165">
        <v>673195865</v>
      </c>
      <c r="X180" s="165">
        <v>131171334</v>
      </c>
      <c r="Y180" s="165">
        <v>14084993</v>
      </c>
      <c r="Z180" s="165">
        <v>56893989.020000003</v>
      </c>
      <c r="AA180" s="165">
        <v>16692776.91</v>
      </c>
      <c r="AB180" s="165">
        <v>0</v>
      </c>
      <c r="AC180" s="165">
        <v>409.58333333333331</v>
      </c>
      <c r="AD180" s="165">
        <v>140097231.93000001</v>
      </c>
      <c r="AE180" s="165">
        <v>342048.17561749747</v>
      </c>
      <c r="AF180" s="166">
        <v>52425473</v>
      </c>
      <c r="AG180" s="11">
        <v>50897031.930000007</v>
      </c>
      <c r="AH180" s="12">
        <v>46.166666666666629</v>
      </c>
      <c r="AI180" s="132">
        <v>1</v>
      </c>
      <c r="AJ180" s="132">
        <v>1</v>
      </c>
      <c r="AK180" s="13">
        <v>0.1</v>
      </c>
      <c r="AL180" s="13">
        <v>0.3935620147970551</v>
      </c>
      <c r="AM180" s="14">
        <v>1</v>
      </c>
      <c r="AN180" s="14">
        <v>0</v>
      </c>
      <c r="AO180" s="82">
        <v>136363.56707177253</v>
      </c>
      <c r="AP180" s="82">
        <v>138906.99252085455</v>
      </c>
      <c r="AQ180" s="82">
        <v>2543.4254490820167</v>
      </c>
      <c r="AR180" s="129">
        <v>1.865179610433132E-2</v>
      </c>
    </row>
    <row r="181" spans="1:44" ht="28.8" x14ac:dyDescent="0.3">
      <c r="A181" s="136" t="s">
        <v>346</v>
      </c>
      <c r="B181" s="137" t="s">
        <v>4964</v>
      </c>
      <c r="C181" s="134">
        <v>2020</v>
      </c>
      <c r="D181" s="149" t="s">
        <v>1146</v>
      </c>
      <c r="E181" s="135" t="s">
        <v>1140</v>
      </c>
      <c r="F181" s="384" t="s">
        <v>333</v>
      </c>
      <c r="G181" s="138" t="s">
        <v>4773</v>
      </c>
      <c r="H181" s="138" t="s">
        <v>2975</v>
      </c>
      <c r="I181" s="138" t="s">
        <v>1566</v>
      </c>
      <c r="J181" s="135" t="s">
        <v>4774</v>
      </c>
      <c r="K181" s="164">
        <v>1589593571</v>
      </c>
      <c r="L181" s="165">
        <v>1437970100</v>
      </c>
      <c r="M181" s="165">
        <v>100237303</v>
      </c>
      <c r="N181" s="165">
        <v>9324956</v>
      </c>
      <c r="O181" s="165">
        <v>27078091</v>
      </c>
      <c r="P181" s="165">
        <v>6444200</v>
      </c>
      <c r="Q181" s="165">
        <v>0</v>
      </c>
      <c r="R181" s="165">
        <v>100</v>
      </c>
      <c r="S181" s="165">
        <v>94233415</v>
      </c>
      <c r="T181" s="165">
        <v>942334.15</v>
      </c>
      <c r="U181" s="166">
        <v>51386168</v>
      </c>
      <c r="V181" s="168">
        <v>2470947315</v>
      </c>
      <c r="W181" s="165">
        <v>2234825412</v>
      </c>
      <c r="X181" s="165">
        <v>161848299</v>
      </c>
      <c r="Y181" s="165">
        <v>12921554</v>
      </c>
      <c r="Z181" s="165">
        <v>42947508</v>
      </c>
      <c r="AA181" s="165">
        <v>9719301</v>
      </c>
      <c r="AB181" s="165">
        <v>0</v>
      </c>
      <c r="AC181" s="165">
        <v>155.08333333333334</v>
      </c>
      <c r="AD181" s="165">
        <v>139861967</v>
      </c>
      <c r="AE181" s="165">
        <v>901850.40515851683</v>
      </c>
      <c r="AF181" s="166">
        <v>74273604</v>
      </c>
      <c r="AG181" s="11">
        <v>45628552</v>
      </c>
      <c r="AH181" s="12">
        <v>55.083333333333343</v>
      </c>
      <c r="AI181" s="132">
        <v>0</v>
      </c>
      <c r="AJ181" s="132">
        <v>0</v>
      </c>
      <c r="AK181" s="13">
        <v>0.1</v>
      </c>
      <c r="AL181" s="13">
        <v>-4.2961130083208787E-2</v>
      </c>
      <c r="AM181" s="14">
        <v>0</v>
      </c>
      <c r="AN181" s="14">
        <v>-1</v>
      </c>
      <c r="AO181" s="82">
        <v>270780.90999999997</v>
      </c>
      <c r="AP181" s="82">
        <v>276931.8087049973</v>
      </c>
      <c r="AQ181" s="82">
        <v>6150.8987049973221</v>
      </c>
      <c r="AR181" s="129">
        <v>2.2715407467229998E-2</v>
      </c>
    </row>
    <row r="182" spans="1:44" ht="28.8" x14ac:dyDescent="0.3">
      <c r="A182" s="136" t="s">
        <v>347</v>
      </c>
      <c r="B182" s="137" t="s">
        <v>4965</v>
      </c>
      <c r="C182" s="134">
        <v>2019</v>
      </c>
      <c r="D182" s="149" t="s">
        <v>1146</v>
      </c>
      <c r="E182" s="135" t="s">
        <v>1140</v>
      </c>
      <c r="F182" s="384" t="s">
        <v>333</v>
      </c>
      <c r="G182" s="138" t="s">
        <v>4773</v>
      </c>
      <c r="H182" s="138" t="s">
        <v>3347</v>
      </c>
      <c r="I182" s="138" t="s">
        <v>1566</v>
      </c>
      <c r="J182" s="135" t="s">
        <v>4774</v>
      </c>
      <c r="K182" s="164">
        <v>875503655</v>
      </c>
      <c r="L182" s="165">
        <v>803321908</v>
      </c>
      <c r="M182" s="165">
        <v>69603232</v>
      </c>
      <c r="N182" s="165">
        <v>14929605</v>
      </c>
      <c r="O182" s="165">
        <v>82606069</v>
      </c>
      <c r="P182" s="165">
        <v>25442111</v>
      </c>
      <c r="Q182" s="165">
        <v>176902</v>
      </c>
      <c r="R182" s="165">
        <v>231</v>
      </c>
      <c r="S182" s="165">
        <v>125733202</v>
      </c>
      <c r="T182" s="165">
        <v>544299.5757575758</v>
      </c>
      <c r="U182" s="166">
        <v>2578515</v>
      </c>
      <c r="V182" s="168">
        <v>1874209818</v>
      </c>
      <c r="W182" s="165">
        <v>1632563432</v>
      </c>
      <c r="X182" s="165">
        <v>167665908</v>
      </c>
      <c r="Y182" s="165">
        <v>25561412</v>
      </c>
      <c r="Z182" s="165">
        <v>154664203</v>
      </c>
      <c r="AA182" s="165">
        <v>30430510</v>
      </c>
      <c r="AB182" s="165">
        <v>167907</v>
      </c>
      <c r="AC182" s="165">
        <v>274.83333333333331</v>
      </c>
      <c r="AD182" s="165">
        <v>284804510</v>
      </c>
      <c r="AE182" s="165">
        <v>1036280.8126137053</v>
      </c>
      <c r="AF182" s="166">
        <v>73980478</v>
      </c>
      <c r="AG182" s="11">
        <v>159071308</v>
      </c>
      <c r="AH182" s="12">
        <v>43.833333333333314</v>
      </c>
      <c r="AI182" s="132">
        <v>1</v>
      </c>
      <c r="AJ182" s="132">
        <v>1</v>
      </c>
      <c r="AK182" s="13">
        <v>0.15</v>
      </c>
      <c r="AL182" s="13">
        <v>0.90387949592024319</v>
      </c>
      <c r="AM182" s="14">
        <v>1</v>
      </c>
      <c r="AN182" s="14">
        <v>0</v>
      </c>
      <c r="AO182" s="82">
        <v>357602.03030303027</v>
      </c>
      <c r="AP182" s="82">
        <v>562756.34808975144</v>
      </c>
      <c r="AQ182" s="82">
        <v>205154.31778672116</v>
      </c>
      <c r="AR182" s="129">
        <v>0.57369449947718243</v>
      </c>
    </row>
    <row r="183" spans="1:44" ht="28.8" x14ac:dyDescent="0.3">
      <c r="A183" s="136" t="s">
        <v>348</v>
      </c>
      <c r="B183" s="137" t="s">
        <v>4966</v>
      </c>
      <c r="C183" s="134">
        <v>2019</v>
      </c>
      <c r="D183" s="149" t="s">
        <v>1146</v>
      </c>
      <c r="E183" s="135" t="s">
        <v>1140</v>
      </c>
      <c r="F183" s="384" t="s">
        <v>333</v>
      </c>
      <c r="G183" s="138" t="s">
        <v>4773</v>
      </c>
      <c r="H183" s="138" t="s">
        <v>3463</v>
      </c>
      <c r="I183" s="138" t="s">
        <v>1566</v>
      </c>
      <c r="J183" s="135" t="s">
        <v>4774</v>
      </c>
      <c r="K183" s="164">
        <v>1083154321</v>
      </c>
      <c r="L183" s="165">
        <v>954987276</v>
      </c>
      <c r="M183" s="165">
        <v>97271362</v>
      </c>
      <c r="N183" s="165">
        <v>15825984</v>
      </c>
      <c r="O183" s="165">
        <v>2078022</v>
      </c>
      <c r="P183" s="165">
        <v>610201</v>
      </c>
      <c r="Q183" s="165">
        <v>0</v>
      </c>
      <c r="R183" s="165">
        <v>8.3333333333333339</v>
      </c>
      <c r="S183" s="165">
        <v>49409890</v>
      </c>
      <c r="T183" s="165">
        <v>5929186.7999999998</v>
      </c>
      <c r="U183" s="166">
        <v>30895683</v>
      </c>
      <c r="V183" s="168">
        <v>1670524498</v>
      </c>
      <c r="W183" s="165">
        <v>1404960680</v>
      </c>
      <c r="X183" s="165">
        <v>211268771</v>
      </c>
      <c r="Y183" s="165">
        <v>18296014</v>
      </c>
      <c r="Z183" s="165">
        <v>3929587</v>
      </c>
      <c r="AA183" s="165">
        <v>752600</v>
      </c>
      <c r="AB183" s="165">
        <v>0</v>
      </c>
      <c r="AC183" s="165">
        <v>10</v>
      </c>
      <c r="AD183" s="165">
        <v>77273248</v>
      </c>
      <c r="AE183" s="165">
        <v>7727324.7999999998</v>
      </c>
      <c r="AF183" s="166">
        <v>54295047</v>
      </c>
      <c r="AG183" s="11">
        <v>27863358</v>
      </c>
      <c r="AH183" s="12">
        <v>1.6666666666666661</v>
      </c>
      <c r="AI183" s="132">
        <v>1</v>
      </c>
      <c r="AJ183" s="132">
        <v>0</v>
      </c>
      <c r="AK183" s="13">
        <v>0.15</v>
      </c>
      <c r="AL183" s="13">
        <v>0.30326890696039466</v>
      </c>
      <c r="AM183" s="14">
        <v>1</v>
      </c>
      <c r="AN183" s="14">
        <v>0</v>
      </c>
      <c r="AO183" s="82">
        <v>249362.63999999998</v>
      </c>
      <c r="AP183" s="82">
        <v>392958.7</v>
      </c>
      <c r="AQ183" s="82">
        <v>143596.06000000003</v>
      </c>
      <c r="AR183" s="129">
        <v>0.57585234099221938</v>
      </c>
    </row>
    <row r="184" spans="1:44" ht="28.8" x14ac:dyDescent="0.3">
      <c r="A184" s="136" t="s">
        <v>349</v>
      </c>
      <c r="B184" s="137" t="s">
        <v>4967</v>
      </c>
      <c r="C184" s="134">
        <v>2020</v>
      </c>
      <c r="D184" s="149" t="s">
        <v>1146</v>
      </c>
      <c r="E184" s="135" t="s">
        <v>1140</v>
      </c>
      <c r="F184" s="384" t="s">
        <v>333</v>
      </c>
      <c r="G184" s="138" t="s">
        <v>4773</v>
      </c>
      <c r="H184" s="138" t="s">
        <v>2425</v>
      </c>
      <c r="I184" s="138" t="s">
        <v>1566</v>
      </c>
      <c r="J184" s="135" t="s">
        <v>4774</v>
      </c>
      <c r="K184" s="164">
        <v>444277449</v>
      </c>
      <c r="L184" s="165">
        <v>262712713</v>
      </c>
      <c r="M184" s="165">
        <v>133305347</v>
      </c>
      <c r="N184" s="165">
        <v>16896836</v>
      </c>
      <c r="O184" s="165">
        <v>74785722</v>
      </c>
      <c r="P184" s="165">
        <v>15629068</v>
      </c>
      <c r="Q184" s="165">
        <v>15881</v>
      </c>
      <c r="R184" s="165">
        <v>125.16666666666667</v>
      </c>
      <c r="S184" s="165">
        <v>155586896</v>
      </c>
      <c r="T184" s="165">
        <v>1243037.7842876164</v>
      </c>
      <c r="U184" s="166">
        <v>48259389</v>
      </c>
      <c r="V184" s="168">
        <v>630492099</v>
      </c>
      <c r="W184" s="165">
        <v>388236904</v>
      </c>
      <c r="X184" s="165">
        <v>193841719</v>
      </c>
      <c r="Y184" s="165">
        <v>26470040</v>
      </c>
      <c r="Z184" s="165">
        <v>100477677</v>
      </c>
      <c r="AA184" s="165">
        <v>18281910</v>
      </c>
      <c r="AB184" s="165">
        <v>102509</v>
      </c>
      <c r="AC184" s="165">
        <v>144.83333333333334</v>
      </c>
      <c r="AD184" s="165">
        <v>193745612</v>
      </c>
      <c r="AE184" s="165">
        <v>1337714.2370540851</v>
      </c>
      <c r="AF184" s="166">
        <v>48413476</v>
      </c>
      <c r="AG184" s="11">
        <v>38158716</v>
      </c>
      <c r="AH184" s="12">
        <v>19.666666666666671</v>
      </c>
      <c r="AI184" s="132">
        <v>0</v>
      </c>
      <c r="AJ184" s="132">
        <v>1</v>
      </c>
      <c r="AK184" s="13">
        <v>0.1</v>
      </c>
      <c r="AL184" s="13">
        <v>7.6165392173357827E-2</v>
      </c>
      <c r="AM184" s="14">
        <v>0</v>
      </c>
      <c r="AN184" s="14">
        <v>-1</v>
      </c>
      <c r="AO184" s="82">
        <v>597489.12383488682</v>
      </c>
      <c r="AP184" s="82">
        <v>693746.90678941307</v>
      </c>
      <c r="AQ184" s="82">
        <v>96257.78295452625</v>
      </c>
      <c r="AR184" s="129">
        <v>0.1611038245126728</v>
      </c>
    </row>
    <row r="185" spans="1:44" ht="28.8" x14ac:dyDescent="0.3">
      <c r="A185" s="136" t="s">
        <v>350</v>
      </c>
      <c r="B185" s="137" t="s">
        <v>4968</v>
      </c>
      <c r="C185" s="134">
        <v>2019</v>
      </c>
      <c r="D185" s="149" t="s">
        <v>1146</v>
      </c>
      <c r="E185" s="135" t="s">
        <v>1140</v>
      </c>
      <c r="F185" s="384" t="s">
        <v>333</v>
      </c>
      <c r="G185" s="138" t="s">
        <v>4773</v>
      </c>
      <c r="H185" s="138" t="s">
        <v>3351</v>
      </c>
      <c r="I185" s="138" t="s">
        <v>1566</v>
      </c>
      <c r="J185" s="135" t="s">
        <v>4774</v>
      </c>
      <c r="K185" s="164">
        <v>598706541</v>
      </c>
      <c r="L185" s="165">
        <v>480265086</v>
      </c>
      <c r="M185" s="165">
        <v>24871945</v>
      </c>
      <c r="N185" s="165">
        <v>5162818</v>
      </c>
      <c r="O185" s="165">
        <v>57146808</v>
      </c>
      <c r="P185" s="165">
        <v>17153193</v>
      </c>
      <c r="Q185" s="165">
        <v>18055</v>
      </c>
      <c r="R185" s="165">
        <v>199.08333333333334</v>
      </c>
      <c r="S185" s="165">
        <v>173050384</v>
      </c>
      <c r="T185" s="165">
        <v>869235.91795730428</v>
      </c>
      <c r="U185" s="166">
        <v>93569510</v>
      </c>
      <c r="V185" s="168">
        <v>678625667</v>
      </c>
      <c r="W185" s="165">
        <v>556699477</v>
      </c>
      <c r="X185" s="165">
        <v>69749728</v>
      </c>
      <c r="Y185" s="165">
        <v>5361570</v>
      </c>
      <c r="Z185" s="165">
        <v>80648153</v>
      </c>
      <c r="AA185" s="165">
        <v>15953831</v>
      </c>
      <c r="AB185" s="165">
        <v>13602</v>
      </c>
      <c r="AC185" s="165">
        <v>182.08333333333334</v>
      </c>
      <c r="AD185" s="165">
        <v>154153618</v>
      </c>
      <c r="AE185" s="165">
        <v>846610.25903890154</v>
      </c>
      <c r="AF185" s="166">
        <v>52176462</v>
      </c>
      <c r="AG185" s="11">
        <v>-18896766</v>
      </c>
      <c r="AH185" s="12">
        <v>-17</v>
      </c>
      <c r="AI185" s="132">
        <v>0</v>
      </c>
      <c r="AJ185" s="132">
        <v>0</v>
      </c>
      <c r="AK185" s="13">
        <v>0.15</v>
      </c>
      <c r="AL185" s="13">
        <v>-2.6029366112712005E-2</v>
      </c>
      <c r="AM185" s="14">
        <v>0</v>
      </c>
      <c r="AN185" s="14">
        <v>-1</v>
      </c>
      <c r="AO185" s="82">
        <v>287049.68438677269</v>
      </c>
      <c r="AP185" s="82">
        <v>442918.91807780316</v>
      </c>
      <c r="AQ185" s="82">
        <v>155869.23369103047</v>
      </c>
      <c r="AR185" s="129">
        <v>0.54300437230584508</v>
      </c>
    </row>
    <row r="186" spans="1:44" ht="28.8" x14ac:dyDescent="0.3">
      <c r="A186" s="136" t="s">
        <v>351</v>
      </c>
      <c r="B186" s="137" t="s">
        <v>4969</v>
      </c>
      <c r="C186" s="134">
        <v>2020</v>
      </c>
      <c r="D186" s="149" t="s">
        <v>1146</v>
      </c>
      <c r="E186" s="135" t="s">
        <v>1140</v>
      </c>
      <c r="F186" s="384" t="s">
        <v>333</v>
      </c>
      <c r="G186" s="138" t="s">
        <v>4773</v>
      </c>
      <c r="H186" s="138" t="s">
        <v>3336</v>
      </c>
      <c r="I186" s="138" t="s">
        <v>1566</v>
      </c>
      <c r="J186" s="135" t="s">
        <v>4774</v>
      </c>
      <c r="K186" s="164">
        <v>944880187</v>
      </c>
      <c r="L186" s="165">
        <v>746198894</v>
      </c>
      <c r="M186" s="165">
        <v>167157197</v>
      </c>
      <c r="N186" s="165">
        <v>9725071</v>
      </c>
      <c r="O186" s="165">
        <v>86947116.579999998</v>
      </c>
      <c r="P186" s="165">
        <v>18738612</v>
      </c>
      <c r="Q186" s="165">
        <v>0</v>
      </c>
      <c r="R186" s="165">
        <v>161.25</v>
      </c>
      <c r="S186" s="165">
        <v>146934895.57999998</v>
      </c>
      <c r="T186" s="165">
        <v>911224.15863565879</v>
      </c>
      <c r="U186" s="166">
        <v>31524096</v>
      </c>
      <c r="V186" s="168">
        <v>1166746300</v>
      </c>
      <c r="W186" s="165">
        <v>935449124</v>
      </c>
      <c r="X186" s="165">
        <v>188211580</v>
      </c>
      <c r="Y186" s="165">
        <v>11147161</v>
      </c>
      <c r="Z186" s="165">
        <v>137735217.38999999</v>
      </c>
      <c r="AA186" s="165">
        <v>25066824.170000002</v>
      </c>
      <c r="AB186" s="165">
        <v>0</v>
      </c>
      <c r="AC186" s="165">
        <v>208.25</v>
      </c>
      <c r="AD186" s="165">
        <v>217034798.56</v>
      </c>
      <c r="AE186" s="165">
        <v>1042183.9066506603</v>
      </c>
      <c r="AF186" s="166">
        <v>43085596</v>
      </c>
      <c r="AG186" s="11">
        <v>70099902.980000019</v>
      </c>
      <c r="AH186" s="12">
        <v>47</v>
      </c>
      <c r="AI186" s="132">
        <v>1</v>
      </c>
      <c r="AJ186" s="132">
        <v>1</v>
      </c>
      <c r="AK186" s="13">
        <v>0.1</v>
      </c>
      <c r="AL186" s="13">
        <v>0.143718478667203</v>
      </c>
      <c r="AM186" s="14">
        <v>1</v>
      </c>
      <c r="AN186" s="14">
        <v>0</v>
      </c>
      <c r="AO186" s="82">
        <v>539206.92452713172</v>
      </c>
      <c r="AP186" s="82">
        <v>661393.6009123649</v>
      </c>
      <c r="AQ186" s="82">
        <v>122186.67638523318</v>
      </c>
      <c r="AR186" s="129">
        <v>0.22660442740490994</v>
      </c>
    </row>
    <row r="187" spans="1:44" ht="28.8" x14ac:dyDescent="0.3">
      <c r="A187" s="136" t="s">
        <v>352</v>
      </c>
      <c r="B187" s="137" t="s">
        <v>4970</v>
      </c>
      <c r="C187" s="134">
        <v>2019</v>
      </c>
      <c r="D187" s="149" t="s">
        <v>4943</v>
      </c>
      <c r="E187" s="135" t="s">
        <v>1140</v>
      </c>
      <c r="F187" s="384" t="s">
        <v>353</v>
      </c>
      <c r="G187" s="138" t="s">
        <v>4773</v>
      </c>
      <c r="H187" s="138" t="s">
        <v>2214</v>
      </c>
      <c r="I187" s="138" t="s">
        <v>1566</v>
      </c>
      <c r="J187" s="135" t="s">
        <v>4774</v>
      </c>
      <c r="K187" s="164">
        <v>1498183027</v>
      </c>
      <c r="L187" s="165">
        <v>1241452896</v>
      </c>
      <c r="M187" s="165">
        <v>232891343</v>
      </c>
      <c r="N187" s="165">
        <v>51156515</v>
      </c>
      <c r="O187" s="165">
        <v>262218941</v>
      </c>
      <c r="P187" s="165">
        <v>78510146</v>
      </c>
      <c r="Q187" s="165">
        <v>3342139</v>
      </c>
      <c r="R187" s="165">
        <v>1118.9166666666667</v>
      </c>
      <c r="S187" s="165">
        <v>419066529</v>
      </c>
      <c r="T187" s="165">
        <v>374528.81120131077</v>
      </c>
      <c r="U187" s="166">
        <v>23838788</v>
      </c>
      <c r="V187" s="168">
        <v>2589278837</v>
      </c>
      <c r="W187" s="165">
        <v>2245346814</v>
      </c>
      <c r="X187" s="165">
        <v>312962988</v>
      </c>
      <c r="Y187" s="165">
        <v>70596882</v>
      </c>
      <c r="Z187" s="165">
        <v>404469058</v>
      </c>
      <c r="AA187" s="165">
        <v>120728578</v>
      </c>
      <c r="AB187" s="165">
        <v>4286234</v>
      </c>
      <c r="AC187" s="165">
        <v>1357.4166666666667</v>
      </c>
      <c r="AD187" s="165">
        <v>631049787</v>
      </c>
      <c r="AE187" s="165">
        <v>464890.25993001409</v>
      </c>
      <c r="AF187" s="166">
        <v>30969035</v>
      </c>
      <c r="AG187" s="11">
        <v>211983258</v>
      </c>
      <c r="AH187" s="12">
        <v>238.5</v>
      </c>
      <c r="AI187" s="132">
        <v>1</v>
      </c>
      <c r="AJ187" s="132">
        <v>1</v>
      </c>
      <c r="AK187" s="13">
        <v>0.15</v>
      </c>
      <c r="AL187" s="13">
        <v>0.24126702028610292</v>
      </c>
      <c r="AM187" s="14">
        <v>1</v>
      </c>
      <c r="AN187" s="14">
        <v>0</v>
      </c>
      <c r="AO187" s="82">
        <v>234350.73300067027</v>
      </c>
      <c r="AP187" s="82">
        <v>297969.71551353671</v>
      </c>
      <c r="AQ187" s="82">
        <v>63618.982512866438</v>
      </c>
      <c r="AR187" s="129">
        <v>0.27146909974753308</v>
      </c>
    </row>
    <row r="188" spans="1:44" ht="43.2" x14ac:dyDescent="0.3">
      <c r="A188" s="136" t="s">
        <v>354</v>
      </c>
      <c r="B188" s="137" t="s">
        <v>4971</v>
      </c>
      <c r="C188" s="134">
        <v>2019</v>
      </c>
      <c r="D188" s="149" t="s">
        <v>4943</v>
      </c>
      <c r="E188" s="135" t="s">
        <v>1140</v>
      </c>
      <c r="F188" s="384" t="s">
        <v>355</v>
      </c>
      <c r="G188" s="138" t="s">
        <v>4773</v>
      </c>
      <c r="H188" s="138" t="s">
        <v>3316</v>
      </c>
      <c r="I188" s="138" t="s">
        <v>1566</v>
      </c>
      <c r="J188" s="135" t="s">
        <v>4778</v>
      </c>
      <c r="K188" s="164">
        <v>7215807906</v>
      </c>
      <c r="L188" s="165">
        <v>5152390126</v>
      </c>
      <c r="M188" s="165">
        <v>786271441</v>
      </c>
      <c r="N188" s="165">
        <v>80344177</v>
      </c>
      <c r="O188" s="165">
        <v>596409097</v>
      </c>
      <c r="P188" s="165">
        <v>173344453</v>
      </c>
      <c r="Q188" s="165">
        <v>7344250</v>
      </c>
      <c r="R188" s="165">
        <v>1064.1666666666667</v>
      </c>
      <c r="S188" s="165">
        <v>2134588316</v>
      </c>
      <c r="T188" s="165">
        <v>2005877.8223962411</v>
      </c>
      <c r="U188" s="166">
        <v>1277146339</v>
      </c>
      <c r="V188" s="168">
        <v>5825769832</v>
      </c>
      <c r="W188" s="165">
        <v>4497705093</v>
      </c>
      <c r="X188" s="165">
        <v>125069546</v>
      </c>
      <c r="Y188" s="165">
        <v>107534821</v>
      </c>
      <c r="Z188" s="165">
        <v>771109439.84000003</v>
      </c>
      <c r="AA188" s="165">
        <v>161726127.27000001</v>
      </c>
      <c r="AB188" s="165">
        <v>0</v>
      </c>
      <c r="AC188" s="165">
        <v>1073.75</v>
      </c>
      <c r="AD188" s="165">
        <v>2243365581.1100001</v>
      </c>
      <c r="AE188" s="165">
        <v>2089281.0999860305</v>
      </c>
      <c r="AF188" s="166">
        <v>1202995193</v>
      </c>
      <c r="AG188" s="11">
        <v>108777265.11000013</v>
      </c>
      <c r="AH188" s="12">
        <v>9.5833333333332575</v>
      </c>
      <c r="AI188" s="132">
        <v>0</v>
      </c>
      <c r="AJ188" s="132">
        <v>0</v>
      </c>
      <c r="AK188" s="13">
        <v>0.15</v>
      </c>
      <c r="AL188" s="13">
        <v>4.1579441762808811E-2</v>
      </c>
      <c r="AM188" s="14">
        <v>0</v>
      </c>
      <c r="AN188" s="14">
        <v>-1</v>
      </c>
      <c r="AO188" s="82">
        <v>560447.07627251372</v>
      </c>
      <c r="AP188" s="82">
        <v>718146.16050291038</v>
      </c>
      <c r="AQ188" s="82">
        <v>157699.08423039666</v>
      </c>
      <c r="AR188" s="129">
        <v>0.28138086700217979</v>
      </c>
    </row>
    <row r="189" spans="1:44" ht="28.8" x14ac:dyDescent="0.3">
      <c r="A189" s="136" t="s">
        <v>356</v>
      </c>
      <c r="B189" s="137" t="s">
        <v>4972</v>
      </c>
      <c r="C189" s="134">
        <v>2019</v>
      </c>
      <c r="D189" s="149" t="s">
        <v>4943</v>
      </c>
      <c r="E189" s="135" t="s">
        <v>1140</v>
      </c>
      <c r="F189" s="384" t="s">
        <v>355</v>
      </c>
      <c r="G189" s="138" t="s">
        <v>4773</v>
      </c>
      <c r="H189" s="138" t="s">
        <v>2996</v>
      </c>
      <c r="I189" s="138" t="s">
        <v>1566</v>
      </c>
      <c r="J189" s="135" t="s">
        <v>4778</v>
      </c>
      <c r="K189" s="164">
        <v>2082428891</v>
      </c>
      <c r="L189" s="165">
        <v>924717983</v>
      </c>
      <c r="M189" s="165">
        <v>613508948</v>
      </c>
      <c r="N189" s="165">
        <v>51642820</v>
      </c>
      <c r="O189" s="165">
        <v>357728178</v>
      </c>
      <c r="P189" s="165">
        <v>97844264</v>
      </c>
      <c r="Q189" s="165">
        <v>2479274</v>
      </c>
      <c r="R189" s="165">
        <v>904.83333333333337</v>
      </c>
      <c r="S189" s="165">
        <v>1053896496</v>
      </c>
      <c r="T189" s="165">
        <v>1164741.0160250505</v>
      </c>
      <c r="U189" s="166">
        <v>544201960</v>
      </c>
      <c r="V189" s="168">
        <v>2510343575</v>
      </c>
      <c r="W189" s="165">
        <v>1344963745</v>
      </c>
      <c r="X189" s="165">
        <v>568077793</v>
      </c>
      <c r="Y189" s="165">
        <v>42691708</v>
      </c>
      <c r="Z189" s="165">
        <v>366806837.20000005</v>
      </c>
      <c r="AA189" s="165">
        <v>101232276.11000001</v>
      </c>
      <c r="AB189" s="165">
        <v>2336847</v>
      </c>
      <c r="AC189" s="165">
        <v>768.16666666666663</v>
      </c>
      <c r="AD189" s="165">
        <v>1110369705.3099999</v>
      </c>
      <c r="AE189" s="165">
        <v>1445480.19784335</v>
      </c>
      <c r="AF189" s="166">
        <v>597302037</v>
      </c>
      <c r="AG189" s="11">
        <v>56473209.309999943</v>
      </c>
      <c r="AH189" s="12">
        <v>-136.66666666666674</v>
      </c>
      <c r="AI189" s="132">
        <v>1</v>
      </c>
      <c r="AJ189" s="132">
        <v>1</v>
      </c>
      <c r="AK189" s="13">
        <v>0.15</v>
      </c>
      <c r="AL189" s="13">
        <v>0.24103141829760566</v>
      </c>
      <c r="AM189" s="14">
        <v>1</v>
      </c>
      <c r="AN189" s="14">
        <v>0</v>
      </c>
      <c r="AO189" s="82">
        <v>395352.56363971264</v>
      </c>
      <c r="AP189" s="82">
        <v>477509.4430896074</v>
      </c>
      <c r="AQ189" s="82">
        <v>82156.879449894768</v>
      </c>
      <c r="AR189" s="129">
        <v>0.20780661871403683</v>
      </c>
    </row>
    <row r="190" spans="1:44" ht="43.2" x14ac:dyDescent="0.3">
      <c r="A190" s="136" t="s">
        <v>357</v>
      </c>
      <c r="B190" s="137" t="s">
        <v>4973</v>
      </c>
      <c r="C190" s="134">
        <v>2018</v>
      </c>
      <c r="D190" s="149" t="s">
        <v>4943</v>
      </c>
      <c r="E190" s="135" t="s">
        <v>1140</v>
      </c>
      <c r="F190" s="384" t="s">
        <v>355</v>
      </c>
      <c r="G190" s="138" t="s">
        <v>4773</v>
      </c>
      <c r="H190" s="138" t="s">
        <v>3042</v>
      </c>
      <c r="I190" s="138" t="s">
        <v>1566</v>
      </c>
      <c r="J190" s="135" t="s">
        <v>4774</v>
      </c>
      <c r="K190" s="164">
        <v>499719000</v>
      </c>
      <c r="L190" s="165">
        <v>389093240</v>
      </c>
      <c r="M190" s="165">
        <v>173490040</v>
      </c>
      <c r="N190" s="165">
        <v>16029710</v>
      </c>
      <c r="O190" s="165">
        <v>131996730.00000001</v>
      </c>
      <c r="P190" s="165">
        <v>34135758.960000001</v>
      </c>
      <c r="Q190" s="165">
        <v>1339266</v>
      </c>
      <c r="R190" s="165">
        <v>278.5</v>
      </c>
      <c r="S190" s="165">
        <v>120637184.96000001</v>
      </c>
      <c r="T190" s="165">
        <v>433167.63001795334</v>
      </c>
      <c r="U190" s="166">
        <v>-62864280</v>
      </c>
      <c r="V190" s="168">
        <v>614694765</v>
      </c>
      <c r="W190" s="165">
        <v>371870005</v>
      </c>
      <c r="X190" s="165">
        <v>223488430</v>
      </c>
      <c r="Y190" s="165">
        <v>15579088</v>
      </c>
      <c r="Z190" s="165">
        <v>152006715</v>
      </c>
      <c r="AA190" s="165">
        <v>28807349</v>
      </c>
      <c r="AB190" s="165">
        <v>0</v>
      </c>
      <c r="AC190" s="165">
        <v>439.91666666666669</v>
      </c>
      <c r="AD190" s="165">
        <v>215729482</v>
      </c>
      <c r="AE190" s="165">
        <v>490387.15362758096</v>
      </c>
      <c r="AF190" s="166">
        <v>19336330</v>
      </c>
      <c r="AG190" s="11">
        <v>95092297.039999992</v>
      </c>
      <c r="AH190" s="12">
        <v>161.41666666666669</v>
      </c>
      <c r="AI190" s="132">
        <v>0</v>
      </c>
      <c r="AJ190" s="132">
        <v>0</v>
      </c>
      <c r="AK190" s="13">
        <v>0.3</v>
      </c>
      <c r="AL190" s="13">
        <v>0.13209555847928889</v>
      </c>
      <c r="AM190" s="14">
        <v>0</v>
      </c>
      <c r="AN190" s="14">
        <v>-1</v>
      </c>
      <c r="AO190" s="82">
        <v>473955.94254937168</v>
      </c>
      <c r="AP190" s="82">
        <v>345535.24910020834</v>
      </c>
      <c r="AQ190" s="82">
        <v>-128420.69344916334</v>
      </c>
      <c r="AR190" s="129">
        <v>-0.27095491778919056</v>
      </c>
    </row>
    <row r="191" spans="1:44" ht="28.8" x14ac:dyDescent="0.3">
      <c r="A191" s="136" t="s">
        <v>358</v>
      </c>
      <c r="B191" s="137" t="s">
        <v>4974</v>
      </c>
      <c r="C191" s="134">
        <v>2019</v>
      </c>
      <c r="D191" s="149" t="s">
        <v>4943</v>
      </c>
      <c r="E191" s="135" t="s">
        <v>1140</v>
      </c>
      <c r="F191" s="384" t="s">
        <v>355</v>
      </c>
      <c r="G191" s="138" t="s">
        <v>4773</v>
      </c>
      <c r="H191" s="138" t="s">
        <v>3501</v>
      </c>
      <c r="I191" s="138" t="s">
        <v>1566</v>
      </c>
      <c r="J191" s="135" t="s">
        <v>4778</v>
      </c>
      <c r="K191" s="164">
        <v>966471610</v>
      </c>
      <c r="L191" s="165">
        <v>581904125</v>
      </c>
      <c r="M191" s="165">
        <v>322186598</v>
      </c>
      <c r="N191" s="165">
        <v>15251114</v>
      </c>
      <c r="O191" s="165">
        <v>226529367</v>
      </c>
      <c r="P191" s="165">
        <v>60907352</v>
      </c>
      <c r="Q191" s="165">
        <v>372751</v>
      </c>
      <c r="R191" s="165">
        <v>363.58333333333331</v>
      </c>
      <c r="S191" s="165">
        <v>365441471</v>
      </c>
      <c r="T191" s="165">
        <v>1005110.6238826496</v>
      </c>
      <c r="U191" s="166">
        <v>62380887</v>
      </c>
      <c r="V191" s="168">
        <v>1614023564</v>
      </c>
      <c r="W191" s="165">
        <v>985375467</v>
      </c>
      <c r="X191" s="165">
        <v>457272600</v>
      </c>
      <c r="Y191" s="165">
        <v>24466710</v>
      </c>
      <c r="Z191" s="165">
        <v>298913924</v>
      </c>
      <c r="AA191" s="165">
        <v>79387455</v>
      </c>
      <c r="AB191" s="165">
        <v>662908</v>
      </c>
      <c r="AC191" s="165">
        <v>402.83333333333331</v>
      </c>
      <c r="AD191" s="165">
        <v>574806494</v>
      </c>
      <c r="AE191" s="165">
        <v>1426908.9631774928</v>
      </c>
      <c r="AF191" s="166">
        <v>171375497</v>
      </c>
      <c r="AG191" s="11">
        <v>209365023</v>
      </c>
      <c r="AH191" s="12">
        <v>39.25</v>
      </c>
      <c r="AI191" s="132">
        <v>1</v>
      </c>
      <c r="AJ191" s="132">
        <v>0</v>
      </c>
      <c r="AK191" s="13">
        <v>0.15</v>
      </c>
      <c r="AL191" s="13">
        <v>0.41965364966494922</v>
      </c>
      <c r="AM191" s="14">
        <v>1</v>
      </c>
      <c r="AN191" s="14">
        <v>0</v>
      </c>
      <c r="AO191" s="82">
        <v>623046.62021544809</v>
      </c>
      <c r="AP191" s="82">
        <v>742028.77285891608</v>
      </c>
      <c r="AQ191" s="82">
        <v>118982.152643468</v>
      </c>
      <c r="AR191" s="129">
        <v>0.19096829801006576</v>
      </c>
    </row>
    <row r="192" spans="1:44" ht="28.8" x14ac:dyDescent="0.3">
      <c r="A192" s="136" t="s">
        <v>359</v>
      </c>
      <c r="B192" s="137" t="s">
        <v>4975</v>
      </c>
      <c r="C192" s="134">
        <v>2018</v>
      </c>
      <c r="D192" s="149" t="s">
        <v>4943</v>
      </c>
      <c r="E192" s="135" t="s">
        <v>1140</v>
      </c>
      <c r="F192" s="384" t="s">
        <v>355</v>
      </c>
      <c r="G192" s="138" t="s">
        <v>4773</v>
      </c>
      <c r="H192" s="138" t="s">
        <v>3028</v>
      </c>
      <c r="I192" s="138" t="s">
        <v>1566</v>
      </c>
      <c r="J192" s="135" t="s">
        <v>4778</v>
      </c>
      <c r="K192" s="164">
        <v>1635089000</v>
      </c>
      <c r="L192" s="165">
        <v>974444220</v>
      </c>
      <c r="M192" s="165">
        <v>277020280</v>
      </c>
      <c r="N192" s="165">
        <v>15265910</v>
      </c>
      <c r="O192" s="165">
        <v>126887890</v>
      </c>
      <c r="P192" s="165">
        <v>34562084.719999999</v>
      </c>
      <c r="Q192" s="165">
        <v>6003030</v>
      </c>
      <c r="R192" s="165">
        <v>280.66666666666663</v>
      </c>
      <c r="S192" s="165">
        <v>566343414.72000003</v>
      </c>
      <c r="T192" s="165">
        <v>2017850.6462707843</v>
      </c>
      <c r="U192" s="166">
        <v>383624500</v>
      </c>
      <c r="V192" s="168">
        <v>2359277219</v>
      </c>
      <c r="W192" s="165">
        <v>1298495963</v>
      </c>
      <c r="X192" s="165">
        <v>570929794</v>
      </c>
      <c r="Y192" s="165">
        <v>17347385</v>
      </c>
      <c r="Z192" s="165">
        <v>211969373</v>
      </c>
      <c r="AA192" s="165">
        <v>59877635</v>
      </c>
      <c r="AB192" s="165">
        <v>6749767</v>
      </c>
      <c r="AC192" s="165">
        <v>375.41666666666669</v>
      </c>
      <c r="AD192" s="165">
        <v>785795622</v>
      </c>
      <c r="AE192" s="165">
        <v>2093129.2927857935</v>
      </c>
      <c r="AF192" s="166">
        <v>489851462</v>
      </c>
      <c r="AG192" s="11">
        <v>219452207.27999997</v>
      </c>
      <c r="AH192" s="12">
        <v>94.750000000000057</v>
      </c>
      <c r="AI192" s="132">
        <v>0</v>
      </c>
      <c r="AJ192" s="132">
        <v>0</v>
      </c>
      <c r="AK192" s="13">
        <v>0.3</v>
      </c>
      <c r="AL192" s="13">
        <v>3.7306348713171733E-2</v>
      </c>
      <c r="AM192" s="14">
        <v>0</v>
      </c>
      <c r="AN192" s="14">
        <v>-1</v>
      </c>
      <c r="AO192" s="82">
        <v>452094.6199524941</v>
      </c>
      <c r="AP192" s="82">
        <v>564624.30099889007</v>
      </c>
      <c r="AQ192" s="82">
        <v>112529.68104639597</v>
      </c>
      <c r="AR192" s="129">
        <v>0.24890736602488328</v>
      </c>
    </row>
    <row r="193" spans="1:44" ht="43.2" x14ac:dyDescent="0.3">
      <c r="A193" s="136" t="s">
        <v>360</v>
      </c>
      <c r="B193" s="137" t="s">
        <v>4976</v>
      </c>
      <c r="C193" s="134">
        <v>2019</v>
      </c>
      <c r="D193" s="149" t="s">
        <v>4943</v>
      </c>
      <c r="E193" s="135" t="s">
        <v>1140</v>
      </c>
      <c r="F193" s="384" t="s">
        <v>355</v>
      </c>
      <c r="G193" s="138" t="s">
        <v>4773</v>
      </c>
      <c r="H193" s="138" t="s">
        <v>2975</v>
      </c>
      <c r="I193" s="138" t="s">
        <v>1566</v>
      </c>
      <c r="J193" s="135" t="s">
        <v>4778</v>
      </c>
      <c r="K193" s="164">
        <v>936088358</v>
      </c>
      <c r="L193" s="165">
        <v>719187115</v>
      </c>
      <c r="M193" s="165">
        <v>121060665</v>
      </c>
      <c r="N193" s="165">
        <v>8781998</v>
      </c>
      <c r="O193" s="165">
        <v>136294803</v>
      </c>
      <c r="P193" s="165">
        <v>40918995</v>
      </c>
      <c r="Q193" s="165">
        <v>568222</v>
      </c>
      <c r="R193" s="165">
        <v>272.58333333333331</v>
      </c>
      <c r="S193" s="165">
        <v>282404596</v>
      </c>
      <c r="T193" s="165">
        <v>1036030.3124426781</v>
      </c>
      <c r="U193" s="166">
        <v>95840578</v>
      </c>
      <c r="V193" s="168">
        <v>829710852</v>
      </c>
      <c r="W193" s="165">
        <v>723161099</v>
      </c>
      <c r="X193" s="165">
        <v>86216236</v>
      </c>
      <c r="Y193" s="165">
        <v>9547487</v>
      </c>
      <c r="Z193" s="165">
        <v>152988521</v>
      </c>
      <c r="AA193" s="165">
        <v>28969027</v>
      </c>
      <c r="AB193" s="165">
        <v>0</v>
      </c>
      <c r="AC193" s="165">
        <v>258.25</v>
      </c>
      <c r="AD193" s="165">
        <v>211838552</v>
      </c>
      <c r="AE193" s="165">
        <v>820284.8092933204</v>
      </c>
      <c r="AF193" s="166">
        <v>20333517</v>
      </c>
      <c r="AG193" s="11">
        <v>-70566044</v>
      </c>
      <c r="AH193" s="12">
        <v>-14.333333333333314</v>
      </c>
      <c r="AI193" s="132">
        <v>0</v>
      </c>
      <c r="AJ193" s="132">
        <v>1</v>
      </c>
      <c r="AK193" s="13">
        <v>0.15</v>
      </c>
      <c r="AL193" s="13">
        <v>-0.20824245962456445</v>
      </c>
      <c r="AM193" s="14">
        <v>0</v>
      </c>
      <c r="AN193" s="14">
        <v>-1</v>
      </c>
      <c r="AO193" s="82">
        <v>500011.50596147968</v>
      </c>
      <c r="AP193" s="82">
        <v>592404.72797676665</v>
      </c>
      <c r="AQ193" s="82">
        <v>92393.22201528697</v>
      </c>
      <c r="AR193" s="129">
        <v>0.18478219183701117</v>
      </c>
    </row>
    <row r="194" spans="1:44" ht="28.8" x14ac:dyDescent="0.3">
      <c r="A194" s="136" t="s">
        <v>361</v>
      </c>
      <c r="B194" s="137" t="s">
        <v>4977</v>
      </c>
      <c r="C194" s="134">
        <v>2019</v>
      </c>
      <c r="D194" s="149" t="s">
        <v>4943</v>
      </c>
      <c r="E194" s="135" t="s">
        <v>1140</v>
      </c>
      <c r="F194" s="384" t="s">
        <v>355</v>
      </c>
      <c r="G194" s="138" t="s">
        <v>4773</v>
      </c>
      <c r="H194" s="138" t="s">
        <v>3028</v>
      </c>
      <c r="I194" s="138" t="s">
        <v>1566</v>
      </c>
      <c r="J194" s="135" t="s">
        <v>4774</v>
      </c>
      <c r="K194" s="164">
        <v>1555814716</v>
      </c>
      <c r="L194" s="165">
        <v>1019311695</v>
      </c>
      <c r="M194" s="165">
        <v>278702174</v>
      </c>
      <c r="N194" s="165">
        <v>26208579</v>
      </c>
      <c r="O194" s="165">
        <v>165297941</v>
      </c>
      <c r="P194" s="165">
        <v>119193979</v>
      </c>
      <c r="Q194" s="165">
        <v>12158526</v>
      </c>
      <c r="R194" s="165">
        <v>319.75</v>
      </c>
      <c r="S194" s="165">
        <v>580659872</v>
      </c>
      <c r="T194" s="165">
        <v>1815980.835027365</v>
      </c>
      <c r="U194" s="166">
        <v>257800847</v>
      </c>
      <c r="V194" s="168">
        <v>1780565079</v>
      </c>
      <c r="W194" s="165">
        <v>1175932690</v>
      </c>
      <c r="X194" s="165">
        <v>276237824</v>
      </c>
      <c r="Y194" s="165">
        <v>24072350</v>
      </c>
      <c r="Z194" s="165">
        <v>154695505.45000002</v>
      </c>
      <c r="AA194" s="165">
        <v>46431586</v>
      </c>
      <c r="AB194" s="165">
        <v>11070238</v>
      </c>
      <c r="AC194" s="165">
        <v>325.33333333333331</v>
      </c>
      <c r="AD194" s="165">
        <v>564664244.45000005</v>
      </c>
      <c r="AE194" s="165">
        <v>1735648.2923668036</v>
      </c>
      <c r="AF194" s="166">
        <v>328394565</v>
      </c>
      <c r="AG194" s="11">
        <v>-15995627.549999952</v>
      </c>
      <c r="AH194" s="12">
        <v>5.5833333333333144</v>
      </c>
      <c r="AI194" s="132">
        <v>0</v>
      </c>
      <c r="AJ194" s="132">
        <v>1</v>
      </c>
      <c r="AK194" s="13">
        <v>0.15</v>
      </c>
      <c r="AL194" s="13">
        <v>-4.4236452406623439E-2</v>
      </c>
      <c r="AM194" s="14">
        <v>0</v>
      </c>
      <c r="AN194" s="14">
        <v>-1</v>
      </c>
      <c r="AO194" s="82">
        <v>516959.94057857699</v>
      </c>
      <c r="AP194" s="82">
        <v>475498.47986680333</v>
      </c>
      <c r="AQ194" s="82">
        <v>-41461.46071177366</v>
      </c>
      <c r="AR194" s="129">
        <v>-8.0202463396622847E-2</v>
      </c>
    </row>
    <row r="195" spans="1:44" ht="28.8" x14ac:dyDescent="0.3">
      <c r="A195" s="136" t="s">
        <v>362</v>
      </c>
      <c r="B195" s="137" t="s">
        <v>4978</v>
      </c>
      <c r="C195" s="134">
        <v>2019</v>
      </c>
      <c r="D195" s="149" t="s">
        <v>4943</v>
      </c>
      <c r="E195" s="135" t="s">
        <v>1140</v>
      </c>
      <c r="F195" s="384" t="s">
        <v>355</v>
      </c>
      <c r="G195" s="138" t="s">
        <v>4773</v>
      </c>
      <c r="H195" s="138" t="s">
        <v>3028</v>
      </c>
      <c r="I195" s="138" t="s">
        <v>1566</v>
      </c>
      <c r="J195" s="135" t="s">
        <v>4774</v>
      </c>
      <c r="K195" s="164">
        <v>1259692974</v>
      </c>
      <c r="L195" s="165">
        <v>666203047</v>
      </c>
      <c r="M195" s="165">
        <v>368673464</v>
      </c>
      <c r="N195" s="165">
        <v>4858475</v>
      </c>
      <c r="O195" s="165">
        <v>90929421</v>
      </c>
      <c r="P195" s="165">
        <v>27324759</v>
      </c>
      <c r="Q195" s="165">
        <v>679854</v>
      </c>
      <c r="R195" s="165">
        <v>241.66666666666666</v>
      </c>
      <c r="S195" s="165">
        <v>348608972</v>
      </c>
      <c r="T195" s="165">
        <v>1442519.884137931</v>
      </c>
      <c r="U195" s="166">
        <v>224816463</v>
      </c>
      <c r="V195" s="168">
        <v>1528309951</v>
      </c>
      <c r="W195" s="165">
        <v>846244004</v>
      </c>
      <c r="X195" s="165">
        <v>443706340</v>
      </c>
      <c r="Y195" s="165">
        <v>6164212</v>
      </c>
      <c r="Z195" s="165">
        <v>53584530</v>
      </c>
      <c r="AA195" s="165">
        <v>16895778</v>
      </c>
      <c r="AB195" s="165">
        <v>568875</v>
      </c>
      <c r="AC195" s="165">
        <v>268.08333333333331</v>
      </c>
      <c r="AD195" s="165">
        <v>315573002</v>
      </c>
      <c r="AE195" s="165">
        <v>1177145.1737643769</v>
      </c>
      <c r="AF195" s="166">
        <v>238359607</v>
      </c>
      <c r="AG195" s="11">
        <v>-33035970</v>
      </c>
      <c r="AH195" s="12">
        <v>26.416666666666657</v>
      </c>
      <c r="AI195" s="132">
        <v>0</v>
      </c>
      <c r="AJ195" s="132">
        <v>0</v>
      </c>
      <c r="AK195" s="13">
        <v>0.15</v>
      </c>
      <c r="AL195" s="13">
        <v>-0.18396606776746816</v>
      </c>
      <c r="AM195" s="14">
        <v>0</v>
      </c>
      <c r="AN195" s="14">
        <v>-1</v>
      </c>
      <c r="AO195" s="82">
        <v>376259.67310344829</v>
      </c>
      <c r="AP195" s="82">
        <v>199880.12433944672</v>
      </c>
      <c r="AQ195" s="82">
        <v>-176379.54876400158</v>
      </c>
      <c r="AR195" s="129">
        <v>-0.46877080211438982</v>
      </c>
    </row>
    <row r="196" spans="1:44" ht="28.8" x14ac:dyDescent="0.3">
      <c r="A196" s="136" t="s">
        <v>363</v>
      </c>
      <c r="B196" s="137" t="s">
        <v>4979</v>
      </c>
      <c r="C196" s="134">
        <v>2020</v>
      </c>
      <c r="D196" s="149" t="s">
        <v>1120</v>
      </c>
      <c r="E196" s="135" t="s">
        <v>1117</v>
      </c>
      <c r="F196" s="384" t="s">
        <v>364</v>
      </c>
      <c r="G196" s="138" t="s">
        <v>4773</v>
      </c>
      <c r="H196" s="138" t="s">
        <v>4304</v>
      </c>
      <c r="I196" s="138" t="s">
        <v>4255</v>
      </c>
      <c r="J196" s="135" t="s">
        <v>4778</v>
      </c>
      <c r="K196" s="164">
        <v>512218098</v>
      </c>
      <c r="L196" s="165">
        <v>468902487</v>
      </c>
      <c r="M196" s="165">
        <v>238550811</v>
      </c>
      <c r="N196" s="165">
        <v>36183868</v>
      </c>
      <c r="O196" s="165">
        <v>289669912</v>
      </c>
      <c r="P196" s="165">
        <v>86865811</v>
      </c>
      <c r="Q196" s="165">
        <v>672000</v>
      </c>
      <c r="R196" s="165">
        <v>1114.1666666666667</v>
      </c>
      <c r="S196" s="165">
        <v>218156391</v>
      </c>
      <c r="T196" s="165">
        <v>195802.29558713536</v>
      </c>
      <c r="U196" s="166">
        <v>-195235200</v>
      </c>
      <c r="V196" s="168">
        <v>502749074</v>
      </c>
      <c r="W196" s="165">
        <v>348447980</v>
      </c>
      <c r="X196" s="165">
        <v>266282226</v>
      </c>
      <c r="Y196" s="165">
        <v>22657124</v>
      </c>
      <c r="Z196" s="165">
        <v>266558124.74999988</v>
      </c>
      <c r="AA196" s="165">
        <v>80456916.899999991</v>
      </c>
      <c r="AB196" s="165">
        <v>618486</v>
      </c>
      <c r="AC196" s="165">
        <v>981.66666666666663</v>
      </c>
      <c r="AD196" s="165">
        <v>258309519.64999986</v>
      </c>
      <c r="AE196" s="165">
        <v>263133.63631578936</v>
      </c>
      <c r="AF196" s="166">
        <v>-111981132</v>
      </c>
      <c r="AG196" s="11">
        <v>40153128.649999857</v>
      </c>
      <c r="AH196" s="12">
        <v>-132.50000000000011</v>
      </c>
      <c r="AI196" s="132">
        <v>1</v>
      </c>
      <c r="AJ196" s="132">
        <v>1</v>
      </c>
      <c r="AK196" s="13">
        <v>0.1</v>
      </c>
      <c r="AL196" s="13">
        <v>0.3438741015810336</v>
      </c>
      <c r="AM196" s="14">
        <v>1</v>
      </c>
      <c r="AN196" s="14">
        <v>0</v>
      </c>
      <c r="AO196" s="82">
        <v>259987.95392670156</v>
      </c>
      <c r="AP196" s="82">
        <v>271536.29006791161</v>
      </c>
      <c r="AQ196" s="82">
        <v>11548.336141210049</v>
      </c>
      <c r="AR196" s="129">
        <v>4.4418735432895762E-2</v>
      </c>
    </row>
    <row r="197" spans="1:44" ht="43.2" x14ac:dyDescent="0.3">
      <c r="A197" s="136" t="s">
        <v>365</v>
      </c>
      <c r="B197" s="137" t="s">
        <v>4980</v>
      </c>
      <c r="C197" s="134">
        <v>2020</v>
      </c>
      <c r="D197" s="149" t="s">
        <v>1120</v>
      </c>
      <c r="E197" s="135" t="s">
        <v>1117</v>
      </c>
      <c r="F197" s="384" t="s">
        <v>364</v>
      </c>
      <c r="G197" s="138" t="s">
        <v>4773</v>
      </c>
      <c r="H197" s="138" t="s">
        <v>2727</v>
      </c>
      <c r="I197" s="138" t="s">
        <v>1566</v>
      </c>
      <c r="J197" s="135" t="s">
        <v>4778</v>
      </c>
      <c r="K197" s="164">
        <v>706375926</v>
      </c>
      <c r="L197" s="165">
        <v>561466386</v>
      </c>
      <c r="M197" s="165">
        <v>52800638</v>
      </c>
      <c r="N197" s="165">
        <v>31479051</v>
      </c>
      <c r="O197" s="165">
        <v>67247596.609999999</v>
      </c>
      <c r="P197" s="165">
        <v>13940207.85</v>
      </c>
      <c r="Q197" s="165">
        <v>2450945</v>
      </c>
      <c r="R197" s="165">
        <v>154.41666666666666</v>
      </c>
      <c r="S197" s="165">
        <v>207226702.46000001</v>
      </c>
      <c r="T197" s="165">
        <v>1341996.9938046413</v>
      </c>
      <c r="U197" s="166">
        <v>92108902</v>
      </c>
      <c r="V197" s="168">
        <v>924062160</v>
      </c>
      <c r="W197" s="165">
        <v>793160771</v>
      </c>
      <c r="X197" s="165">
        <v>3699130</v>
      </c>
      <c r="Y197" s="165">
        <v>43775676</v>
      </c>
      <c r="Z197" s="165">
        <v>137061689.99000001</v>
      </c>
      <c r="AA197" s="165">
        <v>25861189.120000001</v>
      </c>
      <c r="AB197" s="165">
        <v>4614011</v>
      </c>
      <c r="AC197" s="165">
        <v>234.33333333333334</v>
      </c>
      <c r="AD197" s="165">
        <v>338514825.11000001</v>
      </c>
      <c r="AE197" s="165">
        <v>1444586.7358890469</v>
      </c>
      <c r="AF197" s="166">
        <v>127202259</v>
      </c>
      <c r="AG197" s="11">
        <v>131288122.65000001</v>
      </c>
      <c r="AH197" s="12">
        <v>79.916666666666686</v>
      </c>
      <c r="AI197" s="132">
        <v>0</v>
      </c>
      <c r="AJ197" s="132">
        <v>1</v>
      </c>
      <c r="AK197" s="13">
        <v>0.1</v>
      </c>
      <c r="AL197" s="13">
        <v>7.6445588749047833E-2</v>
      </c>
      <c r="AM197" s="14">
        <v>0</v>
      </c>
      <c r="AN197" s="14">
        <v>-1</v>
      </c>
      <c r="AO197" s="82">
        <v>435494.41949271451</v>
      </c>
      <c r="AP197" s="82">
        <v>584900.52627311519</v>
      </c>
      <c r="AQ197" s="82">
        <v>149406.10678040067</v>
      </c>
      <c r="AR197" s="129">
        <v>0.34307237955984915</v>
      </c>
    </row>
    <row r="198" spans="1:44" ht="28.8" x14ac:dyDescent="0.3">
      <c r="A198" s="136" t="s">
        <v>366</v>
      </c>
      <c r="B198" s="137" t="s">
        <v>4981</v>
      </c>
      <c r="C198" s="134">
        <v>2020</v>
      </c>
      <c r="D198" s="149" t="s">
        <v>4859</v>
      </c>
      <c r="E198" s="135" t="s">
        <v>1131</v>
      </c>
      <c r="F198" s="384" t="s">
        <v>367</v>
      </c>
      <c r="G198" s="138" t="s">
        <v>4773</v>
      </c>
      <c r="H198" s="138" t="s">
        <v>1573</v>
      </c>
      <c r="I198" s="138" t="s">
        <v>1566</v>
      </c>
      <c r="J198" s="135" t="s">
        <v>4780</v>
      </c>
      <c r="K198" s="164">
        <v>378930541</v>
      </c>
      <c r="L198" s="165">
        <v>377865379</v>
      </c>
      <c r="M198" s="165">
        <v>285071688</v>
      </c>
      <c r="N198" s="165">
        <v>43367913</v>
      </c>
      <c r="O198" s="165">
        <v>124146797.93000001</v>
      </c>
      <c r="P198" s="165">
        <v>35104701.899999999</v>
      </c>
      <c r="Q198" s="165">
        <v>0</v>
      </c>
      <c r="R198" s="165">
        <v>152</v>
      </c>
      <c r="S198" s="165">
        <v>-81387113.169999987</v>
      </c>
      <c r="T198" s="165">
        <v>-535441.53401315783</v>
      </c>
      <c r="U198" s="166">
        <v>-284006526</v>
      </c>
      <c r="V198" s="168">
        <v>416544336</v>
      </c>
      <c r="W198" s="165">
        <v>393577637</v>
      </c>
      <c r="X198" s="165">
        <v>270809574</v>
      </c>
      <c r="Y198" s="165">
        <v>32842248</v>
      </c>
      <c r="Z198" s="165">
        <v>139801176.63</v>
      </c>
      <c r="AA198" s="165">
        <v>39338072.909999996</v>
      </c>
      <c r="AB198" s="165">
        <v>0</v>
      </c>
      <c r="AC198" s="165">
        <v>150.16666666666666</v>
      </c>
      <c r="AD198" s="165">
        <v>-35861377.460000008</v>
      </c>
      <c r="AE198" s="165">
        <v>-238810.50472807998</v>
      </c>
      <c r="AF198" s="166">
        <v>-247842875</v>
      </c>
      <c r="AG198" s="11">
        <v>45525735.709999979</v>
      </c>
      <c r="AH198" s="12">
        <v>-1.8333333333333428</v>
      </c>
      <c r="AI198" s="132">
        <v>0</v>
      </c>
      <c r="AJ198" s="132">
        <v>0</v>
      </c>
      <c r="AK198" s="13">
        <v>0.1</v>
      </c>
      <c r="AL198" s="13">
        <v>0.55399331837409027</v>
      </c>
      <c r="AM198" s="14">
        <v>1</v>
      </c>
      <c r="AN198" s="14">
        <v>0</v>
      </c>
      <c r="AO198" s="82">
        <v>816755.24953947368</v>
      </c>
      <c r="AP198" s="82">
        <v>930973.42927857942</v>
      </c>
      <c r="AQ198" s="82">
        <v>114218.17973910575</v>
      </c>
      <c r="AR198" s="129">
        <v>0.13984382690347874</v>
      </c>
    </row>
    <row r="199" spans="1:44" ht="43.2" x14ac:dyDescent="0.3">
      <c r="A199" s="136" t="s">
        <v>368</v>
      </c>
      <c r="B199" s="137" t="s">
        <v>4982</v>
      </c>
      <c r="C199" s="134">
        <v>2018</v>
      </c>
      <c r="D199" s="149" t="s">
        <v>1159</v>
      </c>
      <c r="E199" s="135" t="s">
        <v>1152</v>
      </c>
      <c r="F199" s="384" t="s">
        <v>367</v>
      </c>
      <c r="G199" s="138" t="s">
        <v>4773</v>
      </c>
      <c r="H199" s="138" t="s">
        <v>2256</v>
      </c>
      <c r="I199" s="138" t="s">
        <v>1566</v>
      </c>
      <c r="J199" s="135" t="s">
        <v>4774</v>
      </c>
      <c r="K199" s="164">
        <v>1962563000</v>
      </c>
      <c r="L199" s="165">
        <v>1106724000</v>
      </c>
      <c r="M199" s="165">
        <v>820935000</v>
      </c>
      <c r="N199" s="165">
        <v>240234000</v>
      </c>
      <c r="O199" s="165">
        <v>132184000</v>
      </c>
      <c r="P199" s="165">
        <v>35921000</v>
      </c>
      <c r="Q199" s="165">
        <v>3683500</v>
      </c>
      <c r="R199" s="165">
        <v>253.91666666666663</v>
      </c>
      <c r="S199" s="165">
        <v>446926500</v>
      </c>
      <c r="T199" s="165">
        <v>1760130.6202822451</v>
      </c>
      <c r="U199" s="166">
        <v>34904000</v>
      </c>
      <c r="V199" s="168">
        <v>7455048715</v>
      </c>
      <c r="W199" s="165">
        <v>4448818911</v>
      </c>
      <c r="X199" s="165">
        <v>1523935284</v>
      </c>
      <c r="Y199" s="165">
        <v>592315010</v>
      </c>
      <c r="Z199" s="165">
        <v>358600128</v>
      </c>
      <c r="AA199" s="165">
        <v>104586773</v>
      </c>
      <c r="AB199" s="165">
        <v>7873361</v>
      </c>
      <c r="AC199" s="165">
        <v>485.08333333333331</v>
      </c>
      <c r="AD199" s="165">
        <v>2545669792</v>
      </c>
      <c r="AE199" s="165">
        <v>5247901.9934719121</v>
      </c>
      <c r="AF199" s="166">
        <v>1482294520</v>
      </c>
      <c r="AG199" s="11">
        <v>2098743292</v>
      </c>
      <c r="AH199" s="12">
        <v>231.16666666666669</v>
      </c>
      <c r="AI199" s="132">
        <v>1</v>
      </c>
      <c r="AJ199" s="132">
        <v>1</v>
      </c>
      <c r="AK199" s="13">
        <v>0.3</v>
      </c>
      <c r="AL199" s="13">
        <v>1.9815412165263053</v>
      </c>
      <c r="AM199" s="14">
        <v>1</v>
      </c>
      <c r="AN199" s="14">
        <v>0</v>
      </c>
      <c r="AO199" s="82">
        <v>520580.24286183139</v>
      </c>
      <c r="AP199" s="82">
        <v>739254.68751073699</v>
      </c>
      <c r="AQ199" s="82">
        <v>218674.4446489056</v>
      </c>
      <c r="AR199" s="129">
        <v>0.42005905457872816</v>
      </c>
    </row>
    <row r="200" spans="1:44" ht="43.2" x14ac:dyDescent="0.3">
      <c r="A200" s="136" t="s">
        <v>369</v>
      </c>
      <c r="B200" s="137" t="s">
        <v>4983</v>
      </c>
      <c r="C200" s="134">
        <v>2018</v>
      </c>
      <c r="D200" s="149" t="s">
        <v>1159</v>
      </c>
      <c r="E200" s="135" t="s">
        <v>1152</v>
      </c>
      <c r="F200" s="384" t="s">
        <v>367</v>
      </c>
      <c r="G200" s="138" t="s">
        <v>4773</v>
      </c>
      <c r="H200" s="138" t="s">
        <v>2524</v>
      </c>
      <c r="I200" s="138" t="s">
        <v>1566</v>
      </c>
      <c r="J200" s="135" t="s">
        <v>4778</v>
      </c>
      <c r="K200" s="164">
        <v>792553000</v>
      </c>
      <c r="L200" s="165">
        <v>444947000</v>
      </c>
      <c r="M200" s="165">
        <v>411097000</v>
      </c>
      <c r="N200" s="165">
        <v>47540000</v>
      </c>
      <c r="O200" s="165">
        <v>200003000</v>
      </c>
      <c r="P200" s="165">
        <v>52735000</v>
      </c>
      <c r="Q200" s="165">
        <v>528000</v>
      </c>
      <c r="R200" s="165">
        <v>536.75</v>
      </c>
      <c r="S200" s="165">
        <v>237315000</v>
      </c>
      <c r="T200" s="165">
        <v>442133.20912901725</v>
      </c>
      <c r="U200" s="166">
        <v>-63491000</v>
      </c>
      <c r="V200" s="168">
        <v>669838047</v>
      </c>
      <c r="W200" s="165">
        <v>360084423</v>
      </c>
      <c r="X200" s="165">
        <v>319192127</v>
      </c>
      <c r="Y200" s="165">
        <v>22455386</v>
      </c>
      <c r="Z200" s="165">
        <v>191694766</v>
      </c>
      <c r="AA200" s="165">
        <v>54591507</v>
      </c>
      <c r="AB200" s="165">
        <v>2442089</v>
      </c>
      <c r="AC200" s="165">
        <v>435.33333333333331</v>
      </c>
      <c r="AD200" s="165">
        <v>261745245</v>
      </c>
      <c r="AE200" s="165">
        <v>601252.47702909645</v>
      </c>
      <c r="AF200" s="166">
        <v>-9438503</v>
      </c>
      <c r="AG200" s="11">
        <v>24430245</v>
      </c>
      <c r="AH200" s="12">
        <v>-101.41666666666669</v>
      </c>
      <c r="AI200" s="132">
        <v>1</v>
      </c>
      <c r="AJ200" s="132">
        <v>1</v>
      </c>
      <c r="AK200" s="13">
        <v>0.3</v>
      </c>
      <c r="AL200" s="13">
        <v>0.3598898847702483</v>
      </c>
      <c r="AM200" s="14">
        <v>1</v>
      </c>
      <c r="AN200" s="14">
        <v>0</v>
      </c>
      <c r="AO200" s="82">
        <v>372618.53749417793</v>
      </c>
      <c r="AP200" s="82">
        <v>440340.1975497703</v>
      </c>
      <c r="AQ200" s="82">
        <v>67721.660055592365</v>
      </c>
      <c r="AR200" s="129">
        <v>0.18174527899501114</v>
      </c>
    </row>
    <row r="201" spans="1:44" ht="28.8" x14ac:dyDescent="0.3">
      <c r="A201" s="136" t="s">
        <v>370</v>
      </c>
      <c r="B201" s="137" t="s">
        <v>4984</v>
      </c>
      <c r="C201" s="134">
        <v>2018</v>
      </c>
      <c r="D201" s="149" t="s">
        <v>1159</v>
      </c>
      <c r="E201" s="135" t="s">
        <v>1152</v>
      </c>
      <c r="F201" s="384" t="s">
        <v>367</v>
      </c>
      <c r="G201" s="138" t="s">
        <v>4773</v>
      </c>
      <c r="H201" s="138" t="s">
        <v>2313</v>
      </c>
      <c r="I201" s="138" t="s">
        <v>1566</v>
      </c>
      <c r="J201" s="135" t="s">
        <v>4774</v>
      </c>
      <c r="K201" s="164">
        <v>6949817000</v>
      </c>
      <c r="L201" s="165">
        <v>4351254130</v>
      </c>
      <c r="M201" s="165">
        <v>1565793840</v>
      </c>
      <c r="N201" s="165">
        <v>161764400</v>
      </c>
      <c r="O201" s="165">
        <v>468042200</v>
      </c>
      <c r="P201" s="165">
        <v>113293753.69999999</v>
      </c>
      <c r="Q201" s="165">
        <v>20470600</v>
      </c>
      <c r="R201" s="165">
        <v>564</v>
      </c>
      <c r="S201" s="165">
        <v>1796339983.7</v>
      </c>
      <c r="T201" s="165">
        <v>3184999.971099291</v>
      </c>
      <c r="U201" s="166">
        <v>1032769030</v>
      </c>
      <c r="V201" s="168">
        <v>13545081387</v>
      </c>
      <c r="W201" s="165">
        <v>8186739793</v>
      </c>
      <c r="X201" s="165">
        <v>2736127994</v>
      </c>
      <c r="Y201" s="165">
        <v>205017527</v>
      </c>
      <c r="Z201" s="165">
        <v>973853006</v>
      </c>
      <c r="AA201" s="165">
        <v>238923901.55000001</v>
      </c>
      <c r="AB201" s="165">
        <v>29042845</v>
      </c>
      <c r="AC201" s="165">
        <v>724.08333333333337</v>
      </c>
      <c r="AD201" s="165">
        <v>4069050879.5500002</v>
      </c>
      <c r="AE201" s="165">
        <v>5619589.1995166298</v>
      </c>
      <c r="AF201" s="166">
        <v>2622213600</v>
      </c>
      <c r="AG201" s="11">
        <v>2272710895.8500004</v>
      </c>
      <c r="AH201" s="12">
        <v>160.08333333333337</v>
      </c>
      <c r="AI201" s="132">
        <v>1</v>
      </c>
      <c r="AJ201" s="132">
        <v>1</v>
      </c>
      <c r="AK201" s="13">
        <v>0.3</v>
      </c>
      <c r="AL201" s="13">
        <v>0.76439223011986401</v>
      </c>
      <c r="AM201" s="14">
        <v>1</v>
      </c>
      <c r="AN201" s="14">
        <v>0</v>
      </c>
      <c r="AO201" s="82">
        <v>829862.0567375886</v>
      </c>
      <c r="AP201" s="82">
        <v>1344946.0319944758</v>
      </c>
      <c r="AQ201" s="82">
        <v>515083.97525688715</v>
      </c>
      <c r="AR201" s="129">
        <v>0.62068625872813254</v>
      </c>
    </row>
    <row r="202" spans="1:44" ht="28.8" x14ac:dyDescent="0.3">
      <c r="A202" s="136" t="s">
        <v>371</v>
      </c>
      <c r="B202" s="137" t="s">
        <v>4985</v>
      </c>
      <c r="C202" s="134">
        <v>2019</v>
      </c>
      <c r="D202" s="149" t="s">
        <v>1159</v>
      </c>
      <c r="E202" s="135" t="s">
        <v>1152</v>
      </c>
      <c r="F202" s="384" t="s">
        <v>367</v>
      </c>
      <c r="G202" s="138" t="s">
        <v>4773</v>
      </c>
      <c r="H202" s="138" t="s">
        <v>1219</v>
      </c>
      <c r="I202" s="138" t="s">
        <v>1217</v>
      </c>
      <c r="J202" s="135" t="s">
        <v>4774</v>
      </c>
      <c r="K202" s="164">
        <v>1599968357</v>
      </c>
      <c r="L202" s="165">
        <v>1051355781</v>
      </c>
      <c r="M202" s="165">
        <v>0</v>
      </c>
      <c r="N202" s="165">
        <v>289331989</v>
      </c>
      <c r="O202" s="165">
        <v>161806704</v>
      </c>
      <c r="P202" s="165">
        <v>45972187</v>
      </c>
      <c r="Q202" s="165">
        <v>3667331</v>
      </c>
      <c r="R202" s="165">
        <v>335.33333333333331</v>
      </c>
      <c r="S202" s="165">
        <v>1049390787</v>
      </c>
      <c r="T202" s="165">
        <v>3129395.9850894632</v>
      </c>
      <c r="U202" s="166">
        <v>548612576</v>
      </c>
      <c r="V202" s="168">
        <v>2668272925</v>
      </c>
      <c r="W202" s="165">
        <v>1256910248</v>
      </c>
      <c r="X202" s="165">
        <v>134972711</v>
      </c>
      <c r="Y202" s="165">
        <v>210809735</v>
      </c>
      <c r="Z202" s="165">
        <v>259308476</v>
      </c>
      <c r="AA202" s="165">
        <v>76226857</v>
      </c>
      <c r="AB202" s="165">
        <v>9279072</v>
      </c>
      <c r="AC202" s="165">
        <v>435.83333333333331</v>
      </c>
      <c r="AD202" s="165">
        <v>1832014106</v>
      </c>
      <c r="AE202" s="165">
        <v>4203474.0481835566</v>
      </c>
      <c r="AF202" s="166">
        <v>1276389966</v>
      </c>
      <c r="AG202" s="11">
        <v>782623319</v>
      </c>
      <c r="AH202" s="12">
        <v>100.5</v>
      </c>
      <c r="AI202" s="132">
        <v>1</v>
      </c>
      <c r="AJ202" s="132">
        <v>1</v>
      </c>
      <c r="AK202" s="13">
        <v>0.15</v>
      </c>
      <c r="AL202" s="13">
        <v>0.34322216281743212</v>
      </c>
      <c r="AM202" s="14">
        <v>1</v>
      </c>
      <c r="AN202" s="14">
        <v>0</v>
      </c>
      <c r="AO202" s="82">
        <v>482524.9622266402</v>
      </c>
      <c r="AP202" s="82">
        <v>594971.64665391971</v>
      </c>
      <c r="AQ202" s="82">
        <v>112446.68442727951</v>
      </c>
      <c r="AR202" s="129">
        <v>0.23303806689790219</v>
      </c>
    </row>
    <row r="203" spans="1:44" ht="28.8" x14ac:dyDescent="0.3">
      <c r="A203" s="136" t="s">
        <v>372</v>
      </c>
      <c r="B203" s="137" t="s">
        <v>4986</v>
      </c>
      <c r="C203" s="134">
        <v>2019</v>
      </c>
      <c r="D203" s="149" t="s">
        <v>1141</v>
      </c>
      <c r="E203" s="135" t="s">
        <v>1140</v>
      </c>
      <c r="F203" s="384" t="s">
        <v>373</v>
      </c>
      <c r="G203" s="138" t="s">
        <v>4773</v>
      </c>
      <c r="H203" s="138" t="s">
        <v>2566</v>
      </c>
      <c r="I203" s="138" t="s">
        <v>1566</v>
      </c>
      <c r="J203" s="135" t="s">
        <v>4774</v>
      </c>
      <c r="K203" s="164">
        <v>780921220</v>
      </c>
      <c r="L203" s="165">
        <v>561511070</v>
      </c>
      <c r="M203" s="165">
        <v>69777404</v>
      </c>
      <c r="N203" s="165">
        <v>127527972</v>
      </c>
      <c r="O203" s="165">
        <v>54647678</v>
      </c>
      <c r="P203" s="165">
        <v>15245365</v>
      </c>
      <c r="Q203" s="165">
        <v>17863236</v>
      </c>
      <c r="R203" s="165">
        <v>142.83333333333334</v>
      </c>
      <c r="S203" s="165">
        <v>364916997</v>
      </c>
      <c r="T203" s="165">
        <v>2554844.7864644104</v>
      </c>
      <c r="U203" s="166">
        <v>149632746</v>
      </c>
      <c r="V203" s="168">
        <v>1104870668</v>
      </c>
      <c r="W203" s="165">
        <v>610533442</v>
      </c>
      <c r="X203" s="165">
        <v>82403029</v>
      </c>
      <c r="Y203" s="165">
        <v>57439193</v>
      </c>
      <c r="Z203" s="165">
        <v>63787221</v>
      </c>
      <c r="AA203" s="165">
        <v>20000445</v>
      </c>
      <c r="AB203" s="165">
        <v>16173027</v>
      </c>
      <c r="AC203" s="165">
        <v>136.83333333333334</v>
      </c>
      <c r="AD203" s="165">
        <v>569334083</v>
      </c>
      <c r="AE203" s="165">
        <v>4160785.0158343483</v>
      </c>
      <c r="AF203" s="166">
        <v>411934197</v>
      </c>
      <c r="AG203" s="11">
        <v>204417086</v>
      </c>
      <c r="AH203" s="12">
        <v>-6</v>
      </c>
      <c r="AI203" s="132">
        <v>1</v>
      </c>
      <c r="AJ203" s="132">
        <v>1</v>
      </c>
      <c r="AK203" s="13">
        <v>0.15</v>
      </c>
      <c r="AL203" s="13">
        <v>0.62858622030029454</v>
      </c>
      <c r="AM203" s="14">
        <v>1</v>
      </c>
      <c r="AN203" s="14">
        <v>0</v>
      </c>
      <c r="AO203" s="82">
        <v>382597.51225204195</v>
      </c>
      <c r="AP203" s="82">
        <v>466167.26674786845</v>
      </c>
      <c r="AQ203" s="82">
        <v>83569.754495826492</v>
      </c>
      <c r="AR203" s="129">
        <v>0.21842733373753265</v>
      </c>
    </row>
    <row r="204" spans="1:44" ht="28.8" x14ac:dyDescent="0.3">
      <c r="A204" s="136" t="s">
        <v>374</v>
      </c>
      <c r="B204" s="137" t="s">
        <v>1142</v>
      </c>
      <c r="C204" s="134">
        <v>2020</v>
      </c>
      <c r="D204" s="149" t="s">
        <v>1141</v>
      </c>
      <c r="E204" s="135" t="s">
        <v>1140</v>
      </c>
      <c r="F204" s="384" t="s">
        <v>373</v>
      </c>
      <c r="G204" s="138" t="s">
        <v>4787</v>
      </c>
      <c r="H204" s="138" t="s">
        <v>3463</v>
      </c>
      <c r="I204" s="138" t="s">
        <v>1566</v>
      </c>
      <c r="J204" s="135" t="s">
        <v>4774</v>
      </c>
      <c r="K204" s="164">
        <v>5347124288</v>
      </c>
      <c r="L204" s="165">
        <v>4966713391</v>
      </c>
      <c r="M204" s="165">
        <v>220915566</v>
      </c>
      <c r="N204" s="165">
        <v>8347875</v>
      </c>
      <c r="O204" s="165">
        <v>492968438</v>
      </c>
      <c r="P204" s="165">
        <v>147110858</v>
      </c>
      <c r="Q204" s="165">
        <v>143931</v>
      </c>
      <c r="R204" s="165">
        <v>2661.0833333333335</v>
      </c>
      <c r="S204" s="165">
        <v>808066433</v>
      </c>
      <c r="T204" s="165">
        <v>303660.70196974912</v>
      </c>
      <c r="U204" s="166">
        <v>159495331</v>
      </c>
      <c r="V204" s="168">
        <v>7753325477</v>
      </c>
      <c r="W204" s="165">
        <v>7300663349</v>
      </c>
      <c r="X204" s="165">
        <v>309695205</v>
      </c>
      <c r="Y204" s="165">
        <v>7571485</v>
      </c>
      <c r="Z204" s="165">
        <v>795812965.5</v>
      </c>
      <c r="AA204" s="165">
        <v>237054371</v>
      </c>
      <c r="AB204" s="165">
        <v>114391</v>
      </c>
      <c r="AC204" s="165">
        <v>3063.0833333333335</v>
      </c>
      <c r="AD204" s="165">
        <v>1183520135.5</v>
      </c>
      <c r="AE204" s="165">
        <v>386381.9578855728</v>
      </c>
      <c r="AF204" s="166">
        <v>142966923</v>
      </c>
      <c r="AG204" s="11">
        <v>375453702.5</v>
      </c>
      <c r="AH204" s="12">
        <v>402</v>
      </c>
      <c r="AI204" s="132">
        <v>1</v>
      </c>
      <c r="AJ204" s="132">
        <v>1</v>
      </c>
      <c r="AK204" s="13">
        <v>0.1</v>
      </c>
      <c r="AL204" s="13">
        <v>0.27241345356840707</v>
      </c>
      <c r="AM204" s="14">
        <v>1</v>
      </c>
      <c r="AN204" s="14">
        <v>0</v>
      </c>
      <c r="AO204" s="82">
        <v>185251.03360160335</v>
      </c>
      <c r="AP204" s="82">
        <v>259807.80765568462</v>
      </c>
      <c r="AQ204" s="82">
        <v>74556.774054081267</v>
      </c>
      <c r="AR204" s="129">
        <v>0.40246347134786498</v>
      </c>
    </row>
    <row r="205" spans="1:44" ht="28.8" x14ac:dyDescent="0.3">
      <c r="A205" s="136" t="s">
        <v>375</v>
      </c>
      <c r="B205" s="137" t="s">
        <v>4987</v>
      </c>
      <c r="C205" s="134">
        <v>2019</v>
      </c>
      <c r="D205" s="149" t="s">
        <v>1141</v>
      </c>
      <c r="E205" s="135" t="s">
        <v>1140</v>
      </c>
      <c r="F205" s="384" t="s">
        <v>373</v>
      </c>
      <c r="G205" s="138" t="s">
        <v>4773</v>
      </c>
      <c r="H205" s="138" t="s">
        <v>1219</v>
      </c>
      <c r="I205" s="138" t="s">
        <v>1217</v>
      </c>
      <c r="J205" s="135" t="s">
        <v>4778</v>
      </c>
      <c r="K205" s="164">
        <v>1585924440</v>
      </c>
      <c r="L205" s="165">
        <v>1342727798</v>
      </c>
      <c r="M205" s="165">
        <v>0</v>
      </c>
      <c r="N205" s="165">
        <v>0</v>
      </c>
      <c r="O205" s="165">
        <v>157271203</v>
      </c>
      <c r="P205" s="165">
        <v>42315611</v>
      </c>
      <c r="Q205" s="165">
        <v>0</v>
      </c>
      <c r="R205" s="165">
        <v>472.33333333333331</v>
      </c>
      <c r="S205" s="165">
        <v>442783456</v>
      </c>
      <c r="T205" s="165">
        <v>937438.5095271701</v>
      </c>
      <c r="U205" s="166">
        <v>243196642</v>
      </c>
      <c r="V205" s="168">
        <v>2093499881</v>
      </c>
      <c r="W205" s="165">
        <v>2091024665</v>
      </c>
      <c r="X205" s="165">
        <v>0</v>
      </c>
      <c r="Y205" s="165">
        <v>0</v>
      </c>
      <c r="Z205" s="165">
        <v>200556821</v>
      </c>
      <c r="AA205" s="165">
        <v>58540761</v>
      </c>
      <c r="AB205" s="165">
        <v>0</v>
      </c>
      <c r="AC205" s="165">
        <v>464.5</v>
      </c>
      <c r="AD205" s="165">
        <v>261572798</v>
      </c>
      <c r="AE205" s="165">
        <v>563127.65984930028</v>
      </c>
      <c r="AF205" s="166">
        <v>2475216</v>
      </c>
      <c r="AG205" s="11">
        <v>-181210658</v>
      </c>
      <c r="AH205" s="12">
        <v>-7.8333333333333144</v>
      </c>
      <c r="AI205" s="132">
        <v>0</v>
      </c>
      <c r="AJ205" s="132">
        <v>1</v>
      </c>
      <c r="AK205" s="13">
        <v>0.15</v>
      </c>
      <c r="AL205" s="13">
        <v>-0.39929109590345291</v>
      </c>
      <c r="AM205" s="14">
        <v>0</v>
      </c>
      <c r="AN205" s="14">
        <v>-1</v>
      </c>
      <c r="AO205" s="82">
        <v>332966.55539872975</v>
      </c>
      <c r="AP205" s="82">
        <v>431769.25941872981</v>
      </c>
      <c r="AQ205" s="82">
        <v>98802.704020000063</v>
      </c>
      <c r="AR205" s="129">
        <v>0.29673461919225841</v>
      </c>
    </row>
    <row r="206" spans="1:44" ht="43.2" x14ac:dyDescent="0.3">
      <c r="A206" s="136" t="s">
        <v>376</v>
      </c>
      <c r="B206" s="137" t="s">
        <v>4988</v>
      </c>
      <c r="C206" s="134">
        <v>2019</v>
      </c>
      <c r="D206" s="149" t="s">
        <v>1141</v>
      </c>
      <c r="E206" s="135" t="s">
        <v>1140</v>
      </c>
      <c r="F206" s="384" t="s">
        <v>373</v>
      </c>
      <c r="G206" s="138" t="s">
        <v>4773</v>
      </c>
      <c r="H206" s="138" t="s">
        <v>2908</v>
      </c>
      <c r="I206" s="138" t="s">
        <v>1566</v>
      </c>
      <c r="J206" s="135" t="s">
        <v>4778</v>
      </c>
      <c r="K206" s="164">
        <v>574752309</v>
      </c>
      <c r="L206" s="165">
        <v>290413384</v>
      </c>
      <c r="M206" s="165">
        <v>174074634</v>
      </c>
      <c r="N206" s="165">
        <v>36719822</v>
      </c>
      <c r="O206" s="165">
        <v>234762280</v>
      </c>
      <c r="P206" s="165">
        <v>61468150</v>
      </c>
      <c r="Q206" s="165">
        <v>2162485</v>
      </c>
      <c r="R206" s="165">
        <v>681.08333333333337</v>
      </c>
      <c r="S206" s="165">
        <v>445377028</v>
      </c>
      <c r="T206" s="165">
        <v>653924.42628165905</v>
      </c>
      <c r="U206" s="166">
        <v>110264291</v>
      </c>
      <c r="V206" s="168">
        <v>644827734</v>
      </c>
      <c r="W206" s="165">
        <v>323728699</v>
      </c>
      <c r="X206" s="165">
        <v>203096492</v>
      </c>
      <c r="Y206" s="165">
        <v>42232010</v>
      </c>
      <c r="Z206" s="165">
        <v>274677014</v>
      </c>
      <c r="AA206" s="165">
        <v>80618867.310000002</v>
      </c>
      <c r="AB206" s="165">
        <v>3428501</v>
      </c>
      <c r="AC206" s="165">
        <v>625.33333333333337</v>
      </c>
      <c r="AD206" s="165">
        <v>518958935.31</v>
      </c>
      <c r="AE206" s="165">
        <v>829891.68759594881</v>
      </c>
      <c r="AF206" s="166">
        <v>118002543</v>
      </c>
      <c r="AG206" s="11">
        <v>73581907.310000002</v>
      </c>
      <c r="AH206" s="12">
        <v>-55.75</v>
      </c>
      <c r="AI206" s="132">
        <v>1</v>
      </c>
      <c r="AJ206" s="132">
        <v>1</v>
      </c>
      <c r="AK206" s="13">
        <v>0.15</v>
      </c>
      <c r="AL206" s="13">
        <v>0.26909418264125695</v>
      </c>
      <c r="AM206" s="14">
        <v>1</v>
      </c>
      <c r="AN206" s="14">
        <v>0</v>
      </c>
      <c r="AO206" s="82">
        <v>344689.50936008809</v>
      </c>
      <c r="AP206" s="82">
        <v>439248.95628997864</v>
      </c>
      <c r="AQ206" s="82">
        <v>94559.446929890546</v>
      </c>
      <c r="AR206" s="129">
        <v>0.2743322449976473</v>
      </c>
    </row>
    <row r="207" spans="1:44" ht="28.8" x14ac:dyDescent="0.3">
      <c r="A207" s="136" t="s">
        <v>377</v>
      </c>
      <c r="B207" s="137" t="s">
        <v>4989</v>
      </c>
      <c r="C207" s="134">
        <v>2019</v>
      </c>
      <c r="D207" s="149" t="s">
        <v>1141</v>
      </c>
      <c r="E207" s="135" t="s">
        <v>1140</v>
      </c>
      <c r="F207" s="384" t="s">
        <v>373</v>
      </c>
      <c r="G207" s="138" t="s">
        <v>4773</v>
      </c>
      <c r="H207" s="138" t="s">
        <v>4671</v>
      </c>
      <c r="I207" s="138" t="s">
        <v>4612</v>
      </c>
      <c r="J207" s="135" t="s">
        <v>4774</v>
      </c>
      <c r="K207" s="164">
        <v>762118687</v>
      </c>
      <c r="L207" s="165">
        <v>679949248</v>
      </c>
      <c r="M207" s="165">
        <v>56146424</v>
      </c>
      <c r="N207" s="165">
        <v>3060231</v>
      </c>
      <c r="O207" s="165">
        <v>7268502</v>
      </c>
      <c r="P207" s="165">
        <v>2010613</v>
      </c>
      <c r="Q207" s="165">
        <v>0</v>
      </c>
      <c r="R207" s="165">
        <v>40.833333333333336</v>
      </c>
      <c r="S207" s="165">
        <v>38362361</v>
      </c>
      <c r="T207" s="165">
        <v>939486.39183673461</v>
      </c>
      <c r="U207" s="166">
        <v>26023015</v>
      </c>
      <c r="V207" s="168">
        <v>766863276</v>
      </c>
      <c r="W207" s="165">
        <v>701179951</v>
      </c>
      <c r="X207" s="165">
        <v>41184308</v>
      </c>
      <c r="Y207" s="165">
        <v>3399106</v>
      </c>
      <c r="Z207" s="165">
        <v>7337455.5199999996</v>
      </c>
      <c r="AA207" s="165">
        <v>1808856.57</v>
      </c>
      <c r="AB207" s="165">
        <v>0</v>
      </c>
      <c r="AC207" s="165">
        <v>38</v>
      </c>
      <c r="AD207" s="165">
        <v>37044435.089999996</v>
      </c>
      <c r="AE207" s="165">
        <v>974853.55499999993</v>
      </c>
      <c r="AF207" s="166">
        <v>24499017</v>
      </c>
      <c r="AG207" s="11">
        <v>-1317925.9100000039</v>
      </c>
      <c r="AH207" s="12">
        <v>-2.8333333333333357</v>
      </c>
      <c r="AI207" s="132">
        <v>0</v>
      </c>
      <c r="AJ207" s="132">
        <v>0</v>
      </c>
      <c r="AK207" s="13">
        <v>0.15</v>
      </c>
      <c r="AL207" s="13">
        <v>3.7645218043020234E-2</v>
      </c>
      <c r="AM207" s="14">
        <v>0</v>
      </c>
      <c r="AN207" s="14">
        <v>-1</v>
      </c>
      <c r="AO207" s="82">
        <v>178004.13061224489</v>
      </c>
      <c r="AP207" s="82">
        <v>193090.93473684209</v>
      </c>
      <c r="AQ207" s="82">
        <v>15086.804124597198</v>
      </c>
      <c r="AR207" s="129">
        <v>8.4755359736350844E-2</v>
      </c>
    </row>
    <row r="208" spans="1:44" ht="28.8" x14ac:dyDescent="0.3">
      <c r="A208" s="136" t="s">
        <v>378</v>
      </c>
      <c r="B208" s="137" t="s">
        <v>4990</v>
      </c>
      <c r="C208" s="134">
        <v>2020</v>
      </c>
      <c r="D208" s="149" t="s">
        <v>1141</v>
      </c>
      <c r="E208" s="135" t="s">
        <v>1140</v>
      </c>
      <c r="F208" s="384" t="s">
        <v>373</v>
      </c>
      <c r="G208" s="138" t="s">
        <v>4773</v>
      </c>
      <c r="H208" s="138" t="s">
        <v>4923</v>
      </c>
      <c r="I208" s="138" t="s">
        <v>4612</v>
      </c>
      <c r="J208" s="135" t="s">
        <v>4774</v>
      </c>
      <c r="K208" s="164">
        <v>1932753569</v>
      </c>
      <c r="L208" s="165">
        <v>1793296274</v>
      </c>
      <c r="M208" s="165">
        <v>67726038</v>
      </c>
      <c r="N208" s="165">
        <v>5457563</v>
      </c>
      <c r="O208" s="165">
        <v>30644884</v>
      </c>
      <c r="P208" s="165">
        <v>6356029</v>
      </c>
      <c r="Q208" s="165">
        <v>0</v>
      </c>
      <c r="R208" s="165">
        <v>61.916666666666664</v>
      </c>
      <c r="S208" s="165">
        <v>114189733</v>
      </c>
      <c r="T208" s="165">
        <v>1844248.7160161508</v>
      </c>
      <c r="U208" s="166">
        <v>71731257</v>
      </c>
      <c r="V208" s="168">
        <v>2187112545</v>
      </c>
      <c r="W208" s="165">
        <v>1949013331</v>
      </c>
      <c r="X208" s="165">
        <v>64878773</v>
      </c>
      <c r="Y208" s="165">
        <v>23420051</v>
      </c>
      <c r="Z208" s="165">
        <v>21927710</v>
      </c>
      <c r="AA208" s="165">
        <v>5210783</v>
      </c>
      <c r="AB208" s="165">
        <v>0</v>
      </c>
      <c r="AC208" s="165">
        <v>52.583333333333336</v>
      </c>
      <c r="AD208" s="165">
        <v>223778985</v>
      </c>
      <c r="AE208" s="165">
        <v>4255701.77496038</v>
      </c>
      <c r="AF208" s="166">
        <v>173220441</v>
      </c>
      <c r="AG208" s="11">
        <v>109589252</v>
      </c>
      <c r="AH208" s="12">
        <v>-9.3333333333333286</v>
      </c>
      <c r="AI208" s="132">
        <v>1</v>
      </c>
      <c r="AJ208" s="132">
        <v>1</v>
      </c>
      <c r="AK208" s="13">
        <v>0.1</v>
      </c>
      <c r="AL208" s="13">
        <v>1.3075530560758635</v>
      </c>
      <c r="AM208" s="14">
        <v>1</v>
      </c>
      <c r="AN208" s="14">
        <v>0</v>
      </c>
      <c r="AO208" s="82">
        <v>494937.56123822345</v>
      </c>
      <c r="AP208" s="82">
        <v>417008.7480190174</v>
      </c>
      <c r="AQ208" s="82">
        <v>-77928.813219206058</v>
      </c>
      <c r="AR208" s="129">
        <v>-0.15745180669708225</v>
      </c>
    </row>
    <row r="209" spans="1:44" ht="43.2" x14ac:dyDescent="0.3">
      <c r="A209" s="136" t="s">
        <v>379</v>
      </c>
      <c r="B209" s="137" t="s">
        <v>4991</v>
      </c>
      <c r="C209" s="134">
        <v>2019</v>
      </c>
      <c r="D209" s="149" t="s">
        <v>1141</v>
      </c>
      <c r="E209" s="135" t="s">
        <v>1140</v>
      </c>
      <c r="F209" s="384" t="s">
        <v>373</v>
      </c>
      <c r="G209" s="138" t="s">
        <v>4773</v>
      </c>
      <c r="H209" s="138" t="s">
        <v>2727</v>
      </c>
      <c r="I209" s="138" t="s">
        <v>1566</v>
      </c>
      <c r="J209" s="135" t="s">
        <v>4798</v>
      </c>
      <c r="K209" s="164">
        <v>755458338</v>
      </c>
      <c r="L209" s="165">
        <v>353026534</v>
      </c>
      <c r="M209" s="165">
        <v>402381015</v>
      </c>
      <c r="N209" s="165">
        <v>3299903</v>
      </c>
      <c r="O209" s="165">
        <v>269083914</v>
      </c>
      <c r="P209" s="165">
        <v>73029169</v>
      </c>
      <c r="Q209" s="165">
        <v>673025</v>
      </c>
      <c r="R209" s="165">
        <v>642.16666666666663</v>
      </c>
      <c r="S209" s="165">
        <v>346136800</v>
      </c>
      <c r="T209" s="165">
        <v>539013.96314560086</v>
      </c>
      <c r="U209" s="166">
        <v>50789</v>
      </c>
      <c r="V209" s="168">
        <v>735209610</v>
      </c>
      <c r="W209" s="165">
        <v>324151823</v>
      </c>
      <c r="X209" s="165">
        <v>397057412</v>
      </c>
      <c r="Y209" s="165">
        <v>4869149</v>
      </c>
      <c r="Z209" s="165">
        <v>233987405</v>
      </c>
      <c r="AA209" s="165">
        <v>70730000.099999994</v>
      </c>
      <c r="AB209" s="165">
        <v>802587</v>
      </c>
      <c r="AC209" s="165">
        <v>560.75</v>
      </c>
      <c r="AD209" s="165">
        <v>324389516.10000002</v>
      </c>
      <c r="AE209" s="165">
        <v>578492.22666072228</v>
      </c>
      <c r="AF209" s="166">
        <v>14000375</v>
      </c>
      <c r="AG209" s="11">
        <v>-21747283.899999976</v>
      </c>
      <c r="AH209" s="12">
        <v>-81.416666666666629</v>
      </c>
      <c r="AI209" s="132">
        <v>0</v>
      </c>
      <c r="AJ209" s="132">
        <v>1</v>
      </c>
      <c r="AK209" s="13">
        <v>0.15</v>
      </c>
      <c r="AL209" s="13">
        <v>7.3241646654198078E-2</v>
      </c>
      <c r="AM209" s="14">
        <v>0</v>
      </c>
      <c r="AN209" s="14">
        <v>-1</v>
      </c>
      <c r="AO209" s="82">
        <v>419025.0412665456</v>
      </c>
      <c r="AP209" s="82">
        <v>417275.80026749888</v>
      </c>
      <c r="AQ209" s="82">
        <v>-1749.2409990467131</v>
      </c>
      <c r="AR209" s="129">
        <v>-4.1745500310899075E-3</v>
      </c>
    </row>
    <row r="210" spans="1:44" ht="28.8" x14ac:dyDescent="0.3">
      <c r="A210" s="136" t="s">
        <v>380</v>
      </c>
      <c r="B210" s="137" t="s">
        <v>4992</v>
      </c>
      <c r="C210" s="134">
        <v>2019</v>
      </c>
      <c r="D210" s="149" t="s">
        <v>4913</v>
      </c>
      <c r="E210" s="135" t="s">
        <v>1108</v>
      </c>
      <c r="F210" s="384" t="s">
        <v>381</v>
      </c>
      <c r="G210" s="138" t="s">
        <v>4773</v>
      </c>
      <c r="H210" s="138" t="s">
        <v>2256</v>
      </c>
      <c r="I210" s="138" t="s">
        <v>1566</v>
      </c>
      <c r="J210" s="135" t="s">
        <v>4774</v>
      </c>
      <c r="K210" s="164">
        <v>5052573932</v>
      </c>
      <c r="L210" s="165">
        <v>3706665696</v>
      </c>
      <c r="M210" s="165">
        <v>351443764</v>
      </c>
      <c r="N210" s="165">
        <v>121404049</v>
      </c>
      <c r="O210" s="165">
        <v>526524400.27999997</v>
      </c>
      <c r="P210" s="165">
        <v>154457879.07000002</v>
      </c>
      <c r="Q210" s="165">
        <v>9306875</v>
      </c>
      <c r="R210" s="165">
        <v>1212.1666666666667</v>
      </c>
      <c r="S210" s="165">
        <v>1806157675.3499999</v>
      </c>
      <c r="T210" s="165">
        <v>1490024.2062560152</v>
      </c>
      <c r="U210" s="166">
        <v>994464472</v>
      </c>
      <c r="V210" s="168">
        <v>12688306835</v>
      </c>
      <c r="W210" s="165">
        <v>9518597944</v>
      </c>
      <c r="X210" s="165">
        <v>482246569</v>
      </c>
      <c r="Y210" s="165">
        <v>258970932</v>
      </c>
      <c r="Z210" s="165">
        <v>741506641.25999999</v>
      </c>
      <c r="AA210" s="165">
        <v>216052643.28</v>
      </c>
      <c r="AB210" s="165">
        <v>23789302</v>
      </c>
      <c r="AC210" s="165">
        <v>1301.0833333333333</v>
      </c>
      <c r="AD210" s="165">
        <v>3927781840.5400004</v>
      </c>
      <c r="AE210" s="165">
        <v>3018854.934124128</v>
      </c>
      <c r="AF210" s="166">
        <v>2687462322</v>
      </c>
      <c r="AG210" s="11">
        <v>2121624165.1900005</v>
      </c>
      <c r="AH210" s="12">
        <v>88.916666666666515</v>
      </c>
      <c r="AI210" s="132">
        <v>1</v>
      </c>
      <c r="AJ210" s="132">
        <v>1</v>
      </c>
      <c r="AK210" s="13">
        <v>0.15</v>
      </c>
      <c r="AL210" s="13">
        <v>1.0260442144091071</v>
      </c>
      <c r="AM210" s="14">
        <v>1</v>
      </c>
      <c r="AN210" s="14">
        <v>0</v>
      </c>
      <c r="AO210" s="82">
        <v>434366.34149319393</v>
      </c>
      <c r="AP210" s="82">
        <v>569914.79505027866</v>
      </c>
      <c r="AQ210" s="82">
        <v>135548.45355708472</v>
      </c>
      <c r="AR210" s="129">
        <v>0.31206021417570784</v>
      </c>
    </row>
    <row r="211" spans="1:44" ht="43.2" x14ac:dyDescent="0.3">
      <c r="A211" s="136" t="s">
        <v>382</v>
      </c>
      <c r="B211" s="137" t="s">
        <v>4993</v>
      </c>
      <c r="C211" s="134">
        <v>2019</v>
      </c>
      <c r="D211" s="149" t="s">
        <v>4913</v>
      </c>
      <c r="E211" s="135" t="s">
        <v>1108</v>
      </c>
      <c r="F211" s="384" t="s">
        <v>292</v>
      </c>
      <c r="G211" s="138" t="s">
        <v>4773</v>
      </c>
      <c r="H211" s="138" t="s">
        <v>1597</v>
      </c>
      <c r="I211" s="138" t="s">
        <v>1566</v>
      </c>
      <c r="J211" s="135" t="s">
        <v>4774</v>
      </c>
      <c r="K211" s="164">
        <v>622930096</v>
      </c>
      <c r="L211" s="165">
        <v>493452341</v>
      </c>
      <c r="M211" s="165">
        <v>107991175</v>
      </c>
      <c r="N211" s="165">
        <v>4893492</v>
      </c>
      <c r="O211" s="165">
        <v>76975416.549999997</v>
      </c>
      <c r="P211" s="165">
        <v>22323748.109999999</v>
      </c>
      <c r="Q211" s="165">
        <v>0</v>
      </c>
      <c r="R211" s="165">
        <v>209.91666666666666</v>
      </c>
      <c r="S211" s="165">
        <v>125679236.66</v>
      </c>
      <c r="T211" s="165">
        <v>598710.13891226682</v>
      </c>
      <c r="U211" s="166">
        <v>21486580</v>
      </c>
      <c r="V211" s="168">
        <v>386061929</v>
      </c>
      <c r="W211" s="165">
        <v>335531007</v>
      </c>
      <c r="X211" s="165">
        <v>73685803</v>
      </c>
      <c r="Y211" s="165">
        <v>2219232</v>
      </c>
      <c r="Z211" s="165">
        <v>52947680.239999995</v>
      </c>
      <c r="AA211" s="165">
        <v>12997367.52</v>
      </c>
      <c r="AB211" s="165">
        <v>387935</v>
      </c>
      <c r="AC211" s="165">
        <v>142.58333333333334</v>
      </c>
      <c r="AD211" s="165">
        <v>45397333.75999999</v>
      </c>
      <c r="AE211" s="165">
        <v>318391.58686148445</v>
      </c>
      <c r="AF211" s="166">
        <v>-23154881</v>
      </c>
      <c r="AG211" s="11">
        <v>-80281902.900000006</v>
      </c>
      <c r="AH211" s="12">
        <v>-67.333333333333314</v>
      </c>
      <c r="AI211" s="132">
        <v>0</v>
      </c>
      <c r="AJ211" s="132">
        <v>0</v>
      </c>
      <c r="AK211" s="13">
        <v>0.15</v>
      </c>
      <c r="AL211" s="13">
        <v>-0.46820411292850328</v>
      </c>
      <c r="AM211" s="14">
        <v>0</v>
      </c>
      <c r="AN211" s="14">
        <v>-1</v>
      </c>
      <c r="AO211" s="82">
        <v>366695.11655418819</v>
      </c>
      <c r="AP211" s="82">
        <v>371345.50723553472</v>
      </c>
      <c r="AQ211" s="82">
        <v>4650.3906813465292</v>
      </c>
      <c r="AR211" s="129">
        <v>1.2681899680164754E-2</v>
      </c>
    </row>
    <row r="212" spans="1:44" ht="28.8" x14ac:dyDescent="0.3">
      <c r="A212" s="136" t="s">
        <v>383</v>
      </c>
      <c r="B212" s="137" t="s">
        <v>4994</v>
      </c>
      <c r="C212" s="134">
        <v>2020</v>
      </c>
      <c r="D212" s="149" t="s">
        <v>4913</v>
      </c>
      <c r="E212" s="135" t="s">
        <v>1108</v>
      </c>
      <c r="F212" s="384" t="s">
        <v>381</v>
      </c>
      <c r="G212" s="138" t="s">
        <v>4773</v>
      </c>
      <c r="H212" s="138" t="s">
        <v>3078</v>
      </c>
      <c r="I212" s="138" t="s">
        <v>1566</v>
      </c>
      <c r="J212" s="135" t="s">
        <v>4774</v>
      </c>
      <c r="K212" s="164">
        <v>893904375</v>
      </c>
      <c r="L212" s="165">
        <v>612959622</v>
      </c>
      <c r="M212" s="165">
        <v>73214849</v>
      </c>
      <c r="N212" s="165">
        <v>1501110</v>
      </c>
      <c r="O212" s="165">
        <v>126139752.13999999</v>
      </c>
      <c r="P212" s="165">
        <v>27871843.159999996</v>
      </c>
      <c r="Q212" s="165">
        <v>351</v>
      </c>
      <c r="R212" s="165">
        <v>259.33333333333331</v>
      </c>
      <c r="S212" s="165">
        <v>363242960.29999995</v>
      </c>
      <c r="T212" s="165">
        <v>1400679.7955012852</v>
      </c>
      <c r="U212" s="166">
        <v>207729904</v>
      </c>
      <c r="V212" s="168">
        <v>950402226</v>
      </c>
      <c r="W212" s="165">
        <v>763108569</v>
      </c>
      <c r="X212" s="165">
        <v>64990751</v>
      </c>
      <c r="Y212" s="165">
        <v>66738481</v>
      </c>
      <c r="Z212" s="165">
        <v>155450500.55000001</v>
      </c>
      <c r="AA212" s="165">
        <v>28114419.690000001</v>
      </c>
      <c r="AB212" s="165">
        <v>1460463</v>
      </c>
      <c r="AC212" s="165">
        <v>229.75</v>
      </c>
      <c r="AD212" s="165">
        <v>374066770.24000001</v>
      </c>
      <c r="AE212" s="165">
        <v>1628146.9868988032</v>
      </c>
      <c r="AF212" s="166">
        <v>122302906</v>
      </c>
      <c r="AG212" s="11">
        <v>10823809.940000057</v>
      </c>
      <c r="AH212" s="12">
        <v>-29.583333333333314</v>
      </c>
      <c r="AI212" s="132">
        <v>1</v>
      </c>
      <c r="AJ212" s="132">
        <v>1</v>
      </c>
      <c r="AK212" s="13">
        <v>0.1</v>
      </c>
      <c r="AL212" s="13">
        <v>0.16239770859835345</v>
      </c>
      <c r="AM212" s="14">
        <v>1</v>
      </c>
      <c r="AN212" s="14">
        <v>0</v>
      </c>
      <c r="AO212" s="82">
        <v>486400.07251928019</v>
      </c>
      <c r="AP212" s="82">
        <v>676607.18411316653</v>
      </c>
      <c r="AQ212" s="82">
        <v>190207.11159388634</v>
      </c>
      <c r="AR212" s="129">
        <v>0.39105074678282836</v>
      </c>
    </row>
    <row r="213" spans="1:44" ht="28.8" x14ac:dyDescent="0.3">
      <c r="A213" s="136" t="s">
        <v>384</v>
      </c>
      <c r="B213" s="137" t="s">
        <v>4995</v>
      </c>
      <c r="C213" s="134">
        <v>2020</v>
      </c>
      <c r="D213" s="149" t="s">
        <v>4913</v>
      </c>
      <c r="E213" s="135" t="s">
        <v>1108</v>
      </c>
      <c r="F213" s="384" t="s">
        <v>381</v>
      </c>
      <c r="G213" s="138" t="s">
        <v>4773</v>
      </c>
      <c r="H213" s="138" t="s">
        <v>2196</v>
      </c>
      <c r="I213" s="138" t="s">
        <v>1566</v>
      </c>
      <c r="J213" s="135" t="s">
        <v>4778</v>
      </c>
      <c r="K213" s="164">
        <v>7103966332</v>
      </c>
      <c r="L213" s="165">
        <v>4061080510</v>
      </c>
      <c r="M213" s="165">
        <v>1966651101</v>
      </c>
      <c r="N213" s="165">
        <v>135097334</v>
      </c>
      <c r="O213" s="165">
        <v>1027097106</v>
      </c>
      <c r="P213" s="165">
        <v>305961385</v>
      </c>
      <c r="Q213" s="165">
        <v>10155416</v>
      </c>
      <c r="R213" s="165">
        <v>1825.5</v>
      </c>
      <c r="S213" s="165">
        <v>2554545962</v>
      </c>
      <c r="T213" s="165">
        <v>1399367.8236099698</v>
      </c>
      <c r="U213" s="166">
        <v>1076234721</v>
      </c>
      <c r="V213" s="168">
        <v>10938538552</v>
      </c>
      <c r="W213" s="165">
        <v>5139235832</v>
      </c>
      <c r="X213" s="165">
        <v>1956321635</v>
      </c>
      <c r="Y213" s="165">
        <v>140135049</v>
      </c>
      <c r="Z213" s="165">
        <v>1193118840.97</v>
      </c>
      <c r="AA213" s="165">
        <v>351899232.48000002</v>
      </c>
      <c r="AB213" s="165">
        <v>10352175</v>
      </c>
      <c r="AC213" s="165">
        <v>1844.8333333333333</v>
      </c>
      <c r="AD213" s="165">
        <v>5538486382.4500008</v>
      </c>
      <c r="AE213" s="165">
        <v>3002160.8360917885</v>
      </c>
      <c r="AF213" s="166">
        <v>3842981085</v>
      </c>
      <c r="AG213" s="11">
        <v>2983940420.4500008</v>
      </c>
      <c r="AH213" s="12">
        <v>19.333333333333258</v>
      </c>
      <c r="AI213" s="132">
        <v>1</v>
      </c>
      <c r="AJ213" s="132">
        <v>1</v>
      </c>
      <c r="AK213" s="13">
        <v>0.1</v>
      </c>
      <c r="AL213" s="13">
        <v>1.1453693568571555</v>
      </c>
      <c r="AM213" s="14">
        <v>1</v>
      </c>
      <c r="AN213" s="14">
        <v>0</v>
      </c>
      <c r="AO213" s="82">
        <v>562638.78718159406</v>
      </c>
      <c r="AP213" s="82">
        <v>646735.3009142651</v>
      </c>
      <c r="AQ213" s="82">
        <v>84096.513732671039</v>
      </c>
      <c r="AR213" s="129">
        <v>0.14946803464071978</v>
      </c>
    </row>
    <row r="214" spans="1:44" ht="28.8" x14ac:dyDescent="0.3">
      <c r="A214" s="136" t="s">
        <v>385</v>
      </c>
      <c r="B214" s="137" t="s">
        <v>4996</v>
      </c>
      <c r="C214" s="134">
        <v>2020</v>
      </c>
      <c r="D214" s="149" t="s">
        <v>4913</v>
      </c>
      <c r="E214" s="135" t="s">
        <v>1108</v>
      </c>
      <c r="F214" s="384" t="s">
        <v>381</v>
      </c>
      <c r="G214" s="138" t="s">
        <v>4773</v>
      </c>
      <c r="H214" s="138" t="s">
        <v>2787</v>
      </c>
      <c r="I214" s="138" t="s">
        <v>1566</v>
      </c>
      <c r="J214" s="135" t="s">
        <v>4774</v>
      </c>
      <c r="K214" s="164">
        <v>2488710141</v>
      </c>
      <c r="L214" s="165">
        <v>1595869237</v>
      </c>
      <c r="M214" s="165">
        <v>538585027</v>
      </c>
      <c r="N214" s="165">
        <v>48900355</v>
      </c>
      <c r="O214" s="165">
        <v>643489023.79999995</v>
      </c>
      <c r="P214" s="165">
        <v>191392686.92000002</v>
      </c>
      <c r="Q214" s="165">
        <v>2497812</v>
      </c>
      <c r="R214" s="165">
        <v>1712.8333333333333</v>
      </c>
      <c r="S214" s="165">
        <v>1240535754.72</v>
      </c>
      <c r="T214" s="165">
        <v>724259.46563393995</v>
      </c>
      <c r="U214" s="166">
        <v>354255877</v>
      </c>
      <c r="V214" s="168">
        <v>2377620336</v>
      </c>
      <c r="W214" s="165">
        <v>1503547833</v>
      </c>
      <c r="X214" s="165">
        <v>574506154</v>
      </c>
      <c r="Y214" s="165">
        <v>63034438</v>
      </c>
      <c r="Z214" s="165">
        <v>727197574.38</v>
      </c>
      <c r="AA214" s="165">
        <v>213842903.45000002</v>
      </c>
      <c r="AB214" s="165">
        <v>4779516</v>
      </c>
      <c r="AC214" s="165">
        <v>1699</v>
      </c>
      <c r="AD214" s="165">
        <v>1308420780.8300002</v>
      </c>
      <c r="AE214" s="165">
        <v>770112.29007062991</v>
      </c>
      <c r="AF214" s="166">
        <v>299566349</v>
      </c>
      <c r="AG214" s="11">
        <v>67885026.110000134</v>
      </c>
      <c r="AH214" s="12">
        <v>-13.833333333333258</v>
      </c>
      <c r="AI214" s="132">
        <v>0</v>
      </c>
      <c r="AJ214" s="132">
        <v>1</v>
      </c>
      <c r="AK214" s="13">
        <v>0.1</v>
      </c>
      <c r="AL214" s="13">
        <v>6.3309935043031063E-2</v>
      </c>
      <c r="AM214" s="14">
        <v>0</v>
      </c>
      <c r="AN214" s="14">
        <v>-1</v>
      </c>
      <c r="AO214" s="82">
        <v>375686.88749635109</v>
      </c>
      <c r="AP214" s="82">
        <v>428015.05260741612</v>
      </c>
      <c r="AQ214" s="82">
        <v>52328.165111065027</v>
      </c>
      <c r="AR214" s="129">
        <v>0.13928664228818288</v>
      </c>
    </row>
    <row r="215" spans="1:44" ht="28.8" x14ac:dyDescent="0.3">
      <c r="A215" s="136" t="s">
        <v>386</v>
      </c>
      <c r="B215" s="137" t="s">
        <v>4997</v>
      </c>
      <c r="C215" s="134">
        <v>2020</v>
      </c>
      <c r="D215" s="149" t="s">
        <v>4998</v>
      </c>
      <c r="E215" s="135" t="s">
        <v>1108</v>
      </c>
      <c r="F215" s="384" t="s">
        <v>381</v>
      </c>
      <c r="G215" s="138" t="s">
        <v>4773</v>
      </c>
      <c r="H215" s="138" t="s">
        <v>2757</v>
      </c>
      <c r="I215" s="138" t="s">
        <v>1566</v>
      </c>
      <c r="J215" s="135" t="s">
        <v>4778</v>
      </c>
      <c r="K215" s="164">
        <v>661347752</v>
      </c>
      <c r="L215" s="165">
        <v>237599963</v>
      </c>
      <c r="M215" s="165">
        <v>286263282</v>
      </c>
      <c r="N215" s="165">
        <v>11433231</v>
      </c>
      <c r="O215" s="165">
        <v>127366421.97</v>
      </c>
      <c r="P215" s="165">
        <v>32520638.91</v>
      </c>
      <c r="Q215" s="165">
        <v>1628944</v>
      </c>
      <c r="R215" s="165">
        <v>273.33333333333331</v>
      </c>
      <c r="S215" s="165">
        <v>310433742.88000005</v>
      </c>
      <c r="T215" s="165">
        <v>1135733.2056585369</v>
      </c>
      <c r="U215" s="166">
        <v>137484507</v>
      </c>
      <c r="V215" s="168">
        <v>670691578</v>
      </c>
      <c r="W215" s="165">
        <v>278358673</v>
      </c>
      <c r="X215" s="165">
        <v>274926107</v>
      </c>
      <c r="Y215" s="165">
        <v>12659000</v>
      </c>
      <c r="Z215" s="165">
        <v>129478033.38</v>
      </c>
      <c r="AA215" s="165">
        <v>26443374.609999999</v>
      </c>
      <c r="AB215" s="165">
        <v>1534656</v>
      </c>
      <c r="AC215" s="165">
        <v>255.33333333333334</v>
      </c>
      <c r="AD215" s="165">
        <v>287521861.99000001</v>
      </c>
      <c r="AE215" s="165">
        <v>1126064.7336422976</v>
      </c>
      <c r="AF215" s="166">
        <v>117406798</v>
      </c>
      <c r="AG215" s="11">
        <v>-22911880.890000045</v>
      </c>
      <c r="AH215" s="12">
        <v>-17.999999999999972</v>
      </c>
      <c r="AI215" s="132">
        <v>0</v>
      </c>
      <c r="AJ215" s="132">
        <v>0</v>
      </c>
      <c r="AK215" s="13">
        <v>0.1</v>
      </c>
      <c r="AL215" s="13">
        <v>-8.512985193063094E-3</v>
      </c>
      <c r="AM215" s="14">
        <v>0</v>
      </c>
      <c r="AN215" s="14">
        <v>-1</v>
      </c>
      <c r="AO215" s="82">
        <v>465974.71452439029</v>
      </c>
      <c r="AP215" s="82">
        <v>507094.12550913834</v>
      </c>
      <c r="AQ215" s="82">
        <v>41119.410984748043</v>
      </c>
      <c r="AR215" s="129">
        <v>8.8243867538430054E-2</v>
      </c>
    </row>
    <row r="216" spans="1:44" ht="28.8" x14ac:dyDescent="0.3">
      <c r="A216" s="136" t="s">
        <v>387</v>
      </c>
      <c r="B216" s="137" t="s">
        <v>4999</v>
      </c>
      <c r="C216" s="134">
        <v>2020</v>
      </c>
      <c r="D216" s="149" t="s">
        <v>1190</v>
      </c>
      <c r="E216" s="135" t="s">
        <v>1175</v>
      </c>
      <c r="F216" s="384" t="s">
        <v>173</v>
      </c>
      <c r="G216" s="138" t="s">
        <v>4773</v>
      </c>
      <c r="H216" s="138" t="s">
        <v>3545</v>
      </c>
      <c r="I216" s="138" t="s">
        <v>1566</v>
      </c>
      <c r="J216" s="135" t="s">
        <v>4778</v>
      </c>
      <c r="K216" s="164">
        <v>8335072949</v>
      </c>
      <c r="L216" s="165">
        <v>6062804869</v>
      </c>
      <c r="M216" s="165">
        <v>2388667971</v>
      </c>
      <c r="N216" s="165">
        <v>85126918</v>
      </c>
      <c r="O216" s="165">
        <v>2151654510</v>
      </c>
      <c r="P216" s="165">
        <v>641007769</v>
      </c>
      <c r="Q216" s="165">
        <v>60461269</v>
      </c>
      <c r="R216" s="165">
        <v>2620.25</v>
      </c>
      <c r="S216" s="165">
        <v>2821850575</v>
      </c>
      <c r="T216" s="165">
        <v>1076939.4428012595</v>
      </c>
      <c r="U216" s="166">
        <v>-116399891</v>
      </c>
      <c r="V216" s="168">
        <v>5718045943</v>
      </c>
      <c r="W216" s="165">
        <v>3917831723</v>
      </c>
      <c r="X216" s="165">
        <v>2304339859</v>
      </c>
      <c r="Y216" s="165">
        <v>51814314</v>
      </c>
      <c r="Z216" s="165">
        <v>2073067196.47</v>
      </c>
      <c r="AA216" s="165">
        <v>616800512.97000003</v>
      </c>
      <c r="AB216" s="165">
        <v>56896695</v>
      </c>
      <c r="AC216" s="165">
        <v>2313.0833333333335</v>
      </c>
      <c r="AD216" s="165">
        <v>2294453079.4400001</v>
      </c>
      <c r="AE216" s="165">
        <v>991945.70570594806</v>
      </c>
      <c r="AF216" s="166">
        <v>-504125639</v>
      </c>
      <c r="AG216" s="11">
        <v>-527397495.55999994</v>
      </c>
      <c r="AH216" s="12">
        <v>-307.16666666666652</v>
      </c>
      <c r="AI216" s="132">
        <v>0</v>
      </c>
      <c r="AJ216" s="132">
        <v>0</v>
      </c>
      <c r="AK216" s="13">
        <v>0.1</v>
      </c>
      <c r="AL216" s="13">
        <v>-7.89215501291326E-2</v>
      </c>
      <c r="AM216" s="14">
        <v>0</v>
      </c>
      <c r="AN216" s="14">
        <v>-1</v>
      </c>
      <c r="AO216" s="82">
        <v>821163.82406258944</v>
      </c>
      <c r="AP216" s="82">
        <v>896235.41296393704</v>
      </c>
      <c r="AQ216" s="82">
        <v>75071.588901347597</v>
      </c>
      <c r="AR216" s="129">
        <v>9.1420964613299294E-2</v>
      </c>
    </row>
    <row r="217" spans="1:44" ht="43.2" x14ac:dyDescent="0.3">
      <c r="A217" s="136" t="s">
        <v>388</v>
      </c>
      <c r="B217" s="137" t="s">
        <v>5000</v>
      </c>
      <c r="C217" s="134">
        <v>2020</v>
      </c>
      <c r="D217" s="149" t="s">
        <v>1187</v>
      </c>
      <c r="E217" s="135" t="s">
        <v>1175</v>
      </c>
      <c r="F217" s="384" t="s">
        <v>389</v>
      </c>
      <c r="G217" s="138" t="s">
        <v>4773</v>
      </c>
      <c r="H217" s="138" t="s">
        <v>1255</v>
      </c>
      <c r="I217" s="138" t="s">
        <v>1217</v>
      </c>
      <c r="J217" s="135" t="s">
        <v>4778</v>
      </c>
      <c r="K217" s="164">
        <v>489518804</v>
      </c>
      <c r="L217" s="165">
        <v>464003260</v>
      </c>
      <c r="M217" s="165">
        <v>0</v>
      </c>
      <c r="N217" s="165">
        <v>0</v>
      </c>
      <c r="O217" s="165">
        <v>156483125</v>
      </c>
      <c r="P217" s="165">
        <v>43260428</v>
      </c>
      <c r="Q217" s="165">
        <v>83862</v>
      </c>
      <c r="R217" s="165">
        <v>387.25</v>
      </c>
      <c r="S217" s="165">
        <v>225342959</v>
      </c>
      <c r="T217" s="165">
        <v>581905.63976759196</v>
      </c>
      <c r="U217" s="166">
        <v>25515544</v>
      </c>
      <c r="V217" s="168">
        <v>413816684</v>
      </c>
      <c r="W217" s="165">
        <v>457632092</v>
      </c>
      <c r="X217" s="165">
        <v>0</v>
      </c>
      <c r="Y217" s="165">
        <v>0</v>
      </c>
      <c r="Z217" s="165">
        <v>168926827.77000001</v>
      </c>
      <c r="AA217" s="165">
        <v>49140523.399999999</v>
      </c>
      <c r="AB217" s="165">
        <v>81034</v>
      </c>
      <c r="AC217" s="165">
        <v>381.33333333333331</v>
      </c>
      <c r="AD217" s="165">
        <v>174332977.17000002</v>
      </c>
      <c r="AE217" s="165">
        <v>457166.89817307697</v>
      </c>
      <c r="AF217" s="166">
        <v>-43815408</v>
      </c>
      <c r="AG217" s="11">
        <v>-51009981.829999983</v>
      </c>
      <c r="AH217" s="12">
        <v>-5.9166666666666856</v>
      </c>
      <c r="AI217" s="132">
        <v>0</v>
      </c>
      <c r="AJ217" s="132">
        <v>0</v>
      </c>
      <c r="AK217" s="13">
        <v>0.1</v>
      </c>
      <c r="AL217" s="13">
        <v>-0.2143624866739563</v>
      </c>
      <c r="AM217" s="14">
        <v>0</v>
      </c>
      <c r="AN217" s="14">
        <v>-1</v>
      </c>
      <c r="AO217" s="82">
        <v>404088.12136862491</v>
      </c>
      <c r="AP217" s="82">
        <v>442989.93296328676</v>
      </c>
      <c r="AQ217" s="82">
        <v>38901.811594661849</v>
      </c>
      <c r="AR217" s="129">
        <v>9.6270614099972729E-2</v>
      </c>
    </row>
    <row r="218" spans="1:44" ht="43.2" x14ac:dyDescent="0.3">
      <c r="A218" s="136" t="s">
        <v>390</v>
      </c>
      <c r="B218" s="137" t="s">
        <v>5001</v>
      </c>
      <c r="C218" s="134">
        <v>2019</v>
      </c>
      <c r="D218" s="149" t="s">
        <v>1187</v>
      </c>
      <c r="E218" s="135" t="s">
        <v>1175</v>
      </c>
      <c r="F218" s="384" t="s">
        <v>389</v>
      </c>
      <c r="G218" s="138" t="s">
        <v>4773</v>
      </c>
      <c r="H218" s="138" t="s">
        <v>2975</v>
      </c>
      <c r="I218" s="138" t="s">
        <v>1566</v>
      </c>
      <c r="J218" s="135" t="s">
        <v>4798</v>
      </c>
      <c r="K218" s="164">
        <v>1723631700</v>
      </c>
      <c r="L218" s="165">
        <v>1299847452</v>
      </c>
      <c r="M218" s="165">
        <v>360939390</v>
      </c>
      <c r="N218" s="165">
        <v>92347546</v>
      </c>
      <c r="O218" s="165">
        <v>386150686</v>
      </c>
      <c r="P218" s="165">
        <v>100498324</v>
      </c>
      <c r="Q218" s="165">
        <v>8052921</v>
      </c>
      <c r="R218" s="165">
        <v>1245.0833333333333</v>
      </c>
      <c r="S218" s="165">
        <v>649894335</v>
      </c>
      <c r="T218" s="165">
        <v>521968.54427414498</v>
      </c>
      <c r="U218" s="166">
        <v>62844858</v>
      </c>
      <c r="V218" s="168">
        <v>2349343604</v>
      </c>
      <c r="W218" s="165">
        <v>1881334392</v>
      </c>
      <c r="X218" s="165">
        <v>354049223</v>
      </c>
      <c r="Y218" s="165">
        <v>123319240</v>
      </c>
      <c r="Z218" s="165">
        <v>412576996.36000007</v>
      </c>
      <c r="AA218" s="165">
        <v>123726623.21000001</v>
      </c>
      <c r="AB218" s="165">
        <v>7148241</v>
      </c>
      <c r="AC218" s="165">
        <v>1165.25</v>
      </c>
      <c r="AD218" s="165">
        <v>780731089.57000017</v>
      </c>
      <c r="AE218" s="165">
        <v>670011.66236429964</v>
      </c>
      <c r="AF218" s="166">
        <v>113959989</v>
      </c>
      <c r="AG218" s="11">
        <v>130836754.57000017</v>
      </c>
      <c r="AH218" s="12">
        <v>-79.833333333333258</v>
      </c>
      <c r="AI218" s="132">
        <v>1</v>
      </c>
      <c r="AJ218" s="132">
        <v>1</v>
      </c>
      <c r="AK218" s="13">
        <v>0.15</v>
      </c>
      <c r="AL218" s="13">
        <v>0.28362460312263282</v>
      </c>
      <c r="AM218" s="14">
        <v>1</v>
      </c>
      <c r="AN218" s="14">
        <v>0</v>
      </c>
      <c r="AO218" s="82">
        <v>310140.43450906902</v>
      </c>
      <c r="AP218" s="82">
        <v>354067.36439390696</v>
      </c>
      <c r="AQ218" s="82">
        <v>43926.92988483794</v>
      </c>
      <c r="AR218" s="129">
        <v>0.14163561083020748</v>
      </c>
    </row>
    <row r="219" spans="1:44" ht="43.2" x14ac:dyDescent="0.3">
      <c r="A219" s="136" t="s">
        <v>391</v>
      </c>
      <c r="B219" s="137" t="s">
        <v>5002</v>
      </c>
      <c r="C219" s="134">
        <v>2020</v>
      </c>
      <c r="D219" s="149" t="s">
        <v>1187</v>
      </c>
      <c r="E219" s="135" t="s">
        <v>1175</v>
      </c>
      <c r="F219" s="384" t="s">
        <v>389</v>
      </c>
      <c r="G219" s="138" t="s">
        <v>4773</v>
      </c>
      <c r="H219" s="138" t="s">
        <v>2669</v>
      </c>
      <c r="I219" s="138" t="s">
        <v>1566</v>
      </c>
      <c r="J219" s="135" t="s">
        <v>4774</v>
      </c>
      <c r="K219" s="164">
        <v>1533793029</v>
      </c>
      <c r="L219" s="165">
        <v>1140392083</v>
      </c>
      <c r="M219" s="165">
        <v>29885286</v>
      </c>
      <c r="N219" s="165">
        <v>39323724</v>
      </c>
      <c r="O219" s="165">
        <v>60926438</v>
      </c>
      <c r="P219" s="165">
        <v>9310381</v>
      </c>
      <c r="Q219" s="165">
        <v>1296072</v>
      </c>
      <c r="R219" s="165">
        <v>38.916666666666664</v>
      </c>
      <c r="S219" s="165">
        <v>474372275</v>
      </c>
      <c r="T219" s="165">
        <v>12189437.473233406</v>
      </c>
      <c r="U219" s="166">
        <v>363515660</v>
      </c>
      <c r="V219" s="168">
        <v>1744208072</v>
      </c>
      <c r="W219" s="165">
        <v>1402434468</v>
      </c>
      <c r="X219" s="165">
        <v>35670736</v>
      </c>
      <c r="Y219" s="165">
        <v>35806066</v>
      </c>
      <c r="Z219" s="165">
        <v>77678005.379999995</v>
      </c>
      <c r="AA219" s="165">
        <v>9923671</v>
      </c>
      <c r="AB219" s="165">
        <v>1248552</v>
      </c>
      <c r="AC219" s="165">
        <v>36.166666666666664</v>
      </c>
      <c r="AD219" s="165">
        <v>430759162.38</v>
      </c>
      <c r="AE219" s="165">
        <v>11910391.58654378</v>
      </c>
      <c r="AF219" s="166">
        <v>306102868</v>
      </c>
      <c r="AG219" s="11">
        <v>-43613112.620000005</v>
      </c>
      <c r="AH219" s="12">
        <v>-2.75</v>
      </c>
      <c r="AI219" s="132">
        <v>0</v>
      </c>
      <c r="AJ219" s="132">
        <v>0</v>
      </c>
      <c r="AK219" s="13">
        <v>0.1</v>
      </c>
      <c r="AL219" s="13">
        <v>-2.2892432951625019E-2</v>
      </c>
      <c r="AM219" s="14">
        <v>0</v>
      </c>
      <c r="AN219" s="14">
        <v>-1</v>
      </c>
      <c r="AO219" s="82">
        <v>1565561.5760171306</v>
      </c>
      <c r="AP219" s="82">
        <v>2147778.9505990786</v>
      </c>
      <c r="AQ219" s="82">
        <v>582217.37458194792</v>
      </c>
      <c r="AR219" s="129">
        <v>0.37189043439807645</v>
      </c>
    </row>
    <row r="220" spans="1:44" ht="43.2" x14ac:dyDescent="0.3">
      <c r="A220" s="136" t="s">
        <v>392</v>
      </c>
      <c r="B220" s="137" t="s">
        <v>5003</v>
      </c>
      <c r="C220" s="134">
        <v>2020</v>
      </c>
      <c r="D220" s="149" t="s">
        <v>1187</v>
      </c>
      <c r="E220" s="135" t="s">
        <v>1175</v>
      </c>
      <c r="F220" s="384" t="s">
        <v>389</v>
      </c>
      <c r="G220" s="138" t="s">
        <v>4773</v>
      </c>
      <c r="H220" s="138" t="s">
        <v>2898</v>
      </c>
      <c r="I220" s="138" t="s">
        <v>1566</v>
      </c>
      <c r="J220" s="135" t="s">
        <v>4798</v>
      </c>
      <c r="K220" s="164">
        <v>222119720</v>
      </c>
      <c r="L220" s="165">
        <v>171839236</v>
      </c>
      <c r="M220" s="165">
        <v>95053169</v>
      </c>
      <c r="N220" s="165">
        <v>4078811</v>
      </c>
      <c r="O220" s="165">
        <v>92536116</v>
      </c>
      <c r="P220" s="165">
        <v>25049079</v>
      </c>
      <c r="Q220" s="165">
        <v>612458</v>
      </c>
      <c r="R220" s="165">
        <v>243.58333333333334</v>
      </c>
      <c r="S220" s="165">
        <v>77503779</v>
      </c>
      <c r="T220" s="165">
        <v>318181.78173109819</v>
      </c>
      <c r="U220" s="166">
        <v>-44772685</v>
      </c>
      <c r="V220" s="168">
        <v>559406161</v>
      </c>
      <c r="W220" s="165">
        <v>223746191</v>
      </c>
      <c r="X220" s="165">
        <v>184149121</v>
      </c>
      <c r="Y220" s="165">
        <v>5822032</v>
      </c>
      <c r="Z220" s="165">
        <v>115168427.24599999</v>
      </c>
      <c r="AA220" s="165">
        <v>22348492.379999999</v>
      </c>
      <c r="AB220" s="165">
        <v>601621</v>
      </c>
      <c r="AC220" s="165">
        <v>250.5</v>
      </c>
      <c r="AD220" s="165">
        <v>295451421.62599999</v>
      </c>
      <c r="AE220" s="165">
        <v>1179446.7929181636</v>
      </c>
      <c r="AF220" s="166">
        <v>151510849</v>
      </c>
      <c r="AG220" s="11">
        <v>217947642.62599999</v>
      </c>
      <c r="AH220" s="12">
        <v>6.9166666666666572</v>
      </c>
      <c r="AI220" s="132">
        <v>1</v>
      </c>
      <c r="AJ220" s="132">
        <v>1</v>
      </c>
      <c r="AK220" s="13">
        <v>0.1</v>
      </c>
      <c r="AL220" s="13">
        <v>2.7068332133914139</v>
      </c>
      <c r="AM220" s="14">
        <v>1</v>
      </c>
      <c r="AN220" s="14">
        <v>0</v>
      </c>
      <c r="AO220" s="82">
        <v>379895.10502907971</v>
      </c>
      <c r="AP220" s="82">
        <v>459754.20058283431</v>
      </c>
      <c r="AQ220" s="82">
        <v>79859.095553754596</v>
      </c>
      <c r="AR220" s="129">
        <v>0.21021354183450636</v>
      </c>
    </row>
    <row r="221" spans="1:44" ht="28.8" x14ac:dyDescent="0.3">
      <c r="A221" s="136" t="s">
        <v>393</v>
      </c>
      <c r="B221" s="137" t="s">
        <v>5004</v>
      </c>
      <c r="C221" s="134">
        <v>2019</v>
      </c>
      <c r="D221" s="149" t="s">
        <v>1163</v>
      </c>
      <c r="E221" s="135" t="s">
        <v>1152</v>
      </c>
      <c r="F221" s="384" t="s">
        <v>394</v>
      </c>
      <c r="G221" s="138" t="s">
        <v>4773</v>
      </c>
      <c r="H221" s="138" t="s">
        <v>2522</v>
      </c>
      <c r="I221" s="138" t="s">
        <v>1566</v>
      </c>
      <c r="J221" s="135" t="s">
        <v>4778</v>
      </c>
      <c r="K221" s="164">
        <v>3662851947</v>
      </c>
      <c r="L221" s="165">
        <v>1595121461</v>
      </c>
      <c r="M221" s="165">
        <v>1722205122</v>
      </c>
      <c r="N221" s="165">
        <v>20599578</v>
      </c>
      <c r="O221" s="165">
        <v>504217141</v>
      </c>
      <c r="P221" s="165">
        <v>121333178</v>
      </c>
      <c r="Q221" s="165">
        <v>14207347</v>
      </c>
      <c r="R221" s="165">
        <v>1255.8333333333333</v>
      </c>
      <c r="S221" s="165">
        <v>1005882608</v>
      </c>
      <c r="T221" s="165">
        <v>800968.23463835439</v>
      </c>
      <c r="U221" s="166">
        <v>345525364</v>
      </c>
      <c r="V221" s="168">
        <v>4792362425</v>
      </c>
      <c r="W221" s="165">
        <v>2051094845</v>
      </c>
      <c r="X221" s="165">
        <v>2144580055</v>
      </c>
      <c r="Y221" s="165">
        <v>88883843</v>
      </c>
      <c r="Z221" s="165">
        <v>527468141</v>
      </c>
      <c r="AA221" s="165">
        <v>156887458</v>
      </c>
      <c r="AB221" s="165">
        <v>13287726</v>
      </c>
      <c r="AC221" s="165">
        <v>1226.9166666666667</v>
      </c>
      <c r="AD221" s="165">
        <v>1383214693</v>
      </c>
      <c r="AE221" s="165">
        <v>1127390.9064728655</v>
      </c>
      <c r="AF221" s="166">
        <v>596687525</v>
      </c>
      <c r="AG221" s="11">
        <v>377332085</v>
      </c>
      <c r="AH221" s="12">
        <v>-28.916666666666515</v>
      </c>
      <c r="AI221" s="132">
        <v>1</v>
      </c>
      <c r="AJ221" s="132">
        <v>0</v>
      </c>
      <c r="AK221" s="13">
        <v>0.15</v>
      </c>
      <c r="AL221" s="13">
        <v>0.40753511534408782</v>
      </c>
      <c r="AM221" s="14">
        <v>1</v>
      </c>
      <c r="AN221" s="14">
        <v>0</v>
      </c>
      <c r="AO221" s="82">
        <v>401500.04591904447</v>
      </c>
      <c r="AP221" s="82">
        <v>429913.58364463761</v>
      </c>
      <c r="AQ221" s="82">
        <v>28413.537725593138</v>
      </c>
      <c r="AR221" s="129">
        <v>7.0768454485612198E-2</v>
      </c>
    </row>
    <row r="222" spans="1:44" ht="28.8" x14ac:dyDescent="0.3">
      <c r="A222" s="136" t="s">
        <v>395</v>
      </c>
      <c r="B222" s="137" t="s">
        <v>5005</v>
      </c>
      <c r="C222" s="134">
        <v>2020</v>
      </c>
      <c r="D222" s="149" t="s">
        <v>1155</v>
      </c>
      <c r="E222" s="135" t="s">
        <v>1152</v>
      </c>
      <c r="F222" s="384" t="s">
        <v>396</v>
      </c>
      <c r="G222" s="138" t="s">
        <v>4796</v>
      </c>
      <c r="H222" s="138" t="s">
        <v>1702</v>
      </c>
      <c r="I222" s="138" t="s">
        <v>1566</v>
      </c>
      <c r="J222" s="135" t="s">
        <v>4778</v>
      </c>
      <c r="K222" s="164">
        <v>1685771817</v>
      </c>
      <c r="L222" s="165">
        <v>1209906166</v>
      </c>
      <c r="M222" s="165">
        <v>433912493</v>
      </c>
      <c r="N222" s="165">
        <v>41178449</v>
      </c>
      <c r="O222" s="165">
        <v>115768715</v>
      </c>
      <c r="P222" s="165">
        <v>31249117</v>
      </c>
      <c r="Q222" s="165">
        <v>0</v>
      </c>
      <c r="R222" s="165">
        <v>295.75</v>
      </c>
      <c r="S222" s="165">
        <v>230149439</v>
      </c>
      <c r="T222" s="165">
        <v>778189.14285714284</v>
      </c>
      <c r="U222" s="166">
        <v>41953158</v>
      </c>
      <c r="V222" s="168">
        <v>2497602293</v>
      </c>
      <c r="W222" s="165">
        <v>2020594922</v>
      </c>
      <c r="X222" s="165">
        <v>463425810</v>
      </c>
      <c r="Y222" s="165">
        <v>54251714</v>
      </c>
      <c r="Z222" s="165">
        <v>154192722</v>
      </c>
      <c r="AA222" s="165">
        <v>47194430</v>
      </c>
      <c r="AB222" s="165">
        <v>0</v>
      </c>
      <c r="AC222" s="165">
        <v>331.66666666666669</v>
      </c>
      <c r="AD222" s="165">
        <v>269220427</v>
      </c>
      <c r="AE222" s="165">
        <v>811719.88040201005</v>
      </c>
      <c r="AF222" s="166">
        <v>13581561</v>
      </c>
      <c r="AG222" s="11">
        <v>39070988</v>
      </c>
      <c r="AH222" s="12">
        <v>35.916666666666686</v>
      </c>
      <c r="AI222" s="132">
        <v>0</v>
      </c>
      <c r="AJ222" s="132">
        <v>0</v>
      </c>
      <c r="AK222" s="13">
        <v>0.05</v>
      </c>
      <c r="AL222" s="13">
        <v>4.3088162345724879E-2</v>
      </c>
      <c r="AM222" s="14">
        <v>0</v>
      </c>
      <c r="AN222" s="14">
        <v>-1</v>
      </c>
      <c r="AO222" s="82">
        <v>391441.1327134404</v>
      </c>
      <c r="AP222" s="82">
        <v>464902.67939698492</v>
      </c>
      <c r="AQ222" s="82">
        <v>73461.546683544526</v>
      </c>
      <c r="AR222" s="129">
        <v>0.18766946175102905</v>
      </c>
    </row>
    <row r="223" spans="1:44" ht="28.8" x14ac:dyDescent="0.3">
      <c r="A223" s="136" t="s">
        <v>397</v>
      </c>
      <c r="B223" s="137" t="s">
        <v>5006</v>
      </c>
      <c r="C223" s="134">
        <v>2020</v>
      </c>
      <c r="D223" s="149" t="s">
        <v>1155</v>
      </c>
      <c r="E223" s="135" t="s">
        <v>1152</v>
      </c>
      <c r="F223" s="384" t="s">
        <v>396</v>
      </c>
      <c r="G223" s="138" t="s">
        <v>4796</v>
      </c>
      <c r="H223" s="138" t="s">
        <v>2576</v>
      </c>
      <c r="I223" s="138" t="s">
        <v>1566</v>
      </c>
      <c r="J223" s="135" t="s">
        <v>4774</v>
      </c>
      <c r="K223" s="164">
        <v>4783728350</v>
      </c>
      <c r="L223" s="165">
        <v>3143380926</v>
      </c>
      <c r="M223" s="165">
        <v>1087690613</v>
      </c>
      <c r="N223" s="165">
        <v>7392619</v>
      </c>
      <c r="O223" s="165">
        <v>319734429</v>
      </c>
      <c r="P223" s="165">
        <v>72169075</v>
      </c>
      <c r="Q223" s="165">
        <v>0</v>
      </c>
      <c r="R223" s="165">
        <v>295.66666666666669</v>
      </c>
      <c r="S223" s="165">
        <v>951952934</v>
      </c>
      <c r="T223" s="165">
        <v>3219682.9785794811</v>
      </c>
      <c r="U223" s="166">
        <v>552656811</v>
      </c>
      <c r="V223" s="168">
        <v>6174314050</v>
      </c>
      <c r="W223" s="165">
        <v>4202987932</v>
      </c>
      <c r="X223" s="165">
        <v>1433826915</v>
      </c>
      <c r="Y223" s="165">
        <v>122612698</v>
      </c>
      <c r="Z223" s="165">
        <v>400813745</v>
      </c>
      <c r="AA223" s="165">
        <v>95377397</v>
      </c>
      <c r="AB223" s="165">
        <v>0</v>
      </c>
      <c r="AC223" s="165">
        <v>325.75</v>
      </c>
      <c r="AD223" s="165">
        <v>1156303043</v>
      </c>
      <c r="AE223" s="165">
        <v>3549663.9846508061</v>
      </c>
      <c r="AF223" s="166">
        <v>537499203</v>
      </c>
      <c r="AG223" s="11">
        <v>204350109</v>
      </c>
      <c r="AH223" s="12">
        <v>30.083333333333314</v>
      </c>
      <c r="AI223" s="132">
        <v>1</v>
      </c>
      <c r="AJ223" s="132">
        <v>1</v>
      </c>
      <c r="AK223" s="13">
        <v>0.05</v>
      </c>
      <c r="AL223" s="13">
        <v>0.10248866178744098</v>
      </c>
      <c r="AM223" s="14">
        <v>1</v>
      </c>
      <c r="AN223" s="14">
        <v>0</v>
      </c>
      <c r="AO223" s="82">
        <v>1081401.6764374294</v>
      </c>
      <c r="AP223" s="82">
        <v>1230433.5993860322</v>
      </c>
      <c r="AQ223" s="82">
        <v>149031.92294860282</v>
      </c>
      <c r="AR223" s="129">
        <v>0.13781365998948125</v>
      </c>
    </row>
    <row r="224" spans="1:44" ht="28.8" x14ac:dyDescent="0.3">
      <c r="A224" s="136" t="s">
        <v>398</v>
      </c>
      <c r="B224" s="137" t="s">
        <v>5007</v>
      </c>
      <c r="C224" s="134">
        <v>2019</v>
      </c>
      <c r="D224" s="149" t="s">
        <v>1181</v>
      </c>
      <c r="E224" s="135" t="s">
        <v>1175</v>
      </c>
      <c r="F224" s="384" t="s">
        <v>399</v>
      </c>
      <c r="G224" s="138" t="s">
        <v>4773</v>
      </c>
      <c r="H224" s="138" t="s">
        <v>1704</v>
      </c>
      <c r="I224" s="138" t="s">
        <v>1566</v>
      </c>
      <c r="J224" s="135" t="s">
        <v>4774</v>
      </c>
      <c r="K224" s="164">
        <v>5090036388</v>
      </c>
      <c r="L224" s="165">
        <v>4872293117</v>
      </c>
      <c r="M224" s="165">
        <v>209120085</v>
      </c>
      <c r="N224" s="165">
        <v>326054198</v>
      </c>
      <c r="O224" s="165">
        <v>229800878</v>
      </c>
      <c r="P224" s="165">
        <v>70287335</v>
      </c>
      <c r="Q224" s="165">
        <v>1131544</v>
      </c>
      <c r="R224" s="165">
        <v>719</v>
      </c>
      <c r="S224" s="165">
        <v>635897141</v>
      </c>
      <c r="T224" s="165">
        <v>884418.83310152986</v>
      </c>
      <c r="U224" s="166">
        <v>8623186</v>
      </c>
      <c r="V224" s="168">
        <v>6300357492</v>
      </c>
      <c r="W224" s="165">
        <v>5802313788</v>
      </c>
      <c r="X224" s="165">
        <v>379301607</v>
      </c>
      <c r="Y224" s="165">
        <v>263459668</v>
      </c>
      <c r="Z224" s="165">
        <v>309227954.29000002</v>
      </c>
      <c r="AA224" s="165">
        <v>91924306.346000001</v>
      </c>
      <c r="AB224" s="165">
        <v>2721597</v>
      </c>
      <c r="AC224" s="165">
        <v>750.16666666666663</v>
      </c>
      <c r="AD224" s="165">
        <v>786075622.63599992</v>
      </c>
      <c r="AE224" s="165">
        <v>1047867.9706323039</v>
      </c>
      <c r="AF224" s="166">
        <v>118742097</v>
      </c>
      <c r="AG224" s="11">
        <v>150178481.63599992</v>
      </c>
      <c r="AH224" s="12">
        <v>31.166666666666629</v>
      </c>
      <c r="AI224" s="132">
        <v>1</v>
      </c>
      <c r="AJ224" s="132">
        <v>0</v>
      </c>
      <c r="AK224" s="13">
        <v>0.15</v>
      </c>
      <c r="AL224" s="13">
        <v>0.18480965630277235</v>
      </c>
      <c r="AM224" s="14">
        <v>1</v>
      </c>
      <c r="AN224" s="14">
        <v>0</v>
      </c>
      <c r="AO224" s="82">
        <v>319611.79137691238</v>
      </c>
      <c r="AP224" s="82">
        <v>412212.33631193073</v>
      </c>
      <c r="AQ224" s="82">
        <v>92600.544935018348</v>
      </c>
      <c r="AR224" s="129">
        <v>0.28972818723642213</v>
      </c>
    </row>
    <row r="225" spans="1:44" ht="28.8" x14ac:dyDescent="0.3">
      <c r="A225" s="136" t="s">
        <v>400</v>
      </c>
      <c r="B225" s="137" t="s">
        <v>5008</v>
      </c>
      <c r="C225" s="134">
        <v>2020</v>
      </c>
      <c r="D225" s="149" t="s">
        <v>1181</v>
      </c>
      <c r="E225" s="135" t="s">
        <v>1175</v>
      </c>
      <c r="F225" s="384" t="s">
        <v>399</v>
      </c>
      <c r="G225" s="138" t="s">
        <v>4773</v>
      </c>
      <c r="H225" s="138" t="s">
        <v>1458</v>
      </c>
      <c r="I225" s="138" t="s">
        <v>1217</v>
      </c>
      <c r="J225" s="135" t="s">
        <v>4780</v>
      </c>
      <c r="K225" s="164">
        <v>434306660</v>
      </c>
      <c r="L225" s="165">
        <v>205625368</v>
      </c>
      <c r="M225" s="165">
        <v>216055599</v>
      </c>
      <c r="N225" s="165">
        <v>20477041</v>
      </c>
      <c r="O225" s="165">
        <v>202319174</v>
      </c>
      <c r="P225" s="165">
        <v>57609715</v>
      </c>
      <c r="Q225" s="165">
        <v>838551</v>
      </c>
      <c r="R225" s="165">
        <v>428.08333333333331</v>
      </c>
      <c r="S225" s="165">
        <v>293870174</v>
      </c>
      <c r="T225" s="165">
        <v>686478.89585361106</v>
      </c>
      <c r="U225" s="166">
        <v>12625693</v>
      </c>
      <c r="V225" s="168">
        <v>460533976</v>
      </c>
      <c r="W225" s="165">
        <v>199483626</v>
      </c>
      <c r="X225" s="165">
        <v>246195660</v>
      </c>
      <c r="Y225" s="165">
        <v>8098783</v>
      </c>
      <c r="Z225" s="165">
        <v>215327460.24000001</v>
      </c>
      <c r="AA225" s="165">
        <v>64027664.840000004</v>
      </c>
      <c r="AB225" s="165">
        <v>612179</v>
      </c>
      <c r="AC225" s="165">
        <v>429.25</v>
      </c>
      <c r="AD225" s="165">
        <v>302920777.08000004</v>
      </c>
      <c r="AE225" s="165">
        <v>705697.79168316838</v>
      </c>
      <c r="AF225" s="166">
        <v>14854690</v>
      </c>
      <c r="AG225" s="11">
        <v>9050603.0800000429</v>
      </c>
      <c r="AH225" s="12">
        <v>1.1666666666666856</v>
      </c>
      <c r="AI225" s="132">
        <v>0</v>
      </c>
      <c r="AJ225" s="132">
        <v>0</v>
      </c>
      <c r="AK225" s="13">
        <v>0.1</v>
      </c>
      <c r="AL225" s="13">
        <v>2.7996330258657665E-2</v>
      </c>
      <c r="AM225" s="14">
        <v>0</v>
      </c>
      <c r="AN225" s="14">
        <v>-1</v>
      </c>
      <c r="AO225" s="82">
        <v>472616.33015378629</v>
      </c>
      <c r="AP225" s="82">
        <v>501636.48279557371</v>
      </c>
      <c r="AQ225" s="82">
        <v>29020.152641787427</v>
      </c>
      <c r="AR225" s="129">
        <v>6.1403194917840631E-2</v>
      </c>
    </row>
    <row r="226" spans="1:44" ht="57.6" x14ac:dyDescent="0.3">
      <c r="A226" s="136" t="s">
        <v>401</v>
      </c>
      <c r="B226" s="137" t="s">
        <v>5009</v>
      </c>
      <c r="C226" s="134">
        <v>2019</v>
      </c>
      <c r="D226" s="149" t="s">
        <v>1181</v>
      </c>
      <c r="E226" s="135" t="s">
        <v>1175</v>
      </c>
      <c r="F226" s="384" t="s">
        <v>402</v>
      </c>
      <c r="G226" s="138" t="s">
        <v>4773</v>
      </c>
      <c r="H226" s="138" t="s">
        <v>3394</v>
      </c>
      <c r="I226" s="138" t="s">
        <v>1566</v>
      </c>
      <c r="J226" s="135" t="s">
        <v>4778</v>
      </c>
      <c r="K226" s="164">
        <v>2299913205</v>
      </c>
      <c r="L226" s="165">
        <v>1742387950</v>
      </c>
      <c r="M226" s="165">
        <v>406368576</v>
      </c>
      <c r="N226" s="165">
        <v>32658791</v>
      </c>
      <c r="O226" s="165">
        <v>776091995</v>
      </c>
      <c r="P226" s="165">
        <v>213441613</v>
      </c>
      <c r="Q226" s="165">
        <v>24150608</v>
      </c>
      <c r="R226" s="165">
        <v>1710.4166666666667</v>
      </c>
      <c r="S226" s="165">
        <v>1197499686</v>
      </c>
      <c r="T226" s="165">
        <v>700121.61909866019</v>
      </c>
      <c r="U226" s="166">
        <v>151156679</v>
      </c>
      <c r="V226" s="168">
        <v>2088938037</v>
      </c>
      <c r="W226" s="165">
        <v>1732378335</v>
      </c>
      <c r="X226" s="165">
        <v>312566675</v>
      </c>
      <c r="Y226" s="165">
        <v>29791423</v>
      </c>
      <c r="Z226" s="165">
        <v>759262787.24999988</v>
      </c>
      <c r="AA226" s="165">
        <v>208951335.53999999</v>
      </c>
      <c r="AB226" s="165">
        <v>20828344</v>
      </c>
      <c r="AC226" s="165">
        <v>1445.75</v>
      </c>
      <c r="AD226" s="165">
        <v>1062826916.7899998</v>
      </c>
      <c r="AE226" s="165">
        <v>735138.79771053081</v>
      </c>
      <c r="AF226" s="166">
        <v>43993027</v>
      </c>
      <c r="AG226" s="11">
        <v>-134672769.21000016</v>
      </c>
      <c r="AH226" s="12">
        <v>-264.66666666666674</v>
      </c>
      <c r="AI226" s="132">
        <v>0</v>
      </c>
      <c r="AJ226" s="132">
        <v>0</v>
      </c>
      <c r="AK226" s="13">
        <v>0.15</v>
      </c>
      <c r="AL226" s="13">
        <v>5.001585295994726E-2</v>
      </c>
      <c r="AM226" s="14">
        <v>0</v>
      </c>
      <c r="AN226" s="14">
        <v>-1</v>
      </c>
      <c r="AO226" s="82">
        <v>453744.40633373935</v>
      </c>
      <c r="AP226" s="82">
        <v>525168.79629949841</v>
      </c>
      <c r="AQ226" s="82">
        <v>71424.389965759066</v>
      </c>
      <c r="AR226" s="129">
        <v>0.1574110643982789</v>
      </c>
    </row>
    <row r="227" spans="1:44" ht="28.8" x14ac:dyDescent="0.3">
      <c r="A227" s="136" t="s">
        <v>403</v>
      </c>
      <c r="B227" s="137" t="s">
        <v>5010</v>
      </c>
      <c r="C227" s="134">
        <v>2019</v>
      </c>
      <c r="D227" s="149" t="s">
        <v>1181</v>
      </c>
      <c r="E227" s="135" t="s">
        <v>1175</v>
      </c>
      <c r="F227" s="384" t="s">
        <v>404</v>
      </c>
      <c r="G227" s="138" t="s">
        <v>4773</v>
      </c>
      <c r="H227" s="138" t="s">
        <v>3569</v>
      </c>
      <c r="I227" s="138" t="s">
        <v>3557</v>
      </c>
      <c r="J227" s="135" t="s">
        <v>4774</v>
      </c>
      <c r="K227" s="164">
        <v>921096880</v>
      </c>
      <c r="L227" s="165">
        <v>900099730</v>
      </c>
      <c r="M227" s="165">
        <v>4335719</v>
      </c>
      <c r="N227" s="165">
        <v>31268396</v>
      </c>
      <c r="O227" s="165">
        <v>12619951</v>
      </c>
      <c r="P227" s="165">
        <v>3694934</v>
      </c>
      <c r="Q227" s="165">
        <v>122772</v>
      </c>
      <c r="R227" s="165">
        <v>37.666666666666664</v>
      </c>
      <c r="S227" s="165">
        <v>64367484</v>
      </c>
      <c r="T227" s="165">
        <v>1708871.2566371683</v>
      </c>
      <c r="U227" s="166">
        <v>16661431</v>
      </c>
      <c r="V227" s="168">
        <v>1142475081</v>
      </c>
      <c r="W227" s="165">
        <v>1556621049</v>
      </c>
      <c r="X227" s="165">
        <v>1879874</v>
      </c>
      <c r="Y227" s="165">
        <v>61089478</v>
      </c>
      <c r="Z227" s="165">
        <v>15564012.470000001</v>
      </c>
      <c r="AA227" s="165">
        <v>3081819.38</v>
      </c>
      <c r="AB227" s="165">
        <v>323835</v>
      </c>
      <c r="AC227" s="165">
        <v>41.5</v>
      </c>
      <c r="AD227" s="165">
        <v>-335966697.14999998</v>
      </c>
      <c r="AE227" s="165">
        <v>-8095583.0638554208</v>
      </c>
      <c r="AF227" s="166">
        <v>-416025842</v>
      </c>
      <c r="AG227" s="11">
        <v>-400334181.14999998</v>
      </c>
      <c r="AH227" s="12">
        <v>3.8333333333333357</v>
      </c>
      <c r="AI227" s="132">
        <v>0</v>
      </c>
      <c r="AJ227" s="132">
        <v>1</v>
      </c>
      <c r="AK227" s="13">
        <v>0.15</v>
      </c>
      <c r="AL227" s="13">
        <v>-5.7373861621383924</v>
      </c>
      <c r="AM227" s="14">
        <v>0</v>
      </c>
      <c r="AN227" s="14">
        <v>-1</v>
      </c>
      <c r="AO227" s="82">
        <v>335042.94690265489</v>
      </c>
      <c r="AP227" s="82">
        <v>375036.44506024098</v>
      </c>
      <c r="AQ227" s="82">
        <v>39993.498157586087</v>
      </c>
      <c r="AR227" s="129">
        <v>0.11936827361181845</v>
      </c>
    </row>
    <row r="228" spans="1:44" ht="28.8" x14ac:dyDescent="0.3">
      <c r="A228" s="136" t="s">
        <v>405</v>
      </c>
      <c r="B228" s="137" t="s">
        <v>1110</v>
      </c>
      <c r="C228" s="134">
        <v>2020</v>
      </c>
      <c r="D228" s="149" t="s">
        <v>1109</v>
      </c>
      <c r="E228" s="135" t="s">
        <v>1108</v>
      </c>
      <c r="F228" s="384" t="s">
        <v>307</v>
      </c>
      <c r="G228" s="138" t="s">
        <v>4787</v>
      </c>
      <c r="H228" s="138" t="s">
        <v>4270</v>
      </c>
      <c r="I228" s="138" t="s">
        <v>4255</v>
      </c>
      <c r="J228" s="135" t="s">
        <v>5011</v>
      </c>
      <c r="K228" s="164">
        <v>3074737810</v>
      </c>
      <c r="L228" s="165">
        <v>3062716890</v>
      </c>
      <c r="M228" s="165">
        <v>5976170644</v>
      </c>
      <c r="N228" s="165">
        <v>602456330</v>
      </c>
      <c r="O228" s="165">
        <v>3176326650.9099998</v>
      </c>
      <c r="P228" s="165">
        <v>944656235.75999999</v>
      </c>
      <c r="Q228" s="165">
        <v>216218302</v>
      </c>
      <c r="R228" s="165">
        <v>7497.25</v>
      </c>
      <c r="S228" s="165">
        <v>-1024492205.3300002</v>
      </c>
      <c r="T228" s="165">
        <v>-136649.06536796829</v>
      </c>
      <c r="U228" s="166">
        <v>-5964149724</v>
      </c>
      <c r="V228" s="168">
        <v>4129120479</v>
      </c>
      <c r="W228" s="165">
        <v>3736108350</v>
      </c>
      <c r="X228" s="165">
        <v>6360870638</v>
      </c>
      <c r="Y228" s="165">
        <v>561938083</v>
      </c>
      <c r="Z228" s="165">
        <v>3640657319.5599999</v>
      </c>
      <c r="AA228" s="165">
        <v>1080572995.22</v>
      </c>
      <c r="AB228" s="165">
        <v>376281922</v>
      </c>
      <c r="AC228" s="165">
        <v>7593.5</v>
      </c>
      <c r="AD228" s="165">
        <v>-308408189.22000003</v>
      </c>
      <c r="AE228" s="165">
        <v>-40614.761206294861</v>
      </c>
      <c r="AF228" s="166">
        <v>-5967858509</v>
      </c>
      <c r="AG228" s="11">
        <v>716084016.11000013</v>
      </c>
      <c r="AH228" s="12">
        <v>96.25</v>
      </c>
      <c r="AI228" s="132">
        <v>0</v>
      </c>
      <c r="AJ228" s="132">
        <v>0</v>
      </c>
      <c r="AK228" s="13">
        <v>0.1</v>
      </c>
      <c r="AL228" s="13">
        <v>0.70278056045313742</v>
      </c>
      <c r="AM228" s="14">
        <v>1</v>
      </c>
      <c r="AN228" s="14">
        <v>0</v>
      </c>
      <c r="AO228" s="82">
        <v>423665.56416152586</v>
      </c>
      <c r="AP228" s="82">
        <v>479443.90854810033</v>
      </c>
      <c r="AQ228" s="82">
        <v>55778.344386574463</v>
      </c>
      <c r="AR228" s="129">
        <v>0.1316565449376681</v>
      </c>
    </row>
    <row r="229" spans="1:44" ht="28.8" x14ac:dyDescent="0.3">
      <c r="A229" s="136" t="s">
        <v>406</v>
      </c>
      <c r="B229" s="137" t="s">
        <v>5012</v>
      </c>
      <c r="C229" s="134">
        <v>2020</v>
      </c>
      <c r="D229" s="149" t="s">
        <v>1165</v>
      </c>
      <c r="E229" s="135" t="s">
        <v>1152</v>
      </c>
      <c r="F229" s="384" t="s">
        <v>407</v>
      </c>
      <c r="G229" s="138" t="s">
        <v>4773</v>
      </c>
      <c r="H229" s="138" t="s">
        <v>2566</v>
      </c>
      <c r="I229" s="138" t="s">
        <v>1566</v>
      </c>
      <c r="J229" s="135" t="s">
        <v>4778</v>
      </c>
      <c r="K229" s="164">
        <v>556832004</v>
      </c>
      <c r="L229" s="165">
        <v>249964913</v>
      </c>
      <c r="M229" s="165">
        <v>223048468</v>
      </c>
      <c r="N229" s="165">
        <v>0</v>
      </c>
      <c r="O229" s="165">
        <v>106718489</v>
      </c>
      <c r="P229" s="165">
        <v>29098301</v>
      </c>
      <c r="Q229" s="165">
        <v>1207071</v>
      </c>
      <c r="R229" s="165">
        <v>302.16666666666669</v>
      </c>
      <c r="S229" s="165">
        <v>220842484</v>
      </c>
      <c r="T229" s="165">
        <v>730863.15719801432</v>
      </c>
      <c r="U229" s="166">
        <v>83818623</v>
      </c>
      <c r="V229" s="168">
        <v>181868997</v>
      </c>
      <c r="W229" s="165">
        <v>100465865</v>
      </c>
      <c r="X229" s="165">
        <v>99887320</v>
      </c>
      <c r="Y229" s="165">
        <v>0</v>
      </c>
      <c r="Z229" s="165">
        <v>109357943</v>
      </c>
      <c r="AA229" s="165">
        <v>26563247</v>
      </c>
      <c r="AB229" s="165">
        <v>1035125</v>
      </c>
      <c r="AC229" s="165">
        <v>281.5</v>
      </c>
      <c r="AD229" s="165">
        <v>118472127</v>
      </c>
      <c r="AE229" s="165">
        <v>420860.13143872115</v>
      </c>
      <c r="AF229" s="166">
        <v>-18484188</v>
      </c>
      <c r="AG229" s="11">
        <v>-102370357</v>
      </c>
      <c r="AH229" s="12">
        <v>-20.666666666666686</v>
      </c>
      <c r="AI229" s="132">
        <v>0</v>
      </c>
      <c r="AJ229" s="132">
        <v>0</v>
      </c>
      <c r="AK229" s="13">
        <v>0.1</v>
      </c>
      <c r="AL229" s="13">
        <v>-0.42416015331789336</v>
      </c>
      <c r="AM229" s="14">
        <v>0</v>
      </c>
      <c r="AN229" s="14">
        <v>-1</v>
      </c>
      <c r="AO229" s="82">
        <v>353177.56977385544</v>
      </c>
      <c r="AP229" s="82">
        <v>388482.92362344585</v>
      </c>
      <c r="AQ229" s="82">
        <v>35305.353849590407</v>
      </c>
      <c r="AR229" s="129">
        <v>9.9964881326401578E-2</v>
      </c>
    </row>
    <row r="230" spans="1:44" ht="28.8" x14ac:dyDescent="0.3">
      <c r="A230" s="136" t="s">
        <v>408</v>
      </c>
      <c r="B230" s="137" t="s">
        <v>5013</v>
      </c>
      <c r="C230" s="134">
        <v>2020</v>
      </c>
      <c r="D230" s="149" t="s">
        <v>1165</v>
      </c>
      <c r="E230" s="135" t="s">
        <v>1152</v>
      </c>
      <c r="F230" s="384" t="s">
        <v>407</v>
      </c>
      <c r="G230" s="138" t="s">
        <v>4773</v>
      </c>
      <c r="H230" s="138" t="s">
        <v>4671</v>
      </c>
      <c r="I230" s="138" t="s">
        <v>4612</v>
      </c>
      <c r="J230" s="135" t="s">
        <v>4774</v>
      </c>
      <c r="K230" s="164">
        <v>444131336</v>
      </c>
      <c r="L230" s="165">
        <v>388222716</v>
      </c>
      <c r="M230" s="165">
        <v>44200997</v>
      </c>
      <c r="N230" s="165">
        <v>3367683</v>
      </c>
      <c r="O230" s="165">
        <v>15217532</v>
      </c>
      <c r="P230" s="165">
        <v>3426000</v>
      </c>
      <c r="Q230" s="165">
        <v>90628</v>
      </c>
      <c r="R230" s="165">
        <v>83.666666666666671</v>
      </c>
      <c r="S230" s="165">
        <v>33809466</v>
      </c>
      <c r="T230" s="165">
        <v>404097.203187251</v>
      </c>
      <c r="U230" s="166">
        <v>11707623</v>
      </c>
      <c r="V230" s="168">
        <v>515899801</v>
      </c>
      <c r="W230" s="165">
        <v>471307995</v>
      </c>
      <c r="X230" s="165">
        <v>33153570</v>
      </c>
      <c r="Y230" s="165">
        <v>1977589</v>
      </c>
      <c r="Z230" s="165">
        <v>23103523</v>
      </c>
      <c r="AA230" s="165">
        <v>5053481</v>
      </c>
      <c r="AB230" s="165">
        <v>61148</v>
      </c>
      <c r="AC230" s="165">
        <v>89.25</v>
      </c>
      <c r="AD230" s="165">
        <v>41633977</v>
      </c>
      <c r="AE230" s="165">
        <v>466487.13725490199</v>
      </c>
      <c r="AF230" s="166">
        <v>11438236</v>
      </c>
      <c r="AG230" s="11">
        <v>7824511</v>
      </c>
      <c r="AH230" s="12">
        <v>5.5833333333333286</v>
      </c>
      <c r="AI230" s="132">
        <v>1</v>
      </c>
      <c r="AJ230" s="132">
        <v>1</v>
      </c>
      <c r="AK230" s="13">
        <v>0.1</v>
      </c>
      <c r="AL230" s="13">
        <v>0.15439339841998412</v>
      </c>
      <c r="AM230" s="14">
        <v>1</v>
      </c>
      <c r="AN230" s="14">
        <v>0</v>
      </c>
      <c r="AO230" s="82">
        <v>181882.85258964144</v>
      </c>
      <c r="AP230" s="82">
        <v>258863.00280112046</v>
      </c>
      <c r="AQ230" s="82">
        <v>76980.15021147902</v>
      </c>
      <c r="AR230" s="129">
        <v>0.42324028414684745</v>
      </c>
    </row>
    <row r="231" spans="1:44" ht="28.8" x14ac:dyDescent="0.3">
      <c r="A231" s="136" t="s">
        <v>409</v>
      </c>
      <c r="B231" s="137" t="s">
        <v>5014</v>
      </c>
      <c r="C231" s="134">
        <v>2020</v>
      </c>
      <c r="D231" s="149" t="s">
        <v>1125</v>
      </c>
      <c r="E231" s="135" t="s">
        <v>1117</v>
      </c>
      <c r="F231" s="384" t="s">
        <v>410</v>
      </c>
      <c r="G231" s="138" t="s">
        <v>4773</v>
      </c>
      <c r="H231" s="138" t="s">
        <v>2463</v>
      </c>
      <c r="I231" s="138" t="s">
        <v>1566</v>
      </c>
      <c r="J231" s="135" t="s">
        <v>4774</v>
      </c>
      <c r="K231" s="164">
        <v>850141252</v>
      </c>
      <c r="L231" s="165">
        <v>769056745</v>
      </c>
      <c r="M231" s="165">
        <v>17621204</v>
      </c>
      <c r="N231" s="165">
        <v>16198596</v>
      </c>
      <c r="O231" s="165">
        <v>77666084</v>
      </c>
      <c r="P231" s="165">
        <v>12444187</v>
      </c>
      <c r="Q231" s="165">
        <v>0</v>
      </c>
      <c r="R231" s="165">
        <v>191.08333333333334</v>
      </c>
      <c r="S231" s="165">
        <v>169772170</v>
      </c>
      <c r="T231" s="165">
        <v>888471.88835586561</v>
      </c>
      <c r="U231" s="166">
        <v>63463303</v>
      </c>
      <c r="V231" s="168">
        <v>874669895</v>
      </c>
      <c r="W231" s="165">
        <v>791867664</v>
      </c>
      <c r="X231" s="165">
        <v>29118617</v>
      </c>
      <c r="Y231" s="165">
        <v>17958106</v>
      </c>
      <c r="Z231" s="165">
        <v>60581632.949999996</v>
      </c>
      <c r="AA231" s="165">
        <v>13435986.540000001</v>
      </c>
      <c r="AB231" s="165">
        <v>0</v>
      </c>
      <c r="AC231" s="165">
        <v>205.75</v>
      </c>
      <c r="AD231" s="165">
        <v>145659339.48999998</v>
      </c>
      <c r="AE231" s="165">
        <v>707943.32680437411</v>
      </c>
      <c r="AF231" s="166">
        <v>53683614</v>
      </c>
      <c r="AG231" s="11">
        <v>-24112830.51000002</v>
      </c>
      <c r="AH231" s="12">
        <v>14.666666666666657</v>
      </c>
      <c r="AI231" s="132">
        <v>0</v>
      </c>
      <c r="AJ231" s="132">
        <v>0</v>
      </c>
      <c r="AK231" s="13">
        <v>0.1</v>
      </c>
      <c r="AL231" s="13">
        <v>-0.20318995123188432</v>
      </c>
      <c r="AM231" s="14">
        <v>0</v>
      </c>
      <c r="AN231" s="14">
        <v>-1</v>
      </c>
      <c r="AO231" s="82">
        <v>406451.37723506324</v>
      </c>
      <c r="AP231" s="82">
        <v>294442.93049817736</v>
      </c>
      <c r="AQ231" s="82">
        <v>-112008.44673688587</v>
      </c>
      <c r="AR231" s="129">
        <v>-0.27557649699414843</v>
      </c>
    </row>
    <row r="232" spans="1:44" ht="28.8" x14ac:dyDescent="0.3">
      <c r="A232" s="136" t="s">
        <v>411</v>
      </c>
      <c r="B232" s="137" t="s">
        <v>5015</v>
      </c>
      <c r="C232" s="134">
        <v>2019</v>
      </c>
      <c r="D232" s="149" t="s">
        <v>4873</v>
      </c>
      <c r="E232" s="135" t="s">
        <v>1140</v>
      </c>
      <c r="F232" s="384" t="s">
        <v>412</v>
      </c>
      <c r="G232" s="138" t="s">
        <v>4773</v>
      </c>
      <c r="H232" s="138" t="s">
        <v>2264</v>
      </c>
      <c r="I232" s="138" t="s">
        <v>1566</v>
      </c>
      <c r="J232" s="135" t="s">
        <v>4774</v>
      </c>
      <c r="K232" s="164">
        <v>1112658198</v>
      </c>
      <c r="L232" s="165">
        <v>970321538</v>
      </c>
      <c r="M232" s="165">
        <v>88255748</v>
      </c>
      <c r="N232" s="165">
        <v>48457410</v>
      </c>
      <c r="O232" s="165">
        <v>49806525</v>
      </c>
      <c r="P232" s="165">
        <v>14165206</v>
      </c>
      <c r="Q232" s="165">
        <v>2552479</v>
      </c>
      <c r="R232" s="165">
        <v>341.91666666666669</v>
      </c>
      <c r="S232" s="165">
        <v>169062532</v>
      </c>
      <c r="T232" s="165">
        <v>494455.37021691445</v>
      </c>
      <c r="U232" s="166">
        <v>54080912</v>
      </c>
      <c r="V232" s="168">
        <v>2850739613</v>
      </c>
      <c r="W232" s="165">
        <v>2472253887</v>
      </c>
      <c r="X232" s="165">
        <v>222501267</v>
      </c>
      <c r="Y232" s="165">
        <v>58476301</v>
      </c>
      <c r="Z232" s="165">
        <v>115968189</v>
      </c>
      <c r="AA232" s="165">
        <v>34491375</v>
      </c>
      <c r="AB232" s="165">
        <v>2472314</v>
      </c>
      <c r="AC232" s="165">
        <v>507.41666666666669</v>
      </c>
      <c r="AD232" s="165">
        <v>367392638</v>
      </c>
      <c r="AE232" s="165">
        <v>724045.27114468708</v>
      </c>
      <c r="AF232" s="166">
        <v>155984459</v>
      </c>
      <c r="AG232" s="11">
        <v>198330106</v>
      </c>
      <c r="AH232" s="12">
        <v>165.5</v>
      </c>
      <c r="AI232" s="132">
        <v>1</v>
      </c>
      <c r="AJ232" s="132">
        <v>1</v>
      </c>
      <c r="AK232" s="13">
        <v>0.15</v>
      </c>
      <c r="AL232" s="13">
        <v>0.46432886349277602</v>
      </c>
      <c r="AM232" s="14">
        <v>1</v>
      </c>
      <c r="AN232" s="14">
        <v>0</v>
      </c>
      <c r="AO232" s="82">
        <v>145668.60833536435</v>
      </c>
      <c r="AP232" s="82">
        <v>228546.27492199047</v>
      </c>
      <c r="AQ232" s="82">
        <v>82877.666586626117</v>
      </c>
      <c r="AR232" s="129">
        <v>0.56894664906677561</v>
      </c>
    </row>
    <row r="233" spans="1:44" ht="28.8" x14ac:dyDescent="0.3">
      <c r="A233" s="136" t="s">
        <v>413</v>
      </c>
      <c r="B233" s="137" t="s">
        <v>5016</v>
      </c>
      <c r="C233" s="134">
        <v>2020</v>
      </c>
      <c r="D233" s="149" t="s">
        <v>4758</v>
      </c>
      <c r="E233" s="135" t="s">
        <v>1140</v>
      </c>
      <c r="F233" s="384" t="s">
        <v>412</v>
      </c>
      <c r="G233" s="138" t="s">
        <v>4773</v>
      </c>
      <c r="H233" s="138" t="s">
        <v>2338</v>
      </c>
      <c r="I233" s="138" t="s">
        <v>1566</v>
      </c>
      <c r="J233" s="135" t="s">
        <v>4774</v>
      </c>
      <c r="K233" s="164">
        <v>4296828184</v>
      </c>
      <c r="L233" s="165">
        <v>3391863864</v>
      </c>
      <c r="M233" s="165">
        <v>629763233</v>
      </c>
      <c r="N233" s="165">
        <v>357263387</v>
      </c>
      <c r="O233" s="165">
        <v>169997687</v>
      </c>
      <c r="P233" s="165">
        <v>48500511</v>
      </c>
      <c r="Q233" s="165">
        <v>0</v>
      </c>
      <c r="R233" s="165">
        <v>208</v>
      </c>
      <c r="S233" s="165">
        <v>850962672</v>
      </c>
      <c r="T233" s="165">
        <v>4091166.6923076925</v>
      </c>
      <c r="U233" s="166">
        <v>275201087</v>
      </c>
      <c r="V233" s="168">
        <v>8566047120</v>
      </c>
      <c r="W233" s="165">
        <v>5615826028</v>
      </c>
      <c r="X233" s="165">
        <v>691184975</v>
      </c>
      <c r="Y233" s="165">
        <v>338367858</v>
      </c>
      <c r="Z233" s="165">
        <v>194876860</v>
      </c>
      <c r="AA233" s="165">
        <v>57904361</v>
      </c>
      <c r="AB233" s="165">
        <v>0</v>
      </c>
      <c r="AC233" s="165">
        <v>246.16666666666666</v>
      </c>
      <c r="AD233" s="165">
        <v>2850185196</v>
      </c>
      <c r="AE233" s="165">
        <v>11578274.323628979</v>
      </c>
      <c r="AF233" s="166">
        <v>2259036117</v>
      </c>
      <c r="AG233" s="11">
        <v>1999222524</v>
      </c>
      <c r="AH233" s="12">
        <v>38.166666666666657</v>
      </c>
      <c r="AI233" s="132">
        <v>1</v>
      </c>
      <c r="AJ233" s="132">
        <v>1</v>
      </c>
      <c r="AK233" s="13">
        <v>0.1</v>
      </c>
      <c r="AL233" s="13">
        <v>1.8300666282556186</v>
      </c>
      <c r="AM233" s="14">
        <v>1</v>
      </c>
      <c r="AN233" s="14">
        <v>0</v>
      </c>
      <c r="AO233" s="82">
        <v>817296.57211538462</v>
      </c>
      <c r="AP233" s="82">
        <v>791646.01218686532</v>
      </c>
      <c r="AQ233" s="82">
        <v>-25650.559928519302</v>
      </c>
      <c r="AR233" s="129">
        <v>-3.1384641516516765E-2</v>
      </c>
    </row>
    <row r="234" spans="1:44" ht="28.8" x14ac:dyDescent="0.3">
      <c r="A234" s="136" t="s">
        <v>414</v>
      </c>
      <c r="B234" s="137" t="s">
        <v>5017</v>
      </c>
      <c r="C234" s="134">
        <v>2020</v>
      </c>
      <c r="D234" s="149" t="s">
        <v>4758</v>
      </c>
      <c r="E234" s="135" t="s">
        <v>1140</v>
      </c>
      <c r="F234" s="384" t="s">
        <v>412</v>
      </c>
      <c r="G234" s="138" t="s">
        <v>4773</v>
      </c>
      <c r="H234" s="138" t="s">
        <v>2743</v>
      </c>
      <c r="I234" s="138" t="s">
        <v>1566</v>
      </c>
      <c r="J234" s="135" t="s">
        <v>4953</v>
      </c>
      <c r="K234" s="164">
        <v>1722110955</v>
      </c>
      <c r="L234" s="165">
        <v>1580286180</v>
      </c>
      <c r="M234" s="165">
        <v>0</v>
      </c>
      <c r="N234" s="165">
        <v>12399660</v>
      </c>
      <c r="O234" s="165">
        <v>511511309</v>
      </c>
      <c r="P234" s="165">
        <v>156229873</v>
      </c>
      <c r="Q234" s="165">
        <v>8134881</v>
      </c>
      <c r="R234" s="165">
        <v>1149.75</v>
      </c>
      <c r="S234" s="165">
        <v>830100498</v>
      </c>
      <c r="T234" s="165">
        <v>721983.47292889759</v>
      </c>
      <c r="U234" s="166">
        <v>141824775</v>
      </c>
      <c r="V234" s="168">
        <v>1767652091</v>
      </c>
      <c r="W234" s="165">
        <v>1183862374</v>
      </c>
      <c r="X234" s="165">
        <v>412350502</v>
      </c>
      <c r="Y234" s="165">
        <v>15129444</v>
      </c>
      <c r="Z234" s="165">
        <v>802076509.10000002</v>
      </c>
      <c r="AA234" s="165">
        <v>246382405</v>
      </c>
      <c r="AB234" s="165">
        <v>9774761</v>
      </c>
      <c r="AC234" s="165">
        <v>1994.6666666666667</v>
      </c>
      <c r="AD234" s="165">
        <v>1244802334.0999999</v>
      </c>
      <c r="AE234" s="165">
        <v>624065.34129344916</v>
      </c>
      <c r="AF234" s="166">
        <v>171439215</v>
      </c>
      <c r="AG234" s="11">
        <v>414701836.0999999</v>
      </c>
      <c r="AH234" s="12">
        <v>844.91666666666674</v>
      </c>
      <c r="AI234" s="132">
        <v>0</v>
      </c>
      <c r="AJ234" s="132">
        <v>0</v>
      </c>
      <c r="AK234" s="13">
        <v>0.1</v>
      </c>
      <c r="AL234" s="13">
        <v>-0.13562378374119843</v>
      </c>
      <c r="AM234" s="14">
        <v>0</v>
      </c>
      <c r="AN234" s="14">
        <v>-1</v>
      </c>
      <c r="AO234" s="82">
        <v>444889.15764296585</v>
      </c>
      <c r="AP234" s="82">
        <v>402110.54934826202</v>
      </c>
      <c r="AQ234" s="82">
        <v>-42778.608294703823</v>
      </c>
      <c r="AR234" s="129">
        <v>-9.6155654863215756E-2</v>
      </c>
    </row>
    <row r="235" spans="1:44" ht="28.8" x14ac:dyDescent="0.3">
      <c r="A235" s="136" t="s">
        <v>415</v>
      </c>
      <c r="B235" s="137" t="s">
        <v>5018</v>
      </c>
      <c r="C235" s="134">
        <v>2019</v>
      </c>
      <c r="D235" s="149" t="s">
        <v>4758</v>
      </c>
      <c r="E235" s="135" t="s">
        <v>1140</v>
      </c>
      <c r="F235" s="384" t="s">
        <v>412</v>
      </c>
      <c r="G235" s="138" t="s">
        <v>4773</v>
      </c>
      <c r="H235" s="138" t="s">
        <v>2944</v>
      </c>
      <c r="I235" s="138" t="s">
        <v>1566</v>
      </c>
      <c r="J235" s="135" t="s">
        <v>4778</v>
      </c>
      <c r="K235" s="164">
        <v>2826118654</v>
      </c>
      <c r="L235" s="165">
        <v>1515118973</v>
      </c>
      <c r="M235" s="165">
        <v>754815924</v>
      </c>
      <c r="N235" s="165">
        <v>49736479</v>
      </c>
      <c r="O235" s="165">
        <v>719525036</v>
      </c>
      <c r="P235" s="165">
        <v>205890278</v>
      </c>
      <c r="Q235" s="165">
        <v>16857229</v>
      </c>
      <c r="R235" s="165">
        <v>1710.25</v>
      </c>
      <c r="S235" s="165">
        <v>1548192779</v>
      </c>
      <c r="T235" s="165">
        <v>905243.54860400525</v>
      </c>
      <c r="U235" s="166">
        <v>556183757</v>
      </c>
      <c r="V235" s="168">
        <v>4257976543</v>
      </c>
      <c r="W235" s="165">
        <v>3011895430</v>
      </c>
      <c r="X235" s="165">
        <v>953165760</v>
      </c>
      <c r="Y235" s="165">
        <v>48722873</v>
      </c>
      <c r="Z235" s="165">
        <v>898113900.02999997</v>
      </c>
      <c r="AA235" s="165">
        <v>235903327.69</v>
      </c>
      <c r="AB235" s="165">
        <v>12948900</v>
      </c>
      <c r="AC235" s="165">
        <v>1540.9166666666667</v>
      </c>
      <c r="AD235" s="165">
        <v>1488604353.72</v>
      </c>
      <c r="AE235" s="165">
        <v>966051.17325401539</v>
      </c>
      <c r="AF235" s="166">
        <v>292915353</v>
      </c>
      <c r="AG235" s="11">
        <v>-59588425.279999971</v>
      </c>
      <c r="AH235" s="12">
        <v>-169.33333333333326</v>
      </c>
      <c r="AI235" s="132">
        <v>0</v>
      </c>
      <c r="AJ235" s="132">
        <v>1</v>
      </c>
      <c r="AK235" s="13">
        <v>0.15</v>
      </c>
      <c r="AL235" s="13">
        <v>6.7172663091606744E-2</v>
      </c>
      <c r="AM235" s="14">
        <v>0</v>
      </c>
      <c r="AN235" s="14">
        <v>-1</v>
      </c>
      <c r="AO235" s="82">
        <v>420713.36705160065</v>
      </c>
      <c r="AP235" s="82">
        <v>582843.91327456594</v>
      </c>
      <c r="AQ235" s="82">
        <v>162130.54622296529</v>
      </c>
      <c r="AR235" s="129">
        <v>0.38537056086235522</v>
      </c>
    </row>
    <row r="236" spans="1:44" ht="28.8" x14ac:dyDescent="0.3">
      <c r="A236" s="136" t="s">
        <v>416</v>
      </c>
      <c r="B236" s="137" t="s">
        <v>5019</v>
      </c>
      <c r="C236" s="134">
        <v>2020</v>
      </c>
      <c r="D236" s="149" t="s">
        <v>4873</v>
      </c>
      <c r="E236" s="135" t="s">
        <v>1140</v>
      </c>
      <c r="F236" s="384" t="s">
        <v>417</v>
      </c>
      <c r="G236" s="138" t="s">
        <v>4773</v>
      </c>
      <c r="H236" s="138" t="s">
        <v>2729</v>
      </c>
      <c r="I236" s="138" t="s">
        <v>1566</v>
      </c>
      <c r="J236" s="135" t="s">
        <v>4774</v>
      </c>
      <c r="K236" s="164">
        <v>715522691</v>
      </c>
      <c r="L236" s="165">
        <v>504501631</v>
      </c>
      <c r="M236" s="165">
        <v>158525334</v>
      </c>
      <c r="N236" s="165">
        <v>16275365</v>
      </c>
      <c r="O236" s="165">
        <v>66837204</v>
      </c>
      <c r="P236" s="165">
        <v>17128018</v>
      </c>
      <c r="Q236" s="165">
        <v>894427</v>
      </c>
      <c r="R236" s="165">
        <v>223.08333333333334</v>
      </c>
      <c r="S236" s="165">
        <v>153630740</v>
      </c>
      <c r="T236" s="165">
        <v>688669.73477773624</v>
      </c>
      <c r="U236" s="166">
        <v>52495726</v>
      </c>
      <c r="V236" s="168">
        <v>706666729</v>
      </c>
      <c r="W236" s="165">
        <v>461437986</v>
      </c>
      <c r="X236" s="165">
        <v>226231667</v>
      </c>
      <c r="Y236" s="165">
        <v>16169022</v>
      </c>
      <c r="Z236" s="165">
        <v>129786482</v>
      </c>
      <c r="AA236" s="165">
        <v>26715715</v>
      </c>
      <c r="AB236" s="165">
        <v>0</v>
      </c>
      <c r="AC236" s="165">
        <v>246.91666666666666</v>
      </c>
      <c r="AD236" s="165">
        <v>191668295</v>
      </c>
      <c r="AE236" s="165">
        <v>776246.89166385424</v>
      </c>
      <c r="AF236" s="166">
        <v>18997076</v>
      </c>
      <c r="AG236" s="11">
        <v>38037555</v>
      </c>
      <c r="AH236" s="12">
        <v>23.833333333333314</v>
      </c>
      <c r="AI236" s="132">
        <v>1</v>
      </c>
      <c r="AJ236" s="132">
        <v>1</v>
      </c>
      <c r="AK236" s="13">
        <v>0.1</v>
      </c>
      <c r="AL236" s="13">
        <v>0.12716859212034781</v>
      </c>
      <c r="AM236" s="14">
        <v>1</v>
      </c>
      <c r="AN236" s="14">
        <v>0</v>
      </c>
      <c r="AO236" s="82">
        <v>299606.44303324615</v>
      </c>
      <c r="AP236" s="82">
        <v>525628.68174147827</v>
      </c>
      <c r="AQ236" s="82">
        <v>226022.23870823212</v>
      </c>
      <c r="AR236" s="129">
        <v>0.75439712317251906</v>
      </c>
    </row>
    <row r="237" spans="1:44" ht="43.2" x14ac:dyDescent="0.3">
      <c r="A237" s="136" t="s">
        <v>418</v>
      </c>
      <c r="B237" s="137" t="s">
        <v>5020</v>
      </c>
      <c r="C237" s="134">
        <v>2019</v>
      </c>
      <c r="D237" s="149" t="s">
        <v>1149</v>
      </c>
      <c r="E237" s="135" t="s">
        <v>1140</v>
      </c>
      <c r="F237" s="384" t="s">
        <v>417</v>
      </c>
      <c r="G237" s="138" t="s">
        <v>4773</v>
      </c>
      <c r="H237" s="138" t="s">
        <v>2967</v>
      </c>
      <c r="I237" s="138" t="s">
        <v>1566</v>
      </c>
      <c r="J237" s="135" t="s">
        <v>4778</v>
      </c>
      <c r="K237" s="164">
        <v>7175267404</v>
      </c>
      <c r="L237" s="165">
        <v>2945640999</v>
      </c>
      <c r="M237" s="165">
        <v>3445276562</v>
      </c>
      <c r="N237" s="165">
        <v>331188780</v>
      </c>
      <c r="O237" s="165">
        <v>2319888725</v>
      </c>
      <c r="P237" s="165">
        <v>598999043</v>
      </c>
      <c r="Q237" s="165">
        <v>0</v>
      </c>
      <c r="R237" s="165">
        <v>4329.166666666667</v>
      </c>
      <c r="S237" s="165">
        <v>4034426391</v>
      </c>
      <c r="T237" s="165">
        <v>931917.54941289697</v>
      </c>
      <c r="U237" s="166">
        <v>784349843</v>
      </c>
      <c r="V237" s="168">
        <v>6936670733</v>
      </c>
      <c r="W237" s="165">
        <v>2963438219</v>
      </c>
      <c r="X237" s="165">
        <v>3174037186</v>
      </c>
      <c r="Y237" s="165">
        <v>281714836</v>
      </c>
      <c r="Z237" s="165">
        <v>2365356028.4299998</v>
      </c>
      <c r="AA237" s="165">
        <v>671038852</v>
      </c>
      <c r="AB237" s="165">
        <v>25762367</v>
      </c>
      <c r="AC237" s="165">
        <v>4091.1666666666665</v>
      </c>
      <c r="AD237" s="165">
        <v>4143067411.4299998</v>
      </c>
      <c r="AE237" s="165">
        <v>1012686.0499686316</v>
      </c>
      <c r="AF237" s="166">
        <v>799195328</v>
      </c>
      <c r="AG237" s="11">
        <v>108641020.42999983</v>
      </c>
      <c r="AH237" s="12">
        <v>-238.00000000000045</v>
      </c>
      <c r="AI237" s="132">
        <v>0</v>
      </c>
      <c r="AJ237" s="132">
        <v>0</v>
      </c>
      <c r="AK237" s="13">
        <v>0.15</v>
      </c>
      <c r="AL237" s="13">
        <v>8.6669147930522383E-2</v>
      </c>
      <c r="AM237" s="14">
        <v>0</v>
      </c>
      <c r="AN237" s="14">
        <v>-1</v>
      </c>
      <c r="AO237" s="82">
        <v>535874.20019249269</v>
      </c>
      <c r="AP237" s="82">
        <v>578161.73750682361</v>
      </c>
      <c r="AQ237" s="82">
        <v>42287.537314330926</v>
      </c>
      <c r="AR237" s="129">
        <v>7.8913180181357401E-2</v>
      </c>
    </row>
    <row r="238" spans="1:44" ht="28.8" x14ac:dyDescent="0.3">
      <c r="A238" s="136" t="s">
        <v>419</v>
      </c>
      <c r="B238" s="137" t="s">
        <v>5021</v>
      </c>
      <c r="C238" s="134">
        <v>2019</v>
      </c>
      <c r="D238" s="149" t="s">
        <v>1149</v>
      </c>
      <c r="E238" s="135" t="s">
        <v>1140</v>
      </c>
      <c r="F238" s="384" t="s">
        <v>417</v>
      </c>
      <c r="G238" s="138" t="s">
        <v>4773</v>
      </c>
      <c r="H238" s="138" t="s">
        <v>2914</v>
      </c>
      <c r="I238" s="138" t="s">
        <v>1566</v>
      </c>
      <c r="J238" s="135" t="s">
        <v>4778</v>
      </c>
      <c r="K238" s="164">
        <v>779363465</v>
      </c>
      <c r="L238" s="165">
        <v>229439304</v>
      </c>
      <c r="M238" s="165">
        <v>490014899</v>
      </c>
      <c r="N238" s="165">
        <v>31925048</v>
      </c>
      <c r="O238" s="165">
        <v>339224545</v>
      </c>
      <c r="P238" s="165">
        <v>78849236</v>
      </c>
      <c r="Q238" s="165">
        <v>4804410</v>
      </c>
      <c r="R238" s="165">
        <v>542.33333333333337</v>
      </c>
      <c r="S238" s="165">
        <v>514712501</v>
      </c>
      <c r="T238" s="165">
        <v>949070.37676705583</v>
      </c>
      <c r="U238" s="166">
        <v>59909262</v>
      </c>
      <c r="V238" s="168">
        <v>1022087439</v>
      </c>
      <c r="W238" s="165">
        <v>185742165</v>
      </c>
      <c r="X238" s="165">
        <v>532771516</v>
      </c>
      <c r="Y238" s="165">
        <v>38742911</v>
      </c>
      <c r="Z238" s="165">
        <v>385518563</v>
      </c>
      <c r="AA238" s="165">
        <v>96343733</v>
      </c>
      <c r="AB238" s="165">
        <v>969510</v>
      </c>
      <c r="AC238" s="165">
        <v>533.58333333333337</v>
      </c>
      <c r="AD238" s="165">
        <v>825148475</v>
      </c>
      <c r="AE238" s="165">
        <v>1546428.5022645635</v>
      </c>
      <c r="AF238" s="166">
        <v>303573758</v>
      </c>
      <c r="AG238" s="11">
        <v>310435974</v>
      </c>
      <c r="AH238" s="12">
        <v>-8.75</v>
      </c>
      <c r="AI238" s="132">
        <v>1</v>
      </c>
      <c r="AJ238" s="132">
        <v>1</v>
      </c>
      <c r="AK238" s="13">
        <v>0.15</v>
      </c>
      <c r="AL238" s="13">
        <v>0.6294139323998289</v>
      </c>
      <c r="AM238" s="14">
        <v>1</v>
      </c>
      <c r="AN238" s="14">
        <v>0</v>
      </c>
      <c r="AO238" s="82">
        <v>625490.86355255067</v>
      </c>
      <c r="AP238" s="82">
        <v>722508.62970482581</v>
      </c>
      <c r="AQ238" s="82">
        <v>97017.766152275144</v>
      </c>
      <c r="AR238" s="129">
        <v>0.15510660795467279</v>
      </c>
    </row>
    <row r="239" spans="1:44" ht="28.8" x14ac:dyDescent="0.3">
      <c r="A239" s="136" t="s">
        <v>420</v>
      </c>
      <c r="B239" s="137" t="s">
        <v>5022</v>
      </c>
      <c r="C239" s="134">
        <v>2019</v>
      </c>
      <c r="D239" s="149" t="s">
        <v>1149</v>
      </c>
      <c r="E239" s="135" t="s">
        <v>1140</v>
      </c>
      <c r="F239" s="384" t="s">
        <v>417</v>
      </c>
      <c r="G239" s="138" t="s">
        <v>4773</v>
      </c>
      <c r="H239" s="138" t="s">
        <v>2855</v>
      </c>
      <c r="I239" s="138" t="s">
        <v>1566</v>
      </c>
      <c r="J239" s="135" t="s">
        <v>4778</v>
      </c>
      <c r="K239" s="164">
        <v>2368509743</v>
      </c>
      <c r="L239" s="165">
        <v>1340442175</v>
      </c>
      <c r="M239" s="165">
        <v>866361213</v>
      </c>
      <c r="N239" s="165">
        <v>28000155</v>
      </c>
      <c r="O239" s="165">
        <v>708742697</v>
      </c>
      <c r="P239" s="165">
        <v>181241524</v>
      </c>
      <c r="Q239" s="165">
        <v>2372306</v>
      </c>
      <c r="R239" s="165">
        <v>1592.4166666666667</v>
      </c>
      <c r="S239" s="165">
        <v>1082063037</v>
      </c>
      <c r="T239" s="165">
        <v>679509.9923596211</v>
      </c>
      <c r="U239" s="166">
        <v>161706355</v>
      </c>
      <c r="V239" s="168">
        <v>1942436812</v>
      </c>
      <c r="W239" s="165">
        <v>1065126407</v>
      </c>
      <c r="X239" s="165">
        <v>768363090</v>
      </c>
      <c r="Y239" s="165">
        <v>24433478</v>
      </c>
      <c r="Z239" s="165">
        <v>686032762.67999995</v>
      </c>
      <c r="AA239" s="165">
        <v>194727644.28</v>
      </c>
      <c r="AB239" s="165">
        <v>2216303</v>
      </c>
      <c r="AC239" s="165">
        <v>1377.8333333333333</v>
      </c>
      <c r="AD239" s="165">
        <v>1016357502.9599999</v>
      </c>
      <c r="AE239" s="165">
        <v>737649.0888786742</v>
      </c>
      <c r="AF239" s="166">
        <v>108947315</v>
      </c>
      <c r="AG239" s="11">
        <v>-65705534.040000081</v>
      </c>
      <c r="AH239" s="12">
        <v>-214.58333333333348</v>
      </c>
      <c r="AI239" s="132">
        <v>0</v>
      </c>
      <c r="AJ239" s="132">
        <v>0</v>
      </c>
      <c r="AK239" s="13">
        <v>0.15</v>
      </c>
      <c r="AL239" s="13">
        <v>8.5560331497112951E-2</v>
      </c>
      <c r="AM239" s="14">
        <v>0</v>
      </c>
      <c r="AN239" s="14">
        <v>-1</v>
      </c>
      <c r="AO239" s="82">
        <v>445073.64927521063</v>
      </c>
      <c r="AP239" s="82">
        <v>497906.92827869841</v>
      </c>
      <c r="AQ239" s="82">
        <v>52833.279003487783</v>
      </c>
      <c r="AR239" s="129">
        <v>0.11870682321796688</v>
      </c>
    </row>
    <row r="240" spans="1:44" ht="28.8" x14ac:dyDescent="0.3">
      <c r="A240" s="136" t="s">
        <v>421</v>
      </c>
      <c r="B240" s="137" t="s">
        <v>5023</v>
      </c>
      <c r="C240" s="134">
        <v>2019</v>
      </c>
      <c r="D240" s="149" t="s">
        <v>1149</v>
      </c>
      <c r="E240" s="135" t="s">
        <v>1140</v>
      </c>
      <c r="F240" s="384" t="s">
        <v>417</v>
      </c>
      <c r="G240" s="138" t="s">
        <v>4773</v>
      </c>
      <c r="H240" s="138" t="s">
        <v>3060</v>
      </c>
      <c r="I240" s="138" t="s">
        <v>1566</v>
      </c>
      <c r="J240" s="135" t="s">
        <v>4774</v>
      </c>
      <c r="K240" s="164">
        <v>3484452734</v>
      </c>
      <c r="L240" s="165">
        <v>2032510508</v>
      </c>
      <c r="M240" s="165">
        <v>932654935</v>
      </c>
      <c r="N240" s="165">
        <v>66231653</v>
      </c>
      <c r="O240" s="165">
        <v>597006601</v>
      </c>
      <c r="P240" s="165">
        <v>141690609</v>
      </c>
      <c r="Q240" s="165">
        <v>7770955</v>
      </c>
      <c r="R240" s="165">
        <v>1083.1666666666667</v>
      </c>
      <c r="S240" s="165">
        <v>1331987109</v>
      </c>
      <c r="T240" s="165">
        <v>1229715.7491921834</v>
      </c>
      <c r="U240" s="166">
        <v>519287291</v>
      </c>
      <c r="V240" s="168">
        <v>3340055322</v>
      </c>
      <c r="W240" s="165">
        <v>2097122816</v>
      </c>
      <c r="X240" s="165">
        <v>1097641719</v>
      </c>
      <c r="Y240" s="165">
        <v>64595208</v>
      </c>
      <c r="Z240" s="165">
        <v>679855108</v>
      </c>
      <c r="AA240" s="165">
        <v>176758980</v>
      </c>
      <c r="AB240" s="165">
        <v>7524382</v>
      </c>
      <c r="AC240" s="165">
        <v>996.33333333333337</v>
      </c>
      <c r="AD240" s="165">
        <v>1074024465</v>
      </c>
      <c r="AE240" s="165">
        <v>1077977.0475075275</v>
      </c>
      <c r="AF240" s="166">
        <v>145290787</v>
      </c>
      <c r="AG240" s="11">
        <v>-257962644</v>
      </c>
      <c r="AH240" s="12">
        <v>-86.833333333333371</v>
      </c>
      <c r="AI240" s="132">
        <v>0</v>
      </c>
      <c r="AJ240" s="132">
        <v>0</v>
      </c>
      <c r="AK240" s="13">
        <v>0.15</v>
      </c>
      <c r="AL240" s="13">
        <v>-0.12339331264155962</v>
      </c>
      <c r="AM240" s="14">
        <v>0</v>
      </c>
      <c r="AN240" s="14">
        <v>-1</v>
      </c>
      <c r="AO240" s="82">
        <v>551167.81135559315</v>
      </c>
      <c r="AP240" s="82">
        <v>682357.08397457341</v>
      </c>
      <c r="AQ240" s="82">
        <v>131189.27261898026</v>
      </c>
      <c r="AR240" s="129">
        <v>0.23802056273264793</v>
      </c>
    </row>
    <row r="241" spans="1:44" ht="28.8" x14ac:dyDescent="0.3">
      <c r="A241" s="136" t="s">
        <v>422</v>
      </c>
      <c r="B241" s="137" t="s">
        <v>5024</v>
      </c>
      <c r="C241" s="134">
        <v>2019</v>
      </c>
      <c r="D241" s="149" t="s">
        <v>1149</v>
      </c>
      <c r="E241" s="135" t="s">
        <v>1140</v>
      </c>
      <c r="F241" s="384" t="s">
        <v>417</v>
      </c>
      <c r="G241" s="138" t="s">
        <v>4773</v>
      </c>
      <c r="H241" s="138" t="s">
        <v>3463</v>
      </c>
      <c r="I241" s="138" t="s">
        <v>1566</v>
      </c>
      <c r="J241" s="135" t="s">
        <v>4798</v>
      </c>
      <c r="K241" s="164">
        <v>1051134377</v>
      </c>
      <c r="L241" s="165">
        <v>699223468</v>
      </c>
      <c r="M241" s="165">
        <v>330570513</v>
      </c>
      <c r="N241" s="165">
        <v>29260704</v>
      </c>
      <c r="O241" s="165">
        <v>216616405</v>
      </c>
      <c r="P241" s="165">
        <v>57636477</v>
      </c>
      <c r="Q241" s="165">
        <v>1033370</v>
      </c>
      <c r="R241" s="165">
        <v>631.83333333333337</v>
      </c>
      <c r="S241" s="165">
        <v>325887352</v>
      </c>
      <c r="T241" s="165">
        <v>515780.56238459505</v>
      </c>
      <c r="U241" s="166">
        <v>21340396</v>
      </c>
      <c r="V241" s="168">
        <v>1068783026</v>
      </c>
      <c r="W241" s="165">
        <v>673479614</v>
      </c>
      <c r="X241" s="165">
        <v>409441996</v>
      </c>
      <c r="Y241" s="165">
        <v>17492530</v>
      </c>
      <c r="Z241" s="165">
        <v>176882170</v>
      </c>
      <c r="AA241" s="165">
        <v>84583957</v>
      </c>
      <c r="AB241" s="165">
        <v>961649</v>
      </c>
      <c r="AC241" s="165">
        <v>737.83333333333337</v>
      </c>
      <c r="AD241" s="165">
        <v>265781722</v>
      </c>
      <c r="AE241" s="165">
        <v>360219.1850011294</v>
      </c>
      <c r="AF241" s="166">
        <v>-14138584</v>
      </c>
      <c r="AG241" s="11">
        <v>-60105630</v>
      </c>
      <c r="AH241" s="12">
        <v>106</v>
      </c>
      <c r="AI241" s="132">
        <v>0</v>
      </c>
      <c r="AJ241" s="132">
        <v>0</v>
      </c>
      <c r="AK241" s="13">
        <v>0.15</v>
      </c>
      <c r="AL241" s="13">
        <v>-0.30160378669564436</v>
      </c>
      <c r="AM241" s="14">
        <v>0</v>
      </c>
      <c r="AN241" s="14">
        <v>-1</v>
      </c>
      <c r="AO241" s="82">
        <v>342837.88710102875</v>
      </c>
      <c r="AP241" s="82">
        <v>239731.8771176869</v>
      </c>
      <c r="AQ241" s="82">
        <v>-103106.00998334185</v>
      </c>
      <c r="AR241" s="129">
        <v>-0.30074275295296693</v>
      </c>
    </row>
    <row r="242" spans="1:44" ht="28.8" x14ac:dyDescent="0.3">
      <c r="A242" s="136" t="s">
        <v>423</v>
      </c>
      <c r="B242" s="137" t="s">
        <v>5025</v>
      </c>
      <c r="C242" s="134">
        <v>2020</v>
      </c>
      <c r="D242" s="149" t="s">
        <v>1149</v>
      </c>
      <c r="E242" s="135" t="s">
        <v>1140</v>
      </c>
      <c r="F242" s="384" t="s">
        <v>417</v>
      </c>
      <c r="G242" s="138" t="s">
        <v>4773</v>
      </c>
      <c r="H242" s="138" t="s">
        <v>1740</v>
      </c>
      <c r="I242" s="138" t="s">
        <v>1566</v>
      </c>
      <c r="J242" s="135" t="s">
        <v>4774</v>
      </c>
      <c r="K242" s="164">
        <v>411573067</v>
      </c>
      <c r="L242" s="165">
        <v>230358796</v>
      </c>
      <c r="M242" s="165">
        <v>169510673</v>
      </c>
      <c r="N242" s="165">
        <v>8360480</v>
      </c>
      <c r="O242" s="165">
        <v>96256921</v>
      </c>
      <c r="P242" s="165">
        <v>26850340</v>
      </c>
      <c r="Q242" s="165">
        <v>719184</v>
      </c>
      <c r="R242" s="165">
        <v>357.41666666666669</v>
      </c>
      <c r="S242" s="165">
        <v>143890523</v>
      </c>
      <c r="T242" s="165">
        <v>402584.81604103517</v>
      </c>
      <c r="U242" s="166">
        <v>11703598</v>
      </c>
      <c r="V242" s="168">
        <v>443484379</v>
      </c>
      <c r="W242" s="165">
        <v>267024813</v>
      </c>
      <c r="X242" s="165">
        <v>186556068</v>
      </c>
      <c r="Y242" s="165">
        <v>9318816</v>
      </c>
      <c r="Z242" s="165">
        <v>103722760</v>
      </c>
      <c r="AA242" s="165">
        <v>29342874</v>
      </c>
      <c r="AB242" s="165">
        <v>731149</v>
      </c>
      <c r="AC242" s="165">
        <v>335</v>
      </c>
      <c r="AD242" s="165">
        <v>133019097</v>
      </c>
      <c r="AE242" s="165">
        <v>397071.93134328356</v>
      </c>
      <c r="AF242" s="166">
        <v>-10096502</v>
      </c>
      <c r="AG242" s="11">
        <v>-10871426</v>
      </c>
      <c r="AH242" s="12">
        <v>-22.416666666666686</v>
      </c>
      <c r="AI242" s="132">
        <v>0</v>
      </c>
      <c r="AJ242" s="132">
        <v>0</v>
      </c>
      <c r="AK242" s="13">
        <v>0.1</v>
      </c>
      <c r="AL242" s="13">
        <v>-1.3693735397176665E-2</v>
      </c>
      <c r="AM242" s="14">
        <v>0</v>
      </c>
      <c r="AN242" s="14">
        <v>-1</v>
      </c>
      <c r="AO242" s="82">
        <v>269312.90557239449</v>
      </c>
      <c r="AP242" s="82">
        <v>309620.17910447763</v>
      </c>
      <c r="AQ242" s="82">
        <v>40307.273532083142</v>
      </c>
      <c r="AR242" s="129">
        <v>0.14966707015549274</v>
      </c>
    </row>
    <row r="243" spans="1:44" ht="28.8" x14ac:dyDescent="0.3">
      <c r="A243" s="136" t="s">
        <v>424</v>
      </c>
      <c r="B243" s="137" t="s">
        <v>5026</v>
      </c>
      <c r="C243" s="134">
        <v>2019</v>
      </c>
      <c r="D243" s="149" t="s">
        <v>1176</v>
      </c>
      <c r="E243" s="135" t="s">
        <v>1175</v>
      </c>
      <c r="F243" s="384" t="s">
        <v>425</v>
      </c>
      <c r="G243" s="138" t="s">
        <v>4773</v>
      </c>
      <c r="H243" s="138" t="s">
        <v>2566</v>
      </c>
      <c r="I243" s="138" t="s">
        <v>1566</v>
      </c>
      <c r="J243" s="135" t="s">
        <v>4774</v>
      </c>
      <c r="K243" s="164">
        <v>1355494594</v>
      </c>
      <c r="L243" s="165">
        <v>935195760</v>
      </c>
      <c r="M243" s="165">
        <v>395034700</v>
      </c>
      <c r="N243" s="165">
        <v>127894301</v>
      </c>
      <c r="O243" s="165">
        <v>329853128</v>
      </c>
      <c r="P243" s="165">
        <v>76083994</v>
      </c>
      <c r="Q243" s="165">
        <v>0</v>
      </c>
      <c r="R243" s="165">
        <v>651.41666666666663</v>
      </c>
      <c r="S243" s="165">
        <v>559095557</v>
      </c>
      <c r="T243" s="165">
        <v>858276.40834079578</v>
      </c>
      <c r="U243" s="166">
        <v>25264134</v>
      </c>
      <c r="V243" s="168">
        <v>1809395633</v>
      </c>
      <c r="W243" s="165">
        <v>1303861685</v>
      </c>
      <c r="X243" s="165">
        <v>512918891</v>
      </c>
      <c r="Y243" s="165">
        <v>130453843</v>
      </c>
      <c r="Z243" s="165">
        <v>392459440.60999995</v>
      </c>
      <c r="AA243" s="165">
        <v>110815370.47</v>
      </c>
      <c r="AB243" s="165">
        <v>14783756</v>
      </c>
      <c r="AC243" s="165">
        <v>728.58333333333337</v>
      </c>
      <c r="AD243" s="165">
        <v>641127467.07999992</v>
      </c>
      <c r="AE243" s="165">
        <v>879964.49787944625</v>
      </c>
      <c r="AF243" s="166">
        <v>-7384943</v>
      </c>
      <c r="AG243" s="11">
        <v>82031910.079999924</v>
      </c>
      <c r="AH243" s="12">
        <v>77.166666666666742</v>
      </c>
      <c r="AI243" s="132">
        <v>0</v>
      </c>
      <c r="AJ243" s="132">
        <v>0</v>
      </c>
      <c r="AK243" s="13">
        <v>0.15</v>
      </c>
      <c r="AL243" s="13">
        <v>2.5269353494173252E-2</v>
      </c>
      <c r="AM243" s="14">
        <v>0</v>
      </c>
      <c r="AN243" s="14">
        <v>-1</v>
      </c>
      <c r="AO243" s="82">
        <v>506362.73966995016</v>
      </c>
      <c r="AP243" s="82">
        <v>538661.01879446406</v>
      </c>
      <c r="AQ243" s="82">
        <v>32298.279124513909</v>
      </c>
      <c r="AR243" s="129">
        <v>6.3784865263913471E-2</v>
      </c>
    </row>
    <row r="244" spans="1:44" ht="28.8" x14ac:dyDescent="0.3">
      <c r="A244" s="136" t="s">
        <v>426</v>
      </c>
      <c r="B244" s="137" t="s">
        <v>5027</v>
      </c>
      <c r="C244" s="134">
        <v>2020</v>
      </c>
      <c r="D244" s="149" t="s">
        <v>1176</v>
      </c>
      <c r="E244" s="135" t="s">
        <v>1175</v>
      </c>
      <c r="F244" s="384" t="s">
        <v>425</v>
      </c>
      <c r="G244" s="138" t="s">
        <v>4773</v>
      </c>
      <c r="H244" s="138" t="s">
        <v>3564</v>
      </c>
      <c r="I244" s="138" t="s">
        <v>3557</v>
      </c>
      <c r="J244" s="135" t="s">
        <v>4774</v>
      </c>
      <c r="K244" s="164">
        <v>4472728105</v>
      </c>
      <c r="L244" s="165">
        <v>3908076487</v>
      </c>
      <c r="M244" s="165">
        <v>293303991</v>
      </c>
      <c r="N244" s="165">
        <v>8743493</v>
      </c>
      <c r="O244" s="165">
        <v>530849136</v>
      </c>
      <c r="P244" s="165">
        <v>170541428</v>
      </c>
      <c r="Q244" s="165">
        <v>0</v>
      </c>
      <c r="R244" s="165">
        <v>1018.5833333333334</v>
      </c>
      <c r="S244" s="165">
        <v>981481684</v>
      </c>
      <c r="T244" s="165">
        <v>963575.24404810602</v>
      </c>
      <c r="U244" s="166">
        <v>271347627</v>
      </c>
      <c r="V244" s="168">
        <v>3484633477</v>
      </c>
      <c r="W244" s="165">
        <v>3080151792</v>
      </c>
      <c r="X244" s="165">
        <v>295263331</v>
      </c>
      <c r="Y244" s="165">
        <v>12166885</v>
      </c>
      <c r="Z244" s="165">
        <v>586807351.49999988</v>
      </c>
      <c r="AA244" s="165">
        <v>178382495.99000001</v>
      </c>
      <c r="AB244" s="165">
        <v>0</v>
      </c>
      <c r="AC244" s="165">
        <v>1030.1666666666667</v>
      </c>
      <c r="AD244" s="165">
        <v>886575086.48999989</v>
      </c>
      <c r="AE244" s="165">
        <v>860613.25334735459</v>
      </c>
      <c r="AF244" s="166">
        <v>109218354</v>
      </c>
      <c r="AG244" s="11">
        <v>-94906597.51000011</v>
      </c>
      <c r="AH244" s="12">
        <v>11.583333333333371</v>
      </c>
      <c r="AI244" s="132">
        <v>0</v>
      </c>
      <c r="AJ244" s="132">
        <v>0</v>
      </c>
      <c r="AK244" s="13">
        <v>0.1</v>
      </c>
      <c r="AL244" s="13">
        <v>-0.10685412589057397</v>
      </c>
      <c r="AM244" s="14">
        <v>0</v>
      </c>
      <c r="AN244" s="14">
        <v>-1</v>
      </c>
      <c r="AO244" s="82">
        <v>521164.16853472957</v>
      </c>
      <c r="AP244" s="82">
        <v>569623.70312247192</v>
      </c>
      <c r="AQ244" s="82">
        <v>48459.534587742353</v>
      </c>
      <c r="AR244" s="129">
        <v>9.2983243118935022E-2</v>
      </c>
    </row>
    <row r="245" spans="1:44" ht="28.8" x14ac:dyDescent="0.3">
      <c r="A245" s="136" t="s">
        <v>427</v>
      </c>
      <c r="B245" s="137" t="s">
        <v>5028</v>
      </c>
      <c r="C245" s="134">
        <v>2020</v>
      </c>
      <c r="D245" s="149" t="s">
        <v>1176</v>
      </c>
      <c r="E245" s="135" t="s">
        <v>1175</v>
      </c>
      <c r="F245" s="384" t="s">
        <v>425</v>
      </c>
      <c r="G245" s="138" t="s">
        <v>4773</v>
      </c>
      <c r="H245" s="138" t="s">
        <v>2779</v>
      </c>
      <c r="I245" s="138" t="s">
        <v>1566</v>
      </c>
      <c r="J245" s="135" t="s">
        <v>4774</v>
      </c>
      <c r="K245" s="164">
        <v>621809040</v>
      </c>
      <c r="L245" s="165">
        <v>427676185</v>
      </c>
      <c r="M245" s="165">
        <v>101239008</v>
      </c>
      <c r="N245" s="165">
        <v>11353321</v>
      </c>
      <c r="O245" s="165">
        <v>98415752</v>
      </c>
      <c r="P245" s="165">
        <v>25628713</v>
      </c>
      <c r="Q245" s="165">
        <v>0</v>
      </c>
      <c r="R245" s="165">
        <v>238.41666666666666</v>
      </c>
      <c r="S245" s="165">
        <v>228291633</v>
      </c>
      <c r="T245" s="165">
        <v>957532.19014330662</v>
      </c>
      <c r="U245" s="166">
        <v>92893847</v>
      </c>
      <c r="V245" s="168">
        <v>967320189</v>
      </c>
      <c r="W245" s="165">
        <v>682303806</v>
      </c>
      <c r="X245" s="165">
        <v>172484944</v>
      </c>
      <c r="Y245" s="165">
        <v>9994343</v>
      </c>
      <c r="Z245" s="165">
        <v>104140277.95999999</v>
      </c>
      <c r="AA245" s="165">
        <v>25013408.979999997</v>
      </c>
      <c r="AB245" s="165">
        <v>0</v>
      </c>
      <c r="AC245" s="165">
        <v>208.08333333333334</v>
      </c>
      <c r="AD245" s="165">
        <v>251679468.93999997</v>
      </c>
      <c r="AE245" s="165">
        <v>1209512.8663516217</v>
      </c>
      <c r="AF245" s="166">
        <v>112531439</v>
      </c>
      <c r="AG245" s="11">
        <v>23387835.939999968</v>
      </c>
      <c r="AH245" s="12">
        <v>-30.333333333333314</v>
      </c>
      <c r="AI245" s="132">
        <v>1</v>
      </c>
      <c r="AJ245" s="132">
        <v>1</v>
      </c>
      <c r="AK245" s="13">
        <v>0.1</v>
      </c>
      <c r="AL245" s="13">
        <v>0.2631563540438262</v>
      </c>
      <c r="AM245" s="14">
        <v>1</v>
      </c>
      <c r="AN245" s="14">
        <v>0</v>
      </c>
      <c r="AO245" s="82">
        <v>412788.89339391823</v>
      </c>
      <c r="AP245" s="82">
        <v>500473.90289146971</v>
      </c>
      <c r="AQ245" s="82">
        <v>87685.00949755148</v>
      </c>
      <c r="AR245" s="129">
        <v>0.21242095148590878</v>
      </c>
    </row>
    <row r="246" spans="1:44" ht="43.2" x14ac:dyDescent="0.3">
      <c r="A246" s="136" t="s">
        <v>428</v>
      </c>
      <c r="B246" s="137" t="s">
        <v>5029</v>
      </c>
      <c r="C246" s="134">
        <v>2019</v>
      </c>
      <c r="D246" s="149" t="s">
        <v>5030</v>
      </c>
      <c r="E246" s="135" t="s">
        <v>1175</v>
      </c>
      <c r="F246" s="384" t="s">
        <v>429</v>
      </c>
      <c r="G246" s="138" t="s">
        <v>4773</v>
      </c>
      <c r="H246" s="138" t="s">
        <v>3367</v>
      </c>
      <c r="I246" s="138" t="s">
        <v>1566</v>
      </c>
      <c r="J246" s="135" t="s">
        <v>4798</v>
      </c>
      <c r="K246" s="164">
        <v>5046246937</v>
      </c>
      <c r="L246" s="165">
        <v>4616768162</v>
      </c>
      <c r="M246" s="165">
        <v>691522171</v>
      </c>
      <c r="N246" s="165">
        <v>63702401</v>
      </c>
      <c r="O246" s="165">
        <v>1487313077</v>
      </c>
      <c r="P246" s="165">
        <v>391825242</v>
      </c>
      <c r="Q246" s="165">
        <v>48177958</v>
      </c>
      <c r="R246" s="165">
        <v>2116.0833333333335</v>
      </c>
      <c r="S246" s="165">
        <v>1728975282</v>
      </c>
      <c r="T246" s="165">
        <v>817063.8909935808</v>
      </c>
      <c r="U246" s="166">
        <v>-262043396</v>
      </c>
      <c r="V246" s="168">
        <v>7480455102</v>
      </c>
      <c r="W246" s="165">
        <v>7037248217</v>
      </c>
      <c r="X246" s="165">
        <v>1174916791</v>
      </c>
      <c r="Y246" s="165">
        <v>181769453</v>
      </c>
      <c r="Z246" s="165">
        <v>1908077413.7</v>
      </c>
      <c r="AA246" s="165">
        <v>580683290.47000003</v>
      </c>
      <c r="AB246" s="165">
        <v>48780377</v>
      </c>
      <c r="AC246" s="165">
        <v>2481.75</v>
      </c>
      <c r="AD246" s="165">
        <v>1987600628.1700001</v>
      </c>
      <c r="AE246" s="165">
        <v>800886.7243557974</v>
      </c>
      <c r="AF246" s="166">
        <v>-731709906</v>
      </c>
      <c r="AG246" s="11">
        <v>258625346.17000008</v>
      </c>
      <c r="AH246" s="12">
        <v>365.66666666666652</v>
      </c>
      <c r="AI246" s="132">
        <v>0</v>
      </c>
      <c r="AJ246" s="132">
        <v>1</v>
      </c>
      <c r="AK246" s="13">
        <v>0.15</v>
      </c>
      <c r="AL246" s="13">
        <v>-1.9799149366397817E-2</v>
      </c>
      <c r="AM246" s="14">
        <v>0</v>
      </c>
      <c r="AN246" s="14">
        <v>-1</v>
      </c>
      <c r="AO246" s="82">
        <v>702861.29736541561</v>
      </c>
      <c r="AP246" s="82">
        <v>768843.52319935535</v>
      </c>
      <c r="AQ246" s="82">
        <v>65982.225833939738</v>
      </c>
      <c r="AR246" s="129">
        <v>9.3876595682911512E-2</v>
      </c>
    </row>
    <row r="247" spans="1:44" ht="28.8" x14ac:dyDescent="0.3">
      <c r="A247" s="136" t="s">
        <v>430</v>
      </c>
      <c r="B247" s="137" t="s">
        <v>5031</v>
      </c>
      <c r="C247" s="134">
        <v>2020</v>
      </c>
      <c r="D247" s="149" t="s">
        <v>5030</v>
      </c>
      <c r="E247" s="135" t="s">
        <v>1175</v>
      </c>
      <c r="F247" s="384" t="s">
        <v>431</v>
      </c>
      <c r="G247" s="138" t="s">
        <v>4773</v>
      </c>
      <c r="H247" s="138" t="s">
        <v>2805</v>
      </c>
      <c r="I247" s="138" t="s">
        <v>1566</v>
      </c>
      <c r="J247" s="135" t="s">
        <v>4774</v>
      </c>
      <c r="K247" s="164">
        <v>887294293</v>
      </c>
      <c r="L247" s="165">
        <v>603166784</v>
      </c>
      <c r="M247" s="165">
        <v>212384449</v>
      </c>
      <c r="N247" s="165">
        <v>18503637</v>
      </c>
      <c r="O247" s="165">
        <v>64648768</v>
      </c>
      <c r="P247" s="165">
        <v>12970981</v>
      </c>
      <c r="Q247" s="165">
        <v>0</v>
      </c>
      <c r="R247" s="165">
        <v>180.75</v>
      </c>
      <c r="S247" s="165">
        <v>167866446</v>
      </c>
      <c r="T247" s="165">
        <v>928721.69294605812</v>
      </c>
      <c r="U247" s="166">
        <v>71743060</v>
      </c>
      <c r="V247" s="168">
        <v>1280282937</v>
      </c>
      <c r="W247" s="165">
        <v>810092012</v>
      </c>
      <c r="X247" s="165">
        <v>363533700</v>
      </c>
      <c r="Y247" s="165">
        <v>40529949</v>
      </c>
      <c r="Z247" s="165">
        <v>100691069.83</v>
      </c>
      <c r="AA247" s="165">
        <v>18541061.680000003</v>
      </c>
      <c r="AB247" s="165">
        <v>0</v>
      </c>
      <c r="AC247" s="165">
        <v>222.83333333333334</v>
      </c>
      <c r="AD247" s="165">
        <v>266419305.50999999</v>
      </c>
      <c r="AE247" s="165">
        <v>1195598.9776065818</v>
      </c>
      <c r="AF247" s="166">
        <v>106657225</v>
      </c>
      <c r="AG247" s="11">
        <v>98552859.50999999</v>
      </c>
      <c r="AH247" s="12">
        <v>42.083333333333343</v>
      </c>
      <c r="AI247" s="132">
        <v>1</v>
      </c>
      <c r="AJ247" s="132">
        <v>1</v>
      </c>
      <c r="AK247" s="13">
        <v>0.1</v>
      </c>
      <c r="AL247" s="13">
        <v>0.28735981174295611</v>
      </c>
      <c r="AM247" s="14">
        <v>1</v>
      </c>
      <c r="AN247" s="14">
        <v>0</v>
      </c>
      <c r="AO247" s="82">
        <v>357669.5325034578</v>
      </c>
      <c r="AP247" s="82">
        <v>451867.17949139862</v>
      </c>
      <c r="AQ247" s="82">
        <v>94197.646987940825</v>
      </c>
      <c r="AR247" s="129">
        <v>0.26336502952492924</v>
      </c>
    </row>
    <row r="248" spans="1:44" ht="28.8" x14ac:dyDescent="0.3">
      <c r="A248" s="136" t="s">
        <v>432</v>
      </c>
      <c r="B248" s="137" t="s">
        <v>5032</v>
      </c>
      <c r="C248" s="134">
        <v>2020</v>
      </c>
      <c r="D248" s="149" t="s">
        <v>1170</v>
      </c>
      <c r="E248" s="135" t="s">
        <v>1152</v>
      </c>
      <c r="F248" s="384" t="s">
        <v>433</v>
      </c>
      <c r="G248" s="138" t="s">
        <v>4773</v>
      </c>
      <c r="H248" s="138" t="s">
        <v>1391</v>
      </c>
      <c r="I248" s="138" t="s">
        <v>1217</v>
      </c>
      <c r="J248" s="135" t="s">
        <v>4778</v>
      </c>
      <c r="K248" s="164">
        <v>897591533</v>
      </c>
      <c r="L248" s="165">
        <v>996945710</v>
      </c>
      <c r="M248" s="165">
        <v>134738298</v>
      </c>
      <c r="N248" s="165">
        <v>86017821</v>
      </c>
      <c r="O248" s="165">
        <v>197406516</v>
      </c>
      <c r="P248" s="165">
        <v>49701531</v>
      </c>
      <c r="Q248" s="165">
        <v>6596301</v>
      </c>
      <c r="R248" s="165">
        <v>287.58333333333331</v>
      </c>
      <c r="S248" s="165">
        <v>105629694</v>
      </c>
      <c r="T248" s="165">
        <v>367301.16719791369</v>
      </c>
      <c r="U248" s="166">
        <v>-234092475</v>
      </c>
      <c r="V248" s="168">
        <v>966284483</v>
      </c>
      <c r="W248" s="165">
        <v>1135262086</v>
      </c>
      <c r="X248" s="165">
        <v>155675432</v>
      </c>
      <c r="Y248" s="165">
        <v>89181049</v>
      </c>
      <c r="Z248" s="165">
        <v>211809137</v>
      </c>
      <c r="AA248" s="165">
        <v>52776808</v>
      </c>
      <c r="AB248" s="165">
        <v>6692182</v>
      </c>
      <c r="AC248" s="165">
        <v>252.5</v>
      </c>
      <c r="AD248" s="165">
        <v>35806141</v>
      </c>
      <c r="AE248" s="165">
        <v>141806.49900990099</v>
      </c>
      <c r="AF248" s="166">
        <v>-324653035</v>
      </c>
      <c r="AG248" s="11">
        <v>-69823553</v>
      </c>
      <c r="AH248" s="12">
        <v>-35.083333333333314</v>
      </c>
      <c r="AI248" s="132">
        <v>0</v>
      </c>
      <c r="AJ248" s="132">
        <v>0</v>
      </c>
      <c r="AK248" s="13">
        <v>0.1</v>
      </c>
      <c r="AL248" s="13">
        <v>-0.61392309205004714</v>
      </c>
      <c r="AM248" s="14">
        <v>0</v>
      </c>
      <c r="AN248" s="14">
        <v>-1</v>
      </c>
      <c r="AO248" s="82">
        <v>686432.39408867003</v>
      </c>
      <c r="AP248" s="82">
        <v>838848.06732673268</v>
      </c>
      <c r="AQ248" s="82">
        <v>152415.67323806265</v>
      </c>
      <c r="AR248" s="129">
        <v>0.22204032698721132</v>
      </c>
    </row>
    <row r="249" spans="1:44" ht="28.8" x14ac:dyDescent="0.3">
      <c r="A249" s="136" t="s">
        <v>434</v>
      </c>
      <c r="B249" s="137" t="s">
        <v>5033</v>
      </c>
      <c r="C249" s="134">
        <v>2020</v>
      </c>
      <c r="D249" s="149" t="s">
        <v>1170</v>
      </c>
      <c r="E249" s="135" t="s">
        <v>1152</v>
      </c>
      <c r="F249" s="384" t="s">
        <v>433</v>
      </c>
      <c r="G249" s="138" t="s">
        <v>4773</v>
      </c>
      <c r="H249" s="138" t="s">
        <v>4655</v>
      </c>
      <c r="I249" s="138" t="s">
        <v>4612</v>
      </c>
      <c r="J249" s="135" t="s">
        <v>5034</v>
      </c>
      <c r="K249" s="164">
        <v>657050805</v>
      </c>
      <c r="L249" s="165">
        <v>421242918</v>
      </c>
      <c r="M249" s="165">
        <v>505231686</v>
      </c>
      <c r="N249" s="165">
        <v>4677435</v>
      </c>
      <c r="O249" s="165">
        <v>440071498</v>
      </c>
      <c r="P249" s="165">
        <v>126197634</v>
      </c>
      <c r="Q249" s="165">
        <v>38450675</v>
      </c>
      <c r="R249" s="165">
        <v>667.08333333333337</v>
      </c>
      <c r="S249" s="165">
        <v>339973443</v>
      </c>
      <c r="T249" s="165">
        <v>509641.6384759525</v>
      </c>
      <c r="U249" s="166">
        <v>-269423799</v>
      </c>
      <c r="V249" s="168">
        <v>702616149</v>
      </c>
      <c r="W249" s="165">
        <v>392841290</v>
      </c>
      <c r="X249" s="165">
        <v>573135133</v>
      </c>
      <c r="Y249" s="165">
        <v>4958917</v>
      </c>
      <c r="Z249" s="165">
        <v>461074213.73000002</v>
      </c>
      <c r="AA249" s="165">
        <v>133778217</v>
      </c>
      <c r="AB249" s="165">
        <v>43475687</v>
      </c>
      <c r="AC249" s="165">
        <v>660.5</v>
      </c>
      <c r="AD249" s="165">
        <v>379926760.73000002</v>
      </c>
      <c r="AE249" s="165">
        <v>575210.84137774422</v>
      </c>
      <c r="AF249" s="166">
        <v>-263360274</v>
      </c>
      <c r="AG249" s="11">
        <v>39953317.730000019</v>
      </c>
      <c r="AH249" s="12">
        <v>-6.5833333333333712</v>
      </c>
      <c r="AI249" s="132">
        <v>1</v>
      </c>
      <c r="AJ249" s="132">
        <v>1</v>
      </c>
      <c r="AK249" s="13">
        <v>0.1</v>
      </c>
      <c r="AL249" s="13">
        <v>0.12865746213358853</v>
      </c>
      <c r="AM249" s="14">
        <v>1</v>
      </c>
      <c r="AN249" s="14">
        <v>0</v>
      </c>
      <c r="AO249" s="82">
        <v>659694.93766396004</v>
      </c>
      <c r="AP249" s="82">
        <v>698068.45379258145</v>
      </c>
      <c r="AQ249" s="82">
        <v>38373.516128621413</v>
      </c>
      <c r="AR249" s="129">
        <v>5.8168577531465537E-2</v>
      </c>
    </row>
    <row r="250" spans="1:44" ht="28.8" x14ac:dyDescent="0.3">
      <c r="A250" s="136" t="s">
        <v>435</v>
      </c>
      <c r="B250" s="137" t="s">
        <v>5035</v>
      </c>
      <c r="C250" s="134">
        <v>2019</v>
      </c>
      <c r="D250" s="149" t="s">
        <v>1170</v>
      </c>
      <c r="E250" s="135" t="s">
        <v>1152</v>
      </c>
      <c r="F250" s="384" t="s">
        <v>433</v>
      </c>
      <c r="G250" s="138" t="s">
        <v>4773</v>
      </c>
      <c r="H250" s="138" t="s">
        <v>1401</v>
      </c>
      <c r="I250" s="138" t="s">
        <v>1217</v>
      </c>
      <c r="J250" s="135" t="s">
        <v>4778</v>
      </c>
      <c r="K250" s="164">
        <v>1239226928</v>
      </c>
      <c r="L250" s="165">
        <v>1163557517</v>
      </c>
      <c r="M250" s="165">
        <v>0</v>
      </c>
      <c r="N250" s="165">
        <v>0</v>
      </c>
      <c r="O250" s="165">
        <v>320238223</v>
      </c>
      <c r="P250" s="165">
        <v>91036877</v>
      </c>
      <c r="Q250" s="165">
        <v>223867</v>
      </c>
      <c r="R250" s="165">
        <v>491.16666666666669</v>
      </c>
      <c r="S250" s="165">
        <v>487168378</v>
      </c>
      <c r="T250" s="165">
        <v>991859.6090939939</v>
      </c>
      <c r="U250" s="166">
        <v>75669411</v>
      </c>
      <c r="V250" s="168">
        <v>1643282332</v>
      </c>
      <c r="W250" s="165">
        <v>1852655807</v>
      </c>
      <c r="X250" s="165">
        <v>0</v>
      </c>
      <c r="Y250" s="165">
        <v>0</v>
      </c>
      <c r="Z250" s="165">
        <v>386820170</v>
      </c>
      <c r="AA250" s="165">
        <v>113340661</v>
      </c>
      <c r="AB250" s="165">
        <v>203301</v>
      </c>
      <c r="AC250" s="165">
        <v>510.25</v>
      </c>
      <c r="AD250" s="165">
        <v>290990657</v>
      </c>
      <c r="AE250" s="165">
        <v>570290.36158745713</v>
      </c>
      <c r="AF250" s="166">
        <v>-209373475</v>
      </c>
      <c r="AG250" s="11">
        <v>-196177721</v>
      </c>
      <c r="AH250" s="12">
        <v>19.083333333333314</v>
      </c>
      <c r="AI250" s="132">
        <v>0</v>
      </c>
      <c r="AJ250" s="132">
        <v>1</v>
      </c>
      <c r="AK250" s="13">
        <v>0.15</v>
      </c>
      <c r="AL250" s="13">
        <v>-0.42502915306733779</v>
      </c>
      <c r="AM250" s="14">
        <v>0</v>
      </c>
      <c r="AN250" s="14">
        <v>-1</v>
      </c>
      <c r="AO250" s="82">
        <v>651995.02477095346</v>
      </c>
      <c r="AP250" s="82">
        <v>758099.30426261632</v>
      </c>
      <c r="AQ250" s="82">
        <v>106104.27949166286</v>
      </c>
      <c r="AR250" s="129">
        <v>0.16273786679420965</v>
      </c>
    </row>
    <row r="251" spans="1:44" ht="28.8" x14ac:dyDescent="0.3">
      <c r="A251" s="136" t="s">
        <v>436</v>
      </c>
      <c r="B251" s="137" t="s">
        <v>1147</v>
      </c>
      <c r="C251" s="134">
        <v>2020</v>
      </c>
      <c r="D251" s="149" t="s">
        <v>1146</v>
      </c>
      <c r="E251" s="135" t="s">
        <v>1140</v>
      </c>
      <c r="F251" s="384" t="s">
        <v>437</v>
      </c>
      <c r="G251" s="138" t="s">
        <v>4787</v>
      </c>
      <c r="H251" s="138" t="s">
        <v>3367</v>
      </c>
      <c r="I251" s="138" t="s">
        <v>1566</v>
      </c>
      <c r="J251" s="135" t="s">
        <v>4778</v>
      </c>
      <c r="K251" s="164">
        <v>9426205241</v>
      </c>
      <c r="L251" s="165">
        <v>5133918578</v>
      </c>
      <c r="M251" s="165">
        <v>3252497561</v>
      </c>
      <c r="N251" s="165">
        <v>60036439</v>
      </c>
      <c r="O251" s="165">
        <v>955860473</v>
      </c>
      <c r="P251" s="165">
        <v>288054677.25999999</v>
      </c>
      <c r="Q251" s="165">
        <v>8844358</v>
      </c>
      <c r="R251" s="165">
        <v>1950.5833333333333</v>
      </c>
      <c r="S251" s="165">
        <v>2352585049.2600002</v>
      </c>
      <c r="T251" s="165">
        <v>1206093.0743418636</v>
      </c>
      <c r="U251" s="166">
        <v>1039789102</v>
      </c>
      <c r="V251" s="168">
        <v>9720800396</v>
      </c>
      <c r="W251" s="165">
        <v>5605107659</v>
      </c>
      <c r="X251" s="165">
        <v>3461593860</v>
      </c>
      <c r="Y251" s="165">
        <v>67933447</v>
      </c>
      <c r="Z251" s="165">
        <v>990580928.86000001</v>
      </c>
      <c r="AA251" s="165">
        <v>298869593</v>
      </c>
      <c r="AB251" s="165">
        <v>8726754</v>
      </c>
      <c r="AC251" s="165">
        <v>1881.75</v>
      </c>
      <c r="AD251" s="165">
        <v>2020209599.8600001</v>
      </c>
      <c r="AE251" s="165">
        <v>1073580.2310933971</v>
      </c>
      <c r="AF251" s="166">
        <v>654098877</v>
      </c>
      <c r="AG251" s="11">
        <v>-332375449.4000001</v>
      </c>
      <c r="AH251" s="12">
        <v>-68.833333333333258</v>
      </c>
      <c r="AI251" s="132">
        <v>0</v>
      </c>
      <c r="AJ251" s="132">
        <v>0</v>
      </c>
      <c r="AK251" s="13">
        <v>0.1</v>
      </c>
      <c r="AL251" s="13">
        <v>-0.1098694978821162</v>
      </c>
      <c r="AM251" s="14">
        <v>0</v>
      </c>
      <c r="AN251" s="14">
        <v>-1</v>
      </c>
      <c r="AO251" s="82">
        <v>490038.26530525059</v>
      </c>
      <c r="AP251" s="82">
        <v>526414.73567689653</v>
      </c>
      <c r="AQ251" s="82">
        <v>36376.470371645933</v>
      </c>
      <c r="AR251" s="129">
        <v>7.4231897684534198E-2</v>
      </c>
    </row>
    <row r="252" spans="1:44" ht="28.8" x14ac:dyDescent="0.3">
      <c r="A252" s="136" t="s">
        <v>438</v>
      </c>
      <c r="B252" s="137" t="s">
        <v>5036</v>
      </c>
      <c r="C252" s="134">
        <v>2019</v>
      </c>
      <c r="D252" s="149" t="s">
        <v>1181</v>
      </c>
      <c r="E252" s="135" t="s">
        <v>1175</v>
      </c>
      <c r="F252" s="384" t="s">
        <v>272</v>
      </c>
      <c r="G252" s="138" t="s">
        <v>4773</v>
      </c>
      <c r="H252" s="138" t="s">
        <v>4491</v>
      </c>
      <c r="I252" s="138" t="s">
        <v>4255</v>
      </c>
      <c r="J252" s="135" t="s">
        <v>4774</v>
      </c>
      <c r="K252" s="164">
        <v>599203440</v>
      </c>
      <c r="L252" s="165">
        <v>433829852</v>
      </c>
      <c r="M252" s="165">
        <v>35993838</v>
      </c>
      <c r="N252" s="165">
        <v>13810753</v>
      </c>
      <c r="O252" s="165">
        <v>69935700</v>
      </c>
      <c r="P252" s="165">
        <v>18542652</v>
      </c>
      <c r="Q252" s="165">
        <v>947118</v>
      </c>
      <c r="R252" s="165">
        <v>96.083333333333329</v>
      </c>
      <c r="S252" s="165">
        <v>232615973</v>
      </c>
      <c r="T252" s="165">
        <v>2420981.5056374674</v>
      </c>
      <c r="U252" s="166">
        <v>129379750</v>
      </c>
      <c r="V252" s="168">
        <v>790741974</v>
      </c>
      <c r="W252" s="165">
        <v>517867153</v>
      </c>
      <c r="X252" s="165">
        <v>117477491</v>
      </c>
      <c r="Y252" s="165">
        <v>23625181</v>
      </c>
      <c r="Z252" s="165">
        <v>102299180.65000001</v>
      </c>
      <c r="AA252" s="165">
        <v>17820359.429999996</v>
      </c>
      <c r="AB252" s="165">
        <v>763605</v>
      </c>
      <c r="AC252" s="165">
        <v>122.66666666666667</v>
      </c>
      <c r="AD252" s="165">
        <v>299905656.07999998</v>
      </c>
      <c r="AE252" s="165">
        <v>2444883.0658695651</v>
      </c>
      <c r="AF252" s="166">
        <v>155397330</v>
      </c>
      <c r="AG252" s="11">
        <v>67289683.079999983</v>
      </c>
      <c r="AH252" s="12">
        <v>26.583333333333343</v>
      </c>
      <c r="AI252" s="132">
        <v>0</v>
      </c>
      <c r="AJ252" s="132">
        <v>0</v>
      </c>
      <c r="AK252" s="13">
        <v>0.15</v>
      </c>
      <c r="AL252" s="13">
        <v>9.8726735009224686E-3</v>
      </c>
      <c r="AM252" s="14">
        <v>0</v>
      </c>
      <c r="AN252" s="14">
        <v>-1</v>
      </c>
      <c r="AO252" s="82">
        <v>727865.04770164785</v>
      </c>
      <c r="AP252" s="82">
        <v>833960.71182065224</v>
      </c>
      <c r="AQ252" s="82">
        <v>106095.66411900439</v>
      </c>
      <c r="AR252" s="129">
        <v>0.14576282300409771</v>
      </c>
    </row>
    <row r="253" spans="1:44" ht="43.2" x14ac:dyDescent="0.3">
      <c r="A253" s="136" t="s">
        <v>439</v>
      </c>
      <c r="B253" s="137" t="s">
        <v>5037</v>
      </c>
      <c r="C253" s="134">
        <v>2019</v>
      </c>
      <c r="D253" s="149" t="s">
        <v>1181</v>
      </c>
      <c r="E253" s="135" t="s">
        <v>1175</v>
      </c>
      <c r="F253" s="384" t="s">
        <v>272</v>
      </c>
      <c r="G253" s="138" t="s">
        <v>4773</v>
      </c>
      <c r="H253" s="138" t="s">
        <v>2425</v>
      </c>
      <c r="I253" s="138" t="s">
        <v>1566</v>
      </c>
      <c r="J253" s="135" t="s">
        <v>4774</v>
      </c>
      <c r="K253" s="164">
        <v>1618525684</v>
      </c>
      <c r="L253" s="165">
        <v>1498312576</v>
      </c>
      <c r="M253" s="165">
        <v>76035428</v>
      </c>
      <c r="N253" s="165">
        <v>3520335</v>
      </c>
      <c r="O253" s="165">
        <v>71065809</v>
      </c>
      <c r="P253" s="165">
        <v>19204502</v>
      </c>
      <c r="Q253" s="165">
        <v>458701</v>
      </c>
      <c r="R253" s="165">
        <v>191.91666666666666</v>
      </c>
      <c r="S253" s="165">
        <v>138427027</v>
      </c>
      <c r="T253" s="165">
        <v>721287.15762049507</v>
      </c>
      <c r="U253" s="166">
        <v>44177680</v>
      </c>
      <c r="V253" s="168">
        <v>2321459813</v>
      </c>
      <c r="W253" s="165">
        <v>2110055744</v>
      </c>
      <c r="X253" s="165">
        <v>103195050</v>
      </c>
      <c r="Y253" s="165">
        <v>3368346</v>
      </c>
      <c r="Z253" s="165">
        <v>87233422.370000005</v>
      </c>
      <c r="AA253" s="165">
        <v>25953582.75</v>
      </c>
      <c r="AB253" s="165">
        <v>378345</v>
      </c>
      <c r="AC253" s="165">
        <v>177.16666666666666</v>
      </c>
      <c r="AD253" s="165">
        <v>225142715.12</v>
      </c>
      <c r="AE253" s="165">
        <v>1270796.1342615241</v>
      </c>
      <c r="AF253" s="166">
        <v>108209019</v>
      </c>
      <c r="AG253" s="11">
        <v>86715688.120000005</v>
      </c>
      <c r="AH253" s="12">
        <v>-14.75</v>
      </c>
      <c r="AI253" s="132">
        <v>1</v>
      </c>
      <c r="AJ253" s="132">
        <v>1</v>
      </c>
      <c r="AK253" s="13">
        <v>0.15</v>
      </c>
      <c r="AL253" s="13">
        <v>0.7618449356564172</v>
      </c>
      <c r="AM253" s="14">
        <v>1</v>
      </c>
      <c r="AN253" s="14">
        <v>0</v>
      </c>
      <c r="AO253" s="82">
        <v>370295.14025184541</v>
      </c>
      <c r="AP253" s="82">
        <v>492380.55900282227</v>
      </c>
      <c r="AQ253" s="82">
        <v>122085.41875097685</v>
      </c>
      <c r="AR253" s="129">
        <v>0.3296975992392015</v>
      </c>
    </row>
    <row r="254" spans="1:44" ht="43.2" x14ac:dyDescent="0.3">
      <c r="A254" s="136" t="s">
        <v>440</v>
      </c>
      <c r="B254" s="137" t="s">
        <v>5038</v>
      </c>
      <c r="C254" s="134">
        <v>2019</v>
      </c>
      <c r="D254" s="149" t="s">
        <v>1181</v>
      </c>
      <c r="E254" s="135" t="s">
        <v>1175</v>
      </c>
      <c r="F254" s="384" t="s">
        <v>272</v>
      </c>
      <c r="G254" s="138" t="s">
        <v>4773</v>
      </c>
      <c r="H254" s="138" t="s">
        <v>3569</v>
      </c>
      <c r="I254" s="138" t="s">
        <v>3557</v>
      </c>
      <c r="J254" s="135" t="s">
        <v>4780</v>
      </c>
      <c r="K254" s="164">
        <v>1180884801</v>
      </c>
      <c r="L254" s="165">
        <v>1091713544</v>
      </c>
      <c r="M254" s="165">
        <v>55941319</v>
      </c>
      <c r="N254" s="165">
        <v>30804426</v>
      </c>
      <c r="O254" s="165">
        <v>278745401</v>
      </c>
      <c r="P254" s="165">
        <v>74898069</v>
      </c>
      <c r="Q254" s="165">
        <v>191263</v>
      </c>
      <c r="R254" s="165">
        <v>597.33333333333337</v>
      </c>
      <c r="S254" s="165">
        <v>417869097</v>
      </c>
      <c r="T254" s="165">
        <v>699557.6400669642</v>
      </c>
      <c r="U254" s="166">
        <v>33229938</v>
      </c>
      <c r="V254" s="168">
        <v>1781652662</v>
      </c>
      <c r="W254" s="165">
        <v>1757396531</v>
      </c>
      <c r="X254" s="165">
        <v>113787176</v>
      </c>
      <c r="Y254" s="165">
        <v>1460489</v>
      </c>
      <c r="Z254" s="165">
        <v>318495549.72000003</v>
      </c>
      <c r="AA254" s="165">
        <v>94642199.109999999</v>
      </c>
      <c r="AB254" s="165">
        <v>375913</v>
      </c>
      <c r="AC254" s="165">
        <v>589.58333333333337</v>
      </c>
      <c r="AD254" s="165">
        <v>325443105.83000004</v>
      </c>
      <c r="AE254" s="165">
        <v>551988.30670812726</v>
      </c>
      <c r="AF254" s="166">
        <v>-89531045</v>
      </c>
      <c r="AG254" s="11">
        <v>-92425991.169999957</v>
      </c>
      <c r="AH254" s="12">
        <v>-7.75</v>
      </c>
      <c r="AI254" s="132">
        <v>0</v>
      </c>
      <c r="AJ254" s="132">
        <v>0</v>
      </c>
      <c r="AK254" s="13">
        <v>0.15</v>
      </c>
      <c r="AL254" s="13">
        <v>-0.21094663479052267</v>
      </c>
      <c r="AM254" s="14">
        <v>0</v>
      </c>
      <c r="AN254" s="14">
        <v>-1</v>
      </c>
      <c r="AO254" s="82">
        <v>466649.66685267852</v>
      </c>
      <c r="AP254" s="82">
        <v>540204.46595618373</v>
      </c>
      <c r="AQ254" s="82">
        <v>73554.799103505211</v>
      </c>
      <c r="AR254" s="129">
        <v>0.1576231685743954</v>
      </c>
    </row>
    <row r="255" spans="1:44" ht="28.8" x14ac:dyDescent="0.3">
      <c r="A255" s="136" t="s">
        <v>441</v>
      </c>
      <c r="B255" s="137" t="s">
        <v>5039</v>
      </c>
      <c r="C255" s="134">
        <v>2020</v>
      </c>
      <c r="D255" s="149" t="s">
        <v>1181</v>
      </c>
      <c r="E255" s="135" t="s">
        <v>1175</v>
      </c>
      <c r="F255" s="384" t="s">
        <v>404</v>
      </c>
      <c r="G255" s="138" t="s">
        <v>4796</v>
      </c>
      <c r="H255" s="138" t="s">
        <v>3569</v>
      </c>
      <c r="I255" s="138" t="s">
        <v>3557</v>
      </c>
      <c r="J255" s="135" t="s">
        <v>4774</v>
      </c>
      <c r="K255" s="164">
        <v>1851252154</v>
      </c>
      <c r="L255" s="165">
        <v>1300835795</v>
      </c>
      <c r="M255" s="165">
        <v>465344416</v>
      </c>
      <c r="N255" s="165">
        <v>51327827</v>
      </c>
      <c r="O255" s="165">
        <v>558605395.22000003</v>
      </c>
      <c r="P255" s="165">
        <v>148407339.75000003</v>
      </c>
      <c r="Q255" s="165">
        <v>104465</v>
      </c>
      <c r="R255" s="165">
        <v>563.08333333333337</v>
      </c>
      <c r="S255" s="165">
        <v>843516969.97000003</v>
      </c>
      <c r="T255" s="165">
        <v>1498032.2095071776</v>
      </c>
      <c r="U255" s="166">
        <v>85071943</v>
      </c>
      <c r="V255" s="168">
        <v>3516699498</v>
      </c>
      <c r="W255" s="165">
        <v>2657002832</v>
      </c>
      <c r="X255" s="165">
        <v>678157788</v>
      </c>
      <c r="Y255" s="165">
        <v>126054780</v>
      </c>
      <c r="Z255" s="165">
        <v>720820129.06000006</v>
      </c>
      <c r="AA255" s="165">
        <v>201238633.25999999</v>
      </c>
      <c r="AB255" s="165">
        <v>156793</v>
      </c>
      <c r="AC255" s="165">
        <v>614.58333333333337</v>
      </c>
      <c r="AD255" s="165">
        <v>1229809213.3200002</v>
      </c>
      <c r="AE255" s="165">
        <v>2001045.4996393223</v>
      </c>
      <c r="AF255" s="166">
        <v>181538878</v>
      </c>
      <c r="AG255" s="11">
        <v>386292243.35000014</v>
      </c>
      <c r="AH255" s="12">
        <v>51.5</v>
      </c>
      <c r="AI255" s="132">
        <v>1</v>
      </c>
      <c r="AJ255" s="132">
        <v>1</v>
      </c>
      <c r="AK255" s="13">
        <v>0.05</v>
      </c>
      <c r="AL255" s="13">
        <v>0.3357826932172574</v>
      </c>
      <c r="AM255" s="14">
        <v>1</v>
      </c>
      <c r="AN255" s="14">
        <v>0</v>
      </c>
      <c r="AO255" s="82">
        <v>992047.46820186474</v>
      </c>
      <c r="AP255" s="82">
        <v>1172859.8710128814</v>
      </c>
      <c r="AQ255" s="82">
        <v>180812.40281101665</v>
      </c>
      <c r="AR255" s="129">
        <v>0.1822618459364127</v>
      </c>
    </row>
    <row r="256" spans="1:44" ht="28.8" x14ac:dyDescent="0.3">
      <c r="A256" s="136" t="s">
        <v>442</v>
      </c>
      <c r="B256" s="137" t="s">
        <v>5040</v>
      </c>
      <c r="C256" s="134">
        <v>2020</v>
      </c>
      <c r="D256" s="149" t="s">
        <v>1181</v>
      </c>
      <c r="E256" s="135" t="s">
        <v>1175</v>
      </c>
      <c r="F256" s="384" t="s">
        <v>404</v>
      </c>
      <c r="G256" s="138" t="s">
        <v>4773</v>
      </c>
      <c r="H256" s="138" t="s">
        <v>2566</v>
      </c>
      <c r="I256" s="138" t="s">
        <v>1566</v>
      </c>
      <c r="J256" s="135" t="s">
        <v>4778</v>
      </c>
      <c r="K256" s="164">
        <v>3984931058</v>
      </c>
      <c r="L256" s="165">
        <v>2940746011</v>
      </c>
      <c r="M256" s="165">
        <v>692195696</v>
      </c>
      <c r="N256" s="165">
        <v>43242593</v>
      </c>
      <c r="O256" s="165">
        <v>1048041518</v>
      </c>
      <c r="P256" s="165">
        <v>284087883</v>
      </c>
      <c r="Q256" s="165">
        <v>5910624</v>
      </c>
      <c r="R256" s="165">
        <v>1430.0833333333333</v>
      </c>
      <c r="S256" s="165">
        <v>1733271969</v>
      </c>
      <c r="T256" s="165">
        <v>1212007.6701823904</v>
      </c>
      <c r="U256" s="166">
        <v>351989351</v>
      </c>
      <c r="V256" s="168">
        <v>4411150161</v>
      </c>
      <c r="W256" s="165">
        <v>3499766062</v>
      </c>
      <c r="X256" s="165">
        <v>731920155</v>
      </c>
      <c r="Y256" s="165">
        <v>44167422</v>
      </c>
      <c r="Z256" s="165">
        <v>1048230215.9200001</v>
      </c>
      <c r="AA256" s="165">
        <v>306171751.41000003</v>
      </c>
      <c r="AB256" s="165">
        <v>5639622</v>
      </c>
      <c r="AC256" s="165">
        <v>1381.6666666666667</v>
      </c>
      <c r="AD256" s="165">
        <v>1583672955.3300002</v>
      </c>
      <c r="AE256" s="165">
        <v>1146204.7927599519</v>
      </c>
      <c r="AF256" s="166">
        <v>179463944</v>
      </c>
      <c r="AG256" s="11">
        <v>-149599013.66999984</v>
      </c>
      <c r="AH256" s="12">
        <v>-48.416666666666515</v>
      </c>
      <c r="AI256" s="132">
        <v>0</v>
      </c>
      <c r="AJ256" s="132">
        <v>0</v>
      </c>
      <c r="AK256" s="13">
        <v>0.1</v>
      </c>
      <c r="AL256" s="13">
        <v>-5.4292461697045158E-2</v>
      </c>
      <c r="AM256" s="14">
        <v>0</v>
      </c>
      <c r="AN256" s="14">
        <v>-1</v>
      </c>
      <c r="AO256" s="82">
        <v>732853.45935551543</v>
      </c>
      <c r="AP256" s="82">
        <v>758670.84385042218</v>
      </c>
      <c r="AQ256" s="82">
        <v>25817.384494906757</v>
      </c>
      <c r="AR256" s="129">
        <v>3.5228576962181624E-2</v>
      </c>
    </row>
    <row r="257" spans="1:44" ht="28.8" x14ac:dyDescent="0.3">
      <c r="A257" s="136" t="s">
        <v>443</v>
      </c>
      <c r="B257" s="137" t="s">
        <v>5041</v>
      </c>
      <c r="C257" s="134">
        <v>2018</v>
      </c>
      <c r="D257" s="149" t="s">
        <v>1181</v>
      </c>
      <c r="E257" s="135" t="s">
        <v>1175</v>
      </c>
      <c r="F257" s="384" t="s">
        <v>272</v>
      </c>
      <c r="G257" s="138" t="s">
        <v>4773</v>
      </c>
      <c r="H257" s="138" t="s">
        <v>2425</v>
      </c>
      <c r="I257" s="138" t="s">
        <v>1566</v>
      </c>
      <c r="J257" s="135" t="s">
        <v>4778</v>
      </c>
      <c r="K257" s="164">
        <v>1999587000</v>
      </c>
      <c r="L257" s="165">
        <v>1662192000</v>
      </c>
      <c r="M257" s="165">
        <v>249277000</v>
      </c>
      <c r="N257" s="165">
        <v>47915000</v>
      </c>
      <c r="O257" s="165">
        <v>70764000</v>
      </c>
      <c r="P257" s="165">
        <v>18177000</v>
      </c>
      <c r="Q257" s="165">
        <v>2166000</v>
      </c>
      <c r="R257" s="165">
        <v>142.83333333333331</v>
      </c>
      <c r="S257" s="165">
        <v>227140000</v>
      </c>
      <c r="T257" s="165">
        <v>1590245.0408401403</v>
      </c>
      <c r="U257" s="166">
        <v>88118000</v>
      </c>
      <c r="V257" s="168">
        <v>4961196019</v>
      </c>
      <c r="W257" s="165">
        <v>4026259490</v>
      </c>
      <c r="X257" s="165">
        <v>842363778</v>
      </c>
      <c r="Y257" s="165">
        <v>91609951</v>
      </c>
      <c r="Z257" s="165">
        <v>131568203.18000001</v>
      </c>
      <c r="AA257" s="165">
        <v>33985140.549999997</v>
      </c>
      <c r="AB257" s="165">
        <v>857738</v>
      </c>
      <c r="AC257" s="165">
        <v>158.91666666666666</v>
      </c>
      <c r="AD257" s="165">
        <v>350593783.73000002</v>
      </c>
      <c r="AE257" s="165">
        <v>2206148.6128788674</v>
      </c>
      <c r="AF257" s="166">
        <v>92572751</v>
      </c>
      <c r="AG257" s="11">
        <v>123453783.73000002</v>
      </c>
      <c r="AH257" s="12">
        <v>16.083333333333343</v>
      </c>
      <c r="AI257" s="132">
        <v>1</v>
      </c>
      <c r="AJ257" s="132">
        <v>1</v>
      </c>
      <c r="AK257" s="13">
        <v>0.3</v>
      </c>
      <c r="AL257" s="13">
        <v>0.38730104764231799</v>
      </c>
      <c r="AM257" s="14">
        <v>1</v>
      </c>
      <c r="AN257" s="14">
        <v>0</v>
      </c>
      <c r="AO257" s="82">
        <v>495430.5717619604</v>
      </c>
      <c r="AP257" s="82">
        <v>827906.88943890936</v>
      </c>
      <c r="AQ257" s="82">
        <v>332476.31767694897</v>
      </c>
      <c r="AR257" s="129">
        <v>0.67108559024632397</v>
      </c>
    </row>
    <row r="258" spans="1:44" ht="28.8" x14ac:dyDescent="0.3">
      <c r="A258" s="136" t="s">
        <v>444</v>
      </c>
      <c r="B258" s="137" t="s">
        <v>5042</v>
      </c>
      <c r="C258" s="134">
        <v>2018</v>
      </c>
      <c r="D258" s="149" t="s">
        <v>1181</v>
      </c>
      <c r="E258" s="135" t="s">
        <v>1175</v>
      </c>
      <c r="F258" s="384" t="s">
        <v>402</v>
      </c>
      <c r="G258" s="138" t="s">
        <v>4773</v>
      </c>
      <c r="H258" s="138" t="s">
        <v>2463</v>
      </c>
      <c r="I258" s="138" t="s">
        <v>1566</v>
      </c>
      <c r="J258" s="135" t="s">
        <v>4774</v>
      </c>
      <c r="K258" s="164">
        <v>728572000</v>
      </c>
      <c r="L258" s="165">
        <v>607089000</v>
      </c>
      <c r="M258" s="165">
        <v>107360000</v>
      </c>
      <c r="N258" s="165">
        <v>4843000</v>
      </c>
      <c r="O258" s="165">
        <v>114747000</v>
      </c>
      <c r="P258" s="165">
        <v>31431000</v>
      </c>
      <c r="Q258" s="165">
        <v>311000</v>
      </c>
      <c r="R258" s="165">
        <v>275.66666666666663</v>
      </c>
      <c r="S258" s="165">
        <v>165455000</v>
      </c>
      <c r="T258" s="165">
        <v>600199.51632406295</v>
      </c>
      <c r="U258" s="166">
        <v>14123000</v>
      </c>
      <c r="V258" s="168">
        <v>659947437</v>
      </c>
      <c r="W258" s="165">
        <v>472836256</v>
      </c>
      <c r="X258" s="165">
        <v>116388958</v>
      </c>
      <c r="Y258" s="165">
        <v>28315837</v>
      </c>
      <c r="Z258" s="165">
        <v>92697181.899999991</v>
      </c>
      <c r="AA258" s="165">
        <v>16464206.439999999</v>
      </c>
      <c r="AB258" s="165">
        <v>0</v>
      </c>
      <c r="AC258" s="165">
        <v>130.58333333333334</v>
      </c>
      <c r="AD258" s="165">
        <v>208199448.33999997</v>
      </c>
      <c r="AE258" s="165">
        <v>1594379.9489980852</v>
      </c>
      <c r="AF258" s="166">
        <v>70722223</v>
      </c>
      <c r="AG258" s="11">
        <v>42744448.339999974</v>
      </c>
      <c r="AH258" s="12">
        <v>-145.08333333333329</v>
      </c>
      <c r="AI258" s="132">
        <v>1</v>
      </c>
      <c r="AJ258" s="132">
        <v>1</v>
      </c>
      <c r="AK258" s="13">
        <v>0.3</v>
      </c>
      <c r="AL258" s="13">
        <v>1.6564165696100521</v>
      </c>
      <c r="AM258" s="14">
        <v>1</v>
      </c>
      <c r="AN258" s="14">
        <v>0</v>
      </c>
      <c r="AO258" s="82">
        <v>416252.7206771464</v>
      </c>
      <c r="AP258" s="82">
        <v>709869.93158902344</v>
      </c>
      <c r="AQ258" s="82">
        <v>293617.21091187705</v>
      </c>
      <c r="AR258" s="129">
        <v>0.70538208239030875</v>
      </c>
    </row>
    <row r="259" spans="1:44" ht="28.8" x14ac:dyDescent="0.3">
      <c r="A259" s="136" t="s">
        <v>445</v>
      </c>
      <c r="B259" s="137" t="s">
        <v>5043</v>
      </c>
      <c r="C259" s="134">
        <v>2019</v>
      </c>
      <c r="D259" s="149" t="s">
        <v>1157</v>
      </c>
      <c r="E259" s="135" t="s">
        <v>1152</v>
      </c>
      <c r="F259" s="384" t="s">
        <v>446</v>
      </c>
      <c r="G259" s="138" t="s">
        <v>4773</v>
      </c>
      <c r="H259" s="138" t="s">
        <v>1401</v>
      </c>
      <c r="I259" s="138" t="s">
        <v>1217</v>
      </c>
      <c r="J259" s="135" t="s">
        <v>4774</v>
      </c>
      <c r="K259" s="164">
        <v>861505398</v>
      </c>
      <c r="L259" s="165">
        <v>760052812</v>
      </c>
      <c r="M259" s="165">
        <v>60042127</v>
      </c>
      <c r="N259" s="165">
        <v>371885638</v>
      </c>
      <c r="O259" s="165">
        <v>89026948</v>
      </c>
      <c r="P259" s="165">
        <v>26766894</v>
      </c>
      <c r="Q259" s="165">
        <v>2498777</v>
      </c>
      <c r="R259" s="165">
        <v>305</v>
      </c>
      <c r="S259" s="165">
        <v>531588716</v>
      </c>
      <c r="T259" s="165">
        <v>1742913.8229508197</v>
      </c>
      <c r="U259" s="166">
        <v>41410459</v>
      </c>
      <c r="V259" s="168">
        <v>291518492</v>
      </c>
      <c r="W259" s="165">
        <v>279230083</v>
      </c>
      <c r="X259" s="165">
        <v>20181352</v>
      </c>
      <c r="Y259" s="165">
        <v>27536480</v>
      </c>
      <c r="Z259" s="165">
        <v>90725620</v>
      </c>
      <c r="AA259" s="165">
        <v>26915875.629999999</v>
      </c>
      <c r="AB259" s="165">
        <v>2263050</v>
      </c>
      <c r="AC259" s="165">
        <v>214.91666666666666</v>
      </c>
      <c r="AD259" s="165">
        <v>139548082.63</v>
      </c>
      <c r="AE259" s="165">
        <v>649312.52096161305</v>
      </c>
      <c r="AF259" s="166">
        <v>-7892943</v>
      </c>
      <c r="AG259" s="11">
        <v>-392040633.37</v>
      </c>
      <c r="AH259" s="12">
        <v>-90.083333333333343</v>
      </c>
      <c r="AI259" s="132">
        <v>0</v>
      </c>
      <c r="AJ259" s="132">
        <v>0</v>
      </c>
      <c r="AK259" s="13">
        <v>0.15</v>
      </c>
      <c r="AL259" s="13">
        <v>-0.62745575108240292</v>
      </c>
      <c r="AM259" s="14">
        <v>0</v>
      </c>
      <c r="AN259" s="14">
        <v>-1</v>
      </c>
      <c r="AO259" s="82">
        <v>291891.63278688525</v>
      </c>
      <c r="AP259" s="82">
        <v>422143.24932144245</v>
      </c>
      <c r="AQ259" s="82">
        <v>130251.61653455719</v>
      </c>
      <c r="AR259" s="129">
        <v>0.44623278608899342</v>
      </c>
    </row>
    <row r="260" spans="1:44" ht="28.8" x14ac:dyDescent="0.3">
      <c r="A260" s="136" t="s">
        <v>447</v>
      </c>
      <c r="B260" s="137" t="s">
        <v>5044</v>
      </c>
      <c r="C260" s="134">
        <v>2019</v>
      </c>
      <c r="D260" s="149" t="s">
        <v>1157</v>
      </c>
      <c r="E260" s="135" t="s">
        <v>1152</v>
      </c>
      <c r="F260" s="384" t="s">
        <v>446</v>
      </c>
      <c r="G260" s="138" t="s">
        <v>4773</v>
      </c>
      <c r="H260" s="138" t="s">
        <v>2900</v>
      </c>
      <c r="I260" s="138" t="s">
        <v>1566</v>
      </c>
      <c r="J260" s="135" t="s">
        <v>4778</v>
      </c>
      <c r="K260" s="164">
        <v>1729025797</v>
      </c>
      <c r="L260" s="165">
        <v>983543879</v>
      </c>
      <c r="M260" s="165">
        <v>564330381</v>
      </c>
      <c r="N260" s="165">
        <v>63211470</v>
      </c>
      <c r="O260" s="165">
        <v>577765555</v>
      </c>
      <c r="P260" s="165">
        <v>172189373</v>
      </c>
      <c r="Q260" s="165">
        <v>9499044</v>
      </c>
      <c r="R260" s="165">
        <v>1384.0833333333333</v>
      </c>
      <c r="S260" s="165">
        <v>1003816979</v>
      </c>
      <c r="T260" s="165">
        <v>725257.61623216327</v>
      </c>
      <c r="U260" s="166">
        <v>181151537</v>
      </c>
      <c r="V260" s="168">
        <v>1751405267</v>
      </c>
      <c r="W260" s="165">
        <v>1004983</v>
      </c>
      <c r="X260" s="165">
        <v>580552668</v>
      </c>
      <c r="Y260" s="165">
        <v>47177319</v>
      </c>
      <c r="Z260" s="165">
        <v>654021191.45000005</v>
      </c>
      <c r="AA260" s="165">
        <v>194266974</v>
      </c>
      <c r="AB260" s="165">
        <v>9077765</v>
      </c>
      <c r="AC260" s="165">
        <v>1307</v>
      </c>
      <c r="AD260" s="165">
        <v>2074390865.45</v>
      </c>
      <c r="AE260" s="165">
        <v>1587139.1472456006</v>
      </c>
      <c r="AF260" s="166">
        <v>1169847616</v>
      </c>
      <c r="AG260" s="11">
        <v>1070573886.45</v>
      </c>
      <c r="AH260" s="12">
        <v>-77.083333333333258</v>
      </c>
      <c r="AI260" s="132">
        <v>1</v>
      </c>
      <c r="AJ260" s="132">
        <v>1</v>
      </c>
      <c r="AK260" s="13">
        <v>0.15</v>
      </c>
      <c r="AL260" s="13">
        <v>1.1883798339133618</v>
      </c>
      <c r="AM260" s="14">
        <v>1</v>
      </c>
      <c r="AN260" s="14">
        <v>0</v>
      </c>
      <c r="AO260" s="82">
        <v>417435.52652176534</v>
      </c>
      <c r="AP260" s="82">
        <v>500398.76928079576</v>
      </c>
      <c r="AQ260" s="82">
        <v>82963.242759030429</v>
      </c>
      <c r="AR260" s="129">
        <v>0.19874504561294137</v>
      </c>
    </row>
    <row r="261" spans="1:44" ht="43.2" x14ac:dyDescent="0.3">
      <c r="A261" s="136" t="s">
        <v>448</v>
      </c>
      <c r="B261" s="137" t="s">
        <v>5045</v>
      </c>
      <c r="C261" s="134">
        <v>2019</v>
      </c>
      <c r="D261" s="149" t="s">
        <v>5046</v>
      </c>
      <c r="E261" s="135" t="s">
        <v>1140</v>
      </c>
      <c r="F261" s="384" t="s">
        <v>449</v>
      </c>
      <c r="G261" s="138" t="s">
        <v>4773</v>
      </c>
      <c r="H261" s="138" t="s">
        <v>2246</v>
      </c>
      <c r="I261" s="138" t="s">
        <v>1566</v>
      </c>
      <c r="J261" s="135" t="s">
        <v>4798</v>
      </c>
      <c r="K261" s="164">
        <v>5057082886</v>
      </c>
      <c r="L261" s="165">
        <v>1880415159</v>
      </c>
      <c r="M261" s="165">
        <v>2612565849</v>
      </c>
      <c r="N261" s="165">
        <v>191003048</v>
      </c>
      <c r="O261" s="165">
        <v>635952297</v>
      </c>
      <c r="P261" s="165">
        <v>191785177</v>
      </c>
      <c r="Q261" s="165">
        <v>16589810</v>
      </c>
      <c r="R261" s="165">
        <v>1784.8333333333333</v>
      </c>
      <c r="S261" s="165">
        <v>1599432210</v>
      </c>
      <c r="T261" s="165">
        <v>896124.1255019143</v>
      </c>
      <c r="U261" s="166">
        <v>564101878</v>
      </c>
      <c r="V261" s="168">
        <v>7020119172</v>
      </c>
      <c r="W261" s="165">
        <v>2113845426</v>
      </c>
      <c r="X261" s="165">
        <v>2877998158</v>
      </c>
      <c r="Y261" s="165">
        <v>304141626</v>
      </c>
      <c r="Z261" s="165">
        <v>794536636</v>
      </c>
      <c r="AA261" s="165">
        <v>234037508</v>
      </c>
      <c r="AB261" s="165">
        <v>11042993</v>
      </c>
      <c r="AC261" s="165">
        <v>1606.5</v>
      </c>
      <c r="AD261" s="165">
        <v>3372034351</v>
      </c>
      <c r="AE261" s="165">
        <v>2098994.3050108934</v>
      </c>
      <c r="AF261" s="166">
        <v>2028275588</v>
      </c>
      <c r="AG261" s="11">
        <v>1772602141</v>
      </c>
      <c r="AH261" s="12">
        <v>-178.33333333333326</v>
      </c>
      <c r="AI261" s="132">
        <v>1</v>
      </c>
      <c r="AJ261" s="132">
        <v>1</v>
      </c>
      <c r="AK261" s="13">
        <v>0.15</v>
      </c>
      <c r="AL261" s="13">
        <v>1.3423030802663467</v>
      </c>
      <c r="AM261" s="14">
        <v>1</v>
      </c>
      <c r="AN261" s="14">
        <v>0</v>
      </c>
      <c r="AO261" s="82">
        <v>356309.06545895978</v>
      </c>
      <c r="AP261" s="82">
        <v>494576.1817615935</v>
      </c>
      <c r="AQ261" s="82">
        <v>138267.11630263372</v>
      </c>
      <c r="AR261" s="129">
        <v>0.38805388272827868</v>
      </c>
    </row>
    <row r="262" spans="1:44" ht="43.2" x14ac:dyDescent="0.3">
      <c r="A262" s="136" t="s">
        <v>450</v>
      </c>
      <c r="B262" s="137" t="s">
        <v>5047</v>
      </c>
      <c r="C262" s="134">
        <v>2019</v>
      </c>
      <c r="D262" s="149" t="s">
        <v>5046</v>
      </c>
      <c r="E262" s="135" t="s">
        <v>1140</v>
      </c>
      <c r="F262" s="384" t="s">
        <v>449</v>
      </c>
      <c r="G262" s="138" t="s">
        <v>4773</v>
      </c>
      <c r="H262" s="138" t="s">
        <v>1740</v>
      </c>
      <c r="I262" s="138" t="s">
        <v>1566</v>
      </c>
      <c r="J262" s="135" t="s">
        <v>4798</v>
      </c>
      <c r="K262" s="164">
        <v>778869190</v>
      </c>
      <c r="L262" s="165">
        <v>397862361</v>
      </c>
      <c r="M262" s="165">
        <v>354861825</v>
      </c>
      <c r="N262" s="165">
        <v>20486256</v>
      </c>
      <c r="O262" s="165">
        <v>189671198</v>
      </c>
      <c r="P262" s="165">
        <v>53367151</v>
      </c>
      <c r="Q262" s="165">
        <v>771599</v>
      </c>
      <c r="R262" s="165">
        <v>603.58333333333337</v>
      </c>
      <c r="S262" s="165">
        <v>290441208</v>
      </c>
      <c r="T262" s="165">
        <v>481194.87726080348</v>
      </c>
      <c r="U262" s="166">
        <v>26145004</v>
      </c>
      <c r="V262" s="168">
        <v>870449340</v>
      </c>
      <c r="W262" s="165">
        <v>412406837</v>
      </c>
      <c r="X262" s="165">
        <v>429828965</v>
      </c>
      <c r="Y262" s="165">
        <v>10251675</v>
      </c>
      <c r="Z262" s="165">
        <v>214100485.16000003</v>
      </c>
      <c r="AA262" s="165">
        <v>60403992.769999996</v>
      </c>
      <c r="AB262" s="165">
        <v>783671</v>
      </c>
      <c r="AC262" s="165">
        <v>517.25</v>
      </c>
      <c r="AD262" s="165">
        <v>313753361.93000001</v>
      </c>
      <c r="AE262" s="165">
        <v>606579.72340260993</v>
      </c>
      <c r="AF262" s="166">
        <v>28213538</v>
      </c>
      <c r="AG262" s="11">
        <v>23312153.930000007</v>
      </c>
      <c r="AH262" s="12">
        <v>-86.333333333333371</v>
      </c>
      <c r="AI262" s="132">
        <v>1</v>
      </c>
      <c r="AJ262" s="132">
        <v>1</v>
      </c>
      <c r="AK262" s="13">
        <v>0.15</v>
      </c>
      <c r="AL262" s="13">
        <v>0.26056977164844297</v>
      </c>
      <c r="AM262" s="14">
        <v>1</v>
      </c>
      <c r="AN262" s="14">
        <v>0</v>
      </c>
      <c r="AO262" s="82">
        <v>314241.94063233462</v>
      </c>
      <c r="AP262" s="82">
        <v>413920.70596423396</v>
      </c>
      <c r="AQ262" s="82">
        <v>99678.76533189934</v>
      </c>
      <c r="AR262" s="129">
        <v>0.3172038879702701</v>
      </c>
    </row>
    <row r="263" spans="1:44" ht="43.2" x14ac:dyDescent="0.3">
      <c r="A263" s="136" t="s">
        <v>451</v>
      </c>
      <c r="B263" s="137" t="s">
        <v>5048</v>
      </c>
      <c r="C263" s="134">
        <v>2019</v>
      </c>
      <c r="D263" s="149" t="s">
        <v>5046</v>
      </c>
      <c r="E263" s="135" t="s">
        <v>1140</v>
      </c>
      <c r="F263" s="384" t="s">
        <v>449</v>
      </c>
      <c r="G263" s="138" t="s">
        <v>4773</v>
      </c>
      <c r="H263" s="138" t="s">
        <v>1571</v>
      </c>
      <c r="I263" s="138" t="s">
        <v>1566</v>
      </c>
      <c r="J263" s="135" t="s">
        <v>4774</v>
      </c>
      <c r="K263" s="164">
        <v>2484625130</v>
      </c>
      <c r="L263" s="165">
        <v>2015148740</v>
      </c>
      <c r="M263" s="165">
        <v>252553677</v>
      </c>
      <c r="N263" s="165">
        <v>88283852</v>
      </c>
      <c r="O263" s="165">
        <v>197989002</v>
      </c>
      <c r="P263" s="165">
        <v>57757905</v>
      </c>
      <c r="Q263" s="165">
        <v>19292588</v>
      </c>
      <c r="R263" s="165">
        <v>496.08333333333331</v>
      </c>
      <c r="S263" s="165">
        <v>580246060</v>
      </c>
      <c r="T263" s="165">
        <v>1169654.4129010583</v>
      </c>
      <c r="U263" s="166">
        <v>216922713</v>
      </c>
      <c r="V263" s="168">
        <v>2762404872</v>
      </c>
      <c r="W263" s="165">
        <v>2235768850</v>
      </c>
      <c r="X263" s="165">
        <v>328411602</v>
      </c>
      <c r="Y263" s="165">
        <v>43548886</v>
      </c>
      <c r="Z263" s="165">
        <v>198347316</v>
      </c>
      <c r="AA263" s="165">
        <v>58234842</v>
      </c>
      <c r="AB263" s="165">
        <v>18170817</v>
      </c>
      <c r="AC263" s="165">
        <v>457.16666666666669</v>
      </c>
      <c r="AD263" s="165">
        <v>516526281</v>
      </c>
      <c r="AE263" s="165">
        <v>1129842.3937294933</v>
      </c>
      <c r="AF263" s="166">
        <v>198224420</v>
      </c>
      <c r="AG263" s="11">
        <v>-63719779</v>
      </c>
      <c r="AH263" s="12">
        <v>-38.916666666666629</v>
      </c>
      <c r="AI263" s="132">
        <v>0</v>
      </c>
      <c r="AJ263" s="132">
        <v>0</v>
      </c>
      <c r="AK263" s="13">
        <v>0.15</v>
      </c>
      <c r="AL263" s="13">
        <v>-3.40374213610668E-2</v>
      </c>
      <c r="AM263" s="14">
        <v>0</v>
      </c>
      <c r="AN263" s="14">
        <v>-1</v>
      </c>
      <c r="AO263" s="82">
        <v>399104.32118259702</v>
      </c>
      <c r="AP263" s="82">
        <v>433862.15676266857</v>
      </c>
      <c r="AQ263" s="82">
        <v>34757.835580071551</v>
      </c>
      <c r="AR263" s="129">
        <v>8.7089599724402111E-2</v>
      </c>
    </row>
    <row r="264" spans="1:44" ht="43.2" x14ac:dyDescent="0.3">
      <c r="A264" s="136" t="s">
        <v>452</v>
      </c>
      <c r="B264" s="137" t="s">
        <v>5049</v>
      </c>
      <c r="C264" s="134">
        <v>2019</v>
      </c>
      <c r="D264" s="149" t="s">
        <v>5046</v>
      </c>
      <c r="E264" s="135" t="s">
        <v>1140</v>
      </c>
      <c r="F264" s="384" t="s">
        <v>449</v>
      </c>
      <c r="G264" s="138" t="s">
        <v>4773</v>
      </c>
      <c r="H264" s="138" t="s">
        <v>1597</v>
      </c>
      <c r="I264" s="138" t="s">
        <v>1566</v>
      </c>
      <c r="J264" s="135" t="s">
        <v>4774</v>
      </c>
      <c r="K264" s="164">
        <v>879918146</v>
      </c>
      <c r="L264" s="165">
        <v>735265850</v>
      </c>
      <c r="M264" s="165">
        <v>74105941</v>
      </c>
      <c r="N264" s="165">
        <v>2718878</v>
      </c>
      <c r="O264" s="165">
        <v>62337216</v>
      </c>
      <c r="P264" s="165">
        <v>18652886</v>
      </c>
      <c r="Q264" s="165">
        <v>0</v>
      </c>
      <c r="R264" s="165">
        <v>201.08333333333334</v>
      </c>
      <c r="S264" s="165">
        <v>154255335</v>
      </c>
      <c r="T264" s="165">
        <v>767121.43389970984</v>
      </c>
      <c r="U264" s="166">
        <v>70546355</v>
      </c>
      <c r="V264" s="168">
        <v>850597252</v>
      </c>
      <c r="W264" s="165">
        <v>751240311</v>
      </c>
      <c r="X264" s="165">
        <v>60575619</v>
      </c>
      <c r="Y264" s="165">
        <v>10119554</v>
      </c>
      <c r="Z264" s="165">
        <v>58183736.990000002</v>
      </c>
      <c r="AA264" s="165">
        <v>17368098.510000002</v>
      </c>
      <c r="AB264" s="165">
        <v>1912750</v>
      </c>
      <c r="AC264" s="165">
        <v>139</v>
      </c>
      <c r="AD264" s="165">
        <v>126365461.50000001</v>
      </c>
      <c r="AE264" s="165">
        <v>909104.03956834541</v>
      </c>
      <c r="AF264" s="166">
        <v>38781322</v>
      </c>
      <c r="AG264" s="11">
        <v>-27889873.499999985</v>
      </c>
      <c r="AH264" s="12">
        <v>-62.083333333333343</v>
      </c>
      <c r="AI264" s="132">
        <v>1</v>
      </c>
      <c r="AJ264" s="132">
        <v>1</v>
      </c>
      <c r="AK264" s="13">
        <v>0.15</v>
      </c>
      <c r="AL264" s="13">
        <v>0.18508492195296911</v>
      </c>
      <c r="AM264" s="14">
        <v>1</v>
      </c>
      <c r="AN264" s="14">
        <v>0</v>
      </c>
      <c r="AO264" s="82">
        <v>310006.87608785741</v>
      </c>
      <c r="AP264" s="82">
        <v>418588.03589928057</v>
      </c>
      <c r="AQ264" s="82">
        <v>108581.15981142316</v>
      </c>
      <c r="AR264" s="129">
        <v>0.3502540368835263</v>
      </c>
    </row>
    <row r="265" spans="1:44" ht="28.8" x14ac:dyDescent="0.3">
      <c r="A265" s="136" t="s">
        <v>453</v>
      </c>
      <c r="B265" s="137" t="s">
        <v>5050</v>
      </c>
      <c r="C265" s="134">
        <v>2019</v>
      </c>
      <c r="D265" s="149" t="s">
        <v>1137</v>
      </c>
      <c r="E265" s="135" t="s">
        <v>1131</v>
      </c>
      <c r="F265" s="384" t="s">
        <v>454</v>
      </c>
      <c r="G265" s="138" t="s">
        <v>4773</v>
      </c>
      <c r="H265" s="138" t="s">
        <v>3110</v>
      </c>
      <c r="I265" s="138" t="s">
        <v>1566</v>
      </c>
      <c r="J265" s="135" t="s">
        <v>4798</v>
      </c>
      <c r="K265" s="164">
        <v>9909354660</v>
      </c>
      <c r="L265" s="165">
        <v>8049517492</v>
      </c>
      <c r="M265" s="165">
        <v>1609476131</v>
      </c>
      <c r="N265" s="165">
        <v>217097786</v>
      </c>
      <c r="O265" s="165">
        <v>974860167</v>
      </c>
      <c r="P265" s="165">
        <v>250832003</v>
      </c>
      <c r="Q265" s="165">
        <v>17205794</v>
      </c>
      <c r="R265" s="165">
        <v>1221.5</v>
      </c>
      <c r="S265" s="165">
        <v>1710356787</v>
      </c>
      <c r="T265" s="165">
        <v>1400210.2226770364</v>
      </c>
      <c r="U265" s="166">
        <v>250361037</v>
      </c>
      <c r="V265" s="168">
        <v>8637723040</v>
      </c>
      <c r="W265" s="165">
        <v>8476698860</v>
      </c>
      <c r="X265" s="165">
        <v>2199307671</v>
      </c>
      <c r="Y265" s="165">
        <v>220389240</v>
      </c>
      <c r="Z265" s="165">
        <v>1291776565.49</v>
      </c>
      <c r="AA265" s="165">
        <v>367489507.43000001</v>
      </c>
      <c r="AB265" s="165">
        <v>38028590</v>
      </c>
      <c r="AC265" s="165">
        <v>1347.0833333333333</v>
      </c>
      <c r="AD265" s="165">
        <v>-120599588.07999998</v>
      </c>
      <c r="AE265" s="165">
        <v>-89526.449549025667</v>
      </c>
      <c r="AF265" s="166">
        <v>-2038283491</v>
      </c>
      <c r="AG265" s="11">
        <v>-1830956375.0799999</v>
      </c>
      <c r="AH265" s="12">
        <v>125.58333333333326</v>
      </c>
      <c r="AI265" s="132">
        <v>0</v>
      </c>
      <c r="AJ265" s="132">
        <v>0</v>
      </c>
      <c r="AK265" s="13">
        <v>0.15</v>
      </c>
      <c r="AL265" s="13">
        <v>-1.0639378635588019</v>
      </c>
      <c r="AM265" s="14">
        <v>0</v>
      </c>
      <c r="AN265" s="14">
        <v>-1</v>
      </c>
      <c r="AO265" s="82">
        <v>798084.45927138766</v>
      </c>
      <c r="AP265" s="82">
        <v>958943.32111846586</v>
      </c>
      <c r="AQ265" s="82">
        <v>160858.86184707819</v>
      </c>
      <c r="AR265" s="129">
        <v>0.201556188669473</v>
      </c>
    </row>
    <row r="266" spans="1:44" ht="28.8" x14ac:dyDescent="0.3">
      <c r="A266" s="136" t="s">
        <v>455</v>
      </c>
      <c r="B266" s="137" t="s">
        <v>5051</v>
      </c>
      <c r="C266" s="134">
        <v>2019</v>
      </c>
      <c r="D266" s="149" t="s">
        <v>1161</v>
      </c>
      <c r="E266" s="135" t="s">
        <v>1152</v>
      </c>
      <c r="F266" s="384" t="s">
        <v>456</v>
      </c>
      <c r="G266" s="138" t="s">
        <v>4773</v>
      </c>
      <c r="H266" s="138" t="s">
        <v>2898</v>
      </c>
      <c r="I266" s="138" t="s">
        <v>1566</v>
      </c>
      <c r="J266" s="135" t="s">
        <v>4774</v>
      </c>
      <c r="K266" s="164">
        <v>846401546</v>
      </c>
      <c r="L266" s="165">
        <v>308831622</v>
      </c>
      <c r="M266" s="165">
        <v>473246505</v>
      </c>
      <c r="N266" s="165">
        <v>8909090</v>
      </c>
      <c r="O266" s="165">
        <v>133066441</v>
      </c>
      <c r="P266" s="165">
        <v>36274531</v>
      </c>
      <c r="Q266" s="165">
        <v>0</v>
      </c>
      <c r="R266" s="165">
        <v>241.75</v>
      </c>
      <c r="S266" s="165">
        <v>242573481</v>
      </c>
      <c r="T266" s="165">
        <v>1003406.3329886246</v>
      </c>
      <c r="U266" s="166">
        <v>64323419</v>
      </c>
      <c r="V266" s="168">
        <v>737506789</v>
      </c>
      <c r="W266" s="165">
        <v>286793904</v>
      </c>
      <c r="X266" s="165">
        <v>406691328</v>
      </c>
      <c r="Y266" s="165">
        <v>9242099</v>
      </c>
      <c r="Z266" s="165">
        <v>157870298</v>
      </c>
      <c r="AA266" s="165">
        <v>27490602</v>
      </c>
      <c r="AB266" s="165">
        <v>0</v>
      </c>
      <c r="AC266" s="165">
        <v>303.41666666666669</v>
      </c>
      <c r="AD266" s="165">
        <v>238624556</v>
      </c>
      <c r="AE266" s="165">
        <v>786458.30046690465</v>
      </c>
      <c r="AF266" s="166">
        <v>44021557</v>
      </c>
      <c r="AG266" s="11">
        <v>-3948925</v>
      </c>
      <c r="AH266" s="12">
        <v>61.666666666666686</v>
      </c>
      <c r="AI266" s="132">
        <v>0</v>
      </c>
      <c r="AJ266" s="132">
        <v>0</v>
      </c>
      <c r="AK266" s="13">
        <v>0.15</v>
      </c>
      <c r="AL266" s="13">
        <v>-0.21621154213767013</v>
      </c>
      <c r="AM266" s="14">
        <v>0</v>
      </c>
      <c r="AN266" s="14">
        <v>-1</v>
      </c>
      <c r="AO266" s="82">
        <v>550429.95243019646</v>
      </c>
      <c r="AP266" s="82">
        <v>520308.58994781651</v>
      </c>
      <c r="AQ266" s="82">
        <v>-30121.362482379947</v>
      </c>
      <c r="AR266" s="129">
        <v>-5.4723334639387833E-2</v>
      </c>
    </row>
    <row r="267" spans="1:44" ht="28.8" x14ac:dyDescent="0.3">
      <c r="A267" s="136" t="s">
        <v>457</v>
      </c>
      <c r="B267" s="137" t="s">
        <v>5052</v>
      </c>
      <c r="C267" s="134">
        <v>2018</v>
      </c>
      <c r="D267" s="149" t="s">
        <v>1161</v>
      </c>
      <c r="E267" s="135" t="s">
        <v>1152</v>
      </c>
      <c r="F267" s="384" t="s">
        <v>456</v>
      </c>
      <c r="G267" s="138" t="s">
        <v>4773</v>
      </c>
      <c r="H267" s="138" t="s">
        <v>2898</v>
      </c>
      <c r="I267" s="138" t="s">
        <v>1566</v>
      </c>
      <c r="J267" s="135" t="s">
        <v>4774</v>
      </c>
      <c r="K267" s="164">
        <v>475176800.00000006</v>
      </c>
      <c r="L267" s="165">
        <v>348526100</v>
      </c>
      <c r="M267" s="165">
        <v>84913200</v>
      </c>
      <c r="N267" s="165">
        <v>7808100</v>
      </c>
      <c r="O267" s="165">
        <v>96041300</v>
      </c>
      <c r="P267" s="165">
        <v>23921300</v>
      </c>
      <c r="Q267" s="165">
        <v>792700</v>
      </c>
      <c r="R267" s="165">
        <v>107.16666666666667</v>
      </c>
      <c r="S267" s="165">
        <v>170300900.00000006</v>
      </c>
      <c r="T267" s="165">
        <v>1589121.9284603426</v>
      </c>
      <c r="U267" s="166">
        <v>41737500.00000006</v>
      </c>
      <c r="V267" s="168">
        <v>770923264</v>
      </c>
      <c r="W267" s="165">
        <v>498017493</v>
      </c>
      <c r="X267" s="165">
        <v>79009298</v>
      </c>
      <c r="Y267" s="165">
        <v>12936434</v>
      </c>
      <c r="Z267" s="165">
        <v>145111933</v>
      </c>
      <c r="AA267" s="165">
        <v>24956960</v>
      </c>
      <c r="AB267" s="165">
        <v>818692</v>
      </c>
      <c r="AC267" s="165">
        <v>130.5</v>
      </c>
      <c r="AD267" s="165">
        <v>377720492</v>
      </c>
      <c r="AE267" s="165">
        <v>2894409.9003831418</v>
      </c>
      <c r="AF267" s="166">
        <v>193896473</v>
      </c>
      <c r="AG267" s="11">
        <v>207419591.99999994</v>
      </c>
      <c r="AH267" s="12">
        <v>23.333333333333329</v>
      </c>
      <c r="AI267" s="132">
        <v>1</v>
      </c>
      <c r="AJ267" s="132">
        <v>1</v>
      </c>
      <c r="AK267" s="13">
        <v>0.3</v>
      </c>
      <c r="AL267" s="13">
        <v>0.82138943863168512</v>
      </c>
      <c r="AM267" s="14">
        <v>1</v>
      </c>
      <c r="AN267" s="14">
        <v>0</v>
      </c>
      <c r="AO267" s="82">
        <v>896186.31415241049</v>
      </c>
      <c r="AP267" s="82">
        <v>1111968.8352490421</v>
      </c>
      <c r="AQ267" s="82">
        <v>215782.52109663165</v>
      </c>
      <c r="AR267" s="129">
        <v>0.24077863909438646</v>
      </c>
    </row>
    <row r="268" spans="1:44" ht="43.2" x14ac:dyDescent="0.3">
      <c r="A268" s="136" t="s">
        <v>458</v>
      </c>
      <c r="B268" s="137" t="s">
        <v>5053</v>
      </c>
      <c r="C268" s="134">
        <v>2018</v>
      </c>
      <c r="D268" s="149" t="s">
        <v>1161</v>
      </c>
      <c r="E268" s="135" t="s">
        <v>1152</v>
      </c>
      <c r="F268" s="384" t="s">
        <v>456</v>
      </c>
      <c r="G268" s="138" t="s">
        <v>4773</v>
      </c>
      <c r="H268" s="138" t="s">
        <v>3025</v>
      </c>
      <c r="I268" s="138" t="s">
        <v>1566</v>
      </c>
      <c r="J268" s="135" t="s">
        <v>4778</v>
      </c>
      <c r="K268" s="164">
        <v>3077520403.9999995</v>
      </c>
      <c r="L268" s="165">
        <v>2094433332</v>
      </c>
      <c r="M268" s="165">
        <v>343655030</v>
      </c>
      <c r="N268" s="165">
        <v>51014825</v>
      </c>
      <c r="O268" s="165">
        <v>371108000</v>
      </c>
      <c r="P268" s="165">
        <v>100205074</v>
      </c>
      <c r="Q268" s="165">
        <v>8125000</v>
      </c>
      <c r="R268" s="165">
        <v>962.33333333333348</v>
      </c>
      <c r="S268" s="165">
        <v>1169884940.9999995</v>
      </c>
      <c r="T268" s="165">
        <v>1215675.3803255968</v>
      </c>
      <c r="U268" s="166">
        <v>639432041.99999952</v>
      </c>
      <c r="V268" s="168">
        <v>4035581708</v>
      </c>
      <c r="W268" s="165">
        <v>2936167797</v>
      </c>
      <c r="X268" s="165">
        <v>426899393</v>
      </c>
      <c r="Y268" s="165">
        <v>86228742</v>
      </c>
      <c r="Z268" s="165">
        <v>456474837</v>
      </c>
      <c r="AA268" s="165">
        <v>133945582</v>
      </c>
      <c r="AB268" s="165">
        <v>5488884</v>
      </c>
      <c r="AC268" s="165">
        <v>1056</v>
      </c>
      <c r="AD268" s="165">
        <v>1354652563</v>
      </c>
      <c r="AE268" s="165">
        <v>1282814.9270833333</v>
      </c>
      <c r="AF268" s="166">
        <v>672514518</v>
      </c>
      <c r="AG268" s="11">
        <v>184767622.00000048</v>
      </c>
      <c r="AH268" s="12">
        <v>93.666666666666515</v>
      </c>
      <c r="AI268" s="132">
        <v>0</v>
      </c>
      <c r="AJ268" s="132">
        <v>0</v>
      </c>
      <c r="AK268" s="13">
        <v>0.3</v>
      </c>
      <c r="AL268" s="13">
        <v>5.5228189288492491E-2</v>
      </c>
      <c r="AM268" s="14">
        <v>0</v>
      </c>
      <c r="AN268" s="14">
        <v>-1</v>
      </c>
      <c r="AO268" s="82">
        <v>385633.52961551776</v>
      </c>
      <c r="AP268" s="82">
        <v>432267.83806818182</v>
      </c>
      <c r="AQ268" s="82">
        <v>46634.30845266406</v>
      </c>
      <c r="AR268" s="129">
        <v>0.12092908129425139</v>
      </c>
    </row>
    <row r="269" spans="1:44" ht="28.8" x14ac:dyDescent="0.3">
      <c r="A269" s="136" t="s">
        <v>459</v>
      </c>
      <c r="B269" s="137" t="s">
        <v>5054</v>
      </c>
      <c r="C269" s="134">
        <v>2019</v>
      </c>
      <c r="D269" s="149" t="s">
        <v>1165</v>
      </c>
      <c r="E269" s="135" t="s">
        <v>1152</v>
      </c>
      <c r="F269" s="384" t="s">
        <v>460</v>
      </c>
      <c r="G269" s="138" t="s">
        <v>4773</v>
      </c>
      <c r="H269" s="138" t="s">
        <v>4651</v>
      </c>
      <c r="I269" s="138" t="s">
        <v>4612</v>
      </c>
      <c r="J269" s="135" t="s">
        <v>4780</v>
      </c>
      <c r="K269" s="164">
        <v>2649031508</v>
      </c>
      <c r="L269" s="165">
        <v>1096708123</v>
      </c>
      <c r="M269" s="165">
        <v>1410078628</v>
      </c>
      <c r="N269" s="165">
        <v>70504819</v>
      </c>
      <c r="O269" s="165">
        <v>781520668</v>
      </c>
      <c r="P269" s="165">
        <v>208623164</v>
      </c>
      <c r="Q269" s="165">
        <v>248254074</v>
      </c>
      <c r="R269" s="165">
        <v>1612.6666666666667</v>
      </c>
      <c r="S269" s="165">
        <v>1451147482</v>
      </c>
      <c r="T269" s="165">
        <v>899843.41587432823</v>
      </c>
      <c r="U269" s="166">
        <v>142244757</v>
      </c>
      <c r="V269" s="168">
        <v>3350667396</v>
      </c>
      <c r="W269" s="165">
        <v>1265836628</v>
      </c>
      <c r="X269" s="165">
        <v>1788702498</v>
      </c>
      <c r="Y269" s="165">
        <v>75244013</v>
      </c>
      <c r="Z269" s="165">
        <v>920905543</v>
      </c>
      <c r="AA269" s="165">
        <v>270446650</v>
      </c>
      <c r="AB269" s="165">
        <v>283232001</v>
      </c>
      <c r="AC269" s="165">
        <v>1794.75</v>
      </c>
      <c r="AD269" s="165">
        <v>1845956477</v>
      </c>
      <c r="AE269" s="165">
        <v>1028531.2589497145</v>
      </c>
      <c r="AF269" s="166">
        <v>296128270</v>
      </c>
      <c r="AG269" s="11">
        <v>394808995</v>
      </c>
      <c r="AH269" s="12">
        <v>182.08333333333326</v>
      </c>
      <c r="AI269" s="132">
        <v>0</v>
      </c>
      <c r="AJ269" s="132">
        <v>1</v>
      </c>
      <c r="AK269" s="13">
        <v>0.15</v>
      </c>
      <c r="AL269" s="13">
        <v>0.14301136968918438</v>
      </c>
      <c r="AM269" s="14">
        <v>0</v>
      </c>
      <c r="AN269" s="14">
        <v>-1</v>
      </c>
      <c r="AO269" s="82">
        <v>484613.89086399338</v>
      </c>
      <c r="AP269" s="82">
        <v>513110.76361610251</v>
      </c>
      <c r="AQ269" s="82">
        <v>28496.872752109135</v>
      </c>
      <c r="AR269" s="129">
        <v>5.8803252010179774E-2</v>
      </c>
    </row>
    <row r="270" spans="1:44" ht="28.8" x14ac:dyDescent="0.3">
      <c r="A270" s="136" t="s">
        <v>461</v>
      </c>
      <c r="B270" s="137" t="s">
        <v>5055</v>
      </c>
      <c r="C270" s="134">
        <v>2019</v>
      </c>
      <c r="D270" s="149" t="s">
        <v>1165</v>
      </c>
      <c r="E270" s="135" t="s">
        <v>1152</v>
      </c>
      <c r="F270" s="384" t="s">
        <v>460</v>
      </c>
      <c r="G270" s="138" t="s">
        <v>4773</v>
      </c>
      <c r="H270" s="138" t="s">
        <v>1712</v>
      </c>
      <c r="I270" s="138" t="s">
        <v>1566</v>
      </c>
      <c r="J270" s="135" t="s">
        <v>4778</v>
      </c>
      <c r="K270" s="164">
        <v>17474804465</v>
      </c>
      <c r="L270" s="165">
        <v>13402888052</v>
      </c>
      <c r="M270" s="165">
        <v>3569863415</v>
      </c>
      <c r="N270" s="165">
        <v>396502821</v>
      </c>
      <c r="O270" s="165">
        <v>881422446</v>
      </c>
      <c r="P270" s="165">
        <v>227141716</v>
      </c>
      <c r="Q270" s="165">
        <v>23653773</v>
      </c>
      <c r="R270" s="165">
        <v>1988.0833333333333</v>
      </c>
      <c r="S270" s="165">
        <v>2030773754</v>
      </c>
      <c r="T270" s="165">
        <v>1021473.1545458357</v>
      </c>
      <c r="U270" s="166">
        <v>502052998</v>
      </c>
      <c r="V270" s="168">
        <v>18467784765</v>
      </c>
      <c r="W270" s="165">
        <v>14975098008</v>
      </c>
      <c r="X270" s="165">
        <v>4590749677</v>
      </c>
      <c r="Y270" s="165">
        <v>534380437</v>
      </c>
      <c r="Z270" s="165">
        <v>1004904677.17</v>
      </c>
      <c r="AA270" s="165">
        <v>291096869</v>
      </c>
      <c r="AB270" s="165">
        <v>26991885</v>
      </c>
      <c r="AC270" s="165">
        <v>1997.0833333333333</v>
      </c>
      <c r="AD270" s="165">
        <v>759310948.16999996</v>
      </c>
      <c r="AE270" s="165">
        <v>380209.94692426454</v>
      </c>
      <c r="AF270" s="166">
        <v>-1098062920</v>
      </c>
      <c r="AG270" s="11">
        <v>-1271462805.8299999</v>
      </c>
      <c r="AH270" s="12">
        <v>9</v>
      </c>
      <c r="AI270" s="132">
        <v>0</v>
      </c>
      <c r="AJ270" s="132">
        <v>0</v>
      </c>
      <c r="AK270" s="13">
        <v>0.15</v>
      </c>
      <c r="AL270" s="13">
        <v>-0.62778272732866247</v>
      </c>
      <c r="AM270" s="14">
        <v>0</v>
      </c>
      <c r="AN270" s="14">
        <v>-1</v>
      </c>
      <c r="AO270" s="82">
        <v>443352.86716686928</v>
      </c>
      <c r="AP270" s="82">
        <v>503186.15172292927</v>
      </c>
      <c r="AQ270" s="82">
        <v>59833.284556059982</v>
      </c>
      <c r="AR270" s="129">
        <v>0.13495634964178516</v>
      </c>
    </row>
    <row r="271" spans="1:44" ht="28.8" x14ac:dyDescent="0.3">
      <c r="A271" s="136" t="s">
        <v>462</v>
      </c>
      <c r="B271" s="137" t="s">
        <v>5056</v>
      </c>
      <c r="C271" s="134">
        <v>2019</v>
      </c>
      <c r="D271" s="149" t="s">
        <v>5057</v>
      </c>
      <c r="E271" s="135" t="s">
        <v>1152</v>
      </c>
      <c r="F271" s="384" t="s">
        <v>463</v>
      </c>
      <c r="G271" s="138" t="s">
        <v>4773</v>
      </c>
      <c r="H271" s="138" t="s">
        <v>3392</v>
      </c>
      <c r="I271" s="138" t="s">
        <v>1566</v>
      </c>
      <c r="J271" s="135" t="s">
        <v>4774</v>
      </c>
      <c r="K271" s="164">
        <v>1306605381</v>
      </c>
      <c r="L271" s="165">
        <v>935747454</v>
      </c>
      <c r="M271" s="165">
        <v>171856485</v>
      </c>
      <c r="N271" s="165">
        <v>18105879</v>
      </c>
      <c r="O271" s="165">
        <v>276935241</v>
      </c>
      <c r="P271" s="165">
        <v>79380632</v>
      </c>
      <c r="Q271" s="165">
        <v>606620</v>
      </c>
      <c r="R271" s="165">
        <v>501.25</v>
      </c>
      <c r="S271" s="165">
        <v>574029814</v>
      </c>
      <c r="T271" s="165">
        <v>1145196.6364089774</v>
      </c>
      <c r="U271" s="166">
        <v>199001442</v>
      </c>
      <c r="V271" s="168">
        <v>1272042030</v>
      </c>
      <c r="W271" s="165">
        <v>1012496134</v>
      </c>
      <c r="X271" s="165">
        <v>185722486</v>
      </c>
      <c r="Y271" s="165">
        <v>27316422</v>
      </c>
      <c r="Z271" s="165">
        <v>300156441</v>
      </c>
      <c r="AA271" s="165">
        <v>86545863</v>
      </c>
      <c r="AB271" s="165">
        <v>802819</v>
      </c>
      <c r="AC271" s="165">
        <v>484.5</v>
      </c>
      <c r="AD271" s="165">
        <v>488644955</v>
      </c>
      <c r="AE271" s="165">
        <v>1008555.1186790506</v>
      </c>
      <c r="AF271" s="166">
        <v>73823410</v>
      </c>
      <c r="AG271" s="11">
        <v>-85384859</v>
      </c>
      <c r="AH271" s="12">
        <v>-16.75</v>
      </c>
      <c r="AI271" s="132">
        <v>0</v>
      </c>
      <c r="AJ271" s="132">
        <v>0</v>
      </c>
      <c r="AK271" s="13">
        <v>0.15</v>
      </c>
      <c r="AL271" s="13">
        <v>-0.11931708077662528</v>
      </c>
      <c r="AM271" s="14">
        <v>0</v>
      </c>
      <c r="AN271" s="14">
        <v>-1</v>
      </c>
      <c r="AO271" s="82">
        <v>552489.25885286788</v>
      </c>
      <c r="AP271" s="82">
        <v>619517.93808049534</v>
      </c>
      <c r="AQ271" s="82">
        <v>67028.679227627465</v>
      </c>
      <c r="AR271" s="129">
        <v>0.12132123503504655</v>
      </c>
    </row>
    <row r="272" spans="1:44" ht="28.8" x14ac:dyDescent="0.3">
      <c r="A272" s="136" t="s">
        <v>464</v>
      </c>
      <c r="B272" s="137" t="s">
        <v>5058</v>
      </c>
      <c r="C272" s="134">
        <v>2020</v>
      </c>
      <c r="D272" s="149" t="s">
        <v>5057</v>
      </c>
      <c r="E272" s="135" t="s">
        <v>1152</v>
      </c>
      <c r="F272" s="384" t="s">
        <v>463</v>
      </c>
      <c r="G272" s="138" t="s">
        <v>4773</v>
      </c>
      <c r="H272" s="138" t="s">
        <v>2264</v>
      </c>
      <c r="I272" s="138" t="s">
        <v>1566</v>
      </c>
      <c r="J272" s="135" t="s">
        <v>4774</v>
      </c>
      <c r="K272" s="164">
        <v>995409187</v>
      </c>
      <c r="L272" s="165">
        <v>727306828</v>
      </c>
      <c r="M272" s="165">
        <v>232596880</v>
      </c>
      <c r="N272" s="165">
        <v>8547948</v>
      </c>
      <c r="O272" s="165">
        <v>152505146</v>
      </c>
      <c r="P272" s="165">
        <v>30488496</v>
      </c>
      <c r="Q272" s="165">
        <v>62799</v>
      </c>
      <c r="R272" s="165">
        <v>218.83333333333334</v>
      </c>
      <c r="S272" s="165">
        <v>227109868</v>
      </c>
      <c r="T272" s="165">
        <v>1037821.1789794364</v>
      </c>
      <c r="U272" s="166">
        <v>35505479</v>
      </c>
      <c r="V272" s="168">
        <v>1793718967</v>
      </c>
      <c r="W272" s="165">
        <v>1343939554</v>
      </c>
      <c r="X272" s="165">
        <v>328535738</v>
      </c>
      <c r="Y272" s="165">
        <v>13216763</v>
      </c>
      <c r="Z272" s="165">
        <v>202271654</v>
      </c>
      <c r="AA272" s="165">
        <v>35613187</v>
      </c>
      <c r="AB272" s="165">
        <v>941081</v>
      </c>
      <c r="AC272" s="165">
        <v>251.16666666666666</v>
      </c>
      <c r="AD272" s="165">
        <v>373286360</v>
      </c>
      <c r="AE272" s="165">
        <v>1486209.7942932979</v>
      </c>
      <c r="AF272" s="166">
        <v>121243675</v>
      </c>
      <c r="AG272" s="11">
        <v>146176492</v>
      </c>
      <c r="AH272" s="12">
        <v>32.333333333333314</v>
      </c>
      <c r="AI272" s="132">
        <v>1</v>
      </c>
      <c r="AJ272" s="132">
        <v>1</v>
      </c>
      <c r="AK272" s="13">
        <v>0.1</v>
      </c>
      <c r="AL272" s="13">
        <v>0.43204804318986811</v>
      </c>
      <c r="AM272" s="14">
        <v>1</v>
      </c>
      <c r="AN272" s="14">
        <v>0</v>
      </c>
      <c r="AO272" s="82">
        <v>696900.89565879665</v>
      </c>
      <c r="AP272" s="82">
        <v>805328.41672196425</v>
      </c>
      <c r="AQ272" s="82">
        <v>108427.5210631676</v>
      </c>
      <c r="AR272" s="129">
        <v>0.15558528011456851</v>
      </c>
    </row>
    <row r="273" spans="1:44" ht="28.8" x14ac:dyDescent="0.3">
      <c r="A273" s="136" t="s">
        <v>465</v>
      </c>
      <c r="B273" s="137" t="s">
        <v>5059</v>
      </c>
      <c r="C273" s="134">
        <v>2020</v>
      </c>
      <c r="D273" s="149" t="s">
        <v>5057</v>
      </c>
      <c r="E273" s="135" t="s">
        <v>1152</v>
      </c>
      <c r="F273" s="384" t="s">
        <v>463</v>
      </c>
      <c r="G273" s="138" t="s">
        <v>4773</v>
      </c>
      <c r="H273" s="138" t="s">
        <v>3601</v>
      </c>
      <c r="I273" s="138" t="s">
        <v>3557</v>
      </c>
      <c r="J273" s="135" t="s">
        <v>4774</v>
      </c>
      <c r="K273" s="164">
        <v>318602618</v>
      </c>
      <c r="L273" s="165">
        <v>257110310</v>
      </c>
      <c r="M273" s="165">
        <v>38375159</v>
      </c>
      <c r="N273" s="165">
        <v>7662006</v>
      </c>
      <c r="O273" s="165">
        <v>79260954</v>
      </c>
      <c r="P273" s="165">
        <v>18319245</v>
      </c>
      <c r="Q273" s="165">
        <v>621037</v>
      </c>
      <c r="R273" s="165">
        <v>191.83333333333334</v>
      </c>
      <c r="S273" s="165">
        <v>128980391</v>
      </c>
      <c r="T273" s="165">
        <v>672356.51259774109</v>
      </c>
      <c r="U273" s="166">
        <v>23117149</v>
      </c>
      <c r="V273" s="168">
        <v>301136465</v>
      </c>
      <c r="W273" s="165">
        <v>249427094</v>
      </c>
      <c r="X273" s="165">
        <v>42569551</v>
      </c>
      <c r="Y273" s="165">
        <v>9314119</v>
      </c>
      <c r="Z273" s="165">
        <v>74502670</v>
      </c>
      <c r="AA273" s="165">
        <v>14504829</v>
      </c>
      <c r="AB273" s="165">
        <v>781814</v>
      </c>
      <c r="AC273" s="165">
        <v>154.16666666666666</v>
      </c>
      <c r="AD273" s="165">
        <v>108243252</v>
      </c>
      <c r="AE273" s="165">
        <v>702118.3913513514</v>
      </c>
      <c r="AF273" s="166">
        <v>9139820</v>
      </c>
      <c r="AG273" s="11">
        <v>-20737139</v>
      </c>
      <c r="AH273" s="12">
        <v>-37.666666666666686</v>
      </c>
      <c r="AI273" s="132">
        <v>0</v>
      </c>
      <c r="AJ273" s="132">
        <v>0</v>
      </c>
      <c r="AK273" s="13">
        <v>0.1</v>
      </c>
      <c r="AL273" s="13">
        <v>4.426502838501567E-2</v>
      </c>
      <c r="AM273" s="14">
        <v>0</v>
      </c>
      <c r="AN273" s="14">
        <v>-1</v>
      </c>
      <c r="AO273" s="82">
        <v>413176.12858384009</v>
      </c>
      <c r="AP273" s="82">
        <v>483260.56216216221</v>
      </c>
      <c r="AQ273" s="82">
        <v>70084.433578322118</v>
      </c>
      <c r="AR273" s="129">
        <v>0.16962362714064905</v>
      </c>
    </row>
    <row r="274" spans="1:44" ht="28.8" x14ac:dyDescent="0.3">
      <c r="A274" s="136" t="s">
        <v>466</v>
      </c>
      <c r="B274" s="137" t="s">
        <v>5060</v>
      </c>
      <c r="C274" s="134">
        <v>2019</v>
      </c>
      <c r="D274" s="149" t="s">
        <v>5057</v>
      </c>
      <c r="E274" s="135" t="s">
        <v>1152</v>
      </c>
      <c r="F274" s="384" t="s">
        <v>463</v>
      </c>
      <c r="G274" s="138" t="s">
        <v>4773</v>
      </c>
      <c r="H274" s="138" t="s">
        <v>3316</v>
      </c>
      <c r="I274" s="138" t="s">
        <v>1566</v>
      </c>
      <c r="J274" s="135" t="s">
        <v>4774</v>
      </c>
      <c r="K274" s="164">
        <v>6303627070</v>
      </c>
      <c r="L274" s="165">
        <v>5743769165</v>
      </c>
      <c r="M274" s="165">
        <v>374594769</v>
      </c>
      <c r="N274" s="165">
        <v>82998292</v>
      </c>
      <c r="O274" s="165">
        <v>233161755</v>
      </c>
      <c r="P274" s="165">
        <v>63037009</v>
      </c>
      <c r="Q274" s="165">
        <v>8974315</v>
      </c>
      <c r="R274" s="165">
        <v>279.66666666666669</v>
      </c>
      <c r="S274" s="165">
        <v>573434507</v>
      </c>
      <c r="T274" s="165">
        <v>2050421.3599523241</v>
      </c>
      <c r="U274" s="166">
        <v>185263136</v>
      </c>
      <c r="V274" s="168">
        <v>5710985627</v>
      </c>
      <c r="W274" s="165">
        <v>5459246293</v>
      </c>
      <c r="X274" s="165">
        <v>174360779</v>
      </c>
      <c r="Y274" s="165">
        <v>108887234</v>
      </c>
      <c r="Z274" s="165">
        <v>156632658</v>
      </c>
      <c r="AA274" s="165">
        <v>45948344</v>
      </c>
      <c r="AB274" s="165">
        <v>7643735</v>
      </c>
      <c r="AC274" s="165">
        <v>228.5</v>
      </c>
      <c r="AD274" s="165">
        <v>396490526</v>
      </c>
      <c r="AE274" s="165">
        <v>1735188.2975929978</v>
      </c>
      <c r="AF274" s="166">
        <v>77378555</v>
      </c>
      <c r="AG274" s="11">
        <v>-176943981</v>
      </c>
      <c r="AH274" s="12">
        <v>-51.166666666666686</v>
      </c>
      <c r="AI274" s="132">
        <v>0</v>
      </c>
      <c r="AJ274" s="132">
        <v>0</v>
      </c>
      <c r="AK274" s="13">
        <v>0.15</v>
      </c>
      <c r="AL274" s="13">
        <v>-0.15374062431733548</v>
      </c>
      <c r="AM274" s="14">
        <v>0</v>
      </c>
      <c r="AN274" s="14">
        <v>-1</v>
      </c>
      <c r="AO274" s="82">
        <v>833713.06912991649</v>
      </c>
      <c r="AP274" s="82">
        <v>685482.09190371993</v>
      </c>
      <c r="AQ274" s="82">
        <v>-148230.97722619656</v>
      </c>
      <c r="AR274" s="129">
        <v>-0.17779615399443605</v>
      </c>
    </row>
    <row r="275" spans="1:44" ht="28.8" x14ac:dyDescent="0.3">
      <c r="A275" s="136" t="s">
        <v>467</v>
      </c>
      <c r="B275" s="137" t="s">
        <v>5061</v>
      </c>
      <c r="C275" s="134">
        <v>2019</v>
      </c>
      <c r="D275" s="149" t="s">
        <v>1143</v>
      </c>
      <c r="E275" s="135" t="s">
        <v>1140</v>
      </c>
      <c r="F275" s="384" t="s">
        <v>468</v>
      </c>
      <c r="G275" s="138" t="s">
        <v>4773</v>
      </c>
      <c r="H275" s="138" t="s">
        <v>2910</v>
      </c>
      <c r="I275" s="138" t="s">
        <v>1566</v>
      </c>
      <c r="J275" s="135" t="s">
        <v>4778</v>
      </c>
      <c r="K275" s="164">
        <v>1846219568</v>
      </c>
      <c r="L275" s="165">
        <v>1062209792</v>
      </c>
      <c r="M275" s="165">
        <v>375011084</v>
      </c>
      <c r="N275" s="165">
        <v>11555202</v>
      </c>
      <c r="O275" s="165">
        <v>319229050</v>
      </c>
      <c r="P275" s="165">
        <v>75075201</v>
      </c>
      <c r="Q275" s="165">
        <v>1023</v>
      </c>
      <c r="R275" s="165">
        <v>317</v>
      </c>
      <c r="S275" s="165">
        <v>814859168</v>
      </c>
      <c r="T275" s="165">
        <v>2570533.6529968455</v>
      </c>
      <c r="U275" s="166">
        <v>408998692</v>
      </c>
      <c r="V275" s="168">
        <v>1210731803</v>
      </c>
      <c r="W275" s="165">
        <v>746669182</v>
      </c>
      <c r="X275" s="165">
        <v>298455826</v>
      </c>
      <c r="Y275" s="165">
        <v>10911215</v>
      </c>
      <c r="Z275" s="165">
        <v>353217153</v>
      </c>
      <c r="AA275" s="165">
        <v>84516709</v>
      </c>
      <c r="AB275" s="165">
        <v>0</v>
      </c>
      <c r="AC275" s="165">
        <v>332.66666666666669</v>
      </c>
      <c r="AD275" s="165">
        <v>614251872</v>
      </c>
      <c r="AE275" s="165">
        <v>1846448.5130260519</v>
      </c>
      <c r="AF275" s="166">
        <v>165606795</v>
      </c>
      <c r="AG275" s="11">
        <v>-200607296</v>
      </c>
      <c r="AH275" s="12">
        <v>15.666666666666686</v>
      </c>
      <c r="AI275" s="132">
        <v>0</v>
      </c>
      <c r="AJ275" s="132">
        <v>1</v>
      </c>
      <c r="AK275" s="13">
        <v>0.15</v>
      </c>
      <c r="AL275" s="13">
        <v>-0.28168669956917314</v>
      </c>
      <c r="AM275" s="14">
        <v>0</v>
      </c>
      <c r="AN275" s="14">
        <v>-1</v>
      </c>
      <c r="AO275" s="82">
        <v>1007031.7034700315</v>
      </c>
      <c r="AP275" s="82">
        <v>1061775.0090180361</v>
      </c>
      <c r="AQ275" s="82">
        <v>54743.305548004573</v>
      </c>
      <c r="AR275" s="129">
        <v>5.4361054730819314E-2</v>
      </c>
    </row>
    <row r="276" spans="1:44" ht="28.8" x14ac:dyDescent="0.3">
      <c r="A276" s="136" t="s">
        <v>469</v>
      </c>
      <c r="B276" s="137" t="s">
        <v>5062</v>
      </c>
      <c r="C276" s="134">
        <v>2019</v>
      </c>
      <c r="D276" s="149" t="s">
        <v>1143</v>
      </c>
      <c r="E276" s="135" t="s">
        <v>1140</v>
      </c>
      <c r="F276" s="384" t="s">
        <v>468</v>
      </c>
      <c r="G276" s="138" t="s">
        <v>4773</v>
      </c>
      <c r="H276" s="138" t="s">
        <v>4292</v>
      </c>
      <c r="I276" s="138" t="s">
        <v>4255</v>
      </c>
      <c r="J276" s="135" t="s">
        <v>4780</v>
      </c>
      <c r="K276" s="164">
        <v>1639447708</v>
      </c>
      <c r="L276" s="165">
        <v>1398904771</v>
      </c>
      <c r="M276" s="165">
        <v>756723006</v>
      </c>
      <c r="N276" s="165">
        <v>64348094</v>
      </c>
      <c r="O276" s="165">
        <v>1105149273</v>
      </c>
      <c r="P276" s="165">
        <v>341117006</v>
      </c>
      <c r="Q276" s="165">
        <v>20971668</v>
      </c>
      <c r="R276" s="165">
        <v>3234.9166666666665</v>
      </c>
      <c r="S276" s="165">
        <v>1015405972</v>
      </c>
      <c r="T276" s="165">
        <v>313889.37540894921</v>
      </c>
      <c r="U276" s="166">
        <v>-516180069</v>
      </c>
      <c r="V276" s="168">
        <v>1488531251</v>
      </c>
      <c r="W276" s="165">
        <v>1400954954</v>
      </c>
      <c r="X276" s="165">
        <v>904440474</v>
      </c>
      <c r="Y276" s="165">
        <v>38856528</v>
      </c>
      <c r="Z276" s="165">
        <v>1103151139</v>
      </c>
      <c r="AA276" s="165">
        <v>340254925</v>
      </c>
      <c r="AB276" s="165">
        <v>0</v>
      </c>
      <c r="AC276" s="165">
        <v>3067.9166666666665</v>
      </c>
      <c r="AD276" s="165">
        <v>665398415</v>
      </c>
      <c r="AE276" s="165">
        <v>216889.33804155915</v>
      </c>
      <c r="AF276" s="166">
        <v>-816864177</v>
      </c>
      <c r="AG276" s="11">
        <v>-350007557</v>
      </c>
      <c r="AH276" s="12">
        <v>-167</v>
      </c>
      <c r="AI276" s="132">
        <v>0</v>
      </c>
      <c r="AJ276" s="132">
        <v>1</v>
      </c>
      <c r="AK276" s="13">
        <v>0.15</v>
      </c>
      <c r="AL276" s="13">
        <v>-0.3090261926032668</v>
      </c>
      <c r="AM276" s="14">
        <v>0</v>
      </c>
      <c r="AN276" s="14">
        <v>-1</v>
      </c>
      <c r="AO276" s="82">
        <v>341631.45047528273</v>
      </c>
      <c r="AP276" s="82">
        <v>359576.63093847618</v>
      </c>
      <c r="AQ276" s="82">
        <v>17945.18046319345</v>
      </c>
      <c r="AR276" s="129">
        <v>5.252789354793852E-2</v>
      </c>
    </row>
    <row r="277" spans="1:44" ht="28.8" x14ac:dyDescent="0.3">
      <c r="A277" s="136" t="s">
        <v>470</v>
      </c>
      <c r="B277" s="137" t="s">
        <v>5063</v>
      </c>
      <c r="C277" s="134">
        <v>2018</v>
      </c>
      <c r="D277" s="149" t="s">
        <v>1143</v>
      </c>
      <c r="E277" s="135" t="s">
        <v>1140</v>
      </c>
      <c r="F277" s="384" t="s">
        <v>468</v>
      </c>
      <c r="G277" s="138" t="s">
        <v>4773</v>
      </c>
      <c r="H277" s="138" t="s">
        <v>2996</v>
      </c>
      <c r="I277" s="138" t="s">
        <v>1566</v>
      </c>
      <c r="J277" s="135" t="s">
        <v>4778</v>
      </c>
      <c r="K277" s="164">
        <v>5500886562</v>
      </c>
      <c r="L277" s="165">
        <v>4697376837</v>
      </c>
      <c r="M277" s="165">
        <v>667956169</v>
      </c>
      <c r="N277" s="165">
        <v>56646000</v>
      </c>
      <c r="O277" s="165">
        <v>442514500</v>
      </c>
      <c r="P277" s="165">
        <v>132029323</v>
      </c>
      <c r="Q277" s="165">
        <v>5067124</v>
      </c>
      <c r="R277" s="165">
        <v>993.33333333333337</v>
      </c>
      <c r="S277" s="165">
        <v>771810503</v>
      </c>
      <c r="T277" s="165">
        <v>776990.43926174496</v>
      </c>
      <c r="U277" s="166">
        <v>135553556</v>
      </c>
      <c r="V277" s="168">
        <v>7643059935</v>
      </c>
      <c r="W277" s="165">
        <v>6579494512</v>
      </c>
      <c r="X277" s="165">
        <v>737655545</v>
      </c>
      <c r="Y277" s="165">
        <v>88035606</v>
      </c>
      <c r="Z277" s="165">
        <v>511516756</v>
      </c>
      <c r="AA277" s="165">
        <v>151573146.47999999</v>
      </c>
      <c r="AB277" s="165">
        <v>1942871</v>
      </c>
      <c r="AC277" s="165">
        <v>965.16666666666663</v>
      </c>
      <c r="AD277" s="165">
        <v>1078978257.48</v>
      </c>
      <c r="AE277" s="165">
        <v>1117919.1063512347</v>
      </c>
      <c r="AF277" s="166">
        <v>325909878</v>
      </c>
      <c r="AG277" s="11">
        <v>307167754.48000002</v>
      </c>
      <c r="AH277" s="12">
        <v>-28.166666666666742</v>
      </c>
      <c r="AI277" s="132">
        <v>1</v>
      </c>
      <c r="AJ277" s="132">
        <v>1</v>
      </c>
      <c r="AK277" s="13">
        <v>0.3</v>
      </c>
      <c r="AL277" s="13">
        <v>0.43878103571004057</v>
      </c>
      <c r="AM277" s="14">
        <v>1</v>
      </c>
      <c r="AN277" s="14">
        <v>0</v>
      </c>
      <c r="AO277" s="82">
        <v>445484.39597315434</v>
      </c>
      <c r="AP277" s="82">
        <v>529977.64393023658</v>
      </c>
      <c r="AQ277" s="82">
        <v>84493.247957082232</v>
      </c>
      <c r="AR277" s="129">
        <v>0.18966601012479445</v>
      </c>
    </row>
    <row r="278" spans="1:44" ht="28.8" x14ac:dyDescent="0.3">
      <c r="A278" s="136" t="s">
        <v>471</v>
      </c>
      <c r="B278" s="137" t="s">
        <v>5064</v>
      </c>
      <c r="C278" s="134">
        <v>2020</v>
      </c>
      <c r="D278" s="149" t="s">
        <v>1143</v>
      </c>
      <c r="E278" s="135" t="s">
        <v>1140</v>
      </c>
      <c r="F278" s="384" t="s">
        <v>468</v>
      </c>
      <c r="G278" s="138" t="s">
        <v>4773</v>
      </c>
      <c r="H278" s="138" t="s">
        <v>4330</v>
      </c>
      <c r="I278" s="138" t="s">
        <v>4255</v>
      </c>
      <c r="J278" s="135" t="s">
        <v>4774</v>
      </c>
      <c r="K278" s="164">
        <v>658686072</v>
      </c>
      <c r="L278" s="165">
        <v>544198674</v>
      </c>
      <c r="M278" s="165">
        <v>47351719</v>
      </c>
      <c r="N278" s="165">
        <v>62784455</v>
      </c>
      <c r="O278" s="165">
        <v>90858218</v>
      </c>
      <c r="P278" s="165">
        <v>21932682</v>
      </c>
      <c r="Q278" s="165">
        <v>3808</v>
      </c>
      <c r="R278" s="165">
        <v>200.41666666666666</v>
      </c>
      <c r="S278" s="165">
        <v>242714842</v>
      </c>
      <c r="T278" s="165">
        <v>1211051.1866943866</v>
      </c>
      <c r="U278" s="166">
        <v>67135679</v>
      </c>
      <c r="V278" s="168">
        <v>1530558187</v>
      </c>
      <c r="W278" s="165">
        <v>580437762</v>
      </c>
      <c r="X278" s="165">
        <v>868083045</v>
      </c>
      <c r="Y278" s="165">
        <v>58598205</v>
      </c>
      <c r="Z278" s="165">
        <v>151594883</v>
      </c>
      <c r="AA278" s="165">
        <v>30337127</v>
      </c>
      <c r="AB278" s="165">
        <v>3407</v>
      </c>
      <c r="AC278" s="165">
        <v>295.75</v>
      </c>
      <c r="AD278" s="165">
        <v>322571002</v>
      </c>
      <c r="AE278" s="165">
        <v>1090688.087912088</v>
      </c>
      <c r="AF278" s="166">
        <v>82037380</v>
      </c>
      <c r="AG278" s="11">
        <v>79856160</v>
      </c>
      <c r="AH278" s="12">
        <v>95.333333333333343</v>
      </c>
      <c r="AI278" s="132">
        <v>0</v>
      </c>
      <c r="AJ278" s="132">
        <v>0</v>
      </c>
      <c r="AK278" s="13">
        <v>0.1</v>
      </c>
      <c r="AL278" s="13">
        <v>-9.9387293447108394E-2</v>
      </c>
      <c r="AM278" s="14">
        <v>0</v>
      </c>
      <c r="AN278" s="14">
        <v>-1</v>
      </c>
      <c r="AO278" s="82">
        <v>453346.6178794179</v>
      </c>
      <c r="AP278" s="82">
        <v>512577.79543533392</v>
      </c>
      <c r="AQ278" s="82">
        <v>59231.177555916016</v>
      </c>
      <c r="AR278" s="129">
        <v>0.13065318063466935</v>
      </c>
    </row>
    <row r="279" spans="1:44" ht="28.8" x14ac:dyDescent="0.3">
      <c r="A279" s="136" t="s">
        <v>472</v>
      </c>
      <c r="B279" s="137" t="s">
        <v>5065</v>
      </c>
      <c r="C279" s="134">
        <v>2020</v>
      </c>
      <c r="D279" s="149" t="s">
        <v>1143</v>
      </c>
      <c r="E279" s="135" t="s">
        <v>1140</v>
      </c>
      <c r="F279" s="384" t="s">
        <v>468</v>
      </c>
      <c r="G279" s="138" t="s">
        <v>4773</v>
      </c>
      <c r="H279" s="138" t="s">
        <v>2363</v>
      </c>
      <c r="I279" s="138" t="s">
        <v>1566</v>
      </c>
      <c r="J279" s="135" t="s">
        <v>4798</v>
      </c>
      <c r="K279" s="164">
        <v>2627907289</v>
      </c>
      <c r="L279" s="165">
        <v>1777991265</v>
      </c>
      <c r="M279" s="165">
        <v>596751009</v>
      </c>
      <c r="N279" s="165">
        <v>38847425</v>
      </c>
      <c r="O279" s="165">
        <v>450456187</v>
      </c>
      <c r="P279" s="165">
        <v>144144147</v>
      </c>
      <c r="Q279" s="165">
        <v>4158247</v>
      </c>
      <c r="R279" s="165">
        <v>1359</v>
      </c>
      <c r="S279" s="165">
        <v>890771021</v>
      </c>
      <c r="T279" s="165">
        <v>655460.64827078732</v>
      </c>
      <c r="U279" s="166">
        <v>253165015</v>
      </c>
      <c r="V279" s="168">
        <v>2702333500</v>
      </c>
      <c r="W279" s="165">
        <v>1941031481</v>
      </c>
      <c r="X279" s="165">
        <v>628836374</v>
      </c>
      <c r="Y279" s="165">
        <v>31110402</v>
      </c>
      <c r="Z279" s="165">
        <v>459982119.14999998</v>
      </c>
      <c r="AA279" s="165">
        <v>148167974.51999998</v>
      </c>
      <c r="AB279" s="165">
        <v>3936058</v>
      </c>
      <c r="AC279" s="165">
        <v>1297.25</v>
      </c>
      <c r="AD279" s="165">
        <v>775662198.66999996</v>
      </c>
      <c r="AE279" s="165">
        <v>597928.07760262094</v>
      </c>
      <c r="AF279" s="166">
        <v>132465645</v>
      </c>
      <c r="AG279" s="11">
        <v>-115108822.33000004</v>
      </c>
      <c r="AH279" s="12">
        <v>-61.75</v>
      </c>
      <c r="AI279" s="132">
        <v>0</v>
      </c>
      <c r="AJ279" s="132">
        <v>0</v>
      </c>
      <c r="AK279" s="13">
        <v>0.1</v>
      </c>
      <c r="AL279" s="13">
        <v>-8.7774254640610505E-2</v>
      </c>
      <c r="AM279" s="14">
        <v>0</v>
      </c>
      <c r="AN279" s="14">
        <v>-1</v>
      </c>
      <c r="AO279" s="82">
        <v>331461.50625459896</v>
      </c>
      <c r="AP279" s="82">
        <v>354582.47766428982</v>
      </c>
      <c r="AQ279" s="82">
        <v>23120.971409690857</v>
      </c>
      <c r="AR279" s="129">
        <v>6.9754619988757982E-2</v>
      </c>
    </row>
    <row r="280" spans="1:44" ht="28.8" x14ac:dyDescent="0.3">
      <c r="A280" s="136" t="s">
        <v>473</v>
      </c>
      <c r="B280" s="137" t="s">
        <v>5066</v>
      </c>
      <c r="C280" s="134">
        <v>2018</v>
      </c>
      <c r="D280" s="149" t="s">
        <v>1143</v>
      </c>
      <c r="E280" s="135" t="s">
        <v>1140</v>
      </c>
      <c r="F280" s="384" t="s">
        <v>468</v>
      </c>
      <c r="G280" s="138" t="s">
        <v>4773</v>
      </c>
      <c r="H280" s="138" t="s">
        <v>2679</v>
      </c>
      <c r="I280" s="138" t="s">
        <v>1566</v>
      </c>
      <c r="J280" s="135" t="s">
        <v>4778</v>
      </c>
      <c r="K280" s="164">
        <v>13145509000</v>
      </c>
      <c r="L280" s="165">
        <v>10954916360.000002</v>
      </c>
      <c r="M280" s="165">
        <v>1401464000</v>
      </c>
      <c r="N280" s="165">
        <v>60152920</v>
      </c>
      <c r="O280" s="165">
        <v>501522230</v>
      </c>
      <c r="P280" s="165">
        <v>153692156.86999997</v>
      </c>
      <c r="Q280" s="165">
        <v>25041860</v>
      </c>
      <c r="R280" s="165">
        <v>1356.75</v>
      </c>
      <c r="S280" s="165">
        <v>1529537806.869998</v>
      </c>
      <c r="T280" s="165">
        <v>1127354.1970665178</v>
      </c>
      <c r="U280" s="166">
        <v>789128639.99999809</v>
      </c>
      <c r="V280" s="168">
        <v>31275955</v>
      </c>
      <c r="W280" s="165">
        <v>0</v>
      </c>
      <c r="X280" s="165">
        <v>40969656</v>
      </c>
      <c r="Y280" s="165">
        <v>27996094</v>
      </c>
      <c r="Z280" s="165">
        <v>98785197.540000007</v>
      </c>
      <c r="AA280" s="165">
        <v>29941700.849999998</v>
      </c>
      <c r="AB280" s="165">
        <v>12859143</v>
      </c>
      <c r="AC280" s="165">
        <v>236.5</v>
      </c>
      <c r="AD280" s="165">
        <v>159888434.39000002</v>
      </c>
      <c r="AE280" s="165">
        <v>676061.03336152225</v>
      </c>
      <c r="AF280" s="166">
        <v>-9693701</v>
      </c>
      <c r="AG280" s="11">
        <v>-1369649372.4799979</v>
      </c>
      <c r="AH280" s="12">
        <v>-1120.25</v>
      </c>
      <c r="AI280" s="132">
        <v>0</v>
      </c>
      <c r="AJ280" s="132">
        <v>0</v>
      </c>
      <c r="AK280" s="13">
        <v>0.3</v>
      </c>
      <c r="AL280" s="13">
        <v>-0.40031178311128834</v>
      </c>
      <c r="AM280" s="14">
        <v>0</v>
      </c>
      <c r="AN280" s="14">
        <v>-1</v>
      </c>
      <c r="AO280" s="82">
        <v>369649.69964989863</v>
      </c>
      <c r="AP280" s="82">
        <v>417696.39551797044</v>
      </c>
      <c r="AQ280" s="82">
        <v>48046.695868071809</v>
      </c>
      <c r="AR280" s="129">
        <v>0.1299789933917912</v>
      </c>
    </row>
    <row r="281" spans="1:44" ht="28.8" x14ac:dyDescent="0.3">
      <c r="A281" s="136" t="s">
        <v>474</v>
      </c>
      <c r="B281" s="137" t="s">
        <v>5067</v>
      </c>
      <c r="C281" s="134">
        <v>2020</v>
      </c>
      <c r="D281" s="149" t="s">
        <v>1143</v>
      </c>
      <c r="E281" s="135" t="s">
        <v>1140</v>
      </c>
      <c r="F281" s="384" t="s">
        <v>468</v>
      </c>
      <c r="G281" s="138" t="s">
        <v>4773</v>
      </c>
      <c r="H281" s="138" t="s">
        <v>3394</v>
      </c>
      <c r="I281" s="138" t="s">
        <v>1566</v>
      </c>
      <c r="J281" s="135" t="s">
        <v>4774</v>
      </c>
      <c r="K281" s="164">
        <v>2674368716</v>
      </c>
      <c r="L281" s="165">
        <v>2243405275</v>
      </c>
      <c r="M281" s="165">
        <v>112272355</v>
      </c>
      <c r="N281" s="165">
        <v>35921306</v>
      </c>
      <c r="O281" s="165">
        <v>246791161</v>
      </c>
      <c r="P281" s="165">
        <v>38127785</v>
      </c>
      <c r="Q281" s="165">
        <v>9549382</v>
      </c>
      <c r="R281" s="165">
        <v>530.16666666666663</v>
      </c>
      <c r="S281" s="165">
        <v>649080720</v>
      </c>
      <c r="T281" s="165">
        <v>1224295.6051556116</v>
      </c>
      <c r="U281" s="166">
        <v>318691086</v>
      </c>
      <c r="V281" s="168">
        <v>1180773818</v>
      </c>
      <c r="W281" s="165">
        <v>1044990442</v>
      </c>
      <c r="X281" s="165">
        <v>112868214</v>
      </c>
      <c r="Y281" s="165">
        <v>35803565</v>
      </c>
      <c r="Z281" s="165">
        <v>243781420</v>
      </c>
      <c r="AA281" s="165">
        <v>21058785</v>
      </c>
      <c r="AB281" s="165">
        <v>0</v>
      </c>
      <c r="AC281" s="165">
        <v>565</v>
      </c>
      <c r="AD281" s="165">
        <v>323558932</v>
      </c>
      <c r="AE281" s="165">
        <v>572670.67610619473</v>
      </c>
      <c r="AF281" s="166">
        <v>22915162</v>
      </c>
      <c r="AG281" s="11">
        <v>-325521788</v>
      </c>
      <c r="AH281" s="12">
        <v>34.833333333333371</v>
      </c>
      <c r="AI281" s="132">
        <v>0</v>
      </c>
      <c r="AJ281" s="132">
        <v>0</v>
      </c>
      <c r="AK281" s="13">
        <v>0.1</v>
      </c>
      <c r="AL281" s="13">
        <v>-0.53224476562486411</v>
      </c>
      <c r="AM281" s="14">
        <v>0</v>
      </c>
      <c r="AN281" s="14">
        <v>-1</v>
      </c>
      <c r="AO281" s="82">
        <v>465497.31719585037</v>
      </c>
      <c r="AP281" s="82">
        <v>431471.53982300888</v>
      </c>
      <c r="AQ281" s="82">
        <v>-34025.77737284149</v>
      </c>
      <c r="AR281" s="129">
        <v>-7.3095539148995137E-2</v>
      </c>
    </row>
    <row r="282" spans="1:44" ht="28.8" x14ac:dyDescent="0.3">
      <c r="A282" s="136" t="s">
        <v>475</v>
      </c>
      <c r="B282" s="137" t="s">
        <v>5068</v>
      </c>
      <c r="C282" s="134">
        <v>2019</v>
      </c>
      <c r="D282" s="149" t="s">
        <v>1178</v>
      </c>
      <c r="E282" s="135" t="s">
        <v>1175</v>
      </c>
      <c r="F282" s="384" t="s">
        <v>476</v>
      </c>
      <c r="G282" s="138" t="s">
        <v>4773</v>
      </c>
      <c r="H282" s="138" t="s">
        <v>1858</v>
      </c>
      <c r="I282" s="138" t="s">
        <v>1566</v>
      </c>
      <c r="J282" s="135" t="s">
        <v>4774</v>
      </c>
      <c r="K282" s="164">
        <v>819743940</v>
      </c>
      <c r="L282" s="165">
        <v>515574090</v>
      </c>
      <c r="M282" s="165">
        <v>246741103</v>
      </c>
      <c r="N282" s="165">
        <v>19637454</v>
      </c>
      <c r="O282" s="165">
        <v>66490946</v>
      </c>
      <c r="P282" s="165">
        <v>19945047</v>
      </c>
      <c r="Q282" s="165">
        <v>139724</v>
      </c>
      <c r="R282" s="165">
        <v>197.58333333333334</v>
      </c>
      <c r="S282" s="165">
        <v>163641918</v>
      </c>
      <c r="T282" s="165">
        <v>828217.21467735129</v>
      </c>
      <c r="U282" s="166">
        <v>57428747</v>
      </c>
      <c r="V282" s="168">
        <v>802010880</v>
      </c>
      <c r="W282" s="165">
        <v>489672605</v>
      </c>
      <c r="X282" s="165">
        <v>261708169</v>
      </c>
      <c r="Y282" s="165">
        <v>21101638</v>
      </c>
      <c r="Z282" s="165">
        <v>78996157.989999995</v>
      </c>
      <c r="AA282" s="165">
        <v>15753768.319999998</v>
      </c>
      <c r="AB282" s="165">
        <v>125575</v>
      </c>
      <c r="AC282" s="165">
        <v>199.33333333333334</v>
      </c>
      <c r="AD282" s="165">
        <v>166607245.31</v>
      </c>
      <c r="AE282" s="165">
        <v>835822.30088628759</v>
      </c>
      <c r="AF282" s="166">
        <v>50630106</v>
      </c>
      <c r="AG282" s="11">
        <v>2965327.3100000024</v>
      </c>
      <c r="AH282" s="12">
        <v>1.75</v>
      </c>
      <c r="AI282" s="132">
        <v>0</v>
      </c>
      <c r="AJ282" s="132">
        <v>0</v>
      </c>
      <c r="AK282" s="13">
        <v>0.15</v>
      </c>
      <c r="AL282" s="13">
        <v>9.1824824552970696E-3</v>
      </c>
      <c r="AM282" s="14">
        <v>0</v>
      </c>
      <c r="AN282" s="14">
        <v>-1</v>
      </c>
      <c r="AO282" s="82">
        <v>336521.02572754113</v>
      </c>
      <c r="AP282" s="82">
        <v>396301.79593645479</v>
      </c>
      <c r="AQ282" s="82">
        <v>59780.770208913658</v>
      </c>
      <c r="AR282" s="129">
        <v>0.1776434921998431</v>
      </c>
    </row>
    <row r="283" spans="1:44" ht="28.8" x14ac:dyDescent="0.3">
      <c r="A283" s="136" t="s">
        <v>477</v>
      </c>
      <c r="B283" s="137" t="s">
        <v>5069</v>
      </c>
      <c r="C283" s="134">
        <v>2020</v>
      </c>
      <c r="D283" s="149" t="s">
        <v>1190</v>
      </c>
      <c r="E283" s="135" t="s">
        <v>1175</v>
      </c>
      <c r="F283" s="384" t="s">
        <v>165</v>
      </c>
      <c r="G283" s="138" t="s">
        <v>4773</v>
      </c>
      <c r="H283" s="138" t="s">
        <v>1740</v>
      </c>
      <c r="I283" s="138" t="s">
        <v>1566</v>
      </c>
      <c r="J283" s="135" t="s">
        <v>4778</v>
      </c>
      <c r="K283" s="164">
        <v>1301509457</v>
      </c>
      <c r="L283" s="165">
        <v>735165437</v>
      </c>
      <c r="M283" s="165">
        <v>688290052</v>
      </c>
      <c r="N283" s="165">
        <v>21135929</v>
      </c>
      <c r="O283" s="165">
        <v>358616877.02000004</v>
      </c>
      <c r="P283" s="165">
        <v>105611406.43000001</v>
      </c>
      <c r="Q283" s="165">
        <v>72281</v>
      </c>
      <c r="R283" s="165">
        <v>704.5</v>
      </c>
      <c r="S283" s="165">
        <v>363490461.45000005</v>
      </c>
      <c r="T283" s="165">
        <v>515955.23271823995</v>
      </c>
      <c r="U283" s="166">
        <v>-121946032</v>
      </c>
      <c r="V283" s="168">
        <v>1837071644</v>
      </c>
      <c r="W283" s="165">
        <v>1049127832</v>
      </c>
      <c r="X283" s="165">
        <v>763653567</v>
      </c>
      <c r="Y283" s="165">
        <v>134422719</v>
      </c>
      <c r="Z283" s="165">
        <v>464825038.00999999</v>
      </c>
      <c r="AA283" s="165">
        <v>134512020.55000001</v>
      </c>
      <c r="AB283" s="165">
        <v>62251</v>
      </c>
      <c r="AC283" s="165">
        <v>775.75</v>
      </c>
      <c r="AD283" s="165">
        <v>758112273.55999994</v>
      </c>
      <c r="AE283" s="165">
        <v>977263.64622623264</v>
      </c>
      <c r="AF283" s="166">
        <v>24290245</v>
      </c>
      <c r="AG283" s="11">
        <v>394621812.1099999</v>
      </c>
      <c r="AH283" s="12">
        <v>71.25</v>
      </c>
      <c r="AI283" s="132">
        <v>1</v>
      </c>
      <c r="AJ283" s="132">
        <v>1</v>
      </c>
      <c r="AK283" s="13">
        <v>0.1</v>
      </c>
      <c r="AL283" s="13">
        <v>0.89408613999319297</v>
      </c>
      <c r="AM283" s="14">
        <v>1</v>
      </c>
      <c r="AN283" s="14">
        <v>0</v>
      </c>
      <c r="AO283" s="82">
        <v>509037.44076650112</v>
      </c>
      <c r="AP283" s="82">
        <v>599194.37706735416</v>
      </c>
      <c r="AQ283" s="82">
        <v>90156.936300853034</v>
      </c>
      <c r="AR283" s="129">
        <v>0.17711258363450844</v>
      </c>
    </row>
    <row r="284" spans="1:44" ht="28.8" x14ac:dyDescent="0.3">
      <c r="A284" s="136" t="s">
        <v>478</v>
      </c>
      <c r="B284" s="137" t="s">
        <v>5070</v>
      </c>
      <c r="C284" s="134">
        <v>2019</v>
      </c>
      <c r="D284" s="149" t="s">
        <v>1190</v>
      </c>
      <c r="E284" s="135" t="s">
        <v>1175</v>
      </c>
      <c r="F284" s="384" t="s">
        <v>196</v>
      </c>
      <c r="G284" s="138" t="s">
        <v>4773</v>
      </c>
      <c r="H284" s="138" t="s">
        <v>3545</v>
      </c>
      <c r="I284" s="138" t="s">
        <v>1566</v>
      </c>
      <c r="J284" s="135" t="s">
        <v>4774</v>
      </c>
      <c r="K284" s="164">
        <v>663489808</v>
      </c>
      <c r="L284" s="165">
        <v>594247614</v>
      </c>
      <c r="M284" s="165">
        <v>354599</v>
      </c>
      <c r="N284" s="165">
        <v>19985803</v>
      </c>
      <c r="O284" s="165">
        <v>178231014</v>
      </c>
      <c r="P284" s="165">
        <v>56474793</v>
      </c>
      <c r="Q284" s="165">
        <v>1741733</v>
      </c>
      <c r="R284" s="165">
        <v>424.08333333333331</v>
      </c>
      <c r="S284" s="165">
        <v>325320938</v>
      </c>
      <c r="T284" s="165">
        <v>767115.59363332682</v>
      </c>
      <c r="U284" s="166">
        <v>68887595</v>
      </c>
      <c r="V284" s="168">
        <v>710300174</v>
      </c>
      <c r="W284" s="165">
        <v>648981543</v>
      </c>
      <c r="X284" s="165">
        <v>121023</v>
      </c>
      <c r="Y284" s="165">
        <v>18874133</v>
      </c>
      <c r="Z284" s="165">
        <v>255430314.84</v>
      </c>
      <c r="AA284" s="165">
        <v>77454866.560000002</v>
      </c>
      <c r="AB284" s="165">
        <v>1571310</v>
      </c>
      <c r="AC284" s="165">
        <v>544.08333333333337</v>
      </c>
      <c r="AD284" s="165">
        <v>414528232.40000004</v>
      </c>
      <c r="AE284" s="165">
        <v>761883.71707765351</v>
      </c>
      <c r="AF284" s="166">
        <v>61197608</v>
      </c>
      <c r="AG284" s="11">
        <v>89207294.400000036</v>
      </c>
      <c r="AH284" s="12">
        <v>120.00000000000006</v>
      </c>
      <c r="AI284" s="132">
        <v>0</v>
      </c>
      <c r="AJ284" s="132">
        <v>0</v>
      </c>
      <c r="AK284" s="13">
        <v>0.15</v>
      </c>
      <c r="AL284" s="13">
        <v>-6.8201846868997107E-3</v>
      </c>
      <c r="AM284" s="14">
        <v>0</v>
      </c>
      <c r="AN284" s="14">
        <v>-1</v>
      </c>
      <c r="AO284" s="82">
        <v>420273.56415798783</v>
      </c>
      <c r="AP284" s="82">
        <v>469469.10370347678</v>
      </c>
      <c r="AQ284" s="82">
        <v>49195.539545488951</v>
      </c>
      <c r="AR284" s="129">
        <v>0.11705599338386063</v>
      </c>
    </row>
    <row r="285" spans="1:44" ht="28.8" x14ac:dyDescent="0.3">
      <c r="A285" s="136" t="s">
        <v>479</v>
      </c>
      <c r="B285" s="137" t="s">
        <v>5071</v>
      </c>
      <c r="C285" s="134">
        <v>2020</v>
      </c>
      <c r="D285" s="149" t="s">
        <v>1157</v>
      </c>
      <c r="E285" s="135" t="s">
        <v>1152</v>
      </c>
      <c r="F285" s="384" t="s">
        <v>480</v>
      </c>
      <c r="G285" s="138" t="s">
        <v>4773</v>
      </c>
      <c r="H285" s="138" t="s">
        <v>2564</v>
      </c>
      <c r="I285" s="138" t="s">
        <v>1566</v>
      </c>
      <c r="J285" s="135" t="s">
        <v>4774</v>
      </c>
      <c r="K285" s="164">
        <v>616875485</v>
      </c>
      <c r="L285" s="165">
        <v>537916798</v>
      </c>
      <c r="M285" s="165">
        <v>40978140</v>
      </c>
      <c r="N285" s="165">
        <v>75337423</v>
      </c>
      <c r="O285" s="165">
        <v>65147866</v>
      </c>
      <c r="P285" s="165">
        <v>13953613</v>
      </c>
      <c r="Q285" s="165">
        <v>0</v>
      </c>
      <c r="R285" s="165">
        <v>147.91666666666666</v>
      </c>
      <c r="S285" s="165">
        <v>192419449</v>
      </c>
      <c r="T285" s="165">
        <v>1300863.8805633804</v>
      </c>
      <c r="U285" s="166">
        <v>37980547</v>
      </c>
      <c r="V285" s="168">
        <v>972979219</v>
      </c>
      <c r="W285" s="165">
        <v>689284297</v>
      </c>
      <c r="X285" s="165">
        <v>49415316</v>
      </c>
      <c r="Y285" s="165">
        <v>80265099</v>
      </c>
      <c r="Z285" s="165">
        <v>86889863</v>
      </c>
      <c r="AA285" s="165">
        <v>16435303</v>
      </c>
      <c r="AB285" s="165">
        <v>166428</v>
      </c>
      <c r="AC285" s="165">
        <v>157.91666666666666</v>
      </c>
      <c r="AD285" s="165">
        <v>418036299</v>
      </c>
      <c r="AE285" s="165">
        <v>2647195.5609498681</v>
      </c>
      <c r="AF285" s="166">
        <v>234279606</v>
      </c>
      <c r="AG285" s="11">
        <v>225616850</v>
      </c>
      <c r="AH285" s="12">
        <v>10</v>
      </c>
      <c r="AI285" s="132">
        <v>1</v>
      </c>
      <c r="AJ285" s="132">
        <v>1</v>
      </c>
      <c r="AK285" s="13">
        <v>0.1</v>
      </c>
      <c r="AL285" s="13">
        <v>1.0349520043557519</v>
      </c>
      <c r="AM285" s="14">
        <v>1</v>
      </c>
      <c r="AN285" s="14">
        <v>0</v>
      </c>
      <c r="AO285" s="82">
        <v>440436.2771830986</v>
      </c>
      <c r="AP285" s="82">
        <v>550226.04538258584</v>
      </c>
      <c r="AQ285" s="82">
        <v>109789.76819948724</v>
      </c>
      <c r="AR285" s="129">
        <v>0.2492750345218393</v>
      </c>
    </row>
    <row r="286" spans="1:44" ht="28.8" x14ac:dyDescent="0.3">
      <c r="A286" s="136" t="s">
        <v>481</v>
      </c>
      <c r="B286" s="137" t="s">
        <v>5072</v>
      </c>
      <c r="C286" s="134">
        <v>2020</v>
      </c>
      <c r="D286" s="149" t="s">
        <v>1157</v>
      </c>
      <c r="E286" s="135" t="s">
        <v>1152</v>
      </c>
      <c r="F286" s="384" t="s">
        <v>480</v>
      </c>
      <c r="G286" s="138" t="s">
        <v>4773</v>
      </c>
      <c r="H286" s="138" t="s">
        <v>1597</v>
      </c>
      <c r="I286" s="138" t="s">
        <v>1566</v>
      </c>
      <c r="J286" s="135" t="s">
        <v>4774</v>
      </c>
      <c r="K286" s="164">
        <v>1868479165</v>
      </c>
      <c r="L286" s="165">
        <v>1774396802</v>
      </c>
      <c r="M286" s="165">
        <v>42266628</v>
      </c>
      <c r="N286" s="165">
        <v>28091577</v>
      </c>
      <c r="O286" s="165">
        <v>38997836</v>
      </c>
      <c r="P286" s="165">
        <v>9856189</v>
      </c>
      <c r="Q286" s="165">
        <v>0</v>
      </c>
      <c r="R286" s="165">
        <v>168.08333333333334</v>
      </c>
      <c r="S286" s="165">
        <v>128761337</v>
      </c>
      <c r="T286" s="165">
        <v>766056.54139811592</v>
      </c>
      <c r="U286" s="166">
        <v>51815735</v>
      </c>
      <c r="V286" s="168">
        <v>2034458258</v>
      </c>
      <c r="W286" s="165">
        <v>1920726144</v>
      </c>
      <c r="X286" s="165">
        <v>47560499</v>
      </c>
      <c r="Y286" s="165">
        <v>26552752</v>
      </c>
      <c r="Z286" s="165">
        <v>35580807</v>
      </c>
      <c r="AA286" s="165">
        <v>9038799</v>
      </c>
      <c r="AB286" s="165">
        <v>0</v>
      </c>
      <c r="AC286" s="165">
        <v>163.25</v>
      </c>
      <c r="AD286" s="165">
        <v>137343973</v>
      </c>
      <c r="AE286" s="165">
        <v>841310.70750382845</v>
      </c>
      <c r="AF286" s="166">
        <v>66171615</v>
      </c>
      <c r="AG286" s="11">
        <v>8582636</v>
      </c>
      <c r="AH286" s="12">
        <v>-4.8333333333333428</v>
      </c>
      <c r="AI286" s="132">
        <v>1</v>
      </c>
      <c r="AJ286" s="132">
        <v>1</v>
      </c>
      <c r="AK286" s="13">
        <v>0.1</v>
      </c>
      <c r="AL286" s="13">
        <v>9.8235790794240829E-2</v>
      </c>
      <c r="AM286" s="14">
        <v>0</v>
      </c>
      <c r="AN286" s="14">
        <v>-1</v>
      </c>
      <c r="AO286" s="82">
        <v>232014.88943976202</v>
      </c>
      <c r="AP286" s="82">
        <v>217952.87595712097</v>
      </c>
      <c r="AQ286" s="82">
        <v>-14062.01348264105</v>
      </c>
      <c r="AR286" s="129">
        <v>-6.0608237327337444E-2</v>
      </c>
    </row>
    <row r="287" spans="1:44" ht="28.8" x14ac:dyDescent="0.3">
      <c r="A287" s="136" t="s">
        <v>482</v>
      </c>
      <c r="B287" s="137" t="s">
        <v>5073</v>
      </c>
      <c r="C287" s="134">
        <v>2020</v>
      </c>
      <c r="D287" s="149" t="s">
        <v>1176</v>
      </c>
      <c r="E287" s="135" t="s">
        <v>1175</v>
      </c>
      <c r="F287" s="384" t="s">
        <v>483</v>
      </c>
      <c r="G287" s="138" t="s">
        <v>4796</v>
      </c>
      <c r="H287" s="138" t="s">
        <v>3569</v>
      </c>
      <c r="I287" s="138" t="s">
        <v>3557</v>
      </c>
      <c r="J287" s="135" t="s">
        <v>4774</v>
      </c>
      <c r="K287" s="164">
        <v>5309081877</v>
      </c>
      <c r="L287" s="165">
        <v>4268100706</v>
      </c>
      <c r="M287" s="165">
        <v>380584018</v>
      </c>
      <c r="N287" s="165">
        <v>58729872</v>
      </c>
      <c r="O287" s="165">
        <v>230507642</v>
      </c>
      <c r="P287" s="165">
        <v>69839723</v>
      </c>
      <c r="Q287" s="165">
        <v>2080967</v>
      </c>
      <c r="R287" s="165">
        <v>464.08333333333331</v>
      </c>
      <c r="S287" s="165">
        <v>1021555357</v>
      </c>
      <c r="T287" s="165">
        <v>2201232.5882564196</v>
      </c>
      <c r="U287" s="166">
        <v>660397153</v>
      </c>
      <c r="V287" s="168">
        <v>3302979166</v>
      </c>
      <c r="W287" s="165">
        <v>2400909257</v>
      </c>
      <c r="X287" s="165">
        <v>432678062</v>
      </c>
      <c r="Y287" s="165">
        <v>65348443</v>
      </c>
      <c r="Z287" s="165">
        <v>234456631.04999998</v>
      </c>
      <c r="AA287" s="165">
        <v>76793527.020000011</v>
      </c>
      <c r="AB287" s="165">
        <v>1877399</v>
      </c>
      <c r="AC287" s="165">
        <v>468.41666666666669</v>
      </c>
      <c r="AD287" s="165">
        <v>847867847.06999993</v>
      </c>
      <c r="AE287" s="165">
        <v>1810071.9026578898</v>
      </c>
      <c r="AF287" s="166">
        <v>469391847</v>
      </c>
      <c r="AG287" s="11">
        <v>-173687509.93000007</v>
      </c>
      <c r="AH287" s="12">
        <v>4.3333333333333712</v>
      </c>
      <c r="AI287" s="132">
        <v>0</v>
      </c>
      <c r="AJ287" s="132">
        <v>0</v>
      </c>
      <c r="AK287" s="13">
        <v>0.05</v>
      </c>
      <c r="AL287" s="13">
        <v>-0.17770075355825976</v>
      </c>
      <c r="AM287" s="14">
        <v>0</v>
      </c>
      <c r="AN287" s="14">
        <v>-1</v>
      </c>
      <c r="AO287" s="82">
        <v>496694.50601544266</v>
      </c>
      <c r="AP287" s="82">
        <v>500530.07874043757</v>
      </c>
      <c r="AQ287" s="82">
        <v>3835.5727249949123</v>
      </c>
      <c r="AR287" s="129">
        <v>7.7221968001306429E-3</v>
      </c>
    </row>
    <row r="288" spans="1:44" ht="28.8" x14ac:dyDescent="0.3">
      <c r="A288" s="136" t="s">
        <v>484</v>
      </c>
      <c r="B288" s="137" t="s">
        <v>5074</v>
      </c>
      <c r="C288" s="134">
        <v>2018</v>
      </c>
      <c r="D288" s="149" t="s">
        <v>1159</v>
      </c>
      <c r="E288" s="135" t="s">
        <v>1152</v>
      </c>
      <c r="F288" s="384" t="s">
        <v>485</v>
      </c>
      <c r="G288" s="138" t="s">
        <v>4773</v>
      </c>
      <c r="H288" s="138" t="s">
        <v>2707</v>
      </c>
      <c r="I288" s="138" t="s">
        <v>1566</v>
      </c>
      <c r="J288" s="135" t="s">
        <v>4778</v>
      </c>
      <c r="K288" s="164">
        <v>1247429000</v>
      </c>
      <c r="L288" s="165">
        <v>751956000</v>
      </c>
      <c r="M288" s="165">
        <v>428208000</v>
      </c>
      <c r="N288" s="165">
        <v>11709000</v>
      </c>
      <c r="O288" s="165">
        <v>256257952</v>
      </c>
      <c r="P288" s="165">
        <v>69918000</v>
      </c>
      <c r="Q288" s="165">
        <v>1374000</v>
      </c>
      <c r="R288" s="165">
        <v>562.16666666666674</v>
      </c>
      <c r="S288" s="165">
        <v>406523952</v>
      </c>
      <c r="T288" s="165">
        <v>723137.77408834861</v>
      </c>
      <c r="U288" s="166">
        <v>67265000</v>
      </c>
      <c r="V288" s="168">
        <v>2179376029</v>
      </c>
      <c r="W288" s="165">
        <v>1347296449</v>
      </c>
      <c r="X288" s="165">
        <v>738449869</v>
      </c>
      <c r="Y288" s="165">
        <v>18691037</v>
      </c>
      <c r="Z288" s="165">
        <v>419517174</v>
      </c>
      <c r="AA288" s="165">
        <v>122974568</v>
      </c>
      <c r="AB288" s="165">
        <v>3003068</v>
      </c>
      <c r="AC288" s="165">
        <v>665.41666666666663</v>
      </c>
      <c r="AD288" s="165">
        <v>657815558</v>
      </c>
      <c r="AE288" s="165">
        <v>988576.91872260498</v>
      </c>
      <c r="AF288" s="166">
        <v>93629711</v>
      </c>
      <c r="AG288" s="11">
        <v>251291606</v>
      </c>
      <c r="AH288" s="12">
        <v>103.24999999999989</v>
      </c>
      <c r="AI288" s="132">
        <v>1</v>
      </c>
      <c r="AJ288" s="132">
        <v>1</v>
      </c>
      <c r="AK288" s="13">
        <v>0.3</v>
      </c>
      <c r="AL288" s="13">
        <v>0.36706580822074897</v>
      </c>
      <c r="AM288" s="14">
        <v>1</v>
      </c>
      <c r="AN288" s="14">
        <v>0</v>
      </c>
      <c r="AO288" s="82">
        <v>455839.81974503404</v>
      </c>
      <c r="AP288" s="82">
        <v>630457.86950532254</v>
      </c>
      <c r="AQ288" s="82">
        <v>174618.0497602885</v>
      </c>
      <c r="AR288" s="129">
        <v>0.38306888120910099</v>
      </c>
    </row>
    <row r="289" spans="1:44" ht="28.8" x14ac:dyDescent="0.3">
      <c r="A289" s="136" t="s">
        <v>486</v>
      </c>
      <c r="B289" s="137" t="s">
        <v>5075</v>
      </c>
      <c r="C289" s="134">
        <v>2018</v>
      </c>
      <c r="D289" s="149" t="s">
        <v>1159</v>
      </c>
      <c r="E289" s="135" t="s">
        <v>1152</v>
      </c>
      <c r="F289" s="384" t="s">
        <v>485</v>
      </c>
      <c r="G289" s="138" t="s">
        <v>4773</v>
      </c>
      <c r="H289" s="138" t="s">
        <v>3386</v>
      </c>
      <c r="I289" s="138" t="s">
        <v>1566</v>
      </c>
      <c r="J289" s="135" t="s">
        <v>4778</v>
      </c>
      <c r="K289" s="164">
        <v>1511693000</v>
      </c>
      <c r="L289" s="165">
        <v>815228000</v>
      </c>
      <c r="M289" s="165">
        <v>650779000</v>
      </c>
      <c r="N289" s="165">
        <v>6344000</v>
      </c>
      <c r="O289" s="165">
        <v>284771000</v>
      </c>
      <c r="P289" s="165">
        <v>79321000</v>
      </c>
      <c r="Q289" s="165">
        <v>860000</v>
      </c>
      <c r="R289" s="165">
        <v>572.66666666666674</v>
      </c>
      <c r="S289" s="165">
        <v>416982000</v>
      </c>
      <c r="T289" s="165">
        <v>728140.86146682175</v>
      </c>
      <c r="U289" s="166">
        <v>45686000</v>
      </c>
      <c r="V289" s="168">
        <v>1988847243</v>
      </c>
      <c r="W289" s="165">
        <v>1069001801</v>
      </c>
      <c r="X289" s="165">
        <v>811551867</v>
      </c>
      <c r="Y289" s="165">
        <v>27432844</v>
      </c>
      <c r="Z289" s="165">
        <v>603507981</v>
      </c>
      <c r="AA289" s="165">
        <v>134834654</v>
      </c>
      <c r="AB289" s="165">
        <v>1806189</v>
      </c>
      <c r="AC289" s="165">
        <v>624.08333333333337</v>
      </c>
      <c r="AD289" s="165">
        <v>875875243</v>
      </c>
      <c r="AE289" s="165">
        <v>1403458.7950327145</v>
      </c>
      <c r="AF289" s="166">
        <v>108293575</v>
      </c>
      <c r="AG289" s="11">
        <v>458893243</v>
      </c>
      <c r="AH289" s="12">
        <v>51.416666666666629</v>
      </c>
      <c r="AI289" s="132">
        <v>1</v>
      </c>
      <c r="AJ289" s="132">
        <v>0</v>
      </c>
      <c r="AK289" s="13">
        <v>0.3</v>
      </c>
      <c r="AL289" s="13">
        <v>0.92745508060075088</v>
      </c>
      <c r="AM289" s="14">
        <v>1</v>
      </c>
      <c r="AN289" s="14">
        <v>0</v>
      </c>
      <c r="AO289" s="82">
        <v>497271.82770663558</v>
      </c>
      <c r="AP289" s="82">
        <v>967031.08185338485</v>
      </c>
      <c r="AQ289" s="82">
        <v>469759.25414674927</v>
      </c>
      <c r="AR289" s="129">
        <v>0.94467296953706104</v>
      </c>
    </row>
    <row r="290" spans="1:44" ht="28.8" x14ac:dyDescent="0.3">
      <c r="A290" s="136" t="s">
        <v>487</v>
      </c>
      <c r="B290" s="137" t="s">
        <v>5076</v>
      </c>
      <c r="C290" s="134">
        <v>2019</v>
      </c>
      <c r="D290" s="149" t="s">
        <v>1159</v>
      </c>
      <c r="E290" s="135" t="s">
        <v>1152</v>
      </c>
      <c r="F290" s="384" t="s">
        <v>485</v>
      </c>
      <c r="G290" s="138" t="s">
        <v>4773</v>
      </c>
      <c r="H290" s="138" t="s">
        <v>3563</v>
      </c>
      <c r="I290" s="138" t="s">
        <v>3557</v>
      </c>
      <c r="J290" s="135" t="s">
        <v>4774</v>
      </c>
      <c r="K290" s="164">
        <v>2589588480</v>
      </c>
      <c r="L290" s="165">
        <v>2456072841</v>
      </c>
      <c r="M290" s="165">
        <v>117062998</v>
      </c>
      <c r="N290" s="165">
        <v>5182547</v>
      </c>
      <c r="O290" s="165">
        <v>134839760</v>
      </c>
      <c r="P290" s="165">
        <v>35249394</v>
      </c>
      <c r="Q290" s="165">
        <v>1142</v>
      </c>
      <c r="R290" s="165">
        <v>163.66666666666666</v>
      </c>
      <c r="S290" s="165">
        <v>191725484</v>
      </c>
      <c r="T290" s="165">
        <v>1171438.8024439919</v>
      </c>
      <c r="U290" s="166">
        <v>16452641</v>
      </c>
      <c r="V290" s="168">
        <v>2368341223</v>
      </c>
      <c r="W290" s="165">
        <v>2210508213</v>
      </c>
      <c r="X290" s="165">
        <v>121428052</v>
      </c>
      <c r="Y290" s="165">
        <v>4872333</v>
      </c>
      <c r="Z290" s="165">
        <v>172460558</v>
      </c>
      <c r="AA290" s="165">
        <v>45941309</v>
      </c>
      <c r="AB290" s="165">
        <v>6370</v>
      </c>
      <c r="AC290" s="165">
        <v>174.58333333333334</v>
      </c>
      <c r="AD290" s="165">
        <v>259685528</v>
      </c>
      <c r="AE290" s="165">
        <v>1487458.8715990453</v>
      </c>
      <c r="AF290" s="166">
        <v>36404958</v>
      </c>
      <c r="AG290" s="11">
        <v>67960044</v>
      </c>
      <c r="AH290" s="12">
        <v>10.916666666666686</v>
      </c>
      <c r="AI290" s="132">
        <v>1</v>
      </c>
      <c r="AJ290" s="132">
        <v>1</v>
      </c>
      <c r="AK290" s="13">
        <v>0.15</v>
      </c>
      <c r="AL290" s="13">
        <v>0.26977087492748231</v>
      </c>
      <c r="AM290" s="14">
        <v>1</v>
      </c>
      <c r="AN290" s="14">
        <v>0</v>
      </c>
      <c r="AO290" s="82">
        <v>823868.18737270881</v>
      </c>
      <c r="AP290" s="82">
        <v>987840.90501193306</v>
      </c>
      <c r="AQ290" s="82">
        <v>163972.71763922425</v>
      </c>
      <c r="AR290" s="129">
        <v>0.19902785439759296</v>
      </c>
    </row>
    <row r="291" spans="1:44" ht="28.8" x14ac:dyDescent="0.3">
      <c r="A291" s="136" t="s">
        <v>488</v>
      </c>
      <c r="B291" s="137" t="s">
        <v>5077</v>
      </c>
      <c r="C291" s="134">
        <v>2019</v>
      </c>
      <c r="D291" s="149" t="s">
        <v>1159</v>
      </c>
      <c r="E291" s="135" t="s">
        <v>1152</v>
      </c>
      <c r="F291" s="384" t="s">
        <v>485</v>
      </c>
      <c r="G291" s="138" t="s">
        <v>4773</v>
      </c>
      <c r="H291" s="138" t="s">
        <v>2264</v>
      </c>
      <c r="I291" s="138" t="s">
        <v>1566</v>
      </c>
      <c r="J291" s="135" t="s">
        <v>4774</v>
      </c>
      <c r="K291" s="164">
        <v>786202342</v>
      </c>
      <c r="L291" s="165">
        <v>584410642</v>
      </c>
      <c r="M291" s="165">
        <v>155415257</v>
      </c>
      <c r="N291" s="165">
        <v>25781523</v>
      </c>
      <c r="O291" s="165">
        <v>159376954</v>
      </c>
      <c r="P291" s="165">
        <v>43474602</v>
      </c>
      <c r="Q291" s="165">
        <v>1311602</v>
      </c>
      <c r="R291" s="165">
        <v>406.08333333333331</v>
      </c>
      <c r="S291" s="165">
        <v>276321124</v>
      </c>
      <c r="T291" s="165">
        <v>680454.23517340445</v>
      </c>
      <c r="U291" s="166">
        <v>46376443</v>
      </c>
      <c r="V291" s="168">
        <v>1063618410</v>
      </c>
      <c r="W291" s="165">
        <v>858017132</v>
      </c>
      <c r="X291" s="165">
        <v>180634440</v>
      </c>
      <c r="Y291" s="165">
        <v>29223753</v>
      </c>
      <c r="Z291" s="165">
        <v>185058858</v>
      </c>
      <c r="AA291" s="165">
        <v>54975695</v>
      </c>
      <c r="AB291" s="165">
        <v>1471993</v>
      </c>
      <c r="AC291" s="165">
        <v>395.91666666666669</v>
      </c>
      <c r="AD291" s="165">
        <v>295697137</v>
      </c>
      <c r="AE291" s="165">
        <v>746867.11092401599</v>
      </c>
      <c r="AF291" s="166">
        <v>24966838</v>
      </c>
      <c r="AG291" s="11">
        <v>19376013</v>
      </c>
      <c r="AH291" s="12">
        <v>-10.166666666666629</v>
      </c>
      <c r="AI291" s="132">
        <v>0</v>
      </c>
      <c r="AJ291" s="132">
        <v>1</v>
      </c>
      <c r="AK291" s="13">
        <v>0.15</v>
      </c>
      <c r="AL291" s="13">
        <v>9.7600787967755176E-2</v>
      </c>
      <c r="AM291" s="14">
        <v>0</v>
      </c>
      <c r="AN291" s="14">
        <v>-1</v>
      </c>
      <c r="AO291" s="82">
        <v>392473.51693002257</v>
      </c>
      <c r="AP291" s="82">
        <v>467418.7110082088</v>
      </c>
      <c r="AQ291" s="82">
        <v>74945.194078186236</v>
      </c>
      <c r="AR291" s="129">
        <v>0.19095605396363302</v>
      </c>
    </row>
    <row r="292" spans="1:44" ht="28.8" x14ac:dyDescent="0.3">
      <c r="A292" s="136" t="s">
        <v>489</v>
      </c>
      <c r="B292" s="137" t="s">
        <v>5078</v>
      </c>
      <c r="C292" s="134">
        <v>2019</v>
      </c>
      <c r="D292" s="149" t="s">
        <v>1159</v>
      </c>
      <c r="E292" s="135" t="s">
        <v>1152</v>
      </c>
      <c r="F292" s="384" t="s">
        <v>485</v>
      </c>
      <c r="G292" s="138" t="s">
        <v>4773</v>
      </c>
      <c r="H292" s="138" t="s">
        <v>1646</v>
      </c>
      <c r="I292" s="138" t="s">
        <v>1566</v>
      </c>
      <c r="J292" s="135" t="s">
        <v>4774</v>
      </c>
      <c r="K292" s="164">
        <v>6691791480</v>
      </c>
      <c r="L292" s="165">
        <v>5680579648</v>
      </c>
      <c r="M292" s="165">
        <v>705588748</v>
      </c>
      <c r="N292" s="165">
        <v>54552542</v>
      </c>
      <c r="O292" s="165">
        <v>185732629</v>
      </c>
      <c r="P292" s="165">
        <v>47739378</v>
      </c>
      <c r="Q292" s="165">
        <v>8581585</v>
      </c>
      <c r="R292" s="165">
        <v>293.41666666666669</v>
      </c>
      <c r="S292" s="165">
        <v>602229218</v>
      </c>
      <c r="T292" s="165">
        <v>2052471.0639023003</v>
      </c>
      <c r="U292" s="166">
        <v>305623084</v>
      </c>
      <c r="V292" s="168">
        <v>8897088538</v>
      </c>
      <c r="W292" s="165">
        <v>6672150194</v>
      </c>
      <c r="X292" s="165">
        <v>836391064</v>
      </c>
      <c r="Y292" s="165">
        <v>43367467</v>
      </c>
      <c r="Z292" s="165">
        <v>379530844</v>
      </c>
      <c r="AA292" s="165">
        <v>79256011</v>
      </c>
      <c r="AB292" s="165">
        <v>5559386</v>
      </c>
      <c r="AC292" s="165">
        <v>255</v>
      </c>
      <c r="AD292" s="165">
        <v>1896260988</v>
      </c>
      <c r="AE292" s="165">
        <v>7436317.5999999996</v>
      </c>
      <c r="AF292" s="166">
        <v>1388547280</v>
      </c>
      <c r="AG292" s="11">
        <v>1294031770</v>
      </c>
      <c r="AH292" s="12">
        <v>-38.416666666666686</v>
      </c>
      <c r="AI292" s="132">
        <v>1</v>
      </c>
      <c r="AJ292" s="132">
        <v>1</v>
      </c>
      <c r="AK292" s="13">
        <v>0.15</v>
      </c>
      <c r="AL292" s="13">
        <v>2.6231047272354715</v>
      </c>
      <c r="AM292" s="14">
        <v>1</v>
      </c>
      <c r="AN292" s="14">
        <v>0</v>
      </c>
      <c r="AO292" s="82">
        <v>632999.58761715423</v>
      </c>
      <c r="AP292" s="82">
        <v>1488356.2509803921</v>
      </c>
      <c r="AQ292" s="82">
        <v>855356.66336323787</v>
      </c>
      <c r="AR292" s="129">
        <v>1.3512752300252173</v>
      </c>
    </row>
    <row r="293" spans="1:44" ht="28.8" x14ac:dyDescent="0.3">
      <c r="A293" s="136" t="s">
        <v>490</v>
      </c>
      <c r="B293" s="137" t="s">
        <v>5079</v>
      </c>
      <c r="C293" s="134">
        <v>2018</v>
      </c>
      <c r="D293" s="149" t="s">
        <v>1159</v>
      </c>
      <c r="E293" s="135" t="s">
        <v>1152</v>
      </c>
      <c r="F293" s="384" t="s">
        <v>485</v>
      </c>
      <c r="G293" s="138" t="s">
        <v>4773</v>
      </c>
      <c r="H293" s="138" t="s">
        <v>2359</v>
      </c>
      <c r="I293" s="138" t="s">
        <v>1566</v>
      </c>
      <c r="J293" s="135" t="s">
        <v>4774</v>
      </c>
      <c r="K293" s="164">
        <v>4023132000</v>
      </c>
      <c r="L293" s="165">
        <v>2926172200</v>
      </c>
      <c r="M293" s="165">
        <v>792869000</v>
      </c>
      <c r="N293" s="165">
        <v>74933920</v>
      </c>
      <c r="O293" s="165">
        <v>358947500</v>
      </c>
      <c r="P293" s="165">
        <v>93971011.359999999</v>
      </c>
      <c r="Q293" s="165">
        <v>11150320</v>
      </c>
      <c r="R293" s="165">
        <v>877.16666666666663</v>
      </c>
      <c r="S293" s="165">
        <v>843093551.36000001</v>
      </c>
      <c r="T293" s="165">
        <v>961155.48321489652</v>
      </c>
      <c r="U293" s="166">
        <v>304090800</v>
      </c>
      <c r="V293" s="168">
        <v>6163857220</v>
      </c>
      <c r="W293" s="165">
        <v>4610008404</v>
      </c>
      <c r="X293" s="165">
        <v>1140171027</v>
      </c>
      <c r="Y293" s="165">
        <v>15316286</v>
      </c>
      <c r="Z293" s="165">
        <v>409834176</v>
      </c>
      <c r="AA293" s="165">
        <v>118816535</v>
      </c>
      <c r="AB293" s="165">
        <v>4791468</v>
      </c>
      <c r="AC293" s="165">
        <v>784.83333333333337</v>
      </c>
      <c r="AD293" s="165">
        <v>962436254</v>
      </c>
      <c r="AE293" s="165">
        <v>1226293.8042047143</v>
      </c>
      <c r="AF293" s="166">
        <v>413677789</v>
      </c>
      <c r="AG293" s="11">
        <v>119342702.63999999</v>
      </c>
      <c r="AH293" s="12">
        <v>-92.333333333333258</v>
      </c>
      <c r="AI293" s="132">
        <v>0</v>
      </c>
      <c r="AJ293" s="132">
        <v>0</v>
      </c>
      <c r="AK293" s="13">
        <v>0.3</v>
      </c>
      <c r="AL293" s="13">
        <v>0.27585372555957344</v>
      </c>
      <c r="AM293" s="14">
        <v>0</v>
      </c>
      <c r="AN293" s="14">
        <v>-1</v>
      </c>
      <c r="AO293" s="82">
        <v>409212.42637279117</v>
      </c>
      <c r="AP293" s="82">
        <v>522192.62178806536</v>
      </c>
      <c r="AQ293" s="82">
        <v>112980.19541527418</v>
      </c>
      <c r="AR293" s="129">
        <v>0.27609180008710088</v>
      </c>
    </row>
    <row r="294" spans="1:44" ht="28.8" x14ac:dyDescent="0.3">
      <c r="A294" s="136" t="s">
        <v>491</v>
      </c>
      <c r="B294" s="137" t="s">
        <v>5080</v>
      </c>
      <c r="C294" s="134">
        <v>2019</v>
      </c>
      <c r="D294" s="149" t="s">
        <v>1159</v>
      </c>
      <c r="E294" s="135" t="s">
        <v>1152</v>
      </c>
      <c r="F294" s="384" t="s">
        <v>485</v>
      </c>
      <c r="G294" s="138" t="s">
        <v>4773</v>
      </c>
      <c r="H294" s="138" t="s">
        <v>3664</v>
      </c>
      <c r="I294" s="138" t="s">
        <v>3557</v>
      </c>
      <c r="J294" s="135" t="s">
        <v>4774</v>
      </c>
      <c r="K294" s="164">
        <v>3694985400</v>
      </c>
      <c r="L294" s="165">
        <v>2658293218</v>
      </c>
      <c r="M294" s="165">
        <v>1454722066</v>
      </c>
      <c r="N294" s="165">
        <v>155760805</v>
      </c>
      <c r="O294" s="165">
        <v>1512292349</v>
      </c>
      <c r="P294" s="165">
        <v>418644919</v>
      </c>
      <c r="Q294" s="165">
        <v>2679230</v>
      </c>
      <c r="R294" s="165">
        <v>2542.75</v>
      </c>
      <c r="S294" s="165">
        <v>1671347419</v>
      </c>
      <c r="T294" s="165">
        <v>657299.1520991053</v>
      </c>
      <c r="U294" s="166">
        <v>-418029884</v>
      </c>
      <c r="V294" s="168">
        <v>2630747592</v>
      </c>
      <c r="W294" s="165">
        <v>1769710201</v>
      </c>
      <c r="X294" s="165">
        <v>1309869899</v>
      </c>
      <c r="Y294" s="165">
        <v>92455851</v>
      </c>
      <c r="Z294" s="165">
        <v>1241980852</v>
      </c>
      <c r="AA294" s="165">
        <v>366950938</v>
      </c>
      <c r="AB294" s="165">
        <v>2544498</v>
      </c>
      <c r="AC294" s="165">
        <v>1776.75</v>
      </c>
      <c r="AD294" s="165">
        <v>1255099631</v>
      </c>
      <c r="AE294" s="165">
        <v>706401.9310538905</v>
      </c>
      <c r="AF294" s="166">
        <v>-448832508</v>
      </c>
      <c r="AG294" s="11">
        <v>-416247788</v>
      </c>
      <c r="AH294" s="12">
        <v>-766</v>
      </c>
      <c r="AI294" s="132">
        <v>0</v>
      </c>
      <c r="AJ294" s="132">
        <v>0</v>
      </c>
      <c r="AK294" s="13">
        <v>0.15</v>
      </c>
      <c r="AL294" s="13">
        <v>7.4703854401759084E-2</v>
      </c>
      <c r="AM294" s="14">
        <v>0</v>
      </c>
      <c r="AN294" s="14">
        <v>-1</v>
      </c>
      <c r="AO294" s="82">
        <v>594746.76983580773</v>
      </c>
      <c r="AP294" s="82">
        <v>699018.34923315037</v>
      </c>
      <c r="AQ294" s="82">
        <v>104271.57939734263</v>
      </c>
      <c r="AR294" s="129">
        <v>0.17532096799135033</v>
      </c>
    </row>
    <row r="295" spans="1:44" ht="28.8" x14ac:dyDescent="0.3">
      <c r="A295" s="136" t="s">
        <v>492</v>
      </c>
      <c r="B295" s="137" t="s">
        <v>5081</v>
      </c>
      <c r="C295" s="134">
        <v>2019</v>
      </c>
      <c r="D295" s="149" t="s">
        <v>1159</v>
      </c>
      <c r="E295" s="135" t="s">
        <v>1152</v>
      </c>
      <c r="F295" s="384" t="s">
        <v>485</v>
      </c>
      <c r="G295" s="138" t="s">
        <v>4773</v>
      </c>
      <c r="H295" s="138" t="s">
        <v>2264</v>
      </c>
      <c r="I295" s="138" t="s">
        <v>1566</v>
      </c>
      <c r="J295" s="135" t="s">
        <v>4778</v>
      </c>
      <c r="K295" s="164">
        <v>4361095088</v>
      </c>
      <c r="L295" s="165">
        <v>3165648304</v>
      </c>
      <c r="M295" s="165">
        <v>965912551</v>
      </c>
      <c r="N295" s="165">
        <v>66933420</v>
      </c>
      <c r="O295" s="165">
        <v>217138898</v>
      </c>
      <c r="P295" s="165">
        <v>60640768</v>
      </c>
      <c r="Q295" s="165">
        <v>7828801</v>
      </c>
      <c r="R295" s="165">
        <v>429</v>
      </c>
      <c r="S295" s="165">
        <v>582076120</v>
      </c>
      <c r="T295" s="165">
        <v>1356820.7925407926</v>
      </c>
      <c r="U295" s="166">
        <v>229534233</v>
      </c>
      <c r="V295" s="168">
        <v>6143804268</v>
      </c>
      <c r="W295" s="165">
        <v>4691620480</v>
      </c>
      <c r="X295" s="165">
        <v>996120255</v>
      </c>
      <c r="Y295" s="165">
        <v>95359758</v>
      </c>
      <c r="Z295" s="165">
        <v>268667327</v>
      </c>
      <c r="AA295" s="165">
        <v>78026472</v>
      </c>
      <c r="AB295" s="165">
        <v>7044101</v>
      </c>
      <c r="AC295" s="165">
        <v>427.91666666666669</v>
      </c>
      <c r="AD295" s="165">
        <v>905161191</v>
      </c>
      <c r="AE295" s="165">
        <v>2115274.4482960077</v>
      </c>
      <c r="AF295" s="166">
        <v>456063533</v>
      </c>
      <c r="AG295" s="11">
        <v>323085071</v>
      </c>
      <c r="AH295" s="12">
        <v>-1.0833333333333144</v>
      </c>
      <c r="AI295" s="132">
        <v>1</v>
      </c>
      <c r="AJ295" s="132">
        <v>1</v>
      </c>
      <c r="AK295" s="13">
        <v>0.15</v>
      </c>
      <c r="AL295" s="13">
        <v>0.55899324773760295</v>
      </c>
      <c r="AM295" s="14">
        <v>1</v>
      </c>
      <c r="AN295" s="14">
        <v>0</v>
      </c>
      <c r="AO295" s="82">
        <v>506151.27738927741</v>
      </c>
      <c r="AP295" s="82">
        <v>627849.64440116845</v>
      </c>
      <c r="AQ295" s="82">
        <v>121698.36701189104</v>
      </c>
      <c r="AR295" s="129">
        <v>0.24043872345755957</v>
      </c>
    </row>
    <row r="296" spans="1:44" ht="28.8" x14ac:dyDescent="0.3">
      <c r="A296" s="136" t="s">
        <v>493</v>
      </c>
      <c r="B296" s="137" t="s">
        <v>5082</v>
      </c>
      <c r="C296" s="134">
        <v>2019</v>
      </c>
      <c r="D296" s="149" t="s">
        <v>1159</v>
      </c>
      <c r="E296" s="135" t="s">
        <v>1152</v>
      </c>
      <c r="F296" s="384" t="s">
        <v>485</v>
      </c>
      <c r="G296" s="138" t="s">
        <v>4773</v>
      </c>
      <c r="H296" s="138" t="s">
        <v>2313</v>
      </c>
      <c r="I296" s="138" t="s">
        <v>1566</v>
      </c>
      <c r="J296" s="135" t="s">
        <v>4774</v>
      </c>
      <c r="K296" s="164">
        <v>1163474131</v>
      </c>
      <c r="L296" s="165">
        <v>1041085098</v>
      </c>
      <c r="M296" s="165">
        <v>102152290</v>
      </c>
      <c r="N296" s="165">
        <v>17485036</v>
      </c>
      <c r="O296" s="165">
        <v>30854959</v>
      </c>
      <c r="P296" s="165">
        <v>8456427</v>
      </c>
      <c r="Q296" s="165">
        <v>5232920</v>
      </c>
      <c r="R296" s="165">
        <v>38</v>
      </c>
      <c r="S296" s="165">
        <v>82266085</v>
      </c>
      <c r="T296" s="165">
        <v>2164896.9736842103</v>
      </c>
      <c r="U296" s="166">
        <v>20236743</v>
      </c>
      <c r="V296" s="168">
        <v>1715591175</v>
      </c>
      <c r="W296" s="165">
        <v>1539926192</v>
      </c>
      <c r="X296" s="165">
        <v>98841786</v>
      </c>
      <c r="Y296" s="165">
        <v>8951304</v>
      </c>
      <c r="Z296" s="165">
        <v>56197449.449999996</v>
      </c>
      <c r="AA296" s="165">
        <v>13828377.419999998</v>
      </c>
      <c r="AB296" s="165">
        <v>5735609</v>
      </c>
      <c r="AC296" s="165">
        <v>43.083333333333336</v>
      </c>
      <c r="AD296" s="165">
        <v>161535936.86999997</v>
      </c>
      <c r="AE296" s="165">
        <v>3749383.4476595735</v>
      </c>
      <c r="AF296" s="166">
        <v>76823197</v>
      </c>
      <c r="AG296" s="11">
        <v>79269851.869999975</v>
      </c>
      <c r="AH296" s="12">
        <v>5.0833333333333357</v>
      </c>
      <c r="AI296" s="132">
        <v>1</v>
      </c>
      <c r="AJ296" s="132">
        <v>1</v>
      </c>
      <c r="AK296" s="13">
        <v>0.15</v>
      </c>
      <c r="AL296" s="13">
        <v>0.7318992552333794</v>
      </c>
      <c r="AM296" s="14">
        <v>1</v>
      </c>
      <c r="AN296" s="14">
        <v>0</v>
      </c>
      <c r="AO296" s="82">
        <v>811972.60526315786</v>
      </c>
      <c r="AP296" s="82">
        <v>1304389.5423597677</v>
      </c>
      <c r="AQ296" s="82">
        <v>492416.93709660985</v>
      </c>
      <c r="AR296" s="129">
        <v>0.60644525924248271</v>
      </c>
    </row>
    <row r="297" spans="1:44" ht="28.8" x14ac:dyDescent="0.3">
      <c r="A297" s="136" t="s">
        <v>494</v>
      </c>
      <c r="B297" s="137" t="s">
        <v>5083</v>
      </c>
      <c r="C297" s="134">
        <v>2019</v>
      </c>
      <c r="D297" s="149" t="s">
        <v>1159</v>
      </c>
      <c r="E297" s="135" t="s">
        <v>1152</v>
      </c>
      <c r="F297" s="384" t="s">
        <v>485</v>
      </c>
      <c r="G297" s="138" t="s">
        <v>4773</v>
      </c>
      <c r="H297" s="138" t="s">
        <v>1391</v>
      </c>
      <c r="I297" s="138" t="s">
        <v>1217</v>
      </c>
      <c r="J297" s="135" t="s">
        <v>4774</v>
      </c>
      <c r="K297" s="164">
        <v>1793007551</v>
      </c>
      <c r="L297" s="165">
        <v>1725497954</v>
      </c>
      <c r="M297" s="165">
        <v>0</v>
      </c>
      <c r="N297" s="165">
        <v>0</v>
      </c>
      <c r="O297" s="165">
        <v>271957293</v>
      </c>
      <c r="P297" s="165">
        <v>82491179</v>
      </c>
      <c r="Q297" s="165">
        <v>1934178</v>
      </c>
      <c r="R297" s="165">
        <v>639.16666666666663</v>
      </c>
      <c r="S297" s="165">
        <v>423892247</v>
      </c>
      <c r="T297" s="165">
        <v>663195.1713168188</v>
      </c>
      <c r="U297" s="166">
        <v>67509597</v>
      </c>
      <c r="V297" s="168">
        <v>2766636884</v>
      </c>
      <c r="W297" s="165">
        <v>2499497243</v>
      </c>
      <c r="X297" s="165">
        <v>0</v>
      </c>
      <c r="Y297" s="165">
        <v>0</v>
      </c>
      <c r="Z297" s="165">
        <v>422297354</v>
      </c>
      <c r="AA297" s="165">
        <v>125693300</v>
      </c>
      <c r="AB297" s="165">
        <v>2616490</v>
      </c>
      <c r="AC297" s="165">
        <v>710.16666666666663</v>
      </c>
      <c r="AD297" s="165">
        <v>817746785</v>
      </c>
      <c r="AE297" s="165">
        <v>1151485.7333959164</v>
      </c>
      <c r="AF297" s="166">
        <v>267139641</v>
      </c>
      <c r="AG297" s="11">
        <v>393854538</v>
      </c>
      <c r="AH297" s="12">
        <v>71</v>
      </c>
      <c r="AI297" s="132">
        <v>1</v>
      </c>
      <c r="AJ297" s="132">
        <v>0</v>
      </c>
      <c r="AK297" s="13">
        <v>0.15</v>
      </c>
      <c r="AL297" s="13">
        <v>0.73626977711553576</v>
      </c>
      <c r="AM297" s="14">
        <v>1</v>
      </c>
      <c r="AN297" s="14">
        <v>0</v>
      </c>
      <c r="AO297" s="82">
        <v>425487.29022164276</v>
      </c>
      <c r="AP297" s="82">
        <v>594645.4175076274</v>
      </c>
      <c r="AQ297" s="82">
        <v>169158.12728598464</v>
      </c>
      <c r="AR297" s="129">
        <v>0.3975632907809481</v>
      </c>
    </row>
    <row r="298" spans="1:44" ht="43.2" x14ac:dyDescent="0.3">
      <c r="A298" s="136" t="s">
        <v>495</v>
      </c>
      <c r="B298" s="137" t="s">
        <v>5084</v>
      </c>
      <c r="C298" s="134">
        <v>2018</v>
      </c>
      <c r="D298" s="149" t="s">
        <v>1159</v>
      </c>
      <c r="E298" s="135" t="s">
        <v>1152</v>
      </c>
      <c r="F298" s="384" t="s">
        <v>485</v>
      </c>
      <c r="G298" s="138" t="s">
        <v>4773</v>
      </c>
      <c r="H298" s="138" t="s">
        <v>3060</v>
      </c>
      <c r="I298" s="138" t="s">
        <v>1566</v>
      </c>
      <c r="J298" s="135" t="s">
        <v>4778</v>
      </c>
      <c r="K298" s="164">
        <v>744611000</v>
      </c>
      <c r="L298" s="165">
        <v>726959970</v>
      </c>
      <c r="M298" s="165">
        <v>36132550</v>
      </c>
      <c r="N298" s="165">
        <v>22426840</v>
      </c>
      <c r="O298" s="165">
        <v>236762840</v>
      </c>
      <c r="P298" s="165">
        <v>62158909.870000012</v>
      </c>
      <c r="Q298" s="165">
        <v>1583740</v>
      </c>
      <c r="R298" s="165">
        <v>790.33333333333337</v>
      </c>
      <c r="S298" s="165">
        <v>304450809.87</v>
      </c>
      <c r="T298" s="165">
        <v>385218.23264867143</v>
      </c>
      <c r="U298" s="166">
        <v>-18481520</v>
      </c>
      <c r="V298" s="168">
        <v>1190978975</v>
      </c>
      <c r="W298" s="165">
        <v>985520030</v>
      </c>
      <c r="X298" s="165">
        <v>35040046</v>
      </c>
      <c r="Y298" s="165">
        <v>19532156</v>
      </c>
      <c r="Z298" s="165">
        <v>281032110</v>
      </c>
      <c r="AA298" s="165">
        <v>82375403</v>
      </c>
      <c r="AB298" s="165">
        <v>476111</v>
      </c>
      <c r="AC298" s="165">
        <v>688.91666666666663</v>
      </c>
      <c r="AD298" s="165">
        <v>553834679</v>
      </c>
      <c r="AE298" s="165">
        <v>803921.15011491475</v>
      </c>
      <c r="AF298" s="166">
        <v>170418899</v>
      </c>
      <c r="AG298" s="11">
        <v>249383869.13</v>
      </c>
      <c r="AH298" s="12">
        <v>-101.41666666666674</v>
      </c>
      <c r="AI298" s="132">
        <v>1</v>
      </c>
      <c r="AJ298" s="132">
        <v>1</v>
      </c>
      <c r="AK298" s="13">
        <v>0.3</v>
      </c>
      <c r="AL298" s="13">
        <v>1.0869239495752838</v>
      </c>
      <c r="AM298" s="14">
        <v>1</v>
      </c>
      <c r="AN298" s="14">
        <v>0</v>
      </c>
      <c r="AO298" s="82">
        <v>299573.39519190212</v>
      </c>
      <c r="AP298" s="82">
        <v>407933.38816983189</v>
      </c>
      <c r="AQ298" s="82">
        <v>108359.99297792977</v>
      </c>
      <c r="AR298" s="129">
        <v>0.3617143401820313</v>
      </c>
    </row>
    <row r="299" spans="1:44" ht="28.8" x14ac:dyDescent="0.3">
      <c r="A299" s="136" t="s">
        <v>496</v>
      </c>
      <c r="B299" s="137" t="s">
        <v>5085</v>
      </c>
      <c r="C299" s="134">
        <v>2019</v>
      </c>
      <c r="D299" s="149" t="s">
        <v>1176</v>
      </c>
      <c r="E299" s="135" t="s">
        <v>1175</v>
      </c>
      <c r="F299" s="384" t="s">
        <v>497</v>
      </c>
      <c r="G299" s="138" t="s">
        <v>4773</v>
      </c>
      <c r="H299" s="138" t="s">
        <v>4683</v>
      </c>
      <c r="I299" s="138" t="s">
        <v>4612</v>
      </c>
      <c r="J299" s="135" t="s">
        <v>4774</v>
      </c>
      <c r="K299" s="164">
        <v>459537446</v>
      </c>
      <c r="L299" s="165">
        <v>148261389</v>
      </c>
      <c r="M299" s="165">
        <v>238644157</v>
      </c>
      <c r="N299" s="165">
        <v>21256866</v>
      </c>
      <c r="O299" s="165">
        <v>82271237</v>
      </c>
      <c r="P299" s="165">
        <v>21865130</v>
      </c>
      <c r="Q299" s="165">
        <v>0</v>
      </c>
      <c r="R299" s="165">
        <v>204.33333333333334</v>
      </c>
      <c r="S299" s="165">
        <v>198025133</v>
      </c>
      <c r="T299" s="165">
        <v>969127.89396411087</v>
      </c>
      <c r="U299" s="166">
        <v>72631900</v>
      </c>
      <c r="V299" s="168">
        <v>693449405</v>
      </c>
      <c r="W299" s="165">
        <v>240550598</v>
      </c>
      <c r="X299" s="165">
        <v>288873391</v>
      </c>
      <c r="Y299" s="165">
        <v>19586052</v>
      </c>
      <c r="Z299" s="165">
        <v>98735748.439999998</v>
      </c>
      <c r="AA299" s="165">
        <v>19606579.379999999</v>
      </c>
      <c r="AB299" s="165">
        <v>0</v>
      </c>
      <c r="AC299" s="165">
        <v>212.25</v>
      </c>
      <c r="AD299" s="165">
        <v>301953795.81999999</v>
      </c>
      <c r="AE299" s="165">
        <v>1422632.7247114251</v>
      </c>
      <c r="AF299" s="166">
        <v>164025416</v>
      </c>
      <c r="AG299" s="11">
        <v>103928662.81999999</v>
      </c>
      <c r="AH299" s="12">
        <v>7.9166666666666572</v>
      </c>
      <c r="AI299" s="132">
        <v>1</v>
      </c>
      <c r="AJ299" s="132">
        <v>1</v>
      </c>
      <c r="AK299" s="13">
        <v>0.15</v>
      </c>
      <c r="AL299" s="13">
        <v>0.46795147955137262</v>
      </c>
      <c r="AM299" s="14">
        <v>1</v>
      </c>
      <c r="AN299" s="14">
        <v>0</v>
      </c>
      <c r="AO299" s="82">
        <v>402632.48123980424</v>
      </c>
      <c r="AP299" s="82">
        <v>465186.0939458186</v>
      </c>
      <c r="AQ299" s="82">
        <v>62553.612706014363</v>
      </c>
      <c r="AR299" s="129">
        <v>0.15536156574699689</v>
      </c>
    </row>
    <row r="300" spans="1:44" ht="28.8" x14ac:dyDescent="0.3">
      <c r="A300" s="136" t="s">
        <v>498</v>
      </c>
      <c r="B300" s="137" t="s">
        <v>5086</v>
      </c>
      <c r="C300" s="134">
        <v>2020</v>
      </c>
      <c r="D300" s="149" t="s">
        <v>1176</v>
      </c>
      <c r="E300" s="135" t="s">
        <v>1175</v>
      </c>
      <c r="F300" s="384" t="s">
        <v>497</v>
      </c>
      <c r="G300" s="138" t="s">
        <v>4773</v>
      </c>
      <c r="H300" s="138" t="s">
        <v>3569</v>
      </c>
      <c r="I300" s="138" t="s">
        <v>3557</v>
      </c>
      <c r="J300" s="135" t="s">
        <v>4778</v>
      </c>
      <c r="K300" s="164">
        <v>4531249784</v>
      </c>
      <c r="L300" s="165">
        <v>2992831839</v>
      </c>
      <c r="M300" s="165">
        <v>714535289</v>
      </c>
      <c r="N300" s="165">
        <v>79891937</v>
      </c>
      <c r="O300" s="165">
        <v>439086952</v>
      </c>
      <c r="P300" s="165">
        <v>129031556</v>
      </c>
      <c r="Q300" s="165">
        <v>140513</v>
      </c>
      <c r="R300" s="165">
        <v>869.5</v>
      </c>
      <c r="S300" s="165">
        <v>1472033614</v>
      </c>
      <c r="T300" s="165">
        <v>1692965.6285221393</v>
      </c>
      <c r="U300" s="166">
        <v>823882656</v>
      </c>
      <c r="V300" s="168">
        <v>6534873348</v>
      </c>
      <c r="W300" s="165">
        <v>4372278022</v>
      </c>
      <c r="X300" s="165">
        <v>723498873</v>
      </c>
      <c r="Y300" s="165">
        <v>58004962</v>
      </c>
      <c r="Z300" s="165">
        <v>550108585.53999996</v>
      </c>
      <c r="AA300" s="165">
        <v>161278486.06999999</v>
      </c>
      <c r="AB300" s="165">
        <v>127736</v>
      </c>
      <c r="AC300" s="165">
        <v>964.33333333333337</v>
      </c>
      <c r="AD300" s="165">
        <v>2208616222.6100001</v>
      </c>
      <c r="AE300" s="165">
        <v>2290303.7220290354</v>
      </c>
      <c r="AF300" s="166">
        <v>1439096453</v>
      </c>
      <c r="AG300" s="11">
        <v>736582608.61000013</v>
      </c>
      <c r="AH300" s="12">
        <v>94.833333333333371</v>
      </c>
      <c r="AI300" s="132">
        <v>1</v>
      </c>
      <c r="AJ300" s="132">
        <v>1</v>
      </c>
      <c r="AK300" s="13">
        <v>0.1</v>
      </c>
      <c r="AL300" s="13">
        <v>0.35283533192578775</v>
      </c>
      <c r="AM300" s="14">
        <v>1</v>
      </c>
      <c r="AN300" s="14">
        <v>0</v>
      </c>
      <c r="AO300" s="82">
        <v>504987.86889016675</v>
      </c>
      <c r="AP300" s="82">
        <v>570454.80698928447</v>
      </c>
      <c r="AQ300" s="82">
        <v>65466.938099117717</v>
      </c>
      <c r="AR300" s="129">
        <v>0.12964061541319238</v>
      </c>
    </row>
    <row r="301" spans="1:44" ht="28.8" x14ac:dyDescent="0.3">
      <c r="A301" s="136" t="s">
        <v>499</v>
      </c>
      <c r="B301" s="137" t="s">
        <v>5087</v>
      </c>
      <c r="C301" s="134">
        <v>2019</v>
      </c>
      <c r="D301" s="149" t="s">
        <v>1176</v>
      </c>
      <c r="E301" s="135" t="s">
        <v>1175</v>
      </c>
      <c r="F301" s="384" t="s">
        <v>497</v>
      </c>
      <c r="G301" s="138" t="s">
        <v>4773</v>
      </c>
      <c r="H301" s="138" t="s">
        <v>3140</v>
      </c>
      <c r="I301" s="138" t="s">
        <v>1566</v>
      </c>
      <c r="J301" s="135" t="s">
        <v>4774</v>
      </c>
      <c r="K301" s="164">
        <v>973352766</v>
      </c>
      <c r="L301" s="165">
        <v>517678423</v>
      </c>
      <c r="M301" s="165">
        <v>351458825</v>
      </c>
      <c r="N301" s="165">
        <v>13170860</v>
      </c>
      <c r="O301" s="165">
        <v>188077517</v>
      </c>
      <c r="P301" s="165">
        <v>53623237</v>
      </c>
      <c r="Q301" s="165">
        <v>1199454</v>
      </c>
      <c r="R301" s="165">
        <v>322.25</v>
      </c>
      <c r="S301" s="165">
        <v>360286586</v>
      </c>
      <c r="T301" s="165">
        <v>1118034.4018619084</v>
      </c>
      <c r="U301" s="166">
        <v>104215518</v>
      </c>
      <c r="V301" s="168">
        <v>1306516758</v>
      </c>
      <c r="W301" s="165">
        <v>719150279</v>
      </c>
      <c r="X301" s="165">
        <v>407463251</v>
      </c>
      <c r="Y301" s="165">
        <v>19855052</v>
      </c>
      <c r="Z301" s="165">
        <v>200056700.73000002</v>
      </c>
      <c r="AA301" s="165">
        <v>46629832.560000002</v>
      </c>
      <c r="AB301" s="165">
        <v>2854798</v>
      </c>
      <c r="AC301" s="165">
        <v>260.08333333333331</v>
      </c>
      <c r="AD301" s="165">
        <v>449299611.29000002</v>
      </c>
      <c r="AE301" s="165">
        <v>1727521.7351746238</v>
      </c>
      <c r="AF301" s="166">
        <v>179903228</v>
      </c>
      <c r="AG301" s="11">
        <v>89013025.290000021</v>
      </c>
      <c r="AH301" s="12">
        <v>-62.166666666666686</v>
      </c>
      <c r="AI301" s="132">
        <v>1</v>
      </c>
      <c r="AJ301" s="132">
        <v>1</v>
      </c>
      <c r="AK301" s="13">
        <v>0.15</v>
      </c>
      <c r="AL301" s="13">
        <v>0.54514184894489848</v>
      </c>
      <c r="AM301" s="14">
        <v>1</v>
      </c>
      <c r="AN301" s="14">
        <v>0</v>
      </c>
      <c r="AO301" s="82">
        <v>583638.53219550033</v>
      </c>
      <c r="AP301" s="82">
        <v>769202.30975969252</v>
      </c>
      <c r="AQ301" s="82">
        <v>185563.77756419219</v>
      </c>
      <c r="AR301" s="129">
        <v>0.31794298581717739</v>
      </c>
    </row>
    <row r="302" spans="1:44" ht="43.2" x14ac:dyDescent="0.3">
      <c r="A302" s="136" t="s">
        <v>500</v>
      </c>
      <c r="B302" s="137" t="s">
        <v>5088</v>
      </c>
      <c r="C302" s="134">
        <v>2019</v>
      </c>
      <c r="D302" s="149" t="s">
        <v>1176</v>
      </c>
      <c r="E302" s="135" t="s">
        <v>1175</v>
      </c>
      <c r="F302" s="384" t="s">
        <v>497</v>
      </c>
      <c r="G302" s="138" t="s">
        <v>4773</v>
      </c>
      <c r="H302" s="138" t="s">
        <v>3336</v>
      </c>
      <c r="I302" s="138" t="s">
        <v>1566</v>
      </c>
      <c r="J302" s="135" t="s">
        <v>4778</v>
      </c>
      <c r="K302" s="164">
        <v>871802964</v>
      </c>
      <c r="L302" s="165">
        <v>599110501</v>
      </c>
      <c r="M302" s="165">
        <v>179428845</v>
      </c>
      <c r="N302" s="165">
        <v>12417820</v>
      </c>
      <c r="O302" s="165">
        <v>151521732</v>
      </c>
      <c r="P302" s="165">
        <v>34949925</v>
      </c>
      <c r="Q302" s="165">
        <v>0</v>
      </c>
      <c r="R302" s="165">
        <v>285.83333333333331</v>
      </c>
      <c r="S302" s="165">
        <v>292153095</v>
      </c>
      <c r="T302" s="165">
        <v>1022109.9533527697</v>
      </c>
      <c r="U302" s="166">
        <v>93263618</v>
      </c>
      <c r="V302" s="168">
        <v>1052363531</v>
      </c>
      <c r="W302" s="165">
        <v>743256668</v>
      </c>
      <c r="X302" s="165">
        <v>194802251</v>
      </c>
      <c r="Y302" s="165">
        <v>11326778</v>
      </c>
      <c r="Z302" s="165">
        <v>148405156.43000001</v>
      </c>
      <c r="AA302" s="165">
        <v>42239109.850000001</v>
      </c>
      <c r="AB302" s="165">
        <v>488182</v>
      </c>
      <c r="AC302" s="165">
        <v>281</v>
      </c>
      <c r="AD302" s="165">
        <v>316763838.28000003</v>
      </c>
      <c r="AE302" s="165">
        <v>1127273.4458362991</v>
      </c>
      <c r="AF302" s="166">
        <v>114304612</v>
      </c>
      <c r="AG302" s="11">
        <v>24610743.280000031</v>
      </c>
      <c r="AH302" s="12">
        <v>-4.8333333333333144</v>
      </c>
      <c r="AI302" s="132">
        <v>0</v>
      </c>
      <c r="AJ302" s="132">
        <v>0</v>
      </c>
      <c r="AK302" s="13">
        <v>0.15</v>
      </c>
      <c r="AL302" s="13">
        <v>0.10288863737213405</v>
      </c>
      <c r="AM302" s="14">
        <v>0</v>
      </c>
      <c r="AN302" s="14">
        <v>-1</v>
      </c>
      <c r="AO302" s="82">
        <v>530105.18483965017</v>
      </c>
      <c r="AP302" s="82">
        <v>528132.22928825626</v>
      </c>
      <c r="AQ302" s="82">
        <v>-1972.9555513939122</v>
      </c>
      <c r="AR302" s="129">
        <v>-3.721819004639082E-3</v>
      </c>
    </row>
    <row r="303" spans="1:44" ht="28.8" x14ac:dyDescent="0.3">
      <c r="A303" s="136" t="s">
        <v>501</v>
      </c>
      <c r="B303" s="137" t="s">
        <v>5089</v>
      </c>
      <c r="C303" s="134">
        <v>2019</v>
      </c>
      <c r="D303" s="149" t="s">
        <v>1176</v>
      </c>
      <c r="E303" s="135" t="s">
        <v>1175</v>
      </c>
      <c r="F303" s="384" t="s">
        <v>497</v>
      </c>
      <c r="G303" s="138" t="s">
        <v>4773</v>
      </c>
      <c r="H303" s="138" t="s">
        <v>1454</v>
      </c>
      <c r="I303" s="138" t="s">
        <v>1217</v>
      </c>
      <c r="J303" s="135" t="s">
        <v>4778</v>
      </c>
      <c r="K303" s="164">
        <v>1011736619</v>
      </c>
      <c r="L303" s="165">
        <v>897331216</v>
      </c>
      <c r="M303" s="165">
        <v>0</v>
      </c>
      <c r="N303" s="165">
        <v>0</v>
      </c>
      <c r="O303" s="165">
        <v>158771568</v>
      </c>
      <c r="P303" s="165">
        <v>40456226</v>
      </c>
      <c r="Q303" s="165">
        <v>189304</v>
      </c>
      <c r="R303" s="165">
        <v>400.08333333333331</v>
      </c>
      <c r="S303" s="165">
        <v>313822501</v>
      </c>
      <c r="T303" s="165">
        <v>784392.83732555725</v>
      </c>
      <c r="U303" s="166">
        <v>114405403</v>
      </c>
      <c r="V303" s="168">
        <v>2056168338</v>
      </c>
      <c r="W303" s="165">
        <v>2336652611</v>
      </c>
      <c r="X303" s="165">
        <v>0</v>
      </c>
      <c r="Y303" s="165">
        <v>0</v>
      </c>
      <c r="Z303" s="165">
        <v>260844523.96000001</v>
      </c>
      <c r="AA303" s="165">
        <v>72589197.310000002</v>
      </c>
      <c r="AB303" s="165">
        <v>41465</v>
      </c>
      <c r="AC303" s="165">
        <v>438.08333333333331</v>
      </c>
      <c r="AD303" s="165">
        <v>52990913.270000011</v>
      </c>
      <c r="AE303" s="165">
        <v>120960.80639908696</v>
      </c>
      <c r="AF303" s="166">
        <v>-280484273</v>
      </c>
      <c r="AG303" s="11">
        <v>-260831587.72999999</v>
      </c>
      <c r="AH303" s="12">
        <v>38</v>
      </c>
      <c r="AI303" s="132">
        <v>0</v>
      </c>
      <c r="AJ303" s="132">
        <v>0</v>
      </c>
      <c r="AK303" s="13">
        <v>0.15</v>
      </c>
      <c r="AL303" s="13">
        <v>-0.8457905225142035</v>
      </c>
      <c r="AM303" s="14">
        <v>0</v>
      </c>
      <c r="AN303" s="14">
        <v>-1</v>
      </c>
      <c r="AO303" s="82">
        <v>396846.24369922932</v>
      </c>
      <c r="AP303" s="82">
        <v>595422.15855430858</v>
      </c>
      <c r="AQ303" s="82">
        <v>198575.91485507926</v>
      </c>
      <c r="AR303" s="129">
        <v>0.5003850181471805</v>
      </c>
    </row>
    <row r="304" spans="1:44" ht="43.2" x14ac:dyDescent="0.3">
      <c r="A304" s="136" t="s">
        <v>502</v>
      </c>
      <c r="B304" s="137" t="s">
        <v>5090</v>
      </c>
      <c r="C304" s="134">
        <v>2019</v>
      </c>
      <c r="D304" s="149" t="s">
        <v>1155</v>
      </c>
      <c r="E304" s="135" t="s">
        <v>1152</v>
      </c>
      <c r="F304" s="384" t="s">
        <v>194</v>
      </c>
      <c r="G304" s="138" t="s">
        <v>4773</v>
      </c>
      <c r="H304" s="138" t="s">
        <v>2975</v>
      </c>
      <c r="I304" s="138" t="s">
        <v>1566</v>
      </c>
      <c r="J304" s="135" t="s">
        <v>4774</v>
      </c>
      <c r="K304" s="164">
        <v>916653966</v>
      </c>
      <c r="L304" s="165">
        <v>672835589</v>
      </c>
      <c r="M304" s="165">
        <v>103487652</v>
      </c>
      <c r="N304" s="165">
        <v>1655756</v>
      </c>
      <c r="O304" s="165">
        <v>59326840</v>
      </c>
      <c r="P304" s="165">
        <v>15784802</v>
      </c>
      <c r="Q304" s="165">
        <v>15161</v>
      </c>
      <c r="R304" s="165">
        <v>137.25</v>
      </c>
      <c r="S304" s="165">
        <v>217113284</v>
      </c>
      <c r="T304" s="165">
        <v>1581881.8506375228</v>
      </c>
      <c r="U304" s="166">
        <v>140330725</v>
      </c>
      <c r="V304" s="168">
        <v>920387445</v>
      </c>
      <c r="W304" s="165">
        <v>736124008</v>
      </c>
      <c r="X304" s="165">
        <v>165275208</v>
      </c>
      <c r="Y304" s="165">
        <v>6017735</v>
      </c>
      <c r="Z304" s="165">
        <v>76320422</v>
      </c>
      <c r="AA304" s="165">
        <v>17771971</v>
      </c>
      <c r="AB304" s="165">
        <v>2357338</v>
      </c>
      <c r="AC304" s="165">
        <v>160.08333333333334</v>
      </c>
      <c r="AD304" s="165">
        <v>121455695</v>
      </c>
      <c r="AE304" s="165">
        <v>758702.93597084843</v>
      </c>
      <c r="AF304" s="166">
        <v>18988229</v>
      </c>
      <c r="AG304" s="11">
        <v>-95657589</v>
      </c>
      <c r="AH304" s="12">
        <v>22.833333333333343</v>
      </c>
      <c r="AI304" s="132">
        <v>0</v>
      </c>
      <c r="AJ304" s="132">
        <v>0</v>
      </c>
      <c r="AK304" s="13">
        <v>0.15</v>
      </c>
      <c r="AL304" s="13">
        <v>-0.5203795150693461</v>
      </c>
      <c r="AM304" s="14">
        <v>0</v>
      </c>
      <c r="AN304" s="14">
        <v>-1</v>
      </c>
      <c r="AO304" s="82">
        <v>432253.84335154825</v>
      </c>
      <c r="AP304" s="82">
        <v>476754.32795419049</v>
      </c>
      <c r="AQ304" s="82">
        <v>44500.484602642246</v>
      </c>
      <c r="AR304" s="129">
        <v>0.10294988763454538</v>
      </c>
    </row>
    <row r="305" spans="1:44" ht="28.8" x14ac:dyDescent="0.3">
      <c r="A305" s="136" t="s">
        <v>503</v>
      </c>
      <c r="B305" s="137" t="s">
        <v>5091</v>
      </c>
      <c r="C305" s="134">
        <v>2019</v>
      </c>
      <c r="D305" s="149" t="s">
        <v>1155</v>
      </c>
      <c r="E305" s="135" t="s">
        <v>1152</v>
      </c>
      <c r="F305" s="384" t="s">
        <v>194</v>
      </c>
      <c r="G305" s="138" t="s">
        <v>4773</v>
      </c>
      <c r="H305" s="138" t="s">
        <v>2717</v>
      </c>
      <c r="I305" s="138" t="s">
        <v>1566</v>
      </c>
      <c r="J305" s="135" t="s">
        <v>4774</v>
      </c>
      <c r="K305" s="164">
        <v>1998719685</v>
      </c>
      <c r="L305" s="165">
        <v>916142719</v>
      </c>
      <c r="M305" s="165">
        <v>1035630276</v>
      </c>
      <c r="N305" s="165">
        <v>1045603</v>
      </c>
      <c r="O305" s="165">
        <v>32124325</v>
      </c>
      <c r="P305" s="165">
        <v>8664076</v>
      </c>
      <c r="Q305" s="165">
        <v>0</v>
      </c>
      <c r="R305" s="165">
        <v>96.75</v>
      </c>
      <c r="S305" s="165">
        <v>88780694</v>
      </c>
      <c r="T305" s="165">
        <v>917629.91214470286</v>
      </c>
      <c r="U305" s="166">
        <v>46946690</v>
      </c>
      <c r="V305" s="168">
        <v>1544097818</v>
      </c>
      <c r="W305" s="165">
        <v>1274623225</v>
      </c>
      <c r="X305" s="165">
        <v>169551693</v>
      </c>
      <c r="Y305" s="165">
        <v>1865393</v>
      </c>
      <c r="Z305" s="165">
        <v>36366613</v>
      </c>
      <c r="AA305" s="165">
        <v>7479909</v>
      </c>
      <c r="AB305" s="165">
        <v>0</v>
      </c>
      <c r="AC305" s="165">
        <v>96.25</v>
      </c>
      <c r="AD305" s="165">
        <v>145634815</v>
      </c>
      <c r="AE305" s="165">
        <v>1513088.987012987</v>
      </c>
      <c r="AF305" s="166">
        <v>99922900</v>
      </c>
      <c r="AG305" s="11">
        <v>56854121</v>
      </c>
      <c r="AH305" s="12">
        <v>-0.5</v>
      </c>
      <c r="AI305" s="132">
        <v>1</v>
      </c>
      <c r="AJ305" s="132">
        <v>1</v>
      </c>
      <c r="AK305" s="13">
        <v>0.15</v>
      </c>
      <c r="AL305" s="13">
        <v>0.64890984209527347</v>
      </c>
      <c r="AM305" s="14">
        <v>1</v>
      </c>
      <c r="AN305" s="14">
        <v>0</v>
      </c>
      <c r="AO305" s="82">
        <v>332034.36692506459</v>
      </c>
      <c r="AP305" s="82">
        <v>377834.94025974028</v>
      </c>
      <c r="AQ305" s="82">
        <v>45800.57333467569</v>
      </c>
      <c r="AR305" s="129">
        <v>0.13793925538139318</v>
      </c>
    </row>
    <row r="306" spans="1:44" ht="28.8" x14ac:dyDescent="0.3">
      <c r="A306" s="136" t="s">
        <v>504</v>
      </c>
      <c r="B306" s="137" t="s">
        <v>5092</v>
      </c>
      <c r="C306" s="134">
        <v>2020</v>
      </c>
      <c r="D306" s="149" t="s">
        <v>1155</v>
      </c>
      <c r="E306" s="135" t="s">
        <v>1152</v>
      </c>
      <c r="F306" s="384" t="s">
        <v>194</v>
      </c>
      <c r="G306" s="138" t="s">
        <v>4773</v>
      </c>
      <c r="H306" s="138" t="s">
        <v>2755</v>
      </c>
      <c r="I306" s="138" t="s">
        <v>1566</v>
      </c>
      <c r="J306" s="135" t="s">
        <v>4774</v>
      </c>
      <c r="K306" s="164">
        <v>766568015</v>
      </c>
      <c r="L306" s="165">
        <v>650294660</v>
      </c>
      <c r="M306" s="165">
        <v>97131990</v>
      </c>
      <c r="N306" s="165">
        <v>4925489</v>
      </c>
      <c r="O306" s="165">
        <v>41921209</v>
      </c>
      <c r="P306" s="165">
        <v>8920284</v>
      </c>
      <c r="Q306" s="165">
        <v>0</v>
      </c>
      <c r="R306" s="165">
        <v>103</v>
      </c>
      <c r="S306" s="165">
        <v>74908347</v>
      </c>
      <c r="T306" s="165">
        <v>727265.50485436898</v>
      </c>
      <c r="U306" s="166">
        <v>19141365</v>
      </c>
      <c r="V306" s="168">
        <v>946138691</v>
      </c>
      <c r="W306" s="165">
        <v>788450812</v>
      </c>
      <c r="X306" s="165">
        <v>146821505</v>
      </c>
      <c r="Y306" s="165">
        <v>27354438</v>
      </c>
      <c r="Z306" s="165">
        <v>42786888</v>
      </c>
      <c r="AA306" s="165">
        <v>8919691</v>
      </c>
      <c r="AB306" s="165">
        <v>2627284</v>
      </c>
      <c r="AC306" s="165">
        <v>118.16666666666667</v>
      </c>
      <c r="AD306" s="165">
        <v>92554675</v>
      </c>
      <c r="AE306" s="165">
        <v>783255.35966149508</v>
      </c>
      <c r="AF306" s="166">
        <v>10866374</v>
      </c>
      <c r="AG306" s="11">
        <v>17646328</v>
      </c>
      <c r="AH306" s="12">
        <v>15.166666666666671</v>
      </c>
      <c r="AI306" s="132">
        <v>0</v>
      </c>
      <c r="AJ306" s="132">
        <v>1</v>
      </c>
      <c r="AK306" s="13">
        <v>0.1</v>
      </c>
      <c r="AL306" s="13">
        <v>7.6986822556549095E-2</v>
      </c>
      <c r="AM306" s="14">
        <v>0</v>
      </c>
      <c r="AN306" s="14">
        <v>-1</v>
      </c>
      <c r="AO306" s="82">
        <v>407002.02912621357</v>
      </c>
      <c r="AP306" s="82">
        <v>362089.32016925246</v>
      </c>
      <c r="AQ306" s="82">
        <v>-44912.708956961113</v>
      </c>
      <c r="AR306" s="129">
        <v>-0.1103500861000215</v>
      </c>
    </row>
    <row r="307" spans="1:44" ht="28.8" x14ac:dyDescent="0.3">
      <c r="A307" s="136" t="s">
        <v>505</v>
      </c>
      <c r="B307" s="137" t="s">
        <v>1126</v>
      </c>
      <c r="C307" s="134">
        <v>2020</v>
      </c>
      <c r="D307" s="149" t="s">
        <v>1125</v>
      </c>
      <c r="E307" s="135" t="s">
        <v>1117</v>
      </c>
      <c r="F307" s="384" t="s">
        <v>251</v>
      </c>
      <c r="G307" s="138" t="s">
        <v>4787</v>
      </c>
      <c r="H307" s="138" t="s">
        <v>3367</v>
      </c>
      <c r="I307" s="138" t="s">
        <v>1566</v>
      </c>
      <c r="J307" s="135" t="s">
        <v>4778</v>
      </c>
      <c r="K307" s="164">
        <v>7573140805</v>
      </c>
      <c r="L307" s="165">
        <v>3779822573</v>
      </c>
      <c r="M307" s="165">
        <v>3951870260</v>
      </c>
      <c r="N307" s="165">
        <v>51290039</v>
      </c>
      <c r="O307" s="165">
        <v>776736323.64999998</v>
      </c>
      <c r="P307" s="165">
        <v>216143737.69</v>
      </c>
      <c r="Q307" s="165">
        <v>20370178</v>
      </c>
      <c r="R307" s="165">
        <v>1494.6666666666667</v>
      </c>
      <c r="S307" s="165">
        <v>905988250.33999991</v>
      </c>
      <c r="T307" s="165">
        <v>606147.35749776976</v>
      </c>
      <c r="U307" s="166">
        <v>-158552028</v>
      </c>
      <c r="V307" s="168">
        <v>3884425973</v>
      </c>
      <c r="W307" s="165">
        <v>2346985582</v>
      </c>
      <c r="X307" s="165">
        <v>1749288089</v>
      </c>
      <c r="Y307" s="165">
        <v>46889192</v>
      </c>
      <c r="Z307" s="165">
        <v>701056939.85000002</v>
      </c>
      <c r="AA307" s="165">
        <v>223398505.31999999</v>
      </c>
      <c r="AB307" s="165">
        <v>23946907</v>
      </c>
      <c r="AC307" s="165">
        <v>1456.9166666666667</v>
      </c>
      <c r="AD307" s="165">
        <v>783443846.17000008</v>
      </c>
      <c r="AE307" s="165">
        <v>537741.01435909176</v>
      </c>
      <c r="AF307" s="166">
        <v>-211847698</v>
      </c>
      <c r="AG307" s="11">
        <v>-122544404.16999984</v>
      </c>
      <c r="AH307" s="12">
        <v>-37.75</v>
      </c>
      <c r="AI307" s="132">
        <v>0</v>
      </c>
      <c r="AJ307" s="132">
        <v>0</v>
      </c>
      <c r="AK307" s="13">
        <v>0.1</v>
      </c>
      <c r="AL307" s="13">
        <v>-0.11285432308077692</v>
      </c>
      <c r="AM307" s="14">
        <v>0</v>
      </c>
      <c r="AN307" s="14">
        <v>-1</v>
      </c>
      <c r="AO307" s="82">
        <v>519671.93821364851</v>
      </c>
      <c r="AP307" s="82">
        <v>481192.20260824799</v>
      </c>
      <c r="AQ307" s="82">
        <v>-38479.735605400521</v>
      </c>
      <c r="AR307" s="129">
        <v>-7.4046206415672722E-2</v>
      </c>
    </row>
    <row r="308" spans="1:44" ht="43.2" x14ac:dyDescent="0.3">
      <c r="A308" s="136" t="s">
        <v>506</v>
      </c>
      <c r="B308" s="137" t="s">
        <v>1129</v>
      </c>
      <c r="C308" s="134">
        <v>2020</v>
      </c>
      <c r="D308" s="149" t="s">
        <v>1128</v>
      </c>
      <c r="E308" s="135" t="s">
        <v>1117</v>
      </c>
      <c r="F308" s="384" t="s">
        <v>220</v>
      </c>
      <c r="G308" s="138" t="s">
        <v>4787</v>
      </c>
      <c r="H308" s="138" t="s">
        <v>2843</v>
      </c>
      <c r="I308" s="138" t="s">
        <v>1566</v>
      </c>
      <c r="J308" s="135" t="s">
        <v>4774</v>
      </c>
      <c r="K308" s="164">
        <v>1020231393</v>
      </c>
      <c r="L308" s="165">
        <v>664140696</v>
      </c>
      <c r="M308" s="165">
        <v>85649255</v>
      </c>
      <c r="N308" s="165">
        <v>11709365</v>
      </c>
      <c r="O308" s="165">
        <v>176211257.71000001</v>
      </c>
      <c r="P308" s="165">
        <v>52059467</v>
      </c>
      <c r="Q308" s="165">
        <v>659605</v>
      </c>
      <c r="R308" s="165">
        <v>393.75</v>
      </c>
      <c r="S308" s="165">
        <v>511081136.71000004</v>
      </c>
      <c r="T308" s="165">
        <v>1297983.8392634923</v>
      </c>
      <c r="U308" s="166">
        <v>270441442</v>
      </c>
      <c r="V308" s="168">
        <v>1115183385</v>
      </c>
      <c r="W308" s="165">
        <v>972831118</v>
      </c>
      <c r="X308" s="165">
        <v>96891933</v>
      </c>
      <c r="Y308" s="165">
        <v>12499069</v>
      </c>
      <c r="Z308" s="165">
        <v>206073836.10999998</v>
      </c>
      <c r="AA308" s="165">
        <v>61192415.729999997</v>
      </c>
      <c r="AB308" s="165">
        <v>622430</v>
      </c>
      <c r="AC308" s="165">
        <v>411.25</v>
      </c>
      <c r="AD308" s="165">
        <v>325848084.83999997</v>
      </c>
      <c r="AE308" s="165">
        <v>792335.76860790269</v>
      </c>
      <c r="AF308" s="166">
        <v>45460334</v>
      </c>
      <c r="AG308" s="11">
        <v>-185233051.87000006</v>
      </c>
      <c r="AH308" s="12">
        <v>17.5</v>
      </c>
      <c r="AI308" s="132">
        <v>0</v>
      </c>
      <c r="AJ308" s="132">
        <v>0</v>
      </c>
      <c r="AK308" s="13">
        <v>0.1</v>
      </c>
      <c r="AL308" s="13">
        <v>-0.38956422600762119</v>
      </c>
      <c r="AM308" s="14">
        <v>0</v>
      </c>
      <c r="AN308" s="14">
        <v>-1</v>
      </c>
      <c r="AO308" s="82">
        <v>447520.65450158733</v>
      </c>
      <c r="AP308" s="82">
        <v>501091.39479635254</v>
      </c>
      <c r="AQ308" s="82">
        <v>53570.740294765215</v>
      </c>
      <c r="AR308" s="129">
        <v>0.11970562644628768</v>
      </c>
    </row>
    <row r="309" spans="1:44" ht="28.8" x14ac:dyDescent="0.3">
      <c r="A309" s="136" t="s">
        <v>507</v>
      </c>
      <c r="B309" s="137" t="s">
        <v>5093</v>
      </c>
      <c r="C309" s="134">
        <v>2020</v>
      </c>
      <c r="D309" s="149" t="s">
        <v>1163</v>
      </c>
      <c r="E309" s="135" t="s">
        <v>1152</v>
      </c>
      <c r="F309" s="384" t="s">
        <v>124</v>
      </c>
      <c r="G309" s="138" t="s">
        <v>4773</v>
      </c>
      <c r="H309" s="138" t="s">
        <v>2524</v>
      </c>
      <c r="I309" s="138" t="s">
        <v>1566</v>
      </c>
      <c r="J309" s="135" t="s">
        <v>4798</v>
      </c>
      <c r="K309" s="164">
        <v>434948010</v>
      </c>
      <c r="L309" s="165">
        <v>312245703</v>
      </c>
      <c r="M309" s="165">
        <v>129387486</v>
      </c>
      <c r="N309" s="165">
        <v>8983359</v>
      </c>
      <c r="O309" s="165">
        <v>32544803</v>
      </c>
      <c r="P309" s="165">
        <v>8632602</v>
      </c>
      <c r="Q309" s="165">
        <v>1815877</v>
      </c>
      <c r="R309" s="165">
        <v>179.16666666666666</v>
      </c>
      <c r="S309" s="165">
        <v>45291462</v>
      </c>
      <c r="T309" s="165">
        <v>252789.55534883722</v>
      </c>
      <c r="U309" s="166">
        <v>-6685179</v>
      </c>
      <c r="V309" s="168">
        <v>360283648</v>
      </c>
      <c r="W309" s="165">
        <v>164117293</v>
      </c>
      <c r="X309" s="165">
        <v>188381757</v>
      </c>
      <c r="Y309" s="165">
        <v>6468451</v>
      </c>
      <c r="Z309" s="165">
        <v>36635420</v>
      </c>
      <c r="AA309" s="165">
        <v>9537838.2699999996</v>
      </c>
      <c r="AB309" s="165">
        <v>2075507</v>
      </c>
      <c r="AC309" s="165">
        <v>178.66666666666666</v>
      </c>
      <c r="AD309" s="165">
        <v>62501814.269999996</v>
      </c>
      <c r="AE309" s="165">
        <v>349823.58733208955</v>
      </c>
      <c r="AF309" s="166">
        <v>7784598</v>
      </c>
      <c r="AG309" s="11">
        <v>17210352.269999996</v>
      </c>
      <c r="AH309" s="12">
        <v>-0.5</v>
      </c>
      <c r="AI309" s="132">
        <v>1</v>
      </c>
      <c r="AJ309" s="132">
        <v>1</v>
      </c>
      <c r="AK309" s="13">
        <v>0.1</v>
      </c>
      <c r="AL309" s="13">
        <v>0.3838529961443029</v>
      </c>
      <c r="AM309" s="14">
        <v>1</v>
      </c>
      <c r="AN309" s="14">
        <v>0</v>
      </c>
      <c r="AO309" s="82">
        <v>181645.41209302327</v>
      </c>
      <c r="AP309" s="82">
        <v>205048.99253731343</v>
      </c>
      <c r="AQ309" s="82">
        <v>23403.580444290157</v>
      </c>
      <c r="AR309" s="129">
        <v>0.12884212254314931</v>
      </c>
    </row>
    <row r="310" spans="1:44" ht="28.8" x14ac:dyDescent="0.3">
      <c r="A310" s="136" t="s">
        <v>508</v>
      </c>
      <c r="B310" s="137" t="s">
        <v>5094</v>
      </c>
      <c r="C310" s="134">
        <v>2020</v>
      </c>
      <c r="D310" s="149" t="s">
        <v>1163</v>
      </c>
      <c r="E310" s="135" t="s">
        <v>1152</v>
      </c>
      <c r="F310" s="384" t="s">
        <v>124</v>
      </c>
      <c r="G310" s="138" t="s">
        <v>4773</v>
      </c>
      <c r="H310" s="138" t="s">
        <v>3564</v>
      </c>
      <c r="I310" s="138" t="s">
        <v>3557</v>
      </c>
      <c r="J310" s="135" t="s">
        <v>4774</v>
      </c>
      <c r="K310" s="164">
        <v>856866640</v>
      </c>
      <c r="L310" s="165">
        <v>792557983</v>
      </c>
      <c r="M310" s="165">
        <v>48195864</v>
      </c>
      <c r="N310" s="165">
        <v>957512</v>
      </c>
      <c r="O310" s="165">
        <v>10162140</v>
      </c>
      <c r="P310" s="165">
        <v>2874644</v>
      </c>
      <c r="Q310" s="165">
        <v>0</v>
      </c>
      <c r="R310" s="165">
        <v>65.333333333333329</v>
      </c>
      <c r="S310" s="165">
        <v>30107089</v>
      </c>
      <c r="T310" s="165">
        <v>460822.79081632657</v>
      </c>
      <c r="U310" s="166">
        <v>16112793</v>
      </c>
      <c r="V310" s="168">
        <v>1492830581</v>
      </c>
      <c r="W310" s="165">
        <v>1435984794</v>
      </c>
      <c r="X310" s="165">
        <v>40669940</v>
      </c>
      <c r="Y310" s="165">
        <v>1114681</v>
      </c>
      <c r="Z310" s="165">
        <v>12597783</v>
      </c>
      <c r="AA310" s="165">
        <v>3399816</v>
      </c>
      <c r="AB310" s="165">
        <v>0</v>
      </c>
      <c r="AC310" s="165">
        <v>72.666666666666671</v>
      </c>
      <c r="AD310" s="165">
        <v>33288127</v>
      </c>
      <c r="AE310" s="165">
        <v>458093.49082568806</v>
      </c>
      <c r="AF310" s="166">
        <v>16175847</v>
      </c>
      <c r="AG310" s="11">
        <v>3181038</v>
      </c>
      <c r="AH310" s="12">
        <v>7.3333333333333428</v>
      </c>
      <c r="AI310" s="132">
        <v>0</v>
      </c>
      <c r="AJ310" s="132">
        <v>0</v>
      </c>
      <c r="AK310" s="13">
        <v>0.1</v>
      </c>
      <c r="AL310" s="13">
        <v>-5.9226671493395333E-3</v>
      </c>
      <c r="AM310" s="14">
        <v>0</v>
      </c>
      <c r="AN310" s="14">
        <v>-1</v>
      </c>
      <c r="AO310" s="82">
        <v>155542.95918367349</v>
      </c>
      <c r="AP310" s="82">
        <v>173363.98623853209</v>
      </c>
      <c r="AQ310" s="82">
        <v>17821.027054858598</v>
      </c>
      <c r="AR310" s="129">
        <v>0.11457302309527595</v>
      </c>
    </row>
    <row r="311" spans="1:44" ht="28.8" x14ac:dyDescent="0.3">
      <c r="A311" s="136" t="s">
        <v>509</v>
      </c>
      <c r="B311" s="137" t="s">
        <v>5095</v>
      </c>
      <c r="C311" s="134">
        <v>2020</v>
      </c>
      <c r="D311" s="149" t="s">
        <v>1163</v>
      </c>
      <c r="E311" s="135" t="s">
        <v>1152</v>
      </c>
      <c r="F311" s="384" t="s">
        <v>124</v>
      </c>
      <c r="G311" s="138" t="s">
        <v>4773</v>
      </c>
      <c r="H311" s="138" t="s">
        <v>2463</v>
      </c>
      <c r="I311" s="138" t="s">
        <v>1566</v>
      </c>
      <c r="J311" s="135" t="s">
        <v>4774</v>
      </c>
      <c r="K311" s="164">
        <v>1519115266</v>
      </c>
      <c r="L311" s="165">
        <v>1138565857</v>
      </c>
      <c r="M311" s="165">
        <v>257952948</v>
      </c>
      <c r="N311" s="165">
        <v>14717689</v>
      </c>
      <c r="O311" s="165">
        <v>142331880</v>
      </c>
      <c r="P311" s="165">
        <v>60563162</v>
      </c>
      <c r="Q311" s="165">
        <v>248491</v>
      </c>
      <c r="R311" s="165">
        <v>429.5</v>
      </c>
      <c r="S311" s="165">
        <v>340457683</v>
      </c>
      <c r="T311" s="165">
        <v>792683.77881257271</v>
      </c>
      <c r="U311" s="166">
        <v>122596461</v>
      </c>
      <c r="V311" s="168">
        <v>2263628481</v>
      </c>
      <c r="W311" s="165">
        <v>1639577928</v>
      </c>
      <c r="X311" s="165">
        <v>332084605</v>
      </c>
      <c r="Y311" s="165">
        <v>10559603</v>
      </c>
      <c r="Z311" s="165">
        <v>253354370</v>
      </c>
      <c r="AA311" s="165">
        <v>74132918</v>
      </c>
      <c r="AB311" s="165">
        <v>238903</v>
      </c>
      <c r="AC311" s="165">
        <v>464.75</v>
      </c>
      <c r="AD311" s="165">
        <v>630251742</v>
      </c>
      <c r="AE311" s="165">
        <v>1356109.1812802581</v>
      </c>
      <c r="AF311" s="166">
        <v>291965948</v>
      </c>
      <c r="AG311" s="11">
        <v>289794059</v>
      </c>
      <c r="AH311" s="12">
        <v>35.25</v>
      </c>
      <c r="AI311" s="132">
        <v>1</v>
      </c>
      <c r="AJ311" s="132">
        <v>1</v>
      </c>
      <c r="AK311" s="13">
        <v>0.1</v>
      </c>
      <c r="AL311" s="13">
        <v>0.71078204728750705</v>
      </c>
      <c r="AM311" s="14">
        <v>1</v>
      </c>
      <c r="AN311" s="14">
        <v>0</v>
      </c>
      <c r="AO311" s="82">
        <v>331389.70896391151</v>
      </c>
      <c r="AP311" s="82">
        <v>545141.19419042498</v>
      </c>
      <c r="AQ311" s="82">
        <v>213751.48522651347</v>
      </c>
      <c r="AR311" s="129">
        <v>0.64501545897368562</v>
      </c>
    </row>
    <row r="312" spans="1:44" ht="28.8" x14ac:dyDescent="0.3">
      <c r="A312" s="136" t="s">
        <v>510</v>
      </c>
      <c r="B312" s="137" t="s">
        <v>5096</v>
      </c>
      <c r="C312" s="134">
        <v>2020</v>
      </c>
      <c r="D312" s="149" t="s">
        <v>1163</v>
      </c>
      <c r="E312" s="135" t="s">
        <v>1152</v>
      </c>
      <c r="F312" s="384" t="s">
        <v>124</v>
      </c>
      <c r="G312" s="138" t="s">
        <v>4773</v>
      </c>
      <c r="H312" s="138" t="s">
        <v>1599</v>
      </c>
      <c r="I312" s="138" t="s">
        <v>1566</v>
      </c>
      <c r="J312" s="135" t="s">
        <v>4774</v>
      </c>
      <c r="K312" s="164">
        <v>2409945341</v>
      </c>
      <c r="L312" s="165">
        <v>122073718</v>
      </c>
      <c r="M312" s="165">
        <v>2181732900</v>
      </c>
      <c r="N312" s="165">
        <v>8612461</v>
      </c>
      <c r="O312" s="165">
        <v>185414196</v>
      </c>
      <c r="P312" s="165">
        <v>53077549</v>
      </c>
      <c r="Q312" s="165">
        <v>48417</v>
      </c>
      <c r="R312" s="165">
        <v>690</v>
      </c>
      <c r="S312" s="165">
        <v>353291346</v>
      </c>
      <c r="T312" s="165">
        <v>512016.44347826089</v>
      </c>
      <c r="U312" s="166">
        <v>106138723</v>
      </c>
      <c r="V312" s="168">
        <v>2283033500</v>
      </c>
      <c r="W312" s="165">
        <v>72528808</v>
      </c>
      <c r="X312" s="165">
        <v>2115118810</v>
      </c>
      <c r="Y312" s="165">
        <v>17688337</v>
      </c>
      <c r="Z312" s="165">
        <v>139880585</v>
      </c>
      <c r="AA312" s="165">
        <v>42073454</v>
      </c>
      <c r="AB312" s="165">
        <v>180031</v>
      </c>
      <c r="AC312" s="165">
        <v>619.25</v>
      </c>
      <c r="AD312" s="165">
        <v>295208289</v>
      </c>
      <c r="AE312" s="165">
        <v>476719.07791683485</v>
      </c>
      <c r="AF312" s="166">
        <v>95385882</v>
      </c>
      <c r="AG312" s="11">
        <v>-58083057</v>
      </c>
      <c r="AH312" s="12">
        <v>-70.75</v>
      </c>
      <c r="AI312" s="132">
        <v>0</v>
      </c>
      <c r="AJ312" s="132">
        <v>0</v>
      </c>
      <c r="AK312" s="13">
        <v>0.1</v>
      </c>
      <c r="AL312" s="13">
        <v>-6.8937942695746268E-2</v>
      </c>
      <c r="AM312" s="14">
        <v>0</v>
      </c>
      <c r="AN312" s="14">
        <v>-1</v>
      </c>
      <c r="AO312" s="82">
        <v>268716.22608695651</v>
      </c>
      <c r="AP312" s="82">
        <v>225887.09729511506</v>
      </c>
      <c r="AQ312" s="82">
        <v>-42829.128791841445</v>
      </c>
      <c r="AR312" s="129">
        <v>-0.15938423003150526</v>
      </c>
    </row>
    <row r="313" spans="1:44" ht="28.8" x14ac:dyDescent="0.3">
      <c r="A313" s="136" t="s">
        <v>511</v>
      </c>
      <c r="B313" s="137" t="s">
        <v>5097</v>
      </c>
      <c r="C313" s="134">
        <v>2019</v>
      </c>
      <c r="D313" s="149" t="s">
        <v>4772</v>
      </c>
      <c r="E313" s="135" t="s">
        <v>1152</v>
      </c>
      <c r="F313" s="384" t="s">
        <v>124</v>
      </c>
      <c r="G313" s="138" t="s">
        <v>4773</v>
      </c>
      <c r="H313" s="138" t="s">
        <v>2717</v>
      </c>
      <c r="I313" s="138" t="s">
        <v>1566</v>
      </c>
      <c r="J313" s="135" t="s">
        <v>4774</v>
      </c>
      <c r="K313" s="164">
        <v>1389736470</v>
      </c>
      <c r="L313" s="165">
        <v>1193554470</v>
      </c>
      <c r="M313" s="165">
        <v>128183930</v>
      </c>
      <c r="N313" s="165">
        <v>10980666</v>
      </c>
      <c r="O313" s="165">
        <v>115791683</v>
      </c>
      <c r="P313" s="165">
        <v>30126768</v>
      </c>
      <c r="Q313" s="165">
        <v>921888</v>
      </c>
      <c r="R313" s="165">
        <v>208.41666666666666</v>
      </c>
      <c r="S313" s="165">
        <v>225819075</v>
      </c>
      <c r="T313" s="165">
        <v>1083498.1607357059</v>
      </c>
      <c r="U313" s="166">
        <v>67998070</v>
      </c>
      <c r="V313" s="168">
        <v>2362081665</v>
      </c>
      <c r="W313" s="165">
        <v>2087698969</v>
      </c>
      <c r="X313" s="165">
        <v>164514986</v>
      </c>
      <c r="Y313" s="165">
        <v>17769365</v>
      </c>
      <c r="Z313" s="165">
        <v>143040933</v>
      </c>
      <c r="AA313" s="165">
        <v>25979746</v>
      </c>
      <c r="AB313" s="165">
        <v>1076248</v>
      </c>
      <c r="AC313" s="165">
        <v>374.16666666666669</v>
      </c>
      <c r="AD313" s="165">
        <v>297734002</v>
      </c>
      <c r="AE313" s="165">
        <v>795725.61781737185</v>
      </c>
      <c r="AF313" s="166">
        <v>109867710</v>
      </c>
      <c r="AG313" s="11">
        <v>71914927</v>
      </c>
      <c r="AH313" s="12">
        <v>165.75000000000003</v>
      </c>
      <c r="AI313" s="132">
        <v>0</v>
      </c>
      <c r="AJ313" s="132">
        <v>0</v>
      </c>
      <c r="AK313" s="13">
        <v>0.15</v>
      </c>
      <c r="AL313" s="13">
        <v>-0.26559578098406733</v>
      </c>
      <c r="AM313" s="14">
        <v>0</v>
      </c>
      <c r="AN313" s="14">
        <v>-1</v>
      </c>
      <c r="AO313" s="82">
        <v>555577.84726109554</v>
      </c>
      <c r="AP313" s="82">
        <v>382292.02583518927</v>
      </c>
      <c r="AQ313" s="82">
        <v>-173285.82142590627</v>
      </c>
      <c r="AR313" s="129">
        <v>-0.31190196347852228</v>
      </c>
    </row>
    <row r="314" spans="1:44" ht="28.8" x14ac:dyDescent="0.3">
      <c r="A314" s="136" t="s">
        <v>512</v>
      </c>
      <c r="B314" s="137" t="s">
        <v>5098</v>
      </c>
      <c r="C314" s="134">
        <v>2018</v>
      </c>
      <c r="D314" s="149" t="s">
        <v>4772</v>
      </c>
      <c r="E314" s="135" t="s">
        <v>1152</v>
      </c>
      <c r="F314" s="384" t="s">
        <v>124</v>
      </c>
      <c r="G314" s="138" t="s">
        <v>4773</v>
      </c>
      <c r="H314" s="138" t="s">
        <v>3539</v>
      </c>
      <c r="I314" s="138" t="s">
        <v>1566</v>
      </c>
      <c r="J314" s="135" t="s">
        <v>4798</v>
      </c>
      <c r="K314" s="164">
        <v>2400994389</v>
      </c>
      <c r="L314" s="165">
        <v>1513680453</v>
      </c>
      <c r="M314" s="165">
        <v>819896206</v>
      </c>
      <c r="N314" s="165">
        <v>23228003</v>
      </c>
      <c r="O314" s="165">
        <v>911254546</v>
      </c>
      <c r="P314" s="165">
        <v>230728312</v>
      </c>
      <c r="Q314" s="165">
        <v>2677852</v>
      </c>
      <c r="R314" s="165">
        <v>1589.8333333333333</v>
      </c>
      <c r="S314" s="165">
        <v>1235306443</v>
      </c>
      <c r="T314" s="165">
        <v>777003.73812768643</v>
      </c>
      <c r="U314" s="166">
        <v>67417730</v>
      </c>
      <c r="V314" s="168">
        <v>4361606906</v>
      </c>
      <c r="W314" s="165">
        <v>3183297141</v>
      </c>
      <c r="X314" s="165">
        <v>928782672</v>
      </c>
      <c r="Y314" s="165">
        <v>22660544</v>
      </c>
      <c r="Z314" s="165">
        <v>1315435401</v>
      </c>
      <c r="AA314" s="165">
        <v>385589694</v>
      </c>
      <c r="AB314" s="165">
        <v>35188057</v>
      </c>
      <c r="AC314" s="165">
        <v>1920.1666666666667</v>
      </c>
      <c r="AD314" s="165">
        <v>2008400789</v>
      </c>
      <c r="AE314" s="165">
        <v>1045951.2832219425</v>
      </c>
      <c r="AF314" s="166">
        <v>249527093</v>
      </c>
      <c r="AG314" s="11">
        <v>773094346</v>
      </c>
      <c r="AH314" s="12">
        <v>330.33333333333348</v>
      </c>
      <c r="AI314" s="132">
        <v>1</v>
      </c>
      <c r="AJ314" s="132">
        <v>1</v>
      </c>
      <c r="AK314" s="13">
        <v>0.3</v>
      </c>
      <c r="AL314" s="13">
        <v>0.34613416403890152</v>
      </c>
      <c r="AM314" s="14">
        <v>1</v>
      </c>
      <c r="AN314" s="14">
        <v>0</v>
      </c>
      <c r="AO314" s="82">
        <v>573176.14802390186</v>
      </c>
      <c r="AP314" s="82">
        <v>685063.13740126719</v>
      </c>
      <c r="AQ314" s="82">
        <v>111886.98937736533</v>
      </c>
      <c r="AR314" s="129">
        <v>0.19520524321032906</v>
      </c>
    </row>
    <row r="315" spans="1:44" ht="28.8" x14ac:dyDescent="0.3">
      <c r="A315" s="136" t="s">
        <v>513</v>
      </c>
      <c r="B315" s="137" t="s">
        <v>5099</v>
      </c>
      <c r="C315" s="134">
        <v>2019</v>
      </c>
      <c r="D315" s="149" t="s">
        <v>4772</v>
      </c>
      <c r="E315" s="135" t="s">
        <v>1152</v>
      </c>
      <c r="F315" s="384" t="s">
        <v>124</v>
      </c>
      <c r="G315" s="138" t="s">
        <v>4773</v>
      </c>
      <c r="H315" s="138" t="s">
        <v>3564</v>
      </c>
      <c r="I315" s="138" t="s">
        <v>3557</v>
      </c>
      <c r="J315" s="135" t="s">
        <v>4778</v>
      </c>
      <c r="K315" s="164">
        <v>652742897</v>
      </c>
      <c r="L315" s="165">
        <v>129507909</v>
      </c>
      <c r="M315" s="165">
        <v>112751601</v>
      </c>
      <c r="N315" s="165">
        <v>3283850</v>
      </c>
      <c r="O315" s="165">
        <v>74324947</v>
      </c>
      <c r="P315" s="165">
        <v>17391470</v>
      </c>
      <c r="Q315" s="165">
        <v>2394998</v>
      </c>
      <c r="R315" s="165">
        <v>61.25</v>
      </c>
      <c r="S315" s="165">
        <v>507878652</v>
      </c>
      <c r="T315" s="165">
        <v>8291896.3591836737</v>
      </c>
      <c r="U315" s="166">
        <v>410483387</v>
      </c>
      <c r="V315" s="168">
        <v>811964819</v>
      </c>
      <c r="W315" s="165">
        <v>603413514</v>
      </c>
      <c r="X315" s="165">
        <v>148839738</v>
      </c>
      <c r="Y315" s="165">
        <v>5488332</v>
      </c>
      <c r="Z315" s="165">
        <v>96392144</v>
      </c>
      <c r="AA315" s="165">
        <v>15828424</v>
      </c>
      <c r="AB315" s="165">
        <v>991454</v>
      </c>
      <c r="AC315" s="165">
        <v>79</v>
      </c>
      <c r="AD315" s="165">
        <v>178411921</v>
      </c>
      <c r="AE315" s="165">
        <v>2258378.7468354432</v>
      </c>
      <c r="AF315" s="166">
        <v>59711567</v>
      </c>
      <c r="AG315" s="11">
        <v>-329466731</v>
      </c>
      <c r="AH315" s="12">
        <v>17.75</v>
      </c>
      <c r="AI315" s="132">
        <v>0</v>
      </c>
      <c r="AJ315" s="132">
        <v>0</v>
      </c>
      <c r="AK315" s="13">
        <v>0.15</v>
      </c>
      <c r="AL315" s="13">
        <v>-0.72764025839801982</v>
      </c>
      <c r="AM315" s="14">
        <v>0</v>
      </c>
      <c r="AN315" s="14">
        <v>-1</v>
      </c>
      <c r="AO315" s="82">
        <v>1213468.5224489796</v>
      </c>
      <c r="AP315" s="82">
        <v>1220153.7215189873</v>
      </c>
      <c r="AQ315" s="82">
        <v>6685.1990700077731</v>
      </c>
      <c r="AR315" s="129">
        <v>5.5091656242685083E-3</v>
      </c>
    </row>
    <row r="316" spans="1:44" ht="28.8" x14ac:dyDescent="0.3">
      <c r="A316" s="136" t="s">
        <v>514</v>
      </c>
      <c r="B316" s="137" t="s">
        <v>5100</v>
      </c>
      <c r="C316" s="134">
        <v>2018</v>
      </c>
      <c r="D316" s="149" t="s">
        <v>4772</v>
      </c>
      <c r="E316" s="135" t="s">
        <v>1152</v>
      </c>
      <c r="F316" s="384" t="s">
        <v>124</v>
      </c>
      <c r="G316" s="138" t="s">
        <v>4773</v>
      </c>
      <c r="H316" s="138" t="s">
        <v>1700</v>
      </c>
      <c r="I316" s="138" t="s">
        <v>1566</v>
      </c>
      <c r="J316" s="135" t="s">
        <v>4774</v>
      </c>
      <c r="K316" s="164">
        <v>1768456000</v>
      </c>
      <c r="L316" s="165">
        <v>1453146520</v>
      </c>
      <c r="M316" s="165">
        <v>238733650</v>
      </c>
      <c r="N316" s="165">
        <v>0</v>
      </c>
      <c r="O316" s="165">
        <v>69421300</v>
      </c>
      <c r="P316" s="165">
        <v>18428513.890000001</v>
      </c>
      <c r="Q316" s="165">
        <v>0</v>
      </c>
      <c r="R316" s="165">
        <v>292.33333333333337</v>
      </c>
      <c r="S316" s="165">
        <v>164425643.88999999</v>
      </c>
      <c r="T316" s="165">
        <v>562459.44318129972</v>
      </c>
      <c r="U316" s="166">
        <v>76575830</v>
      </c>
      <c r="V316" s="168">
        <v>3530665072</v>
      </c>
      <c r="W316" s="165">
        <v>2997070162</v>
      </c>
      <c r="X316" s="165">
        <v>292190276</v>
      </c>
      <c r="Y316" s="165">
        <v>86294064</v>
      </c>
      <c r="Z316" s="165">
        <v>105962502</v>
      </c>
      <c r="AA316" s="165">
        <v>33336680</v>
      </c>
      <c r="AB316" s="165">
        <v>0</v>
      </c>
      <c r="AC316" s="165">
        <v>399.25</v>
      </c>
      <c r="AD316" s="165">
        <v>466997880</v>
      </c>
      <c r="AE316" s="165">
        <v>1169687.8647463995</v>
      </c>
      <c r="AF316" s="166">
        <v>241404634</v>
      </c>
      <c r="AG316" s="11">
        <v>302572236.11000001</v>
      </c>
      <c r="AH316" s="12">
        <v>106.91666666666663</v>
      </c>
      <c r="AI316" s="132">
        <v>1</v>
      </c>
      <c r="AJ316" s="132">
        <v>0</v>
      </c>
      <c r="AK316" s="13">
        <v>0.3</v>
      </c>
      <c r="AL316" s="13">
        <v>1.0795950371105874</v>
      </c>
      <c r="AM316" s="14">
        <v>1</v>
      </c>
      <c r="AN316" s="14">
        <v>0</v>
      </c>
      <c r="AO316" s="82">
        <v>237473.09007981754</v>
      </c>
      <c r="AP316" s="82">
        <v>265403.88728866627</v>
      </c>
      <c r="AQ316" s="82">
        <v>27930.797208848729</v>
      </c>
      <c r="AR316" s="129">
        <v>0.11761668321855279</v>
      </c>
    </row>
    <row r="317" spans="1:44" ht="28.8" x14ac:dyDescent="0.3">
      <c r="A317" s="136" t="s">
        <v>515</v>
      </c>
      <c r="B317" s="137" t="s">
        <v>5101</v>
      </c>
      <c r="C317" s="134">
        <v>2018</v>
      </c>
      <c r="D317" s="149" t="s">
        <v>4772</v>
      </c>
      <c r="E317" s="135" t="s">
        <v>1152</v>
      </c>
      <c r="F317" s="384" t="s">
        <v>124</v>
      </c>
      <c r="G317" s="138" t="s">
        <v>4773</v>
      </c>
      <c r="H317" s="138" t="s">
        <v>2717</v>
      </c>
      <c r="I317" s="138" t="s">
        <v>1566</v>
      </c>
      <c r="J317" s="135" t="s">
        <v>4778</v>
      </c>
      <c r="K317" s="164">
        <v>2095772000</v>
      </c>
      <c r="L317" s="165">
        <v>1710883319.9999998</v>
      </c>
      <c r="M317" s="165">
        <v>344004980</v>
      </c>
      <c r="N317" s="165">
        <v>49471710</v>
      </c>
      <c r="O317" s="165">
        <v>197277844</v>
      </c>
      <c r="P317" s="165">
        <v>55003559.659999996</v>
      </c>
      <c r="Q317" s="165">
        <v>3076260</v>
      </c>
      <c r="R317" s="165">
        <v>468.33333333333326</v>
      </c>
      <c r="S317" s="165">
        <v>345713073.66000021</v>
      </c>
      <c r="T317" s="165">
        <v>738177.38148042758</v>
      </c>
      <c r="U317" s="166">
        <v>40883700.000000238</v>
      </c>
      <c r="V317" s="168">
        <v>2655667864</v>
      </c>
      <c r="W317" s="165">
        <v>1996450058</v>
      </c>
      <c r="X317" s="165">
        <v>469304728</v>
      </c>
      <c r="Y317" s="165">
        <v>47159507</v>
      </c>
      <c r="Z317" s="165">
        <v>245073495.88</v>
      </c>
      <c r="AA317" s="165">
        <v>73136660.030000001</v>
      </c>
      <c r="AB317" s="165">
        <v>2017832</v>
      </c>
      <c r="AC317" s="165">
        <v>453.91666666666669</v>
      </c>
      <c r="AD317" s="165">
        <v>557300572.90999997</v>
      </c>
      <c r="AE317" s="165">
        <v>1227759.6612667523</v>
      </c>
      <c r="AF317" s="166">
        <v>189913078</v>
      </c>
      <c r="AG317" s="11">
        <v>211587499.24999976</v>
      </c>
      <c r="AH317" s="12">
        <v>-14.416666666666572</v>
      </c>
      <c r="AI317" s="132">
        <v>1</v>
      </c>
      <c r="AJ317" s="132">
        <v>1</v>
      </c>
      <c r="AK317" s="13">
        <v>0.3</v>
      </c>
      <c r="AL317" s="13">
        <v>0.66323121415614206</v>
      </c>
      <c r="AM317" s="14">
        <v>1</v>
      </c>
      <c r="AN317" s="14">
        <v>0</v>
      </c>
      <c r="AO317" s="82">
        <v>421233.83060498227</v>
      </c>
      <c r="AP317" s="82">
        <v>539908.56445015606</v>
      </c>
      <c r="AQ317" s="82">
        <v>118674.73384517379</v>
      </c>
      <c r="AR317" s="129">
        <v>0.28173125049033065</v>
      </c>
    </row>
    <row r="318" spans="1:44" ht="28.8" x14ac:dyDescent="0.3">
      <c r="A318" s="136" t="s">
        <v>516</v>
      </c>
      <c r="B318" s="137" t="s">
        <v>5102</v>
      </c>
      <c r="C318" s="134">
        <v>2018</v>
      </c>
      <c r="D318" s="149" t="s">
        <v>4772</v>
      </c>
      <c r="E318" s="135" t="s">
        <v>1152</v>
      </c>
      <c r="F318" s="384" t="s">
        <v>124</v>
      </c>
      <c r="G318" s="138" t="s">
        <v>4773</v>
      </c>
      <c r="H318" s="138" t="s">
        <v>2425</v>
      </c>
      <c r="I318" s="138" t="s">
        <v>1566</v>
      </c>
      <c r="J318" s="135" t="s">
        <v>4774</v>
      </c>
      <c r="K318" s="164">
        <v>2644031000</v>
      </c>
      <c r="L318" s="165">
        <v>2037627660</v>
      </c>
      <c r="M318" s="165">
        <v>482084900</v>
      </c>
      <c r="N318" s="165">
        <v>42781250</v>
      </c>
      <c r="O318" s="165">
        <v>257427120</v>
      </c>
      <c r="P318" s="165">
        <v>50721855.939999998</v>
      </c>
      <c r="Q318" s="165">
        <v>3391907</v>
      </c>
      <c r="R318" s="165">
        <v>272.83333333333337</v>
      </c>
      <c r="S318" s="165">
        <v>478640572.94</v>
      </c>
      <c r="T318" s="165">
        <v>1754333.1934270004</v>
      </c>
      <c r="U318" s="166">
        <v>124318440</v>
      </c>
      <c r="V318" s="168">
        <v>4833971778</v>
      </c>
      <c r="W318" s="165">
        <v>3748410553</v>
      </c>
      <c r="X318" s="165">
        <v>663337199</v>
      </c>
      <c r="Y318" s="165">
        <v>57133889</v>
      </c>
      <c r="Z318" s="165">
        <v>278744804</v>
      </c>
      <c r="AA318" s="165">
        <v>67628858</v>
      </c>
      <c r="AB318" s="165">
        <v>2328058</v>
      </c>
      <c r="AC318" s="165">
        <v>272.75</v>
      </c>
      <c r="AD318" s="165">
        <v>828059635</v>
      </c>
      <c r="AE318" s="165">
        <v>3035965.6645279559</v>
      </c>
      <c r="AF318" s="166">
        <v>422224026</v>
      </c>
      <c r="AG318" s="11">
        <v>349419062.06</v>
      </c>
      <c r="AH318" s="12">
        <v>-8.3333333333371229E-2</v>
      </c>
      <c r="AI318" s="132">
        <v>1</v>
      </c>
      <c r="AJ318" s="132">
        <v>1</v>
      </c>
      <c r="AK318" s="13">
        <v>0.3</v>
      </c>
      <c r="AL318" s="13">
        <v>0.73055248416066298</v>
      </c>
      <c r="AM318" s="14">
        <v>1</v>
      </c>
      <c r="AN318" s="14">
        <v>0</v>
      </c>
      <c r="AO318" s="82">
        <v>943532.51069028699</v>
      </c>
      <c r="AP318" s="82">
        <v>1021979.1164069661</v>
      </c>
      <c r="AQ318" s="82">
        <v>78446.605716679129</v>
      </c>
      <c r="AR318" s="129">
        <v>8.3141391343566573E-2</v>
      </c>
    </row>
    <row r="319" spans="1:44" ht="28.8" x14ac:dyDescent="0.3">
      <c r="A319" s="136" t="s">
        <v>517</v>
      </c>
      <c r="B319" s="137" t="s">
        <v>5103</v>
      </c>
      <c r="C319" s="134">
        <v>2018</v>
      </c>
      <c r="D319" s="149" t="s">
        <v>4772</v>
      </c>
      <c r="E319" s="135" t="s">
        <v>1152</v>
      </c>
      <c r="F319" s="384" t="s">
        <v>124</v>
      </c>
      <c r="G319" s="138" t="s">
        <v>4773</v>
      </c>
      <c r="H319" s="138" t="s">
        <v>2264</v>
      </c>
      <c r="I319" s="138" t="s">
        <v>1566</v>
      </c>
      <c r="J319" s="135" t="s">
        <v>4774</v>
      </c>
      <c r="K319" s="164">
        <v>978770000</v>
      </c>
      <c r="L319" s="165">
        <v>821261220</v>
      </c>
      <c r="M319" s="165">
        <v>120072340</v>
      </c>
      <c r="N319" s="165">
        <v>2841090</v>
      </c>
      <c r="O319" s="165">
        <v>141620850</v>
      </c>
      <c r="P319" s="165">
        <v>32211004.710000001</v>
      </c>
      <c r="Q319" s="165">
        <v>303592</v>
      </c>
      <c r="R319" s="165">
        <v>237.33333333333337</v>
      </c>
      <c r="S319" s="165">
        <v>214412976.71000001</v>
      </c>
      <c r="T319" s="165">
        <v>903425.4636657302</v>
      </c>
      <c r="U319" s="166">
        <v>37436440</v>
      </c>
      <c r="V319" s="168">
        <v>1735317844</v>
      </c>
      <c r="W319" s="165">
        <v>1361484589</v>
      </c>
      <c r="X319" s="165">
        <v>176384678</v>
      </c>
      <c r="Y319" s="165">
        <v>3039398</v>
      </c>
      <c r="Z319" s="165">
        <v>137899023</v>
      </c>
      <c r="AA319" s="165">
        <v>38387850</v>
      </c>
      <c r="AB319" s="165">
        <v>1127085</v>
      </c>
      <c r="AC319" s="165">
        <v>213.83333333333334</v>
      </c>
      <c r="AD319" s="165">
        <v>377901933</v>
      </c>
      <c r="AE319" s="165">
        <v>1767273.2642244739</v>
      </c>
      <c r="AF319" s="166">
        <v>197448577</v>
      </c>
      <c r="AG319" s="11">
        <v>163488956.28999999</v>
      </c>
      <c r="AH319" s="12">
        <v>-23.500000000000028</v>
      </c>
      <c r="AI319" s="132">
        <v>1</v>
      </c>
      <c r="AJ319" s="132">
        <v>1</v>
      </c>
      <c r="AK319" s="13">
        <v>0.3</v>
      </c>
      <c r="AL319" s="13">
        <v>0.95619156006517692</v>
      </c>
      <c r="AM319" s="14">
        <v>1</v>
      </c>
      <c r="AN319" s="14">
        <v>0</v>
      </c>
      <c r="AO319" s="82">
        <v>596717.06460674142</v>
      </c>
      <c r="AP319" s="82">
        <v>644890.20888542477</v>
      </c>
      <c r="AQ319" s="82">
        <v>48173.14427868335</v>
      </c>
      <c r="AR319" s="129">
        <v>8.0730294365607413E-2</v>
      </c>
    </row>
    <row r="320" spans="1:44" ht="28.8" x14ac:dyDescent="0.3">
      <c r="A320" s="136" t="s">
        <v>518</v>
      </c>
      <c r="B320" s="137" t="s">
        <v>5104</v>
      </c>
      <c r="C320" s="134">
        <v>2019</v>
      </c>
      <c r="D320" s="149" t="s">
        <v>4772</v>
      </c>
      <c r="E320" s="135" t="s">
        <v>1152</v>
      </c>
      <c r="F320" s="384" t="s">
        <v>124</v>
      </c>
      <c r="G320" s="138" t="s">
        <v>4773</v>
      </c>
      <c r="H320" s="138" t="s">
        <v>4651</v>
      </c>
      <c r="I320" s="138" t="s">
        <v>4612</v>
      </c>
      <c r="J320" s="135" t="s">
        <v>4774</v>
      </c>
      <c r="K320" s="164">
        <v>3658312217</v>
      </c>
      <c r="L320" s="165">
        <v>1126699682</v>
      </c>
      <c r="M320" s="165">
        <v>1317127001</v>
      </c>
      <c r="N320" s="165">
        <v>557410626</v>
      </c>
      <c r="O320" s="165">
        <v>649000155</v>
      </c>
      <c r="P320" s="165">
        <v>168457018</v>
      </c>
      <c r="Q320" s="165">
        <v>164898981</v>
      </c>
      <c r="R320" s="165">
        <v>1126.5833333333333</v>
      </c>
      <c r="S320" s="165">
        <v>2754252314</v>
      </c>
      <c r="T320" s="165">
        <v>2444783.4727420667</v>
      </c>
      <c r="U320" s="166">
        <v>1214485534</v>
      </c>
      <c r="V320" s="168">
        <v>6688118294</v>
      </c>
      <c r="W320" s="165">
        <v>1719846327</v>
      </c>
      <c r="X320" s="165">
        <v>1619333744</v>
      </c>
      <c r="Y320" s="165">
        <v>838388106</v>
      </c>
      <c r="Z320" s="165">
        <v>733860580</v>
      </c>
      <c r="AA320" s="165">
        <v>209871445</v>
      </c>
      <c r="AB320" s="165">
        <v>216342002</v>
      </c>
      <c r="AC320" s="165">
        <v>1226.3333333333333</v>
      </c>
      <c r="AD320" s="165">
        <v>5347400356</v>
      </c>
      <c r="AE320" s="165">
        <v>4360478.6811633594</v>
      </c>
      <c r="AF320" s="166">
        <v>3348938223</v>
      </c>
      <c r="AG320" s="11">
        <v>2593148042</v>
      </c>
      <c r="AH320" s="12">
        <v>99.75</v>
      </c>
      <c r="AI320" s="132">
        <v>1</v>
      </c>
      <c r="AJ320" s="132">
        <v>1</v>
      </c>
      <c r="AK320" s="13">
        <v>0.15</v>
      </c>
      <c r="AL320" s="13">
        <v>0.78358481784073875</v>
      </c>
      <c r="AM320" s="14">
        <v>1</v>
      </c>
      <c r="AN320" s="14">
        <v>0</v>
      </c>
      <c r="AO320" s="82">
        <v>576078.24987055256</v>
      </c>
      <c r="AP320" s="82">
        <v>598418.52133731998</v>
      </c>
      <c r="AQ320" s="82">
        <v>22340.271466767415</v>
      </c>
      <c r="AR320" s="129">
        <v>3.8779925247633296E-2</v>
      </c>
    </row>
    <row r="321" spans="1:44" ht="28.8" x14ac:dyDescent="0.3">
      <c r="A321" s="136" t="s">
        <v>519</v>
      </c>
      <c r="B321" s="137" t="s">
        <v>5105</v>
      </c>
      <c r="C321" s="134">
        <v>2019</v>
      </c>
      <c r="D321" s="149" t="s">
        <v>4772</v>
      </c>
      <c r="E321" s="135" t="s">
        <v>1152</v>
      </c>
      <c r="F321" s="384" t="s">
        <v>124</v>
      </c>
      <c r="G321" s="138" t="s">
        <v>4773</v>
      </c>
      <c r="H321" s="138" t="s">
        <v>4549</v>
      </c>
      <c r="I321" s="138" t="s">
        <v>4255</v>
      </c>
      <c r="J321" s="135" t="s">
        <v>4778</v>
      </c>
      <c r="K321" s="164">
        <v>2291909203</v>
      </c>
      <c r="L321" s="165">
        <v>985260267</v>
      </c>
      <c r="M321" s="165">
        <v>129734624</v>
      </c>
      <c r="N321" s="165">
        <v>23221322</v>
      </c>
      <c r="O321" s="165">
        <v>450676565</v>
      </c>
      <c r="P321" s="165">
        <v>118142948</v>
      </c>
      <c r="Q321" s="165">
        <v>2796535</v>
      </c>
      <c r="R321" s="165">
        <v>1097.3333333333333</v>
      </c>
      <c r="S321" s="165">
        <v>1771751682</v>
      </c>
      <c r="T321" s="165">
        <v>1614597.5230862699</v>
      </c>
      <c r="U321" s="166">
        <v>1176914312</v>
      </c>
      <c r="V321" s="168">
        <v>2501837015</v>
      </c>
      <c r="W321" s="165">
        <v>1069842144</v>
      </c>
      <c r="X321" s="165">
        <v>122936484</v>
      </c>
      <c r="Y321" s="165">
        <v>28219385</v>
      </c>
      <c r="Z321" s="165">
        <v>479282125</v>
      </c>
      <c r="AA321" s="165">
        <v>140308456</v>
      </c>
      <c r="AB321" s="165">
        <v>2476478</v>
      </c>
      <c r="AC321" s="165">
        <v>1059.25</v>
      </c>
      <c r="AD321" s="165">
        <v>1959344831</v>
      </c>
      <c r="AE321" s="165">
        <v>1849747.3032806232</v>
      </c>
      <c r="AF321" s="166">
        <v>1309058387</v>
      </c>
      <c r="AG321" s="11">
        <v>187593149</v>
      </c>
      <c r="AH321" s="12">
        <v>-38.083333333333258</v>
      </c>
      <c r="AI321" s="132">
        <v>1</v>
      </c>
      <c r="AJ321" s="132">
        <v>1</v>
      </c>
      <c r="AK321" s="13">
        <v>0.15</v>
      </c>
      <c r="AL321" s="13">
        <v>0.14563987438801473</v>
      </c>
      <c r="AM321" s="14">
        <v>0</v>
      </c>
      <c r="AN321" s="14">
        <v>-1</v>
      </c>
      <c r="AO321" s="82">
        <v>410701.60844471451</v>
      </c>
      <c r="AP321" s="82">
        <v>452473.09417040361</v>
      </c>
      <c r="AQ321" s="82">
        <v>41771.485725689097</v>
      </c>
      <c r="AR321" s="129">
        <v>0.10170762633210395</v>
      </c>
    </row>
    <row r="322" spans="1:44" ht="28.8" x14ac:dyDescent="0.3">
      <c r="A322" s="136" t="s">
        <v>520</v>
      </c>
      <c r="B322" s="137" t="s">
        <v>5106</v>
      </c>
      <c r="C322" s="134">
        <v>2018</v>
      </c>
      <c r="D322" s="149" t="s">
        <v>4772</v>
      </c>
      <c r="E322" s="135" t="s">
        <v>1152</v>
      </c>
      <c r="F322" s="384" t="s">
        <v>124</v>
      </c>
      <c r="G322" s="138" t="s">
        <v>4773</v>
      </c>
      <c r="H322" s="138" t="s">
        <v>1599</v>
      </c>
      <c r="I322" s="138" t="s">
        <v>1566</v>
      </c>
      <c r="J322" s="135" t="s">
        <v>4774</v>
      </c>
      <c r="K322" s="164">
        <v>3069051945</v>
      </c>
      <c r="L322" s="165">
        <v>2574521312</v>
      </c>
      <c r="M322" s="165">
        <v>301766361</v>
      </c>
      <c r="N322" s="165">
        <v>0</v>
      </c>
      <c r="O322" s="165">
        <v>233902159</v>
      </c>
      <c r="P322" s="165">
        <v>60609395.390000001</v>
      </c>
      <c r="Q322" s="165">
        <v>374</v>
      </c>
      <c r="R322" s="165">
        <v>647.83333333333337</v>
      </c>
      <c r="S322" s="165">
        <v>487276200.38999999</v>
      </c>
      <c r="T322" s="165">
        <v>752162.90258296882</v>
      </c>
      <c r="U322" s="166">
        <v>192764272</v>
      </c>
      <c r="V322" s="168">
        <v>3730893476</v>
      </c>
      <c r="W322" s="165">
        <v>3256922412</v>
      </c>
      <c r="X322" s="165">
        <v>450195137</v>
      </c>
      <c r="Y322" s="165">
        <v>0</v>
      </c>
      <c r="Z322" s="165">
        <v>351004846</v>
      </c>
      <c r="AA322" s="165">
        <v>103961719</v>
      </c>
      <c r="AB322" s="165">
        <v>0</v>
      </c>
      <c r="AC322" s="165">
        <v>720</v>
      </c>
      <c r="AD322" s="165">
        <v>478742492</v>
      </c>
      <c r="AE322" s="165">
        <v>664920.12777777773</v>
      </c>
      <c r="AF322" s="166">
        <v>23775927</v>
      </c>
      <c r="AG322" s="11">
        <v>-8533708.3899999857</v>
      </c>
      <c r="AH322" s="12">
        <v>72.166666666666629</v>
      </c>
      <c r="AI322" s="132">
        <v>0</v>
      </c>
      <c r="AJ322" s="132">
        <v>0</v>
      </c>
      <c r="AK322" s="13">
        <v>0.3</v>
      </c>
      <c r="AL322" s="13">
        <v>-0.1159891959574183</v>
      </c>
      <c r="AM322" s="14">
        <v>0</v>
      </c>
      <c r="AN322" s="14">
        <v>-1</v>
      </c>
      <c r="AO322" s="82">
        <v>361052.9853357345</v>
      </c>
      <c r="AP322" s="82">
        <v>487506.73055555555</v>
      </c>
      <c r="AQ322" s="82">
        <v>126453.74521982105</v>
      </c>
      <c r="AR322" s="129">
        <v>0.35023597742097268</v>
      </c>
    </row>
    <row r="323" spans="1:44" ht="28.8" x14ac:dyDescent="0.3">
      <c r="A323" s="136" t="s">
        <v>521</v>
      </c>
      <c r="B323" s="137" t="s">
        <v>5107</v>
      </c>
      <c r="C323" s="134">
        <v>2020</v>
      </c>
      <c r="D323" s="149" t="s">
        <v>4772</v>
      </c>
      <c r="E323" s="135" t="s">
        <v>1152</v>
      </c>
      <c r="F323" s="384" t="s">
        <v>124</v>
      </c>
      <c r="G323" s="138" t="s">
        <v>4773</v>
      </c>
      <c r="H323" s="138" t="s">
        <v>2757</v>
      </c>
      <c r="I323" s="138" t="s">
        <v>1566</v>
      </c>
      <c r="J323" s="135" t="s">
        <v>4778</v>
      </c>
      <c r="K323" s="164">
        <v>425871150</v>
      </c>
      <c r="L323" s="165">
        <v>329037124</v>
      </c>
      <c r="M323" s="165">
        <v>85568581</v>
      </c>
      <c r="N323" s="165">
        <v>2779373</v>
      </c>
      <c r="O323" s="165">
        <v>64087808</v>
      </c>
      <c r="P323" s="165">
        <v>17885535</v>
      </c>
      <c r="Q323" s="165">
        <v>1428876</v>
      </c>
      <c r="R323" s="165">
        <v>153</v>
      </c>
      <c r="S323" s="165">
        <v>97447037</v>
      </c>
      <c r="T323" s="165">
        <v>636908.73856209149</v>
      </c>
      <c r="U323" s="166">
        <v>11265445</v>
      </c>
      <c r="V323" s="168">
        <v>519891253</v>
      </c>
      <c r="W323" s="165">
        <v>403993264</v>
      </c>
      <c r="X323" s="165">
        <v>87558833</v>
      </c>
      <c r="Y323" s="165">
        <v>1628558</v>
      </c>
      <c r="Z323" s="165">
        <v>62635716</v>
      </c>
      <c r="AA323" s="165">
        <v>18359629</v>
      </c>
      <c r="AB323" s="165">
        <v>1382142</v>
      </c>
      <c r="AC323" s="165">
        <v>143.5</v>
      </c>
      <c r="AD323" s="165">
        <v>112345201</v>
      </c>
      <c r="AE323" s="165">
        <v>782893.38675958186</v>
      </c>
      <c r="AF323" s="166">
        <v>28339156</v>
      </c>
      <c r="AG323" s="11">
        <v>14898164</v>
      </c>
      <c r="AH323" s="12">
        <v>-9.5</v>
      </c>
      <c r="AI323" s="132">
        <v>1</v>
      </c>
      <c r="AJ323" s="132">
        <v>1</v>
      </c>
      <c r="AK323" s="13">
        <v>0.1</v>
      </c>
      <c r="AL323" s="13">
        <v>0.22920811229564864</v>
      </c>
      <c r="AM323" s="14">
        <v>1</v>
      </c>
      <c r="AN323" s="14">
        <v>0</v>
      </c>
      <c r="AO323" s="82">
        <v>418874.56209150329</v>
      </c>
      <c r="AP323" s="82">
        <v>436485.8257839721</v>
      </c>
      <c r="AQ323" s="82">
        <v>17611.263692468812</v>
      </c>
      <c r="AR323" s="129">
        <v>4.2044242564010403E-2</v>
      </c>
    </row>
    <row r="324" spans="1:44" ht="28.8" x14ac:dyDescent="0.3">
      <c r="A324" s="136" t="s">
        <v>522</v>
      </c>
      <c r="B324" s="137" t="s">
        <v>5108</v>
      </c>
      <c r="C324" s="134">
        <v>2019</v>
      </c>
      <c r="D324" s="149" t="s">
        <v>4772</v>
      </c>
      <c r="E324" s="135" t="s">
        <v>1152</v>
      </c>
      <c r="F324" s="384" t="s">
        <v>124</v>
      </c>
      <c r="G324" s="138" t="s">
        <v>4773</v>
      </c>
      <c r="H324" s="138" t="s">
        <v>3563</v>
      </c>
      <c r="I324" s="138" t="s">
        <v>3557</v>
      </c>
      <c r="J324" s="135" t="s">
        <v>4774</v>
      </c>
      <c r="K324" s="164">
        <v>614218724</v>
      </c>
      <c r="L324" s="165">
        <v>583797420</v>
      </c>
      <c r="M324" s="165">
        <v>12768491</v>
      </c>
      <c r="N324" s="165">
        <v>8602276</v>
      </c>
      <c r="O324" s="165">
        <v>72031260</v>
      </c>
      <c r="P324" s="165">
        <v>17117537</v>
      </c>
      <c r="Q324" s="165">
        <v>241095</v>
      </c>
      <c r="R324" s="165">
        <v>140.75</v>
      </c>
      <c r="S324" s="165">
        <v>115644981</v>
      </c>
      <c r="T324" s="165">
        <v>821633.96802841919</v>
      </c>
      <c r="U324" s="166">
        <v>17652813</v>
      </c>
      <c r="V324" s="168">
        <v>756494791</v>
      </c>
      <c r="W324" s="165">
        <v>648906330</v>
      </c>
      <c r="X324" s="165">
        <v>28289629</v>
      </c>
      <c r="Y324" s="165">
        <v>5387584</v>
      </c>
      <c r="Z324" s="165">
        <v>30596431</v>
      </c>
      <c r="AA324" s="165">
        <v>6712494</v>
      </c>
      <c r="AB324" s="165">
        <v>145480</v>
      </c>
      <c r="AC324" s="165">
        <v>100.33333333333333</v>
      </c>
      <c r="AD324" s="165">
        <v>122140821</v>
      </c>
      <c r="AE324" s="165">
        <v>1217350.3754152826</v>
      </c>
      <c r="AF324" s="166">
        <v>79298832</v>
      </c>
      <c r="AG324" s="11">
        <v>6495840</v>
      </c>
      <c r="AH324" s="12">
        <v>-40.416666666666671</v>
      </c>
      <c r="AI324" s="132">
        <v>1</v>
      </c>
      <c r="AJ324" s="132">
        <v>0</v>
      </c>
      <c r="AK324" s="13">
        <v>0.15</v>
      </c>
      <c r="AL324" s="13">
        <v>0.48162128690954686</v>
      </c>
      <c r="AM324" s="14">
        <v>1</v>
      </c>
      <c r="AN324" s="14">
        <v>0</v>
      </c>
      <c r="AO324" s="82">
        <v>511767.38898756664</v>
      </c>
      <c r="AP324" s="82">
        <v>304947.81727574754</v>
      </c>
      <c r="AQ324" s="82">
        <v>-206819.5717118191</v>
      </c>
      <c r="AR324" s="129">
        <v>-0.40412807881520518</v>
      </c>
    </row>
    <row r="325" spans="1:44" ht="28.8" x14ac:dyDescent="0.3">
      <c r="A325" s="136" t="s">
        <v>523</v>
      </c>
      <c r="B325" s="137" t="s">
        <v>5109</v>
      </c>
      <c r="C325" s="134">
        <v>2019</v>
      </c>
      <c r="D325" s="149" t="s">
        <v>4772</v>
      </c>
      <c r="E325" s="135" t="s">
        <v>1152</v>
      </c>
      <c r="F325" s="384" t="s">
        <v>124</v>
      </c>
      <c r="G325" s="138" t="s">
        <v>4773</v>
      </c>
      <c r="H325" s="138" t="s">
        <v>1401</v>
      </c>
      <c r="I325" s="138" t="s">
        <v>1217</v>
      </c>
      <c r="J325" s="135" t="s">
        <v>4778</v>
      </c>
      <c r="K325" s="164">
        <v>1736098000</v>
      </c>
      <c r="L325" s="165">
        <v>1325983812</v>
      </c>
      <c r="M325" s="165">
        <v>285411115</v>
      </c>
      <c r="N325" s="165">
        <v>86335</v>
      </c>
      <c r="O325" s="165">
        <v>271129534</v>
      </c>
      <c r="P325" s="165">
        <v>71862835</v>
      </c>
      <c r="Q325" s="165">
        <v>0</v>
      </c>
      <c r="R325" s="165">
        <v>722.91666666666663</v>
      </c>
      <c r="S325" s="165">
        <v>467781777</v>
      </c>
      <c r="T325" s="165">
        <v>647075.65694524499</v>
      </c>
      <c r="U325" s="166">
        <v>124703073</v>
      </c>
      <c r="V325" s="168">
        <v>1952311748</v>
      </c>
      <c r="W325" s="165">
        <v>1554464284</v>
      </c>
      <c r="X325" s="165">
        <v>279170035</v>
      </c>
      <c r="Y325" s="165">
        <v>81184875</v>
      </c>
      <c r="Z325" s="165">
        <v>245622873.63999999</v>
      </c>
      <c r="AA325" s="165">
        <v>24675715</v>
      </c>
      <c r="AB325" s="165">
        <v>0</v>
      </c>
      <c r="AC325" s="165">
        <v>617.83333333333337</v>
      </c>
      <c r="AD325" s="165">
        <v>470160892.63999999</v>
      </c>
      <c r="AE325" s="165">
        <v>760983.37087671959</v>
      </c>
      <c r="AF325" s="166">
        <v>118677429</v>
      </c>
      <c r="AG325" s="11">
        <v>2379115.6399999857</v>
      </c>
      <c r="AH325" s="12">
        <v>-105.08333333333326</v>
      </c>
      <c r="AI325" s="132">
        <v>1</v>
      </c>
      <c r="AJ325" s="132">
        <v>1</v>
      </c>
      <c r="AK325" s="13">
        <v>0.15</v>
      </c>
      <c r="AL325" s="13">
        <v>0.17603460776132418</v>
      </c>
      <c r="AM325" s="14">
        <v>1</v>
      </c>
      <c r="AN325" s="14">
        <v>0</v>
      </c>
      <c r="AO325" s="82">
        <v>375049.49948126805</v>
      </c>
      <c r="AP325" s="82">
        <v>397555.2311410844</v>
      </c>
      <c r="AQ325" s="82">
        <v>22505.731659816345</v>
      </c>
      <c r="AR325" s="129">
        <v>6.0007363537197378E-2</v>
      </c>
    </row>
    <row r="326" spans="1:44" ht="28.8" x14ac:dyDescent="0.3">
      <c r="A326" s="136" t="s">
        <v>524</v>
      </c>
      <c r="B326" s="137" t="s">
        <v>5110</v>
      </c>
      <c r="C326" s="134">
        <v>2019</v>
      </c>
      <c r="D326" s="149" t="s">
        <v>4772</v>
      </c>
      <c r="E326" s="135" t="s">
        <v>1152</v>
      </c>
      <c r="F326" s="384" t="s">
        <v>124</v>
      </c>
      <c r="G326" s="138" t="s">
        <v>4773</v>
      </c>
      <c r="H326" s="138" t="s">
        <v>1401</v>
      </c>
      <c r="I326" s="138" t="s">
        <v>1217</v>
      </c>
      <c r="J326" s="135" t="s">
        <v>4798</v>
      </c>
      <c r="K326" s="164">
        <v>4752382429</v>
      </c>
      <c r="L326" s="165">
        <v>2812885843</v>
      </c>
      <c r="M326" s="165">
        <v>1764820343</v>
      </c>
      <c r="N326" s="165">
        <v>420163519</v>
      </c>
      <c r="O326" s="165">
        <v>651550458</v>
      </c>
      <c r="P326" s="165">
        <v>176968284</v>
      </c>
      <c r="Q326" s="165">
        <v>0</v>
      </c>
      <c r="R326" s="165">
        <v>1518.75</v>
      </c>
      <c r="S326" s="165">
        <v>1423358504</v>
      </c>
      <c r="T326" s="165">
        <v>937190.78452674893</v>
      </c>
      <c r="U326" s="166">
        <v>174676243</v>
      </c>
      <c r="V326" s="168">
        <v>5136678236</v>
      </c>
      <c r="W326" s="165">
        <v>2915398065</v>
      </c>
      <c r="X326" s="165">
        <v>1743814995</v>
      </c>
      <c r="Y326" s="165">
        <v>364881179</v>
      </c>
      <c r="Z326" s="165">
        <v>699653197</v>
      </c>
      <c r="AA326" s="165">
        <v>204517103</v>
      </c>
      <c r="AB326" s="165">
        <v>46793</v>
      </c>
      <c r="AC326" s="165">
        <v>1310.0833333333333</v>
      </c>
      <c r="AD326" s="165">
        <v>1746563448</v>
      </c>
      <c r="AE326" s="165">
        <v>1333169.7332230774</v>
      </c>
      <c r="AF326" s="166">
        <v>477465176</v>
      </c>
      <c r="AG326" s="11">
        <v>323204944</v>
      </c>
      <c r="AH326" s="12">
        <v>-208.66666666666674</v>
      </c>
      <c r="AI326" s="132">
        <v>1</v>
      </c>
      <c r="AJ326" s="132">
        <v>1</v>
      </c>
      <c r="AK326" s="13">
        <v>0.15</v>
      </c>
      <c r="AL326" s="13">
        <v>0.4225169073899766</v>
      </c>
      <c r="AM326" s="14">
        <v>1</v>
      </c>
      <c r="AN326" s="14">
        <v>0</v>
      </c>
      <c r="AO326" s="82">
        <v>429004.41679012345</v>
      </c>
      <c r="AP326" s="82">
        <v>534052.43712232052</v>
      </c>
      <c r="AQ326" s="82">
        <v>105048.02033219708</v>
      </c>
      <c r="AR326" s="129">
        <v>0.24486465924566092</v>
      </c>
    </row>
    <row r="327" spans="1:44" ht="28.8" x14ac:dyDescent="0.3">
      <c r="A327" s="136" t="s">
        <v>525</v>
      </c>
      <c r="B327" s="137" t="s">
        <v>5111</v>
      </c>
      <c r="C327" s="134">
        <v>2018</v>
      </c>
      <c r="D327" s="149" t="s">
        <v>4772</v>
      </c>
      <c r="E327" s="135" t="s">
        <v>1152</v>
      </c>
      <c r="F327" s="384" t="s">
        <v>124</v>
      </c>
      <c r="G327" s="138" t="s">
        <v>4773</v>
      </c>
      <c r="H327" s="138" t="s">
        <v>2729</v>
      </c>
      <c r="I327" s="138" t="s">
        <v>1566</v>
      </c>
      <c r="J327" s="135" t="s">
        <v>4778</v>
      </c>
      <c r="K327" s="164">
        <v>3565072000</v>
      </c>
      <c r="L327" s="165">
        <v>2500276280</v>
      </c>
      <c r="M327" s="165">
        <v>628281691</v>
      </c>
      <c r="N327" s="165">
        <v>52513340</v>
      </c>
      <c r="O327" s="165">
        <v>587644304</v>
      </c>
      <c r="P327" s="165">
        <v>167214088.65000001</v>
      </c>
      <c r="Q327" s="165">
        <v>5654480</v>
      </c>
      <c r="R327" s="165">
        <v>818.75</v>
      </c>
      <c r="S327" s="165">
        <v>1249540241.6500001</v>
      </c>
      <c r="T327" s="165">
        <v>1526156.020335878</v>
      </c>
      <c r="U327" s="166">
        <v>436514029</v>
      </c>
      <c r="V327" s="168">
        <v>2303244269</v>
      </c>
      <c r="W327" s="165">
        <v>1704900160</v>
      </c>
      <c r="X327" s="165">
        <v>582480270</v>
      </c>
      <c r="Y327" s="165">
        <v>50373459</v>
      </c>
      <c r="Z327" s="165">
        <v>440890226</v>
      </c>
      <c r="AA327" s="165">
        <v>133343382</v>
      </c>
      <c r="AB327" s="165">
        <v>4114491</v>
      </c>
      <c r="AC327" s="165">
        <v>594.5</v>
      </c>
      <c r="AD327" s="165">
        <v>644585397</v>
      </c>
      <c r="AE327" s="165">
        <v>1084247.9343986544</v>
      </c>
      <c r="AF327" s="166">
        <v>15863839</v>
      </c>
      <c r="AG327" s="11">
        <v>-604954844.6500001</v>
      </c>
      <c r="AH327" s="12">
        <v>-224.25</v>
      </c>
      <c r="AI327" s="132">
        <v>0</v>
      </c>
      <c r="AJ327" s="132">
        <v>1</v>
      </c>
      <c r="AK327" s="13">
        <v>0.3</v>
      </c>
      <c r="AL327" s="13">
        <v>-0.28955629975498842</v>
      </c>
      <c r="AM327" s="14">
        <v>0</v>
      </c>
      <c r="AN327" s="14">
        <v>-1</v>
      </c>
      <c r="AO327" s="82">
        <v>717733.50106870232</v>
      </c>
      <c r="AP327" s="82">
        <v>741615.18250630784</v>
      </c>
      <c r="AQ327" s="82">
        <v>23881.681437605526</v>
      </c>
      <c r="AR327" s="129">
        <v>3.3273744923492998E-2</v>
      </c>
    </row>
    <row r="328" spans="1:44" ht="28.8" x14ac:dyDescent="0.3">
      <c r="A328" s="136" t="s">
        <v>526</v>
      </c>
      <c r="B328" s="137" t="s">
        <v>5112</v>
      </c>
      <c r="C328" s="134">
        <v>2018</v>
      </c>
      <c r="D328" s="149" t="s">
        <v>1141</v>
      </c>
      <c r="E328" s="135" t="s">
        <v>1140</v>
      </c>
      <c r="F328" s="384" t="s">
        <v>527</v>
      </c>
      <c r="G328" s="138" t="s">
        <v>4773</v>
      </c>
      <c r="H328" s="138" t="s">
        <v>3311</v>
      </c>
      <c r="I328" s="138" t="s">
        <v>1566</v>
      </c>
      <c r="J328" s="135" t="s">
        <v>4774</v>
      </c>
      <c r="K328" s="164">
        <v>2322351418</v>
      </c>
      <c r="L328" s="165">
        <v>1178623417</v>
      </c>
      <c r="M328" s="165">
        <v>344916600</v>
      </c>
      <c r="N328" s="165">
        <v>29011670</v>
      </c>
      <c r="O328" s="165">
        <v>655182380</v>
      </c>
      <c r="P328" s="165">
        <v>126340148.62</v>
      </c>
      <c r="Q328" s="165">
        <v>7799640</v>
      </c>
      <c r="R328" s="165">
        <v>860</v>
      </c>
      <c r="S328" s="165">
        <v>1617145239.6199999</v>
      </c>
      <c r="T328" s="165">
        <v>1880401.4414186045</v>
      </c>
      <c r="U328" s="166">
        <v>798811401</v>
      </c>
      <c r="V328" s="168">
        <v>1847874507</v>
      </c>
      <c r="W328" s="165">
        <v>1336354191</v>
      </c>
      <c r="X328" s="165">
        <v>171995212</v>
      </c>
      <c r="Y328" s="165">
        <v>63291247</v>
      </c>
      <c r="Z328" s="165">
        <v>630273711.52999997</v>
      </c>
      <c r="AA328" s="165">
        <v>140487482.97</v>
      </c>
      <c r="AB328" s="165">
        <v>5280594</v>
      </c>
      <c r="AC328" s="165">
        <v>787.91666666666663</v>
      </c>
      <c r="AD328" s="165">
        <v>1178858139.5</v>
      </c>
      <c r="AE328" s="165">
        <v>1496171.0919090428</v>
      </c>
      <c r="AF328" s="166">
        <v>339525104</v>
      </c>
      <c r="AG328" s="11">
        <v>-438287100.11999989</v>
      </c>
      <c r="AH328" s="12">
        <v>-72.083333333333371</v>
      </c>
      <c r="AI328" s="132">
        <v>0</v>
      </c>
      <c r="AJ328" s="132">
        <v>1</v>
      </c>
      <c r="AK328" s="13">
        <v>0.3</v>
      </c>
      <c r="AL328" s="13">
        <v>-0.20433421386871509</v>
      </c>
      <c r="AM328" s="14">
        <v>0</v>
      </c>
      <c r="AN328" s="14">
        <v>-1</v>
      </c>
      <c r="AO328" s="82">
        <v>761839.97674418602</v>
      </c>
      <c r="AP328" s="82">
        <v>799924.32981068222</v>
      </c>
      <c r="AQ328" s="82">
        <v>38084.353066496202</v>
      </c>
      <c r="AR328" s="129">
        <v>4.9989964072578941E-2</v>
      </c>
    </row>
    <row r="329" spans="1:44" ht="57.6" x14ac:dyDescent="0.3">
      <c r="A329" s="136" t="s">
        <v>528</v>
      </c>
      <c r="B329" s="137" t="s">
        <v>5113</v>
      </c>
      <c r="C329" s="134">
        <v>2019</v>
      </c>
      <c r="D329" s="149" t="s">
        <v>1141</v>
      </c>
      <c r="E329" s="135" t="s">
        <v>1140</v>
      </c>
      <c r="F329" s="384" t="s">
        <v>527</v>
      </c>
      <c r="G329" s="138" t="s">
        <v>4773</v>
      </c>
      <c r="H329" s="138" t="s">
        <v>2898</v>
      </c>
      <c r="I329" s="138" t="s">
        <v>1566</v>
      </c>
      <c r="J329" s="135" t="s">
        <v>4798</v>
      </c>
      <c r="K329" s="164">
        <v>1260110421</v>
      </c>
      <c r="L329" s="165">
        <v>355262839</v>
      </c>
      <c r="M329" s="165">
        <v>522421219</v>
      </c>
      <c r="N329" s="165">
        <v>13463954</v>
      </c>
      <c r="O329" s="165">
        <v>356332066</v>
      </c>
      <c r="P329" s="165">
        <v>85798388</v>
      </c>
      <c r="Q329" s="165">
        <v>1338252</v>
      </c>
      <c r="R329" s="165">
        <v>604.16666666666663</v>
      </c>
      <c r="S329" s="165">
        <v>839359023</v>
      </c>
      <c r="T329" s="165">
        <v>1389283.9001379311</v>
      </c>
      <c r="U329" s="166">
        <v>382426363</v>
      </c>
      <c r="V329" s="168">
        <v>1511191334</v>
      </c>
      <c r="W329" s="165">
        <v>496964902</v>
      </c>
      <c r="X329" s="165">
        <v>591845192</v>
      </c>
      <c r="Y329" s="165">
        <v>23040528</v>
      </c>
      <c r="Z329" s="165">
        <v>396016380.59000003</v>
      </c>
      <c r="AA329" s="165">
        <v>102804975.02</v>
      </c>
      <c r="AB329" s="165">
        <v>1256730</v>
      </c>
      <c r="AC329" s="165">
        <v>533.91666666666663</v>
      </c>
      <c r="AD329" s="165">
        <v>945499853.61000001</v>
      </c>
      <c r="AE329" s="165">
        <v>1770875.3306258782</v>
      </c>
      <c r="AF329" s="166">
        <v>422381240</v>
      </c>
      <c r="AG329" s="11">
        <v>106140830.61000001</v>
      </c>
      <c r="AH329" s="12">
        <v>-70.25</v>
      </c>
      <c r="AI329" s="132">
        <v>1</v>
      </c>
      <c r="AJ329" s="132">
        <v>1</v>
      </c>
      <c r="AK329" s="13">
        <v>0.15</v>
      </c>
      <c r="AL329" s="13">
        <v>0.27466771190539263</v>
      </c>
      <c r="AM329" s="14">
        <v>1</v>
      </c>
      <c r="AN329" s="14">
        <v>0</v>
      </c>
      <c r="AO329" s="82">
        <v>589791.00579310348</v>
      </c>
      <c r="AP329" s="82">
        <v>741719.45794911822</v>
      </c>
      <c r="AQ329" s="82">
        <v>151928.45215601474</v>
      </c>
      <c r="AR329" s="129">
        <v>0.25759709908039974</v>
      </c>
    </row>
    <row r="330" spans="1:44" ht="43.2" x14ac:dyDescent="0.3">
      <c r="A330" s="136" t="s">
        <v>529</v>
      </c>
      <c r="B330" s="137" t="s">
        <v>5114</v>
      </c>
      <c r="C330" s="134">
        <v>2018</v>
      </c>
      <c r="D330" s="149" t="s">
        <v>1141</v>
      </c>
      <c r="E330" s="135" t="s">
        <v>1140</v>
      </c>
      <c r="F330" s="384" t="s">
        <v>527</v>
      </c>
      <c r="G330" s="138" t="s">
        <v>4773</v>
      </c>
      <c r="H330" s="138" t="s">
        <v>3429</v>
      </c>
      <c r="I330" s="138" t="s">
        <v>1566</v>
      </c>
      <c r="J330" s="135" t="s">
        <v>4778</v>
      </c>
      <c r="K330" s="164">
        <v>1413356898</v>
      </c>
      <c r="L330" s="165">
        <v>662975752</v>
      </c>
      <c r="M330" s="165">
        <v>387477170</v>
      </c>
      <c r="N330" s="165">
        <v>28358605</v>
      </c>
      <c r="O330" s="165">
        <v>516865635.94</v>
      </c>
      <c r="P330" s="165">
        <v>117473262.19</v>
      </c>
      <c r="Q330" s="165">
        <v>1952930</v>
      </c>
      <c r="R330" s="165">
        <v>558.75</v>
      </c>
      <c r="S330" s="165">
        <v>1027554409.1300001</v>
      </c>
      <c r="T330" s="165">
        <v>1839023.5510156602</v>
      </c>
      <c r="U330" s="166">
        <v>362903976</v>
      </c>
      <c r="V330" s="168">
        <v>1655020570</v>
      </c>
      <c r="W330" s="165">
        <v>793104156</v>
      </c>
      <c r="X330" s="165">
        <v>389016860</v>
      </c>
      <c r="Y330" s="165">
        <v>52249717</v>
      </c>
      <c r="Z330" s="165">
        <v>512619879.31</v>
      </c>
      <c r="AA330" s="165">
        <v>137063758.44999999</v>
      </c>
      <c r="AB330" s="165">
        <v>2906005</v>
      </c>
      <c r="AC330" s="165">
        <v>574.75</v>
      </c>
      <c r="AD330" s="165">
        <v>1177738913.76</v>
      </c>
      <c r="AE330" s="165">
        <v>2049132.5163288387</v>
      </c>
      <c r="AF330" s="166">
        <v>472899554</v>
      </c>
      <c r="AG330" s="11">
        <v>150184504.62999988</v>
      </c>
      <c r="AH330" s="12">
        <v>16</v>
      </c>
      <c r="AI330" s="132">
        <v>0</v>
      </c>
      <c r="AJ330" s="132">
        <v>1</v>
      </c>
      <c r="AK330" s="13">
        <v>0.3</v>
      </c>
      <c r="AL330" s="13">
        <v>0.11425028787695513</v>
      </c>
      <c r="AM330" s="14">
        <v>0</v>
      </c>
      <c r="AN330" s="14">
        <v>-1</v>
      </c>
      <c r="AO330" s="82">
        <v>925039.16946756153</v>
      </c>
      <c r="AP330" s="82">
        <v>891900.61645933019</v>
      </c>
      <c r="AQ330" s="82">
        <v>-33138.553008231334</v>
      </c>
      <c r="AR330" s="129">
        <v>-3.5823945733352458E-2</v>
      </c>
    </row>
    <row r="331" spans="1:44" ht="43.2" x14ac:dyDescent="0.3">
      <c r="A331" s="136" t="s">
        <v>530</v>
      </c>
      <c r="B331" s="137" t="s">
        <v>5115</v>
      </c>
      <c r="C331" s="134">
        <v>2018</v>
      </c>
      <c r="D331" s="149" t="s">
        <v>1141</v>
      </c>
      <c r="E331" s="135" t="s">
        <v>1140</v>
      </c>
      <c r="F331" s="384" t="s">
        <v>527</v>
      </c>
      <c r="G331" s="138" t="s">
        <v>4773</v>
      </c>
      <c r="H331" s="138" t="s">
        <v>2908</v>
      </c>
      <c r="I331" s="138" t="s">
        <v>1566</v>
      </c>
      <c r="J331" s="135" t="s">
        <v>4774</v>
      </c>
      <c r="K331" s="164">
        <v>2336346000</v>
      </c>
      <c r="L331" s="165">
        <v>741333620</v>
      </c>
      <c r="M331" s="165">
        <v>1216073570</v>
      </c>
      <c r="N331" s="165">
        <v>17607350</v>
      </c>
      <c r="O331" s="165">
        <v>733503200</v>
      </c>
      <c r="P331" s="165">
        <v>194599590.40999997</v>
      </c>
      <c r="Q331" s="165">
        <v>1560820</v>
      </c>
      <c r="R331" s="165">
        <v>2435.833333333333</v>
      </c>
      <c r="S331" s="165">
        <v>1326209770.4099998</v>
      </c>
      <c r="T331" s="165">
        <v>544458.33886144368</v>
      </c>
      <c r="U331" s="166">
        <v>378938810</v>
      </c>
      <c r="V331" s="168">
        <v>2411468793</v>
      </c>
      <c r="W331" s="165">
        <v>875891701</v>
      </c>
      <c r="X331" s="165">
        <v>1204098641</v>
      </c>
      <c r="Y331" s="165">
        <v>50001168</v>
      </c>
      <c r="Z331" s="165">
        <v>740466537.41000009</v>
      </c>
      <c r="AA331" s="165">
        <v>220064205.01999998</v>
      </c>
      <c r="AB331" s="165">
        <v>1951468</v>
      </c>
      <c r="AC331" s="165">
        <v>2032.3333333333333</v>
      </c>
      <c r="AD331" s="165">
        <v>1343961829.4300001</v>
      </c>
      <c r="AE331" s="165">
        <v>661290.05876496644</v>
      </c>
      <c r="AF331" s="166">
        <v>331478451</v>
      </c>
      <c r="AG331" s="11">
        <v>17752059.020000219</v>
      </c>
      <c r="AH331" s="12">
        <v>-403.49999999999977</v>
      </c>
      <c r="AI331" s="132">
        <v>0</v>
      </c>
      <c r="AJ331" s="132">
        <v>1</v>
      </c>
      <c r="AK331" s="13">
        <v>0.3</v>
      </c>
      <c r="AL331" s="13">
        <v>0.21458339677559191</v>
      </c>
      <c r="AM331" s="14">
        <v>0</v>
      </c>
      <c r="AN331" s="14">
        <v>-1</v>
      </c>
      <c r="AO331" s="82">
        <v>301130.2907971263</v>
      </c>
      <c r="AP331" s="82">
        <v>364343.055966869</v>
      </c>
      <c r="AQ331" s="82">
        <v>63212.765169742692</v>
      </c>
      <c r="AR331" s="129">
        <v>0.20991832140968381</v>
      </c>
    </row>
    <row r="332" spans="1:44" ht="28.8" x14ac:dyDescent="0.3">
      <c r="A332" s="136" t="s">
        <v>531</v>
      </c>
      <c r="B332" s="137" t="s">
        <v>5116</v>
      </c>
      <c r="C332" s="134">
        <v>2019</v>
      </c>
      <c r="D332" s="149" t="s">
        <v>1157</v>
      </c>
      <c r="E332" s="135" t="s">
        <v>1152</v>
      </c>
      <c r="F332" s="384" t="s">
        <v>527</v>
      </c>
      <c r="G332" s="138" t="s">
        <v>4773</v>
      </c>
      <c r="H332" s="138" t="s">
        <v>3451</v>
      </c>
      <c r="I332" s="138" t="s">
        <v>1566</v>
      </c>
      <c r="J332" s="135" t="s">
        <v>4774</v>
      </c>
      <c r="K332" s="164">
        <v>1736083792</v>
      </c>
      <c r="L332" s="165">
        <v>1332563332</v>
      </c>
      <c r="M332" s="165">
        <v>368080326</v>
      </c>
      <c r="N332" s="165">
        <v>56279694</v>
      </c>
      <c r="O332" s="165">
        <v>397812062</v>
      </c>
      <c r="P332" s="165">
        <v>110321848</v>
      </c>
      <c r="Q332" s="165">
        <v>7195243</v>
      </c>
      <c r="R332" s="165">
        <v>1108</v>
      </c>
      <c r="S332" s="165">
        <v>607048981</v>
      </c>
      <c r="T332" s="165">
        <v>547878.14169675088</v>
      </c>
      <c r="U332" s="166">
        <v>35440134</v>
      </c>
      <c r="V332" s="168">
        <v>2173402592</v>
      </c>
      <c r="W332" s="165">
        <v>1571683926</v>
      </c>
      <c r="X332" s="165">
        <v>605427960</v>
      </c>
      <c r="Y332" s="165">
        <v>57824911</v>
      </c>
      <c r="Z332" s="165">
        <v>439643418.41000003</v>
      </c>
      <c r="AA332" s="165">
        <v>129516242.39</v>
      </c>
      <c r="AB332" s="165">
        <v>11033325</v>
      </c>
      <c r="AC332" s="165">
        <v>1084.4166666666667</v>
      </c>
      <c r="AD332" s="165">
        <v>634308602.80000007</v>
      </c>
      <c r="AE332" s="165">
        <v>584930.702651195</v>
      </c>
      <c r="AF332" s="166">
        <v>-3709294</v>
      </c>
      <c r="AG332" s="11">
        <v>27259621.800000072</v>
      </c>
      <c r="AH332" s="12">
        <v>-23.583333333333258</v>
      </c>
      <c r="AI332" s="132">
        <v>0</v>
      </c>
      <c r="AJ332" s="132">
        <v>1</v>
      </c>
      <c r="AK332" s="13">
        <v>0.15</v>
      </c>
      <c r="AL332" s="13">
        <v>6.7629199442051036E-2</v>
      </c>
      <c r="AM332" s="14">
        <v>0</v>
      </c>
      <c r="AN332" s="14">
        <v>-1</v>
      </c>
      <c r="AO332" s="82">
        <v>359036.15703971119</v>
      </c>
      <c r="AP332" s="82">
        <v>405419.27464228077</v>
      </c>
      <c r="AQ332" s="82">
        <v>46383.117602569575</v>
      </c>
      <c r="AR332" s="129">
        <v>0.12918787340250915</v>
      </c>
    </row>
    <row r="333" spans="1:44" ht="28.8" x14ac:dyDescent="0.3">
      <c r="A333" s="136" t="s">
        <v>532</v>
      </c>
      <c r="B333" s="137" t="s">
        <v>5117</v>
      </c>
      <c r="C333" s="134">
        <v>2020</v>
      </c>
      <c r="D333" s="149" t="s">
        <v>1157</v>
      </c>
      <c r="E333" s="135" t="s">
        <v>1152</v>
      </c>
      <c r="F333" s="384" t="s">
        <v>527</v>
      </c>
      <c r="G333" s="138" t="s">
        <v>4773</v>
      </c>
      <c r="H333" s="138" t="s">
        <v>2033</v>
      </c>
      <c r="I333" s="138" t="s">
        <v>1566</v>
      </c>
      <c r="J333" s="135" t="s">
        <v>4778</v>
      </c>
      <c r="K333" s="164">
        <v>2899810280</v>
      </c>
      <c r="L333" s="165">
        <v>1528823130</v>
      </c>
      <c r="M333" s="165">
        <v>1239616309</v>
      </c>
      <c r="N333" s="165">
        <v>3011761</v>
      </c>
      <c r="O333" s="165">
        <v>711911203</v>
      </c>
      <c r="P333" s="165">
        <v>210849368</v>
      </c>
      <c r="Q333" s="165">
        <v>218886</v>
      </c>
      <c r="R333" s="165">
        <v>2090</v>
      </c>
      <c r="S333" s="165">
        <v>1057362059</v>
      </c>
      <c r="T333" s="165">
        <v>505914.86076555023</v>
      </c>
      <c r="U333" s="166">
        <v>131370841</v>
      </c>
      <c r="V333" s="168">
        <v>3980451550</v>
      </c>
      <c r="W333" s="165">
        <v>1932872980</v>
      </c>
      <c r="X333" s="165">
        <v>1757863622</v>
      </c>
      <c r="Y333" s="165">
        <v>3845388</v>
      </c>
      <c r="Z333" s="165">
        <v>965206356.05999994</v>
      </c>
      <c r="AA333" s="165">
        <v>282698824</v>
      </c>
      <c r="AB333" s="165">
        <v>389676</v>
      </c>
      <c r="AC333" s="165">
        <v>2207.8333333333335</v>
      </c>
      <c r="AD333" s="165">
        <v>1541855192.0599999</v>
      </c>
      <c r="AE333" s="165">
        <v>698356.69603381888</v>
      </c>
      <c r="AF333" s="166">
        <v>289714948</v>
      </c>
      <c r="AG333" s="11">
        <v>484493133.05999994</v>
      </c>
      <c r="AH333" s="12">
        <v>117.83333333333348</v>
      </c>
      <c r="AI333" s="132">
        <v>1</v>
      </c>
      <c r="AJ333" s="132">
        <v>1</v>
      </c>
      <c r="AK333" s="13">
        <v>0.1</v>
      </c>
      <c r="AL333" s="13">
        <v>0.38038384561386462</v>
      </c>
      <c r="AM333" s="14">
        <v>1</v>
      </c>
      <c r="AN333" s="14">
        <v>0</v>
      </c>
      <c r="AO333" s="82">
        <v>340627.36985645932</v>
      </c>
      <c r="AP333" s="82">
        <v>437173.55902166525</v>
      </c>
      <c r="AQ333" s="82">
        <v>96546.189165205928</v>
      </c>
      <c r="AR333" s="129">
        <v>0.28343638153883699</v>
      </c>
    </row>
    <row r="334" spans="1:44" ht="28.8" x14ac:dyDescent="0.3">
      <c r="A334" s="136" t="s">
        <v>533</v>
      </c>
      <c r="B334" s="137" t="s">
        <v>5118</v>
      </c>
      <c r="C334" s="134">
        <v>2020</v>
      </c>
      <c r="D334" s="149" t="s">
        <v>1157</v>
      </c>
      <c r="E334" s="135" t="s">
        <v>1152</v>
      </c>
      <c r="F334" s="384" t="s">
        <v>527</v>
      </c>
      <c r="G334" s="138" t="s">
        <v>4796</v>
      </c>
      <c r="H334" s="138" t="s">
        <v>3189</v>
      </c>
      <c r="I334" s="138" t="s">
        <v>1566</v>
      </c>
      <c r="J334" s="135" t="s">
        <v>4774</v>
      </c>
      <c r="K334" s="164">
        <v>409757465</v>
      </c>
      <c r="L334" s="165">
        <v>189737562</v>
      </c>
      <c r="M334" s="165">
        <v>122024771</v>
      </c>
      <c r="N334" s="165">
        <v>6837155</v>
      </c>
      <c r="O334" s="165">
        <v>76626452</v>
      </c>
      <c r="P334" s="165">
        <v>16520148.18</v>
      </c>
      <c r="Q334" s="165">
        <v>66084</v>
      </c>
      <c r="R334" s="165">
        <v>154.5</v>
      </c>
      <c r="S334" s="165">
        <v>198044971.18000001</v>
      </c>
      <c r="T334" s="165">
        <v>1281844.473656958</v>
      </c>
      <c r="U334" s="166">
        <v>97995132</v>
      </c>
      <c r="V334" s="168">
        <v>844003270</v>
      </c>
      <c r="W334" s="165">
        <v>398397932</v>
      </c>
      <c r="X334" s="165">
        <v>189543034</v>
      </c>
      <c r="Y334" s="165">
        <v>7369179</v>
      </c>
      <c r="Z334" s="165">
        <v>118153150</v>
      </c>
      <c r="AA334" s="165">
        <v>22442993</v>
      </c>
      <c r="AB334" s="165">
        <v>68466</v>
      </c>
      <c r="AC334" s="165">
        <v>199</v>
      </c>
      <c r="AD334" s="165">
        <v>404096092</v>
      </c>
      <c r="AE334" s="165">
        <v>2030633.6281407035</v>
      </c>
      <c r="AF334" s="166">
        <v>256062304</v>
      </c>
      <c r="AG334" s="11">
        <v>206051120.81999999</v>
      </c>
      <c r="AH334" s="12">
        <v>44.5</v>
      </c>
      <c r="AI334" s="132">
        <v>1</v>
      </c>
      <c r="AJ334" s="132">
        <v>1</v>
      </c>
      <c r="AK334" s="13">
        <v>0.05</v>
      </c>
      <c r="AL334" s="13">
        <v>0.58414977598647355</v>
      </c>
      <c r="AM334" s="14">
        <v>1</v>
      </c>
      <c r="AN334" s="14">
        <v>0</v>
      </c>
      <c r="AO334" s="82">
        <v>495964.09061488672</v>
      </c>
      <c r="AP334" s="82">
        <v>593734.42211055278</v>
      </c>
      <c r="AQ334" s="82">
        <v>97770.331495666062</v>
      </c>
      <c r="AR334" s="129">
        <v>0.19713187576635294</v>
      </c>
    </row>
    <row r="335" spans="1:44" ht="28.8" x14ac:dyDescent="0.3">
      <c r="A335" s="136" t="s">
        <v>534</v>
      </c>
      <c r="B335" s="137" t="s">
        <v>5119</v>
      </c>
      <c r="C335" s="134">
        <v>2019</v>
      </c>
      <c r="D335" s="149" t="s">
        <v>1157</v>
      </c>
      <c r="E335" s="135" t="s">
        <v>1152</v>
      </c>
      <c r="F335" s="384" t="s">
        <v>527</v>
      </c>
      <c r="G335" s="138" t="s">
        <v>4773</v>
      </c>
      <c r="H335" s="138" t="s">
        <v>4567</v>
      </c>
      <c r="I335" s="138" t="s">
        <v>4255</v>
      </c>
      <c r="J335" s="135" t="s">
        <v>4774</v>
      </c>
      <c r="K335" s="164">
        <v>759839267</v>
      </c>
      <c r="L335" s="165">
        <v>278461872</v>
      </c>
      <c r="M335" s="165">
        <v>127074894</v>
      </c>
      <c r="N335" s="165">
        <v>42621696</v>
      </c>
      <c r="O335" s="165">
        <v>159266767</v>
      </c>
      <c r="P335" s="165">
        <v>40288661</v>
      </c>
      <c r="Q335" s="165">
        <v>6266649</v>
      </c>
      <c r="R335" s="165">
        <v>206.33333333333334</v>
      </c>
      <c r="S335" s="165">
        <v>602746274</v>
      </c>
      <c r="T335" s="165">
        <v>2921225.8836833602</v>
      </c>
      <c r="U335" s="166">
        <v>354302501</v>
      </c>
      <c r="V335" s="168">
        <v>1127092947</v>
      </c>
      <c r="W335" s="165">
        <v>870008496</v>
      </c>
      <c r="X335" s="165">
        <v>100774205</v>
      </c>
      <c r="Y335" s="165">
        <v>54629354</v>
      </c>
      <c r="Z335" s="165">
        <v>164589095</v>
      </c>
      <c r="AA335" s="165">
        <v>31580697</v>
      </c>
      <c r="AB335" s="165">
        <v>5499897</v>
      </c>
      <c r="AC335" s="165">
        <v>227.33333333333334</v>
      </c>
      <c r="AD335" s="165">
        <v>412609289</v>
      </c>
      <c r="AE335" s="165">
        <v>1814996.8724340175</v>
      </c>
      <c r="AF335" s="166">
        <v>156310246</v>
      </c>
      <c r="AG335" s="11">
        <v>-190136985</v>
      </c>
      <c r="AH335" s="12">
        <v>21</v>
      </c>
      <c r="AI335" s="132">
        <v>0</v>
      </c>
      <c r="AJ335" s="132">
        <v>0</v>
      </c>
      <c r="AK335" s="13">
        <v>0.15</v>
      </c>
      <c r="AL335" s="13">
        <v>-0.37868657044760945</v>
      </c>
      <c r="AM335" s="14">
        <v>0</v>
      </c>
      <c r="AN335" s="14">
        <v>-1</v>
      </c>
      <c r="AO335" s="82">
        <v>771890.63166397414</v>
      </c>
      <c r="AP335" s="82">
        <v>723998.95161290315</v>
      </c>
      <c r="AQ335" s="82">
        <v>-47891.680051070987</v>
      </c>
      <c r="AR335" s="129">
        <v>-6.2044644780608782E-2</v>
      </c>
    </row>
    <row r="336" spans="1:44" ht="28.8" x14ac:dyDescent="0.3">
      <c r="A336" s="136" t="s">
        <v>535</v>
      </c>
      <c r="B336" s="137" t="s">
        <v>5120</v>
      </c>
      <c r="C336" s="134">
        <v>2020</v>
      </c>
      <c r="D336" s="149" t="s">
        <v>1157</v>
      </c>
      <c r="E336" s="135" t="s">
        <v>1152</v>
      </c>
      <c r="F336" s="384" t="s">
        <v>527</v>
      </c>
      <c r="G336" s="138" t="s">
        <v>4773</v>
      </c>
      <c r="H336" s="138" t="s">
        <v>3025</v>
      </c>
      <c r="I336" s="138" t="s">
        <v>1566</v>
      </c>
      <c r="J336" s="135" t="s">
        <v>4774</v>
      </c>
      <c r="K336" s="164">
        <v>549305879</v>
      </c>
      <c r="L336" s="165">
        <v>265565531</v>
      </c>
      <c r="M336" s="165">
        <v>194083532</v>
      </c>
      <c r="N336" s="165">
        <v>9929104</v>
      </c>
      <c r="O336" s="165">
        <v>87302356</v>
      </c>
      <c r="P336" s="165">
        <v>19672723</v>
      </c>
      <c r="Q336" s="165">
        <v>1592104</v>
      </c>
      <c r="R336" s="165">
        <v>203.41666666666666</v>
      </c>
      <c r="S336" s="165">
        <v>208153103</v>
      </c>
      <c r="T336" s="165">
        <v>1023284.4063908234</v>
      </c>
      <c r="U336" s="166">
        <v>89656816</v>
      </c>
      <c r="V336" s="168">
        <v>726517947</v>
      </c>
      <c r="W336" s="165">
        <v>373931435</v>
      </c>
      <c r="X336" s="165">
        <v>256136250</v>
      </c>
      <c r="Y336" s="165">
        <v>11997731</v>
      </c>
      <c r="Z336" s="165">
        <v>102824123</v>
      </c>
      <c r="AA336" s="165">
        <v>20360801</v>
      </c>
      <c r="AB336" s="165">
        <v>1599579</v>
      </c>
      <c r="AC336" s="165">
        <v>205.08333333333334</v>
      </c>
      <c r="AD336" s="165">
        <v>233232496</v>
      </c>
      <c r="AE336" s="165">
        <v>1137257.1930109712</v>
      </c>
      <c r="AF336" s="166">
        <v>96450262</v>
      </c>
      <c r="AG336" s="11">
        <v>25079393</v>
      </c>
      <c r="AH336" s="12">
        <v>1.6666666666666856</v>
      </c>
      <c r="AI336" s="132">
        <v>1</v>
      </c>
      <c r="AJ336" s="132">
        <v>1</v>
      </c>
      <c r="AK336" s="13">
        <v>0.1</v>
      </c>
      <c r="AL336" s="13">
        <v>0.1113793769221989</v>
      </c>
      <c r="AM336" s="14">
        <v>1</v>
      </c>
      <c r="AN336" s="14">
        <v>0</v>
      </c>
      <c r="AO336" s="82">
        <v>429179.95575583779</v>
      </c>
      <c r="AP336" s="82">
        <v>501377.275904104</v>
      </c>
      <c r="AQ336" s="82">
        <v>72197.320148266212</v>
      </c>
      <c r="AR336" s="129">
        <v>0.16822155643573344</v>
      </c>
    </row>
    <row r="337" spans="1:44" ht="28.8" x14ac:dyDescent="0.3">
      <c r="A337" s="136" t="s">
        <v>536</v>
      </c>
      <c r="B337" s="137" t="s">
        <v>5121</v>
      </c>
      <c r="C337" s="134">
        <v>2020</v>
      </c>
      <c r="D337" s="149" t="s">
        <v>1157</v>
      </c>
      <c r="E337" s="135" t="s">
        <v>1152</v>
      </c>
      <c r="F337" s="384" t="s">
        <v>527</v>
      </c>
      <c r="G337" s="138" t="s">
        <v>4773</v>
      </c>
      <c r="H337" s="138" t="s">
        <v>4571</v>
      </c>
      <c r="I337" s="138" t="s">
        <v>4255</v>
      </c>
      <c r="J337" s="135" t="s">
        <v>4778</v>
      </c>
      <c r="K337" s="164">
        <v>912489817</v>
      </c>
      <c r="L337" s="165">
        <v>418190256</v>
      </c>
      <c r="M337" s="165">
        <v>273923662</v>
      </c>
      <c r="N337" s="165">
        <v>36478325</v>
      </c>
      <c r="O337" s="165">
        <v>237263664</v>
      </c>
      <c r="P337" s="165">
        <v>73332064</v>
      </c>
      <c r="Q337" s="165">
        <v>5435665</v>
      </c>
      <c r="R337" s="165">
        <v>509.83333333333331</v>
      </c>
      <c r="S337" s="165">
        <v>572885617</v>
      </c>
      <c r="T337" s="165">
        <v>1123672.3445570448</v>
      </c>
      <c r="U337" s="166">
        <v>220375899</v>
      </c>
      <c r="V337" s="168">
        <v>977705541</v>
      </c>
      <c r="W337" s="165">
        <v>464530712</v>
      </c>
      <c r="X337" s="165">
        <v>319016093</v>
      </c>
      <c r="Y337" s="165">
        <v>35469833</v>
      </c>
      <c r="Z337" s="165">
        <v>270025386</v>
      </c>
      <c r="AA337" s="165">
        <v>83457800</v>
      </c>
      <c r="AB337" s="165">
        <v>7032379</v>
      </c>
      <c r="AC337" s="165">
        <v>509</v>
      </c>
      <c r="AD337" s="165">
        <v>590144134</v>
      </c>
      <c r="AE337" s="165">
        <v>1159418.7308447936</v>
      </c>
      <c r="AF337" s="166">
        <v>194158736</v>
      </c>
      <c r="AG337" s="11">
        <v>17258517</v>
      </c>
      <c r="AH337" s="12">
        <v>-0.83333333333331439</v>
      </c>
      <c r="AI337" s="132">
        <v>0</v>
      </c>
      <c r="AJ337" s="132">
        <v>0</v>
      </c>
      <c r="AK337" s="13">
        <v>0.1</v>
      </c>
      <c r="AL337" s="13">
        <v>3.1812111705090018E-2</v>
      </c>
      <c r="AM337" s="14">
        <v>0</v>
      </c>
      <c r="AN337" s="14">
        <v>-1</v>
      </c>
      <c r="AO337" s="82">
        <v>465374.95390650543</v>
      </c>
      <c r="AP337" s="82">
        <v>530501.74066797644</v>
      </c>
      <c r="AQ337" s="82">
        <v>65126.786761471012</v>
      </c>
      <c r="AR337" s="129">
        <v>0.13994476113245047</v>
      </c>
    </row>
    <row r="338" spans="1:44" ht="28.8" x14ac:dyDescent="0.3">
      <c r="A338" s="136" t="s">
        <v>537</v>
      </c>
      <c r="B338" s="137" t="s">
        <v>5122</v>
      </c>
      <c r="C338" s="134">
        <v>2020</v>
      </c>
      <c r="D338" s="149" t="s">
        <v>1157</v>
      </c>
      <c r="E338" s="135" t="s">
        <v>1152</v>
      </c>
      <c r="F338" s="384" t="s">
        <v>527</v>
      </c>
      <c r="G338" s="138" t="s">
        <v>4773</v>
      </c>
      <c r="H338" s="138" t="s">
        <v>1740</v>
      </c>
      <c r="I338" s="138" t="s">
        <v>1566</v>
      </c>
      <c r="J338" s="135" t="s">
        <v>4774</v>
      </c>
      <c r="K338" s="164">
        <v>1417892921</v>
      </c>
      <c r="L338" s="165">
        <v>826893080</v>
      </c>
      <c r="M338" s="165">
        <v>573964873</v>
      </c>
      <c r="N338" s="165">
        <v>17115018</v>
      </c>
      <c r="O338" s="165">
        <v>305455724</v>
      </c>
      <c r="P338" s="165">
        <v>89587234</v>
      </c>
      <c r="Q338" s="165">
        <v>1329633</v>
      </c>
      <c r="R338" s="165">
        <v>995.25</v>
      </c>
      <c r="S338" s="165">
        <v>430522577</v>
      </c>
      <c r="T338" s="165">
        <v>432577.31926651596</v>
      </c>
      <c r="U338" s="166">
        <v>17034968</v>
      </c>
      <c r="V338" s="168">
        <v>947326706</v>
      </c>
      <c r="W338" s="165">
        <v>612569299</v>
      </c>
      <c r="X338" s="165">
        <v>326650477</v>
      </c>
      <c r="Y338" s="165">
        <v>12672935</v>
      </c>
      <c r="Z338" s="165">
        <v>218553470</v>
      </c>
      <c r="AA338" s="165">
        <v>63911959</v>
      </c>
      <c r="AB338" s="165">
        <v>1228188</v>
      </c>
      <c r="AC338" s="165">
        <v>601.66666666666663</v>
      </c>
      <c r="AD338" s="165">
        <v>304473482</v>
      </c>
      <c r="AE338" s="165">
        <v>506050.10858725762</v>
      </c>
      <c r="AF338" s="166">
        <v>8106930</v>
      </c>
      <c r="AG338" s="11">
        <v>-126049095</v>
      </c>
      <c r="AH338" s="12">
        <v>-393.58333333333337</v>
      </c>
      <c r="AI338" s="132">
        <v>1</v>
      </c>
      <c r="AJ338" s="132">
        <v>1</v>
      </c>
      <c r="AK338" s="13">
        <v>0.1</v>
      </c>
      <c r="AL338" s="13">
        <v>0.16984891857021078</v>
      </c>
      <c r="AM338" s="14">
        <v>1</v>
      </c>
      <c r="AN338" s="14">
        <v>0</v>
      </c>
      <c r="AO338" s="82">
        <v>306913.56342627481</v>
      </c>
      <c r="AP338" s="82">
        <v>363246.76454293629</v>
      </c>
      <c r="AQ338" s="82">
        <v>56333.201116661483</v>
      </c>
      <c r="AR338" s="129">
        <v>0.18354744732613804</v>
      </c>
    </row>
    <row r="339" spans="1:44" ht="28.8" x14ac:dyDescent="0.3">
      <c r="A339" s="136" t="s">
        <v>538</v>
      </c>
      <c r="B339" s="137" t="s">
        <v>5123</v>
      </c>
      <c r="C339" s="134">
        <v>2020</v>
      </c>
      <c r="D339" s="149" t="s">
        <v>1170</v>
      </c>
      <c r="E339" s="135" t="s">
        <v>1152</v>
      </c>
      <c r="F339" s="384" t="s">
        <v>539</v>
      </c>
      <c r="G339" s="138" t="s">
        <v>4773</v>
      </c>
      <c r="H339" s="138" t="s">
        <v>3564</v>
      </c>
      <c r="I339" s="138" t="s">
        <v>3557</v>
      </c>
      <c r="J339" s="135" t="s">
        <v>4774</v>
      </c>
      <c r="K339" s="164">
        <v>190428422</v>
      </c>
      <c r="L339" s="165">
        <v>82489429</v>
      </c>
      <c r="M339" s="165">
        <v>105295272</v>
      </c>
      <c r="N339" s="165">
        <v>9933264</v>
      </c>
      <c r="O339" s="165">
        <v>102569007</v>
      </c>
      <c r="P339" s="165">
        <v>22513190</v>
      </c>
      <c r="Q339" s="165">
        <v>253131</v>
      </c>
      <c r="R339" s="165">
        <v>132.16666666666666</v>
      </c>
      <c r="S339" s="165">
        <v>137912313</v>
      </c>
      <c r="T339" s="165">
        <v>1043472.733921816</v>
      </c>
      <c r="U339" s="166">
        <v>2643721</v>
      </c>
      <c r="V339" s="168">
        <v>988266398</v>
      </c>
      <c r="W339" s="165">
        <v>811935006</v>
      </c>
      <c r="X339" s="165">
        <v>176025250</v>
      </c>
      <c r="Y339" s="165">
        <v>12337668</v>
      </c>
      <c r="Z339" s="165">
        <v>136293650.31999999</v>
      </c>
      <c r="AA339" s="165">
        <v>22069854</v>
      </c>
      <c r="AB339" s="165">
        <v>612528</v>
      </c>
      <c r="AC339" s="165">
        <v>138.91666666666666</v>
      </c>
      <c r="AD339" s="165">
        <v>171619842.31999999</v>
      </c>
      <c r="AE339" s="165">
        <v>1235415.7815476905</v>
      </c>
      <c r="AF339" s="166">
        <v>306142</v>
      </c>
      <c r="AG339" s="11">
        <v>33707529.319999993</v>
      </c>
      <c r="AH339" s="12">
        <v>6.75</v>
      </c>
      <c r="AI339" s="132">
        <v>1</v>
      </c>
      <c r="AJ339" s="132">
        <v>1</v>
      </c>
      <c r="AK339" s="13">
        <v>0.1</v>
      </c>
      <c r="AL339" s="13">
        <v>0.18394639790921996</v>
      </c>
      <c r="AM339" s="14">
        <v>1</v>
      </c>
      <c r="AN339" s="14">
        <v>0</v>
      </c>
      <c r="AO339" s="82">
        <v>776058.06052963436</v>
      </c>
      <c r="AP339" s="82">
        <v>981118.05869226158</v>
      </c>
      <c r="AQ339" s="82">
        <v>205059.99816262722</v>
      </c>
      <c r="AR339" s="129">
        <v>0.26423280498198864</v>
      </c>
    </row>
    <row r="340" spans="1:44" ht="28.8" x14ac:dyDescent="0.3">
      <c r="A340" s="136" t="s">
        <v>540</v>
      </c>
      <c r="B340" s="137" t="s">
        <v>5124</v>
      </c>
      <c r="C340" s="134">
        <v>2019</v>
      </c>
      <c r="D340" s="149" t="s">
        <v>4865</v>
      </c>
      <c r="E340" s="135" t="s">
        <v>1108</v>
      </c>
      <c r="F340" s="384" t="s">
        <v>541</v>
      </c>
      <c r="G340" s="138" t="s">
        <v>4773</v>
      </c>
      <c r="H340" s="138" t="s">
        <v>3367</v>
      </c>
      <c r="I340" s="138" t="s">
        <v>1566</v>
      </c>
      <c r="J340" s="135" t="s">
        <v>4798</v>
      </c>
      <c r="K340" s="164">
        <v>18515511864</v>
      </c>
      <c r="L340" s="165">
        <v>12689557223</v>
      </c>
      <c r="M340" s="165">
        <v>3910123329</v>
      </c>
      <c r="N340" s="165">
        <v>82286515</v>
      </c>
      <c r="O340" s="165">
        <v>2892911697</v>
      </c>
      <c r="P340" s="165">
        <v>762055646</v>
      </c>
      <c r="Q340" s="165">
        <v>107512141</v>
      </c>
      <c r="R340" s="165">
        <v>3747.9166666666665</v>
      </c>
      <c r="S340" s="165">
        <v>5760597311</v>
      </c>
      <c r="T340" s="165">
        <v>1537013.179143969</v>
      </c>
      <c r="U340" s="166">
        <v>1915831312</v>
      </c>
      <c r="V340" s="168">
        <v>30108788476</v>
      </c>
      <c r="W340" s="165">
        <v>29106641862</v>
      </c>
      <c r="X340" s="165">
        <v>2047567474</v>
      </c>
      <c r="Y340" s="165">
        <v>106043060</v>
      </c>
      <c r="Z340" s="165">
        <v>3431978763.1900001</v>
      </c>
      <c r="AA340" s="165">
        <v>1062855381.8200001</v>
      </c>
      <c r="AB340" s="165">
        <v>114189606</v>
      </c>
      <c r="AC340" s="165">
        <v>4191</v>
      </c>
      <c r="AD340" s="165">
        <v>3669645951.0100002</v>
      </c>
      <c r="AE340" s="165">
        <v>875601.51539250778</v>
      </c>
      <c r="AF340" s="166">
        <v>-1045420860</v>
      </c>
      <c r="AG340" s="11">
        <v>-2090951359.9899998</v>
      </c>
      <c r="AH340" s="12">
        <v>443.08333333333348</v>
      </c>
      <c r="AI340" s="132">
        <v>0</v>
      </c>
      <c r="AJ340" s="132">
        <v>0</v>
      </c>
      <c r="AK340" s="13">
        <v>0.15</v>
      </c>
      <c r="AL340" s="13">
        <v>-0.43032269898947773</v>
      </c>
      <c r="AM340" s="14">
        <v>0</v>
      </c>
      <c r="AN340" s="14">
        <v>-1</v>
      </c>
      <c r="AO340" s="82">
        <v>771871.93694274605</v>
      </c>
      <c r="AP340" s="82">
        <v>818892.57055356714</v>
      </c>
      <c r="AQ340" s="82">
        <v>47020.633610821096</v>
      </c>
      <c r="AR340" s="129">
        <v>6.0917661804187118E-2</v>
      </c>
    </row>
    <row r="341" spans="1:44" ht="28.8" x14ac:dyDescent="0.3">
      <c r="A341" s="136" t="s">
        <v>542</v>
      </c>
      <c r="B341" s="137" t="s">
        <v>5125</v>
      </c>
      <c r="C341" s="134">
        <v>2020</v>
      </c>
      <c r="D341" s="149" t="s">
        <v>4865</v>
      </c>
      <c r="E341" s="135" t="s">
        <v>1108</v>
      </c>
      <c r="F341" s="384" t="s">
        <v>541</v>
      </c>
      <c r="G341" s="138" t="s">
        <v>4773</v>
      </c>
      <c r="H341" s="138" t="s">
        <v>2747</v>
      </c>
      <c r="I341" s="138" t="s">
        <v>1566</v>
      </c>
      <c r="J341" s="135" t="s">
        <v>4774</v>
      </c>
      <c r="K341" s="164">
        <v>1905712067</v>
      </c>
      <c r="L341" s="165">
        <v>1090995934</v>
      </c>
      <c r="M341" s="165">
        <v>607475378</v>
      </c>
      <c r="N341" s="165">
        <v>86403264</v>
      </c>
      <c r="O341" s="165">
        <v>409498771</v>
      </c>
      <c r="P341" s="165">
        <v>104518740</v>
      </c>
      <c r="Q341" s="165">
        <v>888351</v>
      </c>
      <c r="R341" s="165">
        <v>603.66666666666663</v>
      </c>
      <c r="S341" s="165">
        <v>808549881</v>
      </c>
      <c r="T341" s="165">
        <v>1339397.9254555495</v>
      </c>
      <c r="U341" s="166">
        <v>207240755</v>
      </c>
      <c r="V341" s="168">
        <v>2061570663</v>
      </c>
      <c r="W341" s="165">
        <v>1045017368</v>
      </c>
      <c r="X341" s="165">
        <v>816751636</v>
      </c>
      <c r="Y341" s="165">
        <v>84597705</v>
      </c>
      <c r="Z341" s="165">
        <v>406562921.32999998</v>
      </c>
      <c r="AA341" s="165">
        <v>104518739.67999999</v>
      </c>
      <c r="AB341" s="165">
        <v>888351</v>
      </c>
      <c r="AC341" s="165">
        <v>603.66666666666663</v>
      </c>
      <c r="AD341" s="165">
        <v>796369376.00999987</v>
      </c>
      <c r="AE341" s="165">
        <v>1319220.3909607951</v>
      </c>
      <c r="AF341" s="166">
        <v>199801659</v>
      </c>
      <c r="AG341" s="11">
        <v>-12180504.990000129</v>
      </c>
      <c r="AH341" s="12">
        <v>0</v>
      </c>
      <c r="AI341" s="132">
        <v>0</v>
      </c>
      <c r="AJ341" s="132">
        <v>0</v>
      </c>
      <c r="AK341" s="13">
        <v>0.1</v>
      </c>
      <c r="AL341" s="13">
        <v>-1.506463430177174E-2</v>
      </c>
      <c r="AM341" s="14">
        <v>0</v>
      </c>
      <c r="AN341" s="14">
        <v>-1</v>
      </c>
      <c r="AO341" s="82">
        <v>678352.4643843181</v>
      </c>
      <c r="AP341" s="82">
        <v>673489.10214798455</v>
      </c>
      <c r="AQ341" s="82">
        <v>-4863.3622363335453</v>
      </c>
      <c r="AR341" s="129">
        <v>-7.1693735803666225E-3</v>
      </c>
    </row>
    <row r="342" spans="1:44" ht="28.8" x14ac:dyDescent="0.3">
      <c r="A342" s="136" t="s">
        <v>543</v>
      </c>
      <c r="B342" s="137" t="s">
        <v>5126</v>
      </c>
      <c r="C342" s="134">
        <v>2020</v>
      </c>
      <c r="D342" s="149" t="s">
        <v>5127</v>
      </c>
      <c r="E342" s="135" t="s">
        <v>1175</v>
      </c>
      <c r="F342" s="384" t="s">
        <v>272</v>
      </c>
      <c r="G342" s="138" t="s">
        <v>4773</v>
      </c>
      <c r="H342" s="138" t="s">
        <v>2605</v>
      </c>
      <c r="I342" s="138" t="s">
        <v>1566</v>
      </c>
      <c r="J342" s="135" t="s">
        <v>4774</v>
      </c>
      <c r="K342" s="164">
        <v>2901746513</v>
      </c>
      <c r="L342" s="165">
        <v>2183959270</v>
      </c>
      <c r="M342" s="165">
        <v>158523573</v>
      </c>
      <c r="N342" s="165">
        <v>95880116</v>
      </c>
      <c r="O342" s="165">
        <v>631333193</v>
      </c>
      <c r="P342" s="165">
        <v>188772597</v>
      </c>
      <c r="Q342" s="165">
        <v>968270</v>
      </c>
      <c r="R342" s="165">
        <v>1406.25</v>
      </c>
      <c r="S342" s="165">
        <v>1476217846</v>
      </c>
      <c r="T342" s="165">
        <v>1049754.9127111111</v>
      </c>
      <c r="U342" s="166">
        <v>559263670</v>
      </c>
      <c r="V342" s="168">
        <v>3213092793</v>
      </c>
      <c r="W342" s="165">
        <v>2683663199</v>
      </c>
      <c r="X342" s="165">
        <v>156159420</v>
      </c>
      <c r="Y342" s="165">
        <v>104297789</v>
      </c>
      <c r="Z342" s="165">
        <v>762572574.28000009</v>
      </c>
      <c r="AA342" s="165">
        <v>229090571.94000003</v>
      </c>
      <c r="AB342" s="165">
        <v>346790</v>
      </c>
      <c r="AC342" s="165">
        <v>1458.0833333333333</v>
      </c>
      <c r="AD342" s="165">
        <v>1469577899.2200003</v>
      </c>
      <c r="AE342" s="165">
        <v>1007883.3394661944</v>
      </c>
      <c r="AF342" s="166">
        <v>373270174</v>
      </c>
      <c r="AG342" s="11">
        <v>-6639946.779999733</v>
      </c>
      <c r="AH342" s="12">
        <v>51.833333333333258</v>
      </c>
      <c r="AI342" s="132">
        <v>0</v>
      </c>
      <c r="AJ342" s="132">
        <v>0</v>
      </c>
      <c r="AK342" s="13">
        <v>0.1</v>
      </c>
      <c r="AL342" s="13">
        <v>-3.988699609892743E-2</v>
      </c>
      <c r="AM342" s="14">
        <v>0</v>
      </c>
      <c r="AN342" s="14">
        <v>-1</v>
      </c>
      <c r="AO342" s="82">
        <v>448948.04835555557</v>
      </c>
      <c r="AP342" s="82">
        <v>522996.56463165121</v>
      </c>
      <c r="AQ342" s="82">
        <v>74048.516276095645</v>
      </c>
      <c r="AR342" s="129">
        <v>0.16493782865818596</v>
      </c>
    </row>
    <row r="343" spans="1:44" ht="28.8" x14ac:dyDescent="0.3">
      <c r="A343" s="136" t="s">
        <v>544</v>
      </c>
      <c r="B343" s="137" t="s">
        <v>5128</v>
      </c>
      <c r="C343" s="134">
        <v>2018</v>
      </c>
      <c r="D343" s="149" t="s">
        <v>1187</v>
      </c>
      <c r="E343" s="135" t="s">
        <v>1175</v>
      </c>
      <c r="F343" s="384" t="s">
        <v>541</v>
      </c>
      <c r="G343" s="138" t="s">
        <v>4773</v>
      </c>
      <c r="H343" s="138" t="s">
        <v>1796</v>
      </c>
      <c r="I343" s="138" t="s">
        <v>1566</v>
      </c>
      <c r="J343" s="135" t="s">
        <v>4774</v>
      </c>
      <c r="K343" s="164">
        <v>1319637000</v>
      </c>
      <c r="L343" s="165">
        <v>1022725190</v>
      </c>
      <c r="M343" s="165">
        <v>247242530</v>
      </c>
      <c r="N343" s="165">
        <v>46905650</v>
      </c>
      <c r="O343" s="165">
        <v>214159760</v>
      </c>
      <c r="P343" s="165">
        <v>58973871.030000001</v>
      </c>
      <c r="Q343" s="165">
        <v>2289230</v>
      </c>
      <c r="R343" s="165">
        <v>742.83333333333314</v>
      </c>
      <c r="S343" s="165">
        <v>371997791.02999997</v>
      </c>
      <c r="T343" s="165">
        <v>500782.30787076516</v>
      </c>
      <c r="U343" s="166">
        <v>49669280</v>
      </c>
      <c r="V343" s="168">
        <v>693665944</v>
      </c>
      <c r="W343" s="165">
        <v>763380623</v>
      </c>
      <c r="X343" s="165">
        <v>145424824</v>
      </c>
      <c r="Y343" s="165">
        <v>52603431</v>
      </c>
      <c r="Z343" s="165">
        <v>130829773.23999999</v>
      </c>
      <c r="AA343" s="165">
        <v>40155590.339999996</v>
      </c>
      <c r="AB343" s="165">
        <v>4375</v>
      </c>
      <c r="AC343" s="165">
        <v>392</v>
      </c>
      <c r="AD343" s="165">
        <v>8453666.5799999908</v>
      </c>
      <c r="AE343" s="165">
        <v>21565.475969387731</v>
      </c>
      <c r="AF343" s="166">
        <v>-215139503</v>
      </c>
      <c r="AG343" s="11">
        <v>-363544124.44999999</v>
      </c>
      <c r="AH343" s="12">
        <v>-350.83333333333314</v>
      </c>
      <c r="AI343" s="132">
        <v>0</v>
      </c>
      <c r="AJ343" s="132">
        <v>0</v>
      </c>
      <c r="AK343" s="13">
        <v>0.3</v>
      </c>
      <c r="AL343" s="13">
        <v>-0.95693641814144748</v>
      </c>
      <c r="AM343" s="14">
        <v>0</v>
      </c>
      <c r="AN343" s="14">
        <v>-1</v>
      </c>
      <c r="AO343" s="82">
        <v>288301.22503926413</v>
      </c>
      <c r="AP343" s="82">
        <v>333749.42153061222</v>
      </c>
      <c r="AQ343" s="82">
        <v>45448.196491348092</v>
      </c>
      <c r="AR343" s="129">
        <v>0.15764135752513164</v>
      </c>
    </row>
    <row r="344" spans="1:44" ht="28.8" x14ac:dyDescent="0.3">
      <c r="A344" s="136" t="s">
        <v>545</v>
      </c>
      <c r="B344" s="137" t="s">
        <v>5129</v>
      </c>
      <c r="C344" s="134">
        <v>2019</v>
      </c>
      <c r="D344" s="149" t="s">
        <v>1187</v>
      </c>
      <c r="E344" s="135" t="s">
        <v>1175</v>
      </c>
      <c r="F344" s="384" t="s">
        <v>541</v>
      </c>
      <c r="G344" s="138" t="s">
        <v>4773</v>
      </c>
      <c r="H344" s="138" t="s">
        <v>3539</v>
      </c>
      <c r="I344" s="138" t="s">
        <v>1566</v>
      </c>
      <c r="J344" s="135" t="s">
        <v>4798</v>
      </c>
      <c r="K344" s="164">
        <v>501369922</v>
      </c>
      <c r="L344" s="165">
        <v>262308931</v>
      </c>
      <c r="M344" s="165">
        <v>97986104</v>
      </c>
      <c r="N344" s="165">
        <v>18523079</v>
      </c>
      <c r="O344" s="165">
        <v>63547637</v>
      </c>
      <c r="P344" s="165">
        <v>17409409</v>
      </c>
      <c r="Q344" s="165">
        <v>350963</v>
      </c>
      <c r="R344" s="165">
        <v>133.75</v>
      </c>
      <c r="S344" s="165">
        <v>240905975</v>
      </c>
      <c r="T344" s="165">
        <v>1801166.1682242991</v>
      </c>
      <c r="U344" s="166">
        <v>141074887</v>
      </c>
      <c r="V344" s="168">
        <v>908708848</v>
      </c>
      <c r="W344" s="165">
        <v>554788057</v>
      </c>
      <c r="X344" s="165">
        <v>179512840</v>
      </c>
      <c r="Y344" s="165">
        <v>19374778</v>
      </c>
      <c r="Z344" s="165">
        <v>79707332.170000002</v>
      </c>
      <c r="AA344" s="165">
        <v>16356461.25</v>
      </c>
      <c r="AB344" s="165">
        <v>304464</v>
      </c>
      <c r="AC344" s="165">
        <v>148.66666666666666</v>
      </c>
      <c r="AD344" s="165">
        <v>290150986.42000002</v>
      </c>
      <c r="AE344" s="165">
        <v>1951688.2494618837</v>
      </c>
      <c r="AF344" s="166">
        <v>174407951</v>
      </c>
      <c r="AG344" s="11">
        <v>49245011.420000017</v>
      </c>
      <c r="AH344" s="12">
        <v>14.916666666666657</v>
      </c>
      <c r="AI344" s="132">
        <v>0</v>
      </c>
      <c r="AJ344" s="132">
        <v>0</v>
      </c>
      <c r="AK344" s="13">
        <v>0.15</v>
      </c>
      <c r="AL344" s="13">
        <v>8.3569235591405722E-2</v>
      </c>
      <c r="AM344" s="14">
        <v>0</v>
      </c>
      <c r="AN344" s="14">
        <v>-1</v>
      </c>
      <c r="AO344" s="82">
        <v>475122.51962616824</v>
      </c>
      <c r="AP344" s="82">
        <v>536147.97423766821</v>
      </c>
      <c r="AQ344" s="82">
        <v>61025.454611499968</v>
      </c>
      <c r="AR344" s="129">
        <v>0.12844151159055883</v>
      </c>
    </row>
    <row r="345" spans="1:44" ht="28.8" x14ac:dyDescent="0.3">
      <c r="A345" s="136" t="s">
        <v>546</v>
      </c>
      <c r="B345" s="137" t="s">
        <v>5130</v>
      </c>
      <c r="C345" s="134">
        <v>2019</v>
      </c>
      <c r="D345" s="149" t="s">
        <v>1187</v>
      </c>
      <c r="E345" s="135" t="s">
        <v>1175</v>
      </c>
      <c r="F345" s="384" t="s">
        <v>541</v>
      </c>
      <c r="G345" s="138" t="s">
        <v>4773</v>
      </c>
      <c r="H345" s="138" t="s">
        <v>1601</v>
      </c>
      <c r="I345" s="138" t="s">
        <v>1566</v>
      </c>
      <c r="J345" s="135" t="s">
        <v>4774</v>
      </c>
      <c r="K345" s="164">
        <v>864106099</v>
      </c>
      <c r="L345" s="165">
        <v>599994958</v>
      </c>
      <c r="M345" s="165">
        <v>76682228</v>
      </c>
      <c r="N345" s="165">
        <v>25383811</v>
      </c>
      <c r="O345" s="165">
        <v>22822075</v>
      </c>
      <c r="P345" s="165">
        <v>6055517</v>
      </c>
      <c r="Q345" s="165">
        <v>17162</v>
      </c>
      <c r="R345" s="165">
        <v>127.58333333333333</v>
      </c>
      <c r="S345" s="165">
        <v>241707478</v>
      </c>
      <c r="T345" s="165">
        <v>1894506.6858262573</v>
      </c>
      <c r="U345" s="166">
        <v>187428913</v>
      </c>
      <c r="V345" s="168">
        <v>989319272</v>
      </c>
      <c r="W345" s="165">
        <v>799529053</v>
      </c>
      <c r="X345" s="165">
        <v>91855215</v>
      </c>
      <c r="Y345" s="165">
        <v>21500534</v>
      </c>
      <c r="Z345" s="165">
        <v>31925133.870000001</v>
      </c>
      <c r="AA345" s="165">
        <v>7681391.9000000004</v>
      </c>
      <c r="AB345" s="165">
        <v>16295</v>
      </c>
      <c r="AC345" s="165">
        <v>160.75</v>
      </c>
      <c r="AD345" s="165">
        <v>159058358.77000001</v>
      </c>
      <c r="AE345" s="165">
        <v>989476.5708864698</v>
      </c>
      <c r="AF345" s="166">
        <v>97935004</v>
      </c>
      <c r="AG345" s="11">
        <v>-82649119.229999989</v>
      </c>
      <c r="AH345" s="12">
        <v>33.166666666666671</v>
      </c>
      <c r="AI345" s="132">
        <v>0</v>
      </c>
      <c r="AJ345" s="132">
        <v>0</v>
      </c>
      <c r="AK345" s="13">
        <v>0.15</v>
      </c>
      <c r="AL345" s="13">
        <v>-0.47771281293284851</v>
      </c>
      <c r="AM345" s="14">
        <v>0</v>
      </c>
      <c r="AN345" s="14">
        <v>-1</v>
      </c>
      <c r="AO345" s="82">
        <v>178879.75179621164</v>
      </c>
      <c r="AP345" s="82">
        <v>198601.14382581649</v>
      </c>
      <c r="AQ345" s="82">
        <v>19721.392029604845</v>
      </c>
      <c r="AR345" s="129">
        <v>0.11024943757788974</v>
      </c>
    </row>
    <row r="346" spans="1:44" ht="28.8" x14ac:dyDescent="0.3">
      <c r="A346" s="136" t="s">
        <v>547</v>
      </c>
      <c r="B346" s="137" t="s">
        <v>5131</v>
      </c>
      <c r="C346" s="134">
        <v>2018</v>
      </c>
      <c r="D346" s="149" t="s">
        <v>1187</v>
      </c>
      <c r="E346" s="135" t="s">
        <v>1175</v>
      </c>
      <c r="F346" s="384" t="s">
        <v>548</v>
      </c>
      <c r="G346" s="138" t="s">
        <v>4773</v>
      </c>
      <c r="H346" s="138" t="s">
        <v>2359</v>
      </c>
      <c r="I346" s="138" t="s">
        <v>1566</v>
      </c>
      <c r="J346" s="135" t="s">
        <v>4778</v>
      </c>
      <c r="K346" s="164">
        <v>8193700999.999999</v>
      </c>
      <c r="L346" s="165">
        <v>5906364000</v>
      </c>
      <c r="M346" s="165">
        <v>1684951000</v>
      </c>
      <c r="N346" s="165">
        <v>418495216</v>
      </c>
      <c r="O346" s="165">
        <v>736553000</v>
      </c>
      <c r="P346" s="165">
        <v>171200000</v>
      </c>
      <c r="Q346" s="165">
        <v>21569000</v>
      </c>
      <c r="R346" s="165">
        <v>1092.5833333333335</v>
      </c>
      <c r="S346" s="165">
        <v>1950203215.999999</v>
      </c>
      <c r="T346" s="165">
        <v>1784946.8836854538</v>
      </c>
      <c r="U346" s="166">
        <v>602385999.99999905</v>
      </c>
      <c r="V346" s="168">
        <v>14930901365</v>
      </c>
      <c r="W346" s="165">
        <v>11338977440</v>
      </c>
      <c r="X346" s="165">
        <v>2891852420</v>
      </c>
      <c r="Y346" s="165">
        <v>304041981</v>
      </c>
      <c r="Z346" s="165">
        <v>1033426296</v>
      </c>
      <c r="AA346" s="165">
        <v>253307625.90000001</v>
      </c>
      <c r="AB346" s="165">
        <v>7600000</v>
      </c>
      <c r="AC346" s="165">
        <v>1109.5</v>
      </c>
      <c r="AD346" s="165">
        <v>2298447407.9000001</v>
      </c>
      <c r="AE346" s="165">
        <v>2071606.4965299685</v>
      </c>
      <c r="AF346" s="166">
        <v>700071505</v>
      </c>
      <c r="AG346" s="11">
        <v>348244191.90000105</v>
      </c>
      <c r="AH346" s="12">
        <v>16.916666666666515</v>
      </c>
      <c r="AI346" s="132">
        <v>0</v>
      </c>
      <c r="AJ346" s="132">
        <v>0</v>
      </c>
      <c r="AK346" s="13">
        <v>0.3</v>
      </c>
      <c r="AL346" s="13">
        <v>0.16059840391440683</v>
      </c>
      <c r="AM346" s="14">
        <v>0</v>
      </c>
      <c r="AN346" s="14">
        <v>-1</v>
      </c>
      <c r="AO346" s="82">
        <v>674138.96727938368</v>
      </c>
      <c r="AP346" s="82">
        <v>931434.24605678231</v>
      </c>
      <c r="AQ346" s="82">
        <v>257295.27877739863</v>
      </c>
      <c r="AR346" s="129">
        <v>0.38166504425009395</v>
      </c>
    </row>
    <row r="347" spans="1:44" ht="28.8" x14ac:dyDescent="0.3">
      <c r="A347" s="136" t="s">
        <v>549</v>
      </c>
      <c r="B347" s="137" t="s">
        <v>5132</v>
      </c>
      <c r="C347" s="134">
        <v>2019</v>
      </c>
      <c r="D347" s="149" t="s">
        <v>1187</v>
      </c>
      <c r="E347" s="135" t="s">
        <v>1175</v>
      </c>
      <c r="F347" s="384" t="s">
        <v>541</v>
      </c>
      <c r="G347" s="138" t="s">
        <v>4773</v>
      </c>
      <c r="H347" s="138" t="s">
        <v>2757</v>
      </c>
      <c r="I347" s="138" t="s">
        <v>1566</v>
      </c>
      <c r="J347" s="135" t="s">
        <v>4774</v>
      </c>
      <c r="K347" s="164">
        <v>1588879199</v>
      </c>
      <c r="L347" s="165">
        <v>826060595</v>
      </c>
      <c r="M347" s="165">
        <v>697072445</v>
      </c>
      <c r="N347" s="165">
        <v>70577208</v>
      </c>
      <c r="O347" s="165">
        <v>668864311</v>
      </c>
      <c r="P347" s="165">
        <v>185585169</v>
      </c>
      <c r="Q347" s="165">
        <v>3897784</v>
      </c>
      <c r="R347" s="165">
        <v>1145.5833333333333</v>
      </c>
      <c r="S347" s="165">
        <v>994670631</v>
      </c>
      <c r="T347" s="165">
        <v>868265.62682767154</v>
      </c>
      <c r="U347" s="166">
        <v>65746159</v>
      </c>
      <c r="V347" s="168">
        <v>1759971718</v>
      </c>
      <c r="W347" s="165">
        <v>941306264</v>
      </c>
      <c r="X347" s="165">
        <v>785556988</v>
      </c>
      <c r="Y347" s="165">
        <v>55772005</v>
      </c>
      <c r="Z347" s="165">
        <v>717244708.19999993</v>
      </c>
      <c r="AA347" s="165">
        <v>542827330.28000009</v>
      </c>
      <c r="AB347" s="165">
        <v>3705099</v>
      </c>
      <c r="AC347" s="165">
        <v>1854.4166666666667</v>
      </c>
      <c r="AD347" s="165">
        <v>1352657608.48</v>
      </c>
      <c r="AE347" s="165">
        <v>729424.85515481059</v>
      </c>
      <c r="AF347" s="166">
        <v>33108466</v>
      </c>
      <c r="AG347" s="11">
        <v>357986977.48000002</v>
      </c>
      <c r="AH347" s="12">
        <v>708.83333333333348</v>
      </c>
      <c r="AI347" s="132">
        <v>0</v>
      </c>
      <c r="AJ347" s="132">
        <v>0</v>
      </c>
      <c r="AK347" s="13">
        <v>0.15</v>
      </c>
      <c r="AL347" s="13">
        <v>-0.15990586889866876</v>
      </c>
      <c r="AM347" s="14">
        <v>0</v>
      </c>
      <c r="AN347" s="14">
        <v>-1</v>
      </c>
      <c r="AO347" s="82">
        <v>583863.51436677098</v>
      </c>
      <c r="AP347" s="82">
        <v>386776.45703500649</v>
      </c>
      <c r="AQ347" s="82">
        <v>-197087.05733176449</v>
      </c>
      <c r="AR347" s="129">
        <v>-0.33755672769776546</v>
      </c>
    </row>
    <row r="348" spans="1:44" ht="28.8" x14ac:dyDescent="0.3">
      <c r="A348" s="136" t="s">
        <v>550</v>
      </c>
      <c r="B348" s="137" t="s">
        <v>5133</v>
      </c>
      <c r="C348" s="134">
        <v>2019</v>
      </c>
      <c r="D348" s="149" t="s">
        <v>1187</v>
      </c>
      <c r="E348" s="135" t="s">
        <v>1175</v>
      </c>
      <c r="F348" s="384" t="s">
        <v>541</v>
      </c>
      <c r="G348" s="138" t="s">
        <v>4773</v>
      </c>
      <c r="H348" s="138" t="s">
        <v>3394</v>
      </c>
      <c r="I348" s="138" t="s">
        <v>1566</v>
      </c>
      <c r="J348" s="135" t="s">
        <v>4774</v>
      </c>
      <c r="K348" s="164">
        <v>1289623502</v>
      </c>
      <c r="L348" s="165">
        <v>854440288</v>
      </c>
      <c r="M348" s="165">
        <v>346045753</v>
      </c>
      <c r="N348" s="165">
        <v>54328491</v>
      </c>
      <c r="O348" s="165">
        <v>248362642</v>
      </c>
      <c r="P348" s="165">
        <v>66337885</v>
      </c>
      <c r="Q348" s="165">
        <v>12995416</v>
      </c>
      <c r="R348" s="165">
        <v>469.58333333333331</v>
      </c>
      <c r="S348" s="165">
        <v>471161895</v>
      </c>
      <c r="T348" s="165">
        <v>1003361.6220053239</v>
      </c>
      <c r="U348" s="166">
        <v>89137461</v>
      </c>
      <c r="V348" s="168">
        <v>1291099070</v>
      </c>
      <c r="W348" s="165">
        <v>670775412</v>
      </c>
      <c r="X348" s="165">
        <v>645951846</v>
      </c>
      <c r="Y348" s="165">
        <v>54548466</v>
      </c>
      <c r="Z348" s="165">
        <v>295650789.12</v>
      </c>
      <c r="AA348" s="165">
        <v>88776194.189999998</v>
      </c>
      <c r="AB348" s="165">
        <v>11559757</v>
      </c>
      <c r="AC348" s="165">
        <v>479.75</v>
      </c>
      <c r="AD348" s="165">
        <v>424907018.31</v>
      </c>
      <c r="AE348" s="165">
        <v>885684.24869202706</v>
      </c>
      <c r="AF348" s="166">
        <v>-25628188</v>
      </c>
      <c r="AG348" s="11">
        <v>-46254876.689999998</v>
      </c>
      <c r="AH348" s="12">
        <v>10.166666666666686</v>
      </c>
      <c r="AI348" s="132">
        <v>0</v>
      </c>
      <c r="AJ348" s="132">
        <v>0</v>
      </c>
      <c r="AK348" s="13">
        <v>0.15</v>
      </c>
      <c r="AL348" s="13">
        <v>-0.11728310875594383</v>
      </c>
      <c r="AM348" s="14">
        <v>0</v>
      </c>
      <c r="AN348" s="14">
        <v>-1</v>
      </c>
      <c r="AO348" s="82">
        <v>528900.03620230698</v>
      </c>
      <c r="AP348" s="82">
        <v>616260.11280875455</v>
      </c>
      <c r="AQ348" s="82">
        <v>87360.076606447576</v>
      </c>
      <c r="AR348" s="129">
        <v>0.16517313410247514</v>
      </c>
    </row>
    <row r="349" spans="1:44" ht="28.8" x14ac:dyDescent="0.3">
      <c r="A349" s="136" t="s">
        <v>551</v>
      </c>
      <c r="B349" s="137" t="s">
        <v>5134</v>
      </c>
      <c r="C349" s="134">
        <v>2019</v>
      </c>
      <c r="D349" s="149" t="s">
        <v>1187</v>
      </c>
      <c r="E349" s="135" t="s">
        <v>1175</v>
      </c>
      <c r="F349" s="384" t="s">
        <v>541</v>
      </c>
      <c r="G349" s="138" t="s">
        <v>4773</v>
      </c>
      <c r="H349" s="138" t="s">
        <v>1599</v>
      </c>
      <c r="I349" s="138" t="s">
        <v>1566</v>
      </c>
      <c r="J349" s="135" t="s">
        <v>4774</v>
      </c>
      <c r="K349" s="164">
        <v>622646931</v>
      </c>
      <c r="L349" s="165">
        <v>593320891</v>
      </c>
      <c r="M349" s="165">
        <v>24841173</v>
      </c>
      <c r="N349" s="165">
        <v>16323356</v>
      </c>
      <c r="O349" s="165">
        <v>30887975</v>
      </c>
      <c r="P349" s="165">
        <v>8583101</v>
      </c>
      <c r="Q349" s="165">
        <v>556368</v>
      </c>
      <c r="R349" s="165">
        <v>217.83333333333334</v>
      </c>
      <c r="S349" s="191">
        <v>60835667</v>
      </c>
      <c r="T349" s="191">
        <v>279276.20657995407</v>
      </c>
      <c r="U349" s="166">
        <v>4484867</v>
      </c>
      <c r="V349" s="168">
        <v>767476253</v>
      </c>
      <c r="W349" s="165">
        <v>726727514</v>
      </c>
      <c r="X349" s="165">
        <v>20269140</v>
      </c>
      <c r="Y349" s="165">
        <v>17256206</v>
      </c>
      <c r="Z349" s="165">
        <v>20344285.059999999</v>
      </c>
      <c r="AA349" s="165">
        <v>5799409.7800000003</v>
      </c>
      <c r="AB349" s="165">
        <v>412648</v>
      </c>
      <c r="AC349" s="165">
        <v>218.66666666666666</v>
      </c>
      <c r="AD349" s="165">
        <v>64292147.840000004</v>
      </c>
      <c r="AE349" s="165">
        <v>294018.96878048783</v>
      </c>
      <c r="AF349" s="166">
        <v>20479599</v>
      </c>
      <c r="AG349" s="11">
        <v>3456480.8400000036</v>
      </c>
      <c r="AH349" s="12">
        <v>0.83333333333331439</v>
      </c>
      <c r="AI349" s="132">
        <v>0</v>
      </c>
      <c r="AJ349" s="132">
        <v>1</v>
      </c>
      <c r="AK349" s="13">
        <v>0.15</v>
      </c>
      <c r="AL349" s="13">
        <v>5.2789172411069174E-2</v>
      </c>
      <c r="AM349" s="14">
        <v>0</v>
      </c>
      <c r="AN349" s="14">
        <v>-1</v>
      </c>
      <c r="AO349" s="82">
        <v>141796.36572302983</v>
      </c>
      <c r="AP349" s="82">
        <v>93037.888993902438</v>
      </c>
      <c r="AQ349" s="82">
        <v>-48758.476729127389</v>
      </c>
      <c r="AR349" s="129">
        <v>-0.34386266869749749</v>
      </c>
    </row>
    <row r="350" spans="1:44" ht="28.8" x14ac:dyDescent="0.3">
      <c r="A350" s="136" t="s">
        <v>552</v>
      </c>
      <c r="B350" s="137" t="s">
        <v>5135</v>
      </c>
      <c r="C350" s="134">
        <v>2019</v>
      </c>
      <c r="D350" s="149" t="s">
        <v>1118</v>
      </c>
      <c r="E350" s="135" t="s">
        <v>1117</v>
      </c>
      <c r="F350" s="384" t="s">
        <v>553</v>
      </c>
      <c r="G350" s="138" t="s">
        <v>4773</v>
      </c>
      <c r="H350" s="138" t="s">
        <v>2427</v>
      </c>
      <c r="I350" s="138" t="s">
        <v>1566</v>
      </c>
      <c r="J350" s="135" t="s">
        <v>4774</v>
      </c>
      <c r="K350" s="164">
        <v>2391989713</v>
      </c>
      <c r="L350" s="165">
        <v>1659092358</v>
      </c>
      <c r="M350" s="165">
        <v>286223438</v>
      </c>
      <c r="N350" s="165">
        <v>56216912</v>
      </c>
      <c r="O350" s="165">
        <v>295565228</v>
      </c>
      <c r="P350" s="165">
        <v>77403760</v>
      </c>
      <c r="Q350" s="165">
        <v>86500</v>
      </c>
      <c r="R350" s="165">
        <v>709.41666666666663</v>
      </c>
      <c r="S350" s="165">
        <v>875946317</v>
      </c>
      <c r="T350" s="165">
        <v>1234741.6661576412</v>
      </c>
      <c r="U350" s="166">
        <v>446673917</v>
      </c>
      <c r="V350" s="168">
        <v>3454577669</v>
      </c>
      <c r="W350" s="165">
        <v>2539776931</v>
      </c>
      <c r="X350" s="165">
        <v>306385799</v>
      </c>
      <c r="Y350" s="165">
        <v>65674643</v>
      </c>
      <c r="Z350" s="165">
        <v>401704685.81</v>
      </c>
      <c r="AA350" s="165">
        <v>124595549.63</v>
      </c>
      <c r="AB350" s="165">
        <v>56083</v>
      </c>
      <c r="AC350" s="165">
        <v>670.41666666666663</v>
      </c>
      <c r="AD350" s="165">
        <v>1200445900.4400001</v>
      </c>
      <c r="AE350" s="165">
        <v>1790596.7439751399</v>
      </c>
      <c r="AF350" s="166">
        <v>608414939</v>
      </c>
      <c r="AG350" s="11">
        <v>324499583.44000006</v>
      </c>
      <c r="AH350" s="12">
        <v>-39</v>
      </c>
      <c r="AI350" s="132">
        <v>1</v>
      </c>
      <c r="AJ350" s="132">
        <v>1</v>
      </c>
      <c r="AK350" s="13">
        <v>0.15</v>
      </c>
      <c r="AL350" s="13">
        <v>0.45017924275609822</v>
      </c>
      <c r="AM350" s="14">
        <v>1</v>
      </c>
      <c r="AN350" s="14">
        <v>0</v>
      </c>
      <c r="AO350" s="82">
        <v>416631.35627863271</v>
      </c>
      <c r="AP350" s="82">
        <v>599186.60406712245</v>
      </c>
      <c r="AQ350" s="82">
        <v>182555.24778848974</v>
      </c>
      <c r="AR350" s="129">
        <v>0.43816972735580983</v>
      </c>
    </row>
    <row r="351" spans="1:44" ht="43.2" x14ac:dyDescent="0.3">
      <c r="A351" s="136" t="s">
        <v>554</v>
      </c>
      <c r="B351" s="137" t="s">
        <v>5136</v>
      </c>
      <c r="C351" s="134">
        <v>2019</v>
      </c>
      <c r="D351" s="149" t="s">
        <v>1118</v>
      </c>
      <c r="E351" s="135" t="s">
        <v>1117</v>
      </c>
      <c r="F351" s="384" t="s">
        <v>142</v>
      </c>
      <c r="G351" s="138" t="s">
        <v>4773</v>
      </c>
      <c r="H351" s="138" t="s">
        <v>2717</v>
      </c>
      <c r="I351" s="138" t="s">
        <v>1566</v>
      </c>
      <c r="J351" s="135" t="s">
        <v>4778</v>
      </c>
      <c r="K351" s="164">
        <v>501816645</v>
      </c>
      <c r="L351" s="165">
        <v>260035047</v>
      </c>
      <c r="M351" s="165">
        <v>264121145</v>
      </c>
      <c r="N351" s="165">
        <v>16402618</v>
      </c>
      <c r="O351" s="165">
        <v>157092092.5</v>
      </c>
      <c r="P351" s="165">
        <v>41745872</v>
      </c>
      <c r="Q351" s="165">
        <v>2160518</v>
      </c>
      <c r="R351" s="165">
        <v>403.33333333333331</v>
      </c>
      <c r="S351" s="165">
        <v>195061553.5</v>
      </c>
      <c r="T351" s="165">
        <v>483623.6863636364</v>
      </c>
      <c r="U351" s="166">
        <v>-22339547</v>
      </c>
      <c r="V351" s="168">
        <v>666657044</v>
      </c>
      <c r="W351" s="165">
        <v>387795770</v>
      </c>
      <c r="X351" s="165">
        <v>264623686</v>
      </c>
      <c r="Y351" s="165">
        <v>10258507</v>
      </c>
      <c r="Z351" s="165">
        <v>171225693</v>
      </c>
      <c r="AA351" s="165">
        <v>52808459</v>
      </c>
      <c r="AB351" s="165">
        <v>1830547</v>
      </c>
      <c r="AC351" s="165">
        <v>377.5</v>
      </c>
      <c r="AD351" s="165">
        <v>250360794</v>
      </c>
      <c r="AE351" s="165">
        <v>663207.40132450336</v>
      </c>
      <c r="AF351" s="166">
        <v>14237588</v>
      </c>
      <c r="AG351" s="11">
        <v>55299240.5</v>
      </c>
      <c r="AH351" s="12">
        <v>-25.833333333333314</v>
      </c>
      <c r="AI351" s="132">
        <v>1</v>
      </c>
      <c r="AJ351" s="132">
        <v>0</v>
      </c>
      <c r="AK351" s="13">
        <v>0.15</v>
      </c>
      <c r="AL351" s="13">
        <v>0.37132943177369993</v>
      </c>
      <c r="AM351" s="14">
        <v>1</v>
      </c>
      <c r="AN351" s="14">
        <v>0</v>
      </c>
      <c r="AO351" s="82">
        <v>389484.52685950417</v>
      </c>
      <c r="AP351" s="82">
        <v>453577.99470198678</v>
      </c>
      <c r="AQ351" s="82">
        <v>64093.467842482612</v>
      </c>
      <c r="AR351" s="129">
        <v>0.16455972810853803</v>
      </c>
    </row>
    <row r="352" spans="1:44" ht="28.8" x14ac:dyDescent="0.3">
      <c r="A352" s="136" t="s">
        <v>555</v>
      </c>
      <c r="B352" s="137" t="s">
        <v>5137</v>
      </c>
      <c r="C352" s="134">
        <v>2019</v>
      </c>
      <c r="D352" s="149" t="s">
        <v>1118</v>
      </c>
      <c r="E352" s="135" t="s">
        <v>1117</v>
      </c>
      <c r="F352" s="384" t="s">
        <v>142</v>
      </c>
      <c r="G352" s="138" t="s">
        <v>4773</v>
      </c>
      <c r="H352" s="138" t="s">
        <v>2975</v>
      </c>
      <c r="I352" s="138" t="s">
        <v>1566</v>
      </c>
      <c r="J352" s="135" t="s">
        <v>4774</v>
      </c>
      <c r="K352" s="164">
        <v>393720699</v>
      </c>
      <c r="L352" s="165">
        <v>183073730</v>
      </c>
      <c r="M352" s="165">
        <v>177775292</v>
      </c>
      <c r="N352" s="165">
        <v>3484754</v>
      </c>
      <c r="O352" s="165">
        <v>89316966</v>
      </c>
      <c r="P352" s="165">
        <v>23978376</v>
      </c>
      <c r="Q352" s="165">
        <v>0</v>
      </c>
      <c r="R352" s="165">
        <v>197.5</v>
      </c>
      <c r="S352" s="165">
        <v>149651773</v>
      </c>
      <c r="T352" s="165">
        <v>757730.49620253162</v>
      </c>
      <c r="U352" s="166">
        <v>32871677</v>
      </c>
      <c r="V352" s="168">
        <v>1553393361</v>
      </c>
      <c r="W352" s="165">
        <v>799641335</v>
      </c>
      <c r="X352" s="165">
        <v>291191599</v>
      </c>
      <c r="Y352" s="165">
        <v>547642</v>
      </c>
      <c r="Z352" s="165">
        <v>129202056.08000001</v>
      </c>
      <c r="AA352" s="165">
        <v>26398152.460000001</v>
      </c>
      <c r="AB352" s="165">
        <v>24826</v>
      </c>
      <c r="AC352" s="165">
        <v>216.5</v>
      </c>
      <c r="AD352" s="165">
        <v>618733103.54000008</v>
      </c>
      <c r="AE352" s="165">
        <v>2857889.6237413399</v>
      </c>
      <c r="AF352" s="166">
        <v>462560427</v>
      </c>
      <c r="AG352" s="11">
        <v>469081330.54000008</v>
      </c>
      <c r="AH352" s="12">
        <v>19</v>
      </c>
      <c r="AI352" s="132">
        <v>1</v>
      </c>
      <c r="AJ352" s="132">
        <v>1</v>
      </c>
      <c r="AK352" s="13">
        <v>0.15</v>
      </c>
      <c r="AL352" s="13">
        <v>2.7716439024164927</v>
      </c>
      <c r="AM352" s="14">
        <v>1</v>
      </c>
      <c r="AN352" s="14">
        <v>0</v>
      </c>
      <c r="AO352" s="82">
        <v>452237.80253164558</v>
      </c>
      <c r="AP352" s="82">
        <v>596776.24055427255</v>
      </c>
      <c r="AQ352" s="82">
        <v>144538.43802262697</v>
      </c>
      <c r="AR352" s="129">
        <v>0.31960715626490077</v>
      </c>
    </row>
    <row r="353" spans="1:44" ht="28.8" x14ac:dyDescent="0.3">
      <c r="A353" s="136" t="s">
        <v>556</v>
      </c>
      <c r="B353" s="137" t="s">
        <v>5138</v>
      </c>
      <c r="C353" s="134">
        <v>2019</v>
      </c>
      <c r="D353" s="149" t="s">
        <v>1118</v>
      </c>
      <c r="E353" s="135" t="s">
        <v>1117</v>
      </c>
      <c r="F353" s="384" t="s">
        <v>142</v>
      </c>
      <c r="G353" s="138" t="s">
        <v>4773</v>
      </c>
      <c r="H353" s="138" t="s">
        <v>1348</v>
      </c>
      <c r="I353" s="138" t="s">
        <v>1217</v>
      </c>
      <c r="J353" s="135" t="s">
        <v>4774</v>
      </c>
      <c r="K353" s="164">
        <v>576960823</v>
      </c>
      <c r="L353" s="165">
        <v>582094867</v>
      </c>
      <c r="M353" s="165">
        <v>0</v>
      </c>
      <c r="N353" s="165">
        <v>0</v>
      </c>
      <c r="O353" s="165">
        <v>104106600</v>
      </c>
      <c r="P353" s="165">
        <v>27182188</v>
      </c>
      <c r="Q353" s="165">
        <v>170948</v>
      </c>
      <c r="R353" s="165">
        <v>335.58333333333331</v>
      </c>
      <c r="S353" s="165">
        <v>126325692</v>
      </c>
      <c r="T353" s="165">
        <v>376436.1321082692</v>
      </c>
      <c r="U353" s="166">
        <v>-5134044</v>
      </c>
      <c r="V353" s="168">
        <v>638361844</v>
      </c>
      <c r="W353" s="165">
        <v>635749119</v>
      </c>
      <c r="X353" s="165">
        <v>0</v>
      </c>
      <c r="Y353" s="165">
        <v>0</v>
      </c>
      <c r="Z353" s="165">
        <v>98278377</v>
      </c>
      <c r="AA353" s="165">
        <v>30093131</v>
      </c>
      <c r="AB353" s="165">
        <v>151231</v>
      </c>
      <c r="AC353" s="165">
        <v>290.41666666666669</v>
      </c>
      <c r="AD353" s="165">
        <v>131135464</v>
      </c>
      <c r="AE353" s="165">
        <v>451542.48723098991</v>
      </c>
      <c r="AF353" s="166">
        <v>2612725</v>
      </c>
      <c r="AG353" s="11">
        <v>4809772</v>
      </c>
      <c r="AH353" s="12">
        <v>-45.166666666666629</v>
      </c>
      <c r="AI353" s="132">
        <v>1</v>
      </c>
      <c r="AJ353" s="132">
        <v>0</v>
      </c>
      <c r="AK353" s="13">
        <v>0.15</v>
      </c>
      <c r="AL353" s="13">
        <v>0.19951953071029593</v>
      </c>
      <c r="AM353" s="14">
        <v>1</v>
      </c>
      <c r="AN353" s="14">
        <v>0</v>
      </c>
      <c r="AO353" s="82">
        <v>310225.77601191954</v>
      </c>
      <c r="AP353" s="82">
        <v>338404.74146341463</v>
      </c>
      <c r="AQ353" s="82">
        <v>28178.965451495082</v>
      </c>
      <c r="AR353" s="129">
        <v>9.0833733462600375E-2</v>
      </c>
    </row>
    <row r="354" spans="1:44" ht="43.2" x14ac:dyDescent="0.3">
      <c r="A354" s="136" t="s">
        <v>557</v>
      </c>
      <c r="B354" s="137" t="s">
        <v>5139</v>
      </c>
      <c r="C354" s="134">
        <v>2020</v>
      </c>
      <c r="D354" s="149" t="s">
        <v>1118</v>
      </c>
      <c r="E354" s="135" t="s">
        <v>1117</v>
      </c>
      <c r="F354" s="384" t="s">
        <v>142</v>
      </c>
      <c r="G354" s="138" t="s">
        <v>4773</v>
      </c>
      <c r="H354" s="138" t="s">
        <v>1401</v>
      </c>
      <c r="I354" s="138" t="s">
        <v>1217</v>
      </c>
      <c r="J354" s="135" t="s">
        <v>4774</v>
      </c>
      <c r="K354" s="164">
        <v>8382775095</v>
      </c>
      <c r="L354" s="165">
        <v>8472504815</v>
      </c>
      <c r="M354" s="165">
        <v>0</v>
      </c>
      <c r="N354" s="165">
        <v>0</v>
      </c>
      <c r="O354" s="165">
        <v>1410166704.3699999</v>
      </c>
      <c r="P354" s="165">
        <v>355935391.86000001</v>
      </c>
      <c r="Q354" s="165">
        <v>54261</v>
      </c>
      <c r="R354" s="165">
        <v>3852.3333333333335</v>
      </c>
      <c r="S354" s="165">
        <v>1676426637.23</v>
      </c>
      <c r="T354" s="165">
        <v>435171.7497352254</v>
      </c>
      <c r="U354" s="166">
        <v>-89729720</v>
      </c>
      <c r="V354" s="168">
        <v>8406450137</v>
      </c>
      <c r="W354" s="165">
        <v>8686247486</v>
      </c>
      <c r="X354" s="165">
        <v>0</v>
      </c>
      <c r="Y354" s="165">
        <v>0</v>
      </c>
      <c r="Z354" s="165">
        <v>1298465834.9400001</v>
      </c>
      <c r="AA354" s="165">
        <v>385041270.19</v>
      </c>
      <c r="AB354" s="165">
        <v>1982497</v>
      </c>
      <c r="AC354" s="165">
        <v>3413.9166666666665</v>
      </c>
      <c r="AD354" s="165">
        <v>1405692253.1300001</v>
      </c>
      <c r="AE354" s="165">
        <v>411753.53424854157</v>
      </c>
      <c r="AF354" s="166">
        <v>-279797349</v>
      </c>
      <c r="AG354" s="11">
        <v>-270734384.0999999</v>
      </c>
      <c r="AH354" s="12">
        <v>-438.41666666666697</v>
      </c>
      <c r="AI354" s="132">
        <v>0</v>
      </c>
      <c r="AJ354" s="132">
        <v>0</v>
      </c>
      <c r="AK354" s="13">
        <v>0.1</v>
      </c>
      <c r="AL354" s="13">
        <v>-5.3813741356142697E-2</v>
      </c>
      <c r="AM354" s="14">
        <v>0</v>
      </c>
      <c r="AN354" s="14">
        <v>-1</v>
      </c>
      <c r="AO354" s="82">
        <v>366055.21442502376</v>
      </c>
      <c r="AP354" s="82">
        <v>380344.91222886718</v>
      </c>
      <c r="AQ354" s="82">
        <v>14289.697803843417</v>
      </c>
      <c r="AR354" s="129">
        <v>3.9037001088179535E-2</v>
      </c>
    </row>
    <row r="355" spans="1:44" ht="28.8" x14ac:dyDescent="0.3">
      <c r="A355" s="136" t="s">
        <v>558</v>
      </c>
      <c r="B355" s="137" t="s">
        <v>5140</v>
      </c>
      <c r="C355" s="134">
        <v>2020</v>
      </c>
      <c r="D355" s="149" t="s">
        <v>1118</v>
      </c>
      <c r="E355" s="135" t="s">
        <v>1117</v>
      </c>
      <c r="F355" s="384" t="s">
        <v>142</v>
      </c>
      <c r="G355" s="138" t="s">
        <v>4773</v>
      </c>
      <c r="H355" s="138" t="s">
        <v>1401</v>
      </c>
      <c r="I355" s="138" t="s">
        <v>1217</v>
      </c>
      <c r="J355" s="135" t="s">
        <v>4774</v>
      </c>
      <c r="K355" s="164">
        <v>3927556125</v>
      </c>
      <c r="L355" s="165">
        <v>3832037284</v>
      </c>
      <c r="M355" s="165">
        <v>103829014</v>
      </c>
      <c r="N355" s="165">
        <v>207002334</v>
      </c>
      <c r="O355" s="165">
        <v>455996793.51999998</v>
      </c>
      <c r="P355" s="165">
        <v>118700363.53999999</v>
      </c>
      <c r="Q355" s="165">
        <v>0</v>
      </c>
      <c r="R355" s="165">
        <v>1250.25</v>
      </c>
      <c r="S355" s="165">
        <v>773389318.05999994</v>
      </c>
      <c r="T355" s="165">
        <v>618587.73690061981</v>
      </c>
      <c r="U355" s="166">
        <v>-8310173</v>
      </c>
      <c r="V355" s="168">
        <v>4242847717</v>
      </c>
      <c r="W355" s="165">
        <v>4131799363</v>
      </c>
      <c r="X355" s="165">
        <v>93009063</v>
      </c>
      <c r="Y355" s="165">
        <v>182428616</v>
      </c>
      <c r="Z355" s="165">
        <v>417178094.68000001</v>
      </c>
      <c r="AA355" s="165">
        <v>129804377.22</v>
      </c>
      <c r="AB355" s="165">
        <v>0</v>
      </c>
      <c r="AC355" s="165">
        <v>1140.9166666666667</v>
      </c>
      <c r="AD355" s="165">
        <v>747450378.9000001</v>
      </c>
      <c r="AE355" s="165">
        <v>655131.44012855168</v>
      </c>
      <c r="AF355" s="166">
        <v>18039291</v>
      </c>
      <c r="AG355" s="11">
        <v>-25938939.159999847</v>
      </c>
      <c r="AH355" s="12">
        <v>-109.33333333333326</v>
      </c>
      <c r="AI355" s="132">
        <v>0</v>
      </c>
      <c r="AJ355" s="132">
        <v>1</v>
      </c>
      <c r="AK355" s="13">
        <v>0.1</v>
      </c>
      <c r="AL355" s="13">
        <v>5.9076017251812996E-2</v>
      </c>
      <c r="AM355" s="14">
        <v>0</v>
      </c>
      <c r="AN355" s="14">
        <v>-1</v>
      </c>
      <c r="AO355" s="82">
        <v>364724.48991801636</v>
      </c>
      <c r="AP355" s="82">
        <v>365651.67892484111</v>
      </c>
      <c r="AQ355" s="82">
        <v>927.18900682474487</v>
      </c>
      <c r="AR355" s="129">
        <v>2.5421627350363796E-3</v>
      </c>
    </row>
    <row r="356" spans="1:44" ht="28.8" x14ac:dyDescent="0.3">
      <c r="A356" s="136" t="s">
        <v>559</v>
      </c>
      <c r="B356" s="137" t="s">
        <v>5141</v>
      </c>
      <c r="C356" s="134">
        <v>2019</v>
      </c>
      <c r="D356" s="149" t="s">
        <v>1118</v>
      </c>
      <c r="E356" s="135" t="s">
        <v>1117</v>
      </c>
      <c r="F356" s="384" t="s">
        <v>553</v>
      </c>
      <c r="G356" s="138" t="s">
        <v>4773</v>
      </c>
      <c r="H356" s="138" t="s">
        <v>3351</v>
      </c>
      <c r="I356" s="138" t="s">
        <v>1566</v>
      </c>
      <c r="J356" s="135" t="s">
        <v>4774</v>
      </c>
      <c r="K356" s="164">
        <v>1167014382</v>
      </c>
      <c r="L356" s="165">
        <v>844072753</v>
      </c>
      <c r="M356" s="165">
        <v>161560452</v>
      </c>
      <c r="N356" s="165">
        <v>18922581</v>
      </c>
      <c r="O356" s="165">
        <v>128915903.43000001</v>
      </c>
      <c r="P356" s="165">
        <v>26895516.330000002</v>
      </c>
      <c r="Q356" s="165">
        <v>1884950</v>
      </c>
      <c r="R356" s="165">
        <v>224.25</v>
      </c>
      <c r="S356" s="165">
        <v>338000127.75999999</v>
      </c>
      <c r="T356" s="165">
        <v>1507246.9465328874</v>
      </c>
      <c r="U356" s="166">
        <v>161381177</v>
      </c>
      <c r="V356" s="168">
        <v>1242275500</v>
      </c>
      <c r="W356" s="165">
        <v>854723665</v>
      </c>
      <c r="X356" s="165">
        <v>143024935</v>
      </c>
      <c r="Y356" s="165">
        <v>19933926</v>
      </c>
      <c r="Z356" s="165">
        <v>117864100.47</v>
      </c>
      <c r="AA356" s="165">
        <v>22451251</v>
      </c>
      <c r="AB356" s="165">
        <v>1864128</v>
      </c>
      <c r="AC356" s="165">
        <v>215.41666666666666</v>
      </c>
      <c r="AD356" s="165">
        <v>406640305.47000003</v>
      </c>
      <c r="AE356" s="165">
        <v>1887691.9402862671</v>
      </c>
      <c r="AF356" s="166">
        <v>244526900</v>
      </c>
      <c r="AG356" s="11">
        <v>68640177.710000038</v>
      </c>
      <c r="AH356" s="12">
        <v>-8.8333333333333428</v>
      </c>
      <c r="AI356" s="132">
        <v>1</v>
      </c>
      <c r="AJ356" s="132">
        <v>1</v>
      </c>
      <c r="AK356" s="13">
        <v>0.15</v>
      </c>
      <c r="AL356" s="13">
        <v>0.25241052237657535</v>
      </c>
      <c r="AM356" s="14">
        <v>1</v>
      </c>
      <c r="AN356" s="14">
        <v>0</v>
      </c>
      <c r="AO356" s="82">
        <v>574875.82354515058</v>
      </c>
      <c r="AP356" s="82">
        <v>547144.76040232112</v>
      </c>
      <c r="AQ356" s="82">
        <v>-27731.063142829458</v>
      </c>
      <c r="AR356" s="129">
        <v>-4.823835340964111E-2</v>
      </c>
    </row>
    <row r="357" spans="1:44" ht="28.8" x14ac:dyDescent="0.3">
      <c r="A357" s="136" t="s">
        <v>560</v>
      </c>
      <c r="B357" s="137" t="s">
        <v>5142</v>
      </c>
      <c r="C357" s="134">
        <v>2018</v>
      </c>
      <c r="D357" s="149" t="s">
        <v>1118</v>
      </c>
      <c r="E357" s="135" t="s">
        <v>1117</v>
      </c>
      <c r="F357" s="384" t="s">
        <v>553</v>
      </c>
      <c r="G357" s="138" t="s">
        <v>4773</v>
      </c>
      <c r="H357" s="138" t="s">
        <v>2975</v>
      </c>
      <c r="I357" s="138" t="s">
        <v>1566</v>
      </c>
      <c r="J357" s="135" t="s">
        <v>4774</v>
      </c>
      <c r="K357" s="164">
        <v>763738217.00000012</v>
      </c>
      <c r="L357" s="165">
        <v>591561549</v>
      </c>
      <c r="M357" s="165">
        <v>79087876</v>
      </c>
      <c r="N357" s="165">
        <v>2449359</v>
      </c>
      <c r="O357" s="165">
        <v>146533466</v>
      </c>
      <c r="P357" s="165">
        <v>36861752</v>
      </c>
      <c r="Q357" s="165">
        <v>560224</v>
      </c>
      <c r="R357" s="165">
        <v>236.83333333333337</v>
      </c>
      <c r="S357" s="165">
        <v>279493593.00000012</v>
      </c>
      <c r="T357" s="165">
        <v>1180127.767769177</v>
      </c>
      <c r="U357" s="166">
        <v>93088792.000000119</v>
      </c>
      <c r="V357" s="168">
        <v>992737410</v>
      </c>
      <c r="W357" s="165">
        <v>685513577</v>
      </c>
      <c r="X357" s="165">
        <v>163391855</v>
      </c>
      <c r="Y357" s="165">
        <v>4314151</v>
      </c>
      <c r="Z357" s="165">
        <v>228573829.33999997</v>
      </c>
      <c r="AA357" s="165">
        <v>42106817.560000002</v>
      </c>
      <c r="AB357" s="165">
        <v>717519</v>
      </c>
      <c r="AC357" s="165">
        <v>251.58333333333334</v>
      </c>
      <c r="AD357" s="165">
        <v>419544294.89999998</v>
      </c>
      <c r="AE357" s="165">
        <v>1667615.6140443855</v>
      </c>
      <c r="AF357" s="166">
        <v>143831978</v>
      </c>
      <c r="AG357" s="11">
        <v>140050701.89999986</v>
      </c>
      <c r="AH357" s="12">
        <v>14.749999999999972</v>
      </c>
      <c r="AI357" s="132">
        <v>1</v>
      </c>
      <c r="AJ357" s="132">
        <v>1</v>
      </c>
      <c r="AK357" s="13">
        <v>0.3</v>
      </c>
      <c r="AL357" s="13">
        <v>0.41308055991259329</v>
      </c>
      <c r="AM357" s="14">
        <v>1</v>
      </c>
      <c r="AN357" s="14">
        <v>0</v>
      </c>
      <c r="AO357" s="82">
        <v>618719.77199155511</v>
      </c>
      <c r="AP357" s="82">
        <v>908541.22294799588</v>
      </c>
      <c r="AQ357" s="82">
        <v>289821.45095644076</v>
      </c>
      <c r="AR357" s="129">
        <v>0.46842118851892223</v>
      </c>
    </row>
    <row r="358" spans="1:44" ht="28.8" x14ac:dyDescent="0.3">
      <c r="A358" s="136" t="s">
        <v>561</v>
      </c>
      <c r="B358" s="137" t="s">
        <v>5143</v>
      </c>
      <c r="C358" s="134">
        <v>2020</v>
      </c>
      <c r="D358" s="149" t="s">
        <v>1118</v>
      </c>
      <c r="E358" s="135" t="s">
        <v>1117</v>
      </c>
      <c r="F358" s="384" t="s">
        <v>142</v>
      </c>
      <c r="G358" s="138" t="s">
        <v>4773</v>
      </c>
      <c r="H358" s="138" t="s">
        <v>2902</v>
      </c>
      <c r="I358" s="138" t="s">
        <v>1566</v>
      </c>
      <c r="J358" s="135" t="s">
        <v>4778</v>
      </c>
      <c r="K358" s="164">
        <v>1590840501</v>
      </c>
      <c r="L358" s="165">
        <v>861011977</v>
      </c>
      <c r="M358" s="165">
        <v>445614844</v>
      </c>
      <c r="N358" s="165">
        <v>45745414</v>
      </c>
      <c r="O358" s="165">
        <v>637429572.52999997</v>
      </c>
      <c r="P358" s="165">
        <v>167208969.03</v>
      </c>
      <c r="Q358" s="165">
        <v>4614385</v>
      </c>
      <c r="R358" s="165">
        <v>1587.8333333333333</v>
      </c>
      <c r="S358" s="165">
        <v>1139212020.5599999</v>
      </c>
      <c r="T358" s="165">
        <v>717463.22277317103</v>
      </c>
      <c r="U358" s="166">
        <v>284213680</v>
      </c>
      <c r="V358" s="168">
        <v>1980749200</v>
      </c>
      <c r="W358" s="165">
        <v>1374191553</v>
      </c>
      <c r="X358" s="165">
        <v>340340426</v>
      </c>
      <c r="Y358" s="165">
        <v>23992837</v>
      </c>
      <c r="Z358" s="165">
        <v>724719167.67000008</v>
      </c>
      <c r="AA358" s="165">
        <v>214732398.25999996</v>
      </c>
      <c r="AB358" s="165">
        <v>4558500</v>
      </c>
      <c r="AC358" s="165">
        <v>1588.1666666666667</v>
      </c>
      <c r="AD358" s="165">
        <v>1234220123.9300001</v>
      </c>
      <c r="AE358" s="165">
        <v>777135.13942491345</v>
      </c>
      <c r="AF358" s="166">
        <v>266217221</v>
      </c>
      <c r="AG358" s="11">
        <v>95008103.370000124</v>
      </c>
      <c r="AH358" s="12">
        <v>0.33333333333348492</v>
      </c>
      <c r="AI358" s="132">
        <v>0</v>
      </c>
      <c r="AJ358" s="132">
        <v>1</v>
      </c>
      <c r="AK358" s="13">
        <v>0.1</v>
      </c>
      <c r="AL358" s="13">
        <v>8.3170702464720137E-2</v>
      </c>
      <c r="AM358" s="14">
        <v>0</v>
      </c>
      <c r="AN358" s="14">
        <v>-1</v>
      </c>
      <c r="AO358" s="82">
        <v>401446.14623491128</v>
      </c>
      <c r="AP358" s="82">
        <v>456324.37884562917</v>
      </c>
      <c r="AQ358" s="82">
        <v>54878.232610717881</v>
      </c>
      <c r="AR358" s="129">
        <v>0.1367013561480428</v>
      </c>
    </row>
    <row r="359" spans="1:44" ht="28.8" x14ac:dyDescent="0.3">
      <c r="A359" s="136" t="s">
        <v>562</v>
      </c>
      <c r="B359" s="137" t="s">
        <v>5144</v>
      </c>
      <c r="C359" s="134">
        <v>2019</v>
      </c>
      <c r="D359" s="149" t="s">
        <v>1118</v>
      </c>
      <c r="E359" s="135" t="s">
        <v>1117</v>
      </c>
      <c r="F359" s="384" t="s">
        <v>142</v>
      </c>
      <c r="G359" s="138" t="s">
        <v>4773</v>
      </c>
      <c r="H359" s="138" t="s">
        <v>3229</v>
      </c>
      <c r="I359" s="138" t="s">
        <v>1566</v>
      </c>
      <c r="J359" s="135" t="s">
        <v>4774</v>
      </c>
      <c r="K359" s="164">
        <v>1409205921</v>
      </c>
      <c r="L359" s="165">
        <v>827902337</v>
      </c>
      <c r="M359" s="165">
        <v>474242107</v>
      </c>
      <c r="N359" s="165">
        <v>14679618</v>
      </c>
      <c r="O359" s="165">
        <v>174646659</v>
      </c>
      <c r="P359" s="165">
        <v>46091205</v>
      </c>
      <c r="Q359" s="165">
        <v>50857</v>
      </c>
      <c r="R359" s="165">
        <v>441</v>
      </c>
      <c r="S359" s="165">
        <v>342529816</v>
      </c>
      <c r="T359" s="165">
        <v>776711.60090702947</v>
      </c>
      <c r="U359" s="166">
        <v>107061477</v>
      </c>
      <c r="V359" s="168">
        <v>1733663147</v>
      </c>
      <c r="W359" s="165">
        <v>962960674</v>
      </c>
      <c r="X359" s="165">
        <v>688014684</v>
      </c>
      <c r="Y359" s="165">
        <v>0</v>
      </c>
      <c r="Z359" s="165">
        <v>132870355</v>
      </c>
      <c r="AA359" s="165">
        <v>40194037.529999994</v>
      </c>
      <c r="AB359" s="165">
        <v>40449</v>
      </c>
      <c r="AC359" s="165">
        <v>282.83333333333331</v>
      </c>
      <c r="AD359" s="165">
        <v>255792630.53</v>
      </c>
      <c r="AE359" s="165">
        <v>904393.50806128467</v>
      </c>
      <c r="AF359" s="166">
        <v>82687789</v>
      </c>
      <c r="AG359" s="11">
        <v>-86737185.469999999</v>
      </c>
      <c r="AH359" s="12">
        <v>-158.16666666666669</v>
      </c>
      <c r="AI359" s="132">
        <v>1</v>
      </c>
      <c r="AJ359" s="132">
        <v>1</v>
      </c>
      <c r="AK359" s="13">
        <v>0.15</v>
      </c>
      <c r="AL359" s="13">
        <v>0.16438779850848118</v>
      </c>
      <c r="AM359" s="14">
        <v>1</v>
      </c>
      <c r="AN359" s="14">
        <v>0</v>
      </c>
      <c r="AO359" s="82">
        <v>396024.17006802722</v>
      </c>
      <c r="AP359" s="82">
        <v>469783.2233352976</v>
      </c>
      <c r="AQ359" s="82">
        <v>73759.053267270385</v>
      </c>
      <c r="AR359" s="129">
        <v>0.18624886772592797</v>
      </c>
    </row>
    <row r="360" spans="1:44" ht="28.8" x14ac:dyDescent="0.3">
      <c r="A360" s="136" t="s">
        <v>563</v>
      </c>
      <c r="B360" s="137" t="s">
        <v>5145</v>
      </c>
      <c r="C360" s="134">
        <v>2019</v>
      </c>
      <c r="D360" s="149" t="s">
        <v>1184</v>
      </c>
      <c r="E360" s="135" t="s">
        <v>1175</v>
      </c>
      <c r="F360" s="384" t="s">
        <v>267</v>
      </c>
      <c r="G360" s="138" t="s">
        <v>4773</v>
      </c>
      <c r="H360" s="138" t="s">
        <v>3060</v>
      </c>
      <c r="I360" s="138" t="s">
        <v>1566</v>
      </c>
      <c r="J360" s="135" t="s">
        <v>4778</v>
      </c>
      <c r="K360" s="164">
        <v>929766542</v>
      </c>
      <c r="L360" s="165">
        <v>798735360</v>
      </c>
      <c r="M360" s="165">
        <v>98848211</v>
      </c>
      <c r="N360" s="165">
        <v>13136005</v>
      </c>
      <c r="O360" s="165">
        <v>124154218</v>
      </c>
      <c r="P360" s="165">
        <v>38495031</v>
      </c>
      <c r="Q360" s="165">
        <v>741659</v>
      </c>
      <c r="R360" s="165">
        <v>422.83333333333331</v>
      </c>
      <c r="S360" s="165">
        <v>208709884</v>
      </c>
      <c r="T360" s="165">
        <v>493598.46432794642</v>
      </c>
      <c r="U360" s="166">
        <v>32182971</v>
      </c>
      <c r="V360" s="168">
        <v>1162602458</v>
      </c>
      <c r="W360" s="165">
        <v>759122004</v>
      </c>
      <c r="X360" s="165">
        <v>171692009</v>
      </c>
      <c r="Y360" s="165">
        <v>12156096</v>
      </c>
      <c r="Z360" s="165">
        <v>123273744.06999999</v>
      </c>
      <c r="AA360" s="165">
        <v>38276109.039999999</v>
      </c>
      <c r="AB360" s="165">
        <v>1062405</v>
      </c>
      <c r="AC360" s="165">
        <v>401.66666666666669</v>
      </c>
      <c r="AD360" s="165">
        <v>406556799.11000001</v>
      </c>
      <c r="AE360" s="165">
        <v>1012174.603593361</v>
      </c>
      <c r="AF360" s="166">
        <v>231788445</v>
      </c>
      <c r="AG360" s="11">
        <v>197846915.11000001</v>
      </c>
      <c r="AH360" s="12">
        <v>-21.166666666666629</v>
      </c>
      <c r="AI360" s="132">
        <v>1</v>
      </c>
      <c r="AJ360" s="132">
        <v>1</v>
      </c>
      <c r="AK360" s="13">
        <v>0.15</v>
      </c>
      <c r="AL360" s="13">
        <v>1.0506032372953511</v>
      </c>
      <c r="AM360" s="14">
        <v>1</v>
      </c>
      <c r="AN360" s="14">
        <v>0</v>
      </c>
      <c r="AO360" s="82">
        <v>293624.48088293261</v>
      </c>
      <c r="AP360" s="82">
        <v>306905.58689626551</v>
      </c>
      <c r="AQ360" s="82">
        <v>13281.106013332901</v>
      </c>
      <c r="AR360" s="129">
        <v>4.5231603214406446E-2</v>
      </c>
    </row>
    <row r="361" spans="1:44" ht="28.8" x14ac:dyDescent="0.3">
      <c r="A361" s="136" t="s">
        <v>564</v>
      </c>
      <c r="B361" s="137" t="s">
        <v>5146</v>
      </c>
      <c r="C361" s="134">
        <v>2019</v>
      </c>
      <c r="D361" s="149" t="s">
        <v>1184</v>
      </c>
      <c r="E361" s="135" t="s">
        <v>1175</v>
      </c>
      <c r="F361" s="384" t="s">
        <v>142</v>
      </c>
      <c r="G361" s="138" t="s">
        <v>4773</v>
      </c>
      <c r="H361" s="138" t="s">
        <v>2566</v>
      </c>
      <c r="I361" s="138" t="s">
        <v>1566</v>
      </c>
      <c r="J361" s="135" t="s">
        <v>4774</v>
      </c>
      <c r="K361" s="164">
        <v>1433548797</v>
      </c>
      <c r="L361" s="165">
        <v>731748143</v>
      </c>
      <c r="M361" s="165">
        <v>593253133</v>
      </c>
      <c r="N361" s="165">
        <v>27334889</v>
      </c>
      <c r="O361" s="165">
        <v>203664957</v>
      </c>
      <c r="P361" s="165">
        <v>61850240</v>
      </c>
      <c r="Q361" s="165">
        <v>21329</v>
      </c>
      <c r="R361" s="165">
        <v>575.5</v>
      </c>
      <c r="S361" s="165">
        <v>401418936</v>
      </c>
      <c r="T361" s="165">
        <v>697513.35534317989</v>
      </c>
      <c r="U361" s="166">
        <v>108547521</v>
      </c>
      <c r="V361" s="168">
        <v>1844372531</v>
      </c>
      <c r="W361" s="165">
        <v>986646815</v>
      </c>
      <c r="X361" s="165">
        <v>740846578</v>
      </c>
      <c r="Y361" s="165">
        <v>45612067</v>
      </c>
      <c r="Z361" s="165">
        <v>337362818.20999998</v>
      </c>
      <c r="AA361" s="165">
        <v>101167356.06</v>
      </c>
      <c r="AB361" s="165">
        <v>47530</v>
      </c>
      <c r="AC361" s="165">
        <v>684.75</v>
      </c>
      <c r="AD361" s="165">
        <v>601068909.26999998</v>
      </c>
      <c r="AE361" s="165">
        <v>877793.2227382256</v>
      </c>
      <c r="AF361" s="166">
        <v>116879138</v>
      </c>
      <c r="AG361" s="11">
        <v>199649973.26999998</v>
      </c>
      <c r="AH361" s="12">
        <v>109.25</v>
      </c>
      <c r="AI361" s="132">
        <v>1</v>
      </c>
      <c r="AJ361" s="132">
        <v>0</v>
      </c>
      <c r="AK361" s="13">
        <v>0.15</v>
      </c>
      <c r="AL361" s="13">
        <v>0.25846079851431081</v>
      </c>
      <c r="AM361" s="14">
        <v>1</v>
      </c>
      <c r="AN361" s="14">
        <v>0</v>
      </c>
      <c r="AO361" s="82">
        <v>353892.1928757602</v>
      </c>
      <c r="AP361" s="82">
        <v>492680.27485943772</v>
      </c>
      <c r="AQ361" s="82">
        <v>138788.08198367752</v>
      </c>
      <c r="AR361" s="129">
        <v>0.39217616205622652</v>
      </c>
    </row>
    <row r="362" spans="1:44" ht="43.2" x14ac:dyDescent="0.3">
      <c r="A362" s="136" t="s">
        <v>565</v>
      </c>
      <c r="B362" s="137" t="s">
        <v>5147</v>
      </c>
      <c r="C362" s="134">
        <v>2019</v>
      </c>
      <c r="D362" s="149" t="s">
        <v>1114</v>
      </c>
      <c r="E362" s="135" t="s">
        <v>1108</v>
      </c>
      <c r="F362" s="384" t="s">
        <v>566</v>
      </c>
      <c r="G362" s="138" t="s">
        <v>4773</v>
      </c>
      <c r="H362" s="138" t="s">
        <v>3513</v>
      </c>
      <c r="I362" s="138" t="s">
        <v>1566</v>
      </c>
      <c r="J362" s="135" t="s">
        <v>4774</v>
      </c>
      <c r="K362" s="164">
        <v>617311932</v>
      </c>
      <c r="L362" s="165">
        <v>381795954</v>
      </c>
      <c r="M362" s="165">
        <v>148440017</v>
      </c>
      <c r="N362" s="165">
        <v>2560823</v>
      </c>
      <c r="O362" s="165">
        <v>71048847.719999999</v>
      </c>
      <c r="P362" s="165">
        <v>18941710.66</v>
      </c>
      <c r="Q362" s="165">
        <v>0</v>
      </c>
      <c r="R362" s="165">
        <v>169.66666666666666</v>
      </c>
      <c r="S362" s="165">
        <v>179627342.38</v>
      </c>
      <c r="T362" s="165">
        <v>1058707.322475442</v>
      </c>
      <c r="U362" s="166">
        <v>87075961</v>
      </c>
      <c r="V362" s="168">
        <v>711696986</v>
      </c>
      <c r="W362" s="165">
        <v>415526048</v>
      </c>
      <c r="X362" s="165">
        <v>158596276</v>
      </c>
      <c r="Y362" s="165">
        <v>3158409</v>
      </c>
      <c r="Z362" s="165">
        <v>75332214</v>
      </c>
      <c r="AA362" s="165">
        <v>14416492</v>
      </c>
      <c r="AB362" s="165">
        <v>0</v>
      </c>
      <c r="AC362" s="165">
        <v>165.16666666666666</v>
      </c>
      <c r="AD362" s="165">
        <v>230481777</v>
      </c>
      <c r="AE362" s="165">
        <v>1395449.7093844602</v>
      </c>
      <c r="AF362" s="166">
        <v>137574662</v>
      </c>
      <c r="AG362" s="11">
        <v>50854434.620000005</v>
      </c>
      <c r="AH362" s="12">
        <v>-4.5</v>
      </c>
      <c r="AI362" s="132">
        <v>1</v>
      </c>
      <c r="AJ362" s="132">
        <v>0</v>
      </c>
      <c r="AK362" s="13">
        <v>0.15</v>
      </c>
      <c r="AL362" s="13">
        <v>0.31806938862007672</v>
      </c>
      <c r="AM362" s="14">
        <v>1</v>
      </c>
      <c r="AN362" s="14">
        <v>0</v>
      </c>
      <c r="AO362" s="82">
        <v>418755.48754420434</v>
      </c>
      <c r="AP362" s="82">
        <v>456098.16750756814</v>
      </c>
      <c r="AQ362" s="82">
        <v>37342.6799633638</v>
      </c>
      <c r="AR362" s="129">
        <v>8.9175380560050144E-2</v>
      </c>
    </row>
    <row r="363" spans="1:44" ht="43.2" x14ac:dyDescent="0.3">
      <c r="A363" s="136" t="s">
        <v>567</v>
      </c>
      <c r="B363" s="137" t="s">
        <v>5148</v>
      </c>
      <c r="C363" s="134">
        <v>2019</v>
      </c>
      <c r="D363" s="149" t="s">
        <v>1114</v>
      </c>
      <c r="E363" s="135" t="s">
        <v>1108</v>
      </c>
      <c r="F363" s="384" t="s">
        <v>568</v>
      </c>
      <c r="G363" s="138" t="s">
        <v>4773</v>
      </c>
      <c r="H363" s="138" t="s">
        <v>2967</v>
      </c>
      <c r="I363" s="138" t="s">
        <v>1566</v>
      </c>
      <c r="J363" s="135" t="s">
        <v>4778</v>
      </c>
      <c r="K363" s="164">
        <v>831512883</v>
      </c>
      <c r="L363" s="165">
        <v>578164495</v>
      </c>
      <c r="M363" s="165">
        <v>241954176</v>
      </c>
      <c r="N363" s="165">
        <v>25523230</v>
      </c>
      <c r="O363" s="165">
        <v>204378638.41</v>
      </c>
      <c r="P363" s="165">
        <v>53070754.219999999</v>
      </c>
      <c r="Q363" s="165">
        <v>882607</v>
      </c>
      <c r="R363" s="165">
        <v>711.33333333333337</v>
      </c>
      <c r="S363" s="165">
        <v>295249441.63</v>
      </c>
      <c r="T363" s="165">
        <v>415064.81953608245</v>
      </c>
      <c r="U363" s="166">
        <v>11394212</v>
      </c>
      <c r="V363" s="168">
        <v>1441164555</v>
      </c>
      <c r="W363" s="165">
        <v>1058557444</v>
      </c>
      <c r="X363" s="165">
        <v>290594571</v>
      </c>
      <c r="Y363" s="165">
        <v>31284474</v>
      </c>
      <c r="Z363" s="165">
        <v>276560129.00999999</v>
      </c>
      <c r="AA363" s="165">
        <v>81613563.120000005</v>
      </c>
      <c r="AB363" s="165">
        <v>821468</v>
      </c>
      <c r="AC363" s="165">
        <v>750.91666666666663</v>
      </c>
      <c r="AD363" s="165">
        <v>482292174.13</v>
      </c>
      <c r="AE363" s="165">
        <v>642271.23399844638</v>
      </c>
      <c r="AF363" s="166">
        <v>92012540</v>
      </c>
      <c r="AG363" s="11">
        <v>187042732.5</v>
      </c>
      <c r="AH363" s="12">
        <v>39.583333333333258</v>
      </c>
      <c r="AI363" s="132">
        <v>1</v>
      </c>
      <c r="AJ363" s="132">
        <v>1</v>
      </c>
      <c r="AK363" s="13">
        <v>0.15</v>
      </c>
      <c r="AL363" s="13">
        <v>0.54739982540558363</v>
      </c>
      <c r="AM363" s="14">
        <v>1</v>
      </c>
      <c r="AN363" s="14">
        <v>0</v>
      </c>
      <c r="AO363" s="82">
        <v>287317.67349109653</v>
      </c>
      <c r="AP363" s="82">
        <v>368296.6982710021</v>
      </c>
      <c r="AQ363" s="82">
        <v>80979.024779905565</v>
      </c>
      <c r="AR363" s="129">
        <v>0.28184491331827166</v>
      </c>
    </row>
    <row r="364" spans="1:44" ht="28.8" x14ac:dyDescent="0.3">
      <c r="A364" s="136" t="s">
        <v>569</v>
      </c>
      <c r="B364" s="137" t="s">
        <v>5149</v>
      </c>
      <c r="C364" s="134">
        <v>2019</v>
      </c>
      <c r="D364" s="149" t="s">
        <v>1114</v>
      </c>
      <c r="E364" s="135" t="s">
        <v>1108</v>
      </c>
      <c r="F364" s="384" t="s">
        <v>568</v>
      </c>
      <c r="G364" s="138" t="s">
        <v>4773</v>
      </c>
      <c r="H364" s="138" t="s">
        <v>2425</v>
      </c>
      <c r="I364" s="138" t="s">
        <v>1566</v>
      </c>
      <c r="J364" s="135" t="s">
        <v>4774</v>
      </c>
      <c r="K364" s="164">
        <v>1465282542</v>
      </c>
      <c r="L364" s="165">
        <v>1158094646</v>
      </c>
      <c r="M364" s="165">
        <v>192758859</v>
      </c>
      <c r="N364" s="165">
        <v>25912527</v>
      </c>
      <c r="O364" s="165">
        <v>107098162.96000001</v>
      </c>
      <c r="P364" s="165">
        <v>27869329.190000001</v>
      </c>
      <c r="Q364" s="165">
        <v>184325</v>
      </c>
      <c r="R364" s="165">
        <v>218.25</v>
      </c>
      <c r="S364" s="165">
        <v>275493381.15000004</v>
      </c>
      <c r="T364" s="165">
        <v>1262283.5333333334</v>
      </c>
      <c r="U364" s="166">
        <v>114429037</v>
      </c>
      <c r="V364" s="168">
        <v>1715729781</v>
      </c>
      <c r="W364" s="165">
        <v>1451033382</v>
      </c>
      <c r="X364" s="165">
        <v>180135784</v>
      </c>
      <c r="Y364" s="165">
        <v>15489772</v>
      </c>
      <c r="Z364" s="165">
        <v>121539269.49000001</v>
      </c>
      <c r="AA364" s="165">
        <v>23596810.300000001</v>
      </c>
      <c r="AB364" s="165">
        <v>282463</v>
      </c>
      <c r="AC364" s="165">
        <v>259.25</v>
      </c>
      <c r="AD364" s="165">
        <v>245468929.79000002</v>
      </c>
      <c r="AE364" s="165">
        <v>946842.54499517847</v>
      </c>
      <c r="AF364" s="166">
        <v>84560615</v>
      </c>
      <c r="AG364" s="11">
        <v>-30024451.360000014</v>
      </c>
      <c r="AH364" s="12">
        <v>41</v>
      </c>
      <c r="AI364" s="132">
        <v>0</v>
      </c>
      <c r="AJ364" s="132">
        <v>0</v>
      </c>
      <c r="AK364" s="13">
        <v>0.15</v>
      </c>
      <c r="AL364" s="13">
        <v>-0.24989709720762976</v>
      </c>
      <c r="AM364" s="14">
        <v>0</v>
      </c>
      <c r="AN364" s="14">
        <v>-1</v>
      </c>
      <c r="AO364" s="82">
        <v>490713.23234822456</v>
      </c>
      <c r="AP364" s="82">
        <v>468811.06842815818</v>
      </c>
      <c r="AQ364" s="82">
        <v>-21902.163920066378</v>
      </c>
      <c r="AR364" s="129">
        <v>-4.4633326505701287E-2</v>
      </c>
    </row>
    <row r="365" spans="1:44" ht="28.8" x14ac:dyDescent="0.3">
      <c r="A365" s="136" t="s">
        <v>570</v>
      </c>
      <c r="B365" s="137" t="s">
        <v>5150</v>
      </c>
      <c r="C365" s="134">
        <v>2020</v>
      </c>
      <c r="D365" s="149" t="s">
        <v>1114</v>
      </c>
      <c r="E365" s="135" t="s">
        <v>1108</v>
      </c>
      <c r="F365" s="384" t="s">
        <v>568</v>
      </c>
      <c r="G365" s="138" t="s">
        <v>4773</v>
      </c>
      <c r="H365" s="138" t="s">
        <v>2611</v>
      </c>
      <c r="I365" s="138" t="s">
        <v>1566</v>
      </c>
      <c r="J365" s="135" t="s">
        <v>4774</v>
      </c>
      <c r="K365" s="164">
        <v>1373139366</v>
      </c>
      <c r="L365" s="165">
        <v>878355683</v>
      </c>
      <c r="M365" s="165">
        <v>401579903</v>
      </c>
      <c r="N365" s="165">
        <v>4874689</v>
      </c>
      <c r="O365" s="165">
        <v>193028228.49000001</v>
      </c>
      <c r="P365" s="165">
        <v>37517185.039999999</v>
      </c>
      <c r="Q365" s="165">
        <v>1279</v>
      </c>
      <c r="R365" s="165">
        <v>226.08333333333334</v>
      </c>
      <c r="S365" s="165">
        <v>328625161.53000003</v>
      </c>
      <c r="T365" s="165">
        <v>1453557.6624990785</v>
      </c>
      <c r="U365" s="166">
        <v>93203780</v>
      </c>
      <c r="V365" s="168">
        <v>1095210457</v>
      </c>
      <c r="W365" s="165">
        <v>704640025</v>
      </c>
      <c r="X365" s="165">
        <v>338419556</v>
      </c>
      <c r="Y365" s="165">
        <v>3744513</v>
      </c>
      <c r="Z365" s="165">
        <v>176176816.53</v>
      </c>
      <c r="AA365" s="165">
        <v>31363191.130000003</v>
      </c>
      <c r="AB365" s="165">
        <v>914</v>
      </c>
      <c r="AC365" s="165">
        <v>230.75</v>
      </c>
      <c r="AD365" s="165">
        <v>263436310.66</v>
      </c>
      <c r="AE365" s="165">
        <v>1141652.4839003249</v>
      </c>
      <c r="AF365" s="166">
        <v>52150876</v>
      </c>
      <c r="AG365" s="11">
        <v>-65188850.870000035</v>
      </c>
      <c r="AH365" s="12">
        <v>4.6666666666666572</v>
      </c>
      <c r="AI365" s="132">
        <v>0</v>
      </c>
      <c r="AJ365" s="132">
        <v>0</v>
      </c>
      <c r="AK365" s="13">
        <v>0.1</v>
      </c>
      <c r="AL365" s="13">
        <v>-0.21458053476874106</v>
      </c>
      <c r="AM365" s="14">
        <v>0</v>
      </c>
      <c r="AN365" s="14">
        <v>-1</v>
      </c>
      <c r="AO365" s="82">
        <v>853792.385506819</v>
      </c>
      <c r="AP365" s="82">
        <v>763496.49633802823</v>
      </c>
      <c r="AQ365" s="82">
        <v>-90295.889168790774</v>
      </c>
      <c r="AR365" s="129">
        <v>-0.10575860209293186</v>
      </c>
    </row>
    <row r="366" spans="1:44" ht="28.8" x14ac:dyDescent="0.3">
      <c r="A366" s="136" t="s">
        <v>571</v>
      </c>
      <c r="B366" s="137" t="s">
        <v>5151</v>
      </c>
      <c r="C366" s="134">
        <v>2020</v>
      </c>
      <c r="D366" s="149" t="s">
        <v>1114</v>
      </c>
      <c r="E366" s="135" t="s">
        <v>1108</v>
      </c>
      <c r="F366" s="384" t="s">
        <v>568</v>
      </c>
      <c r="G366" s="138" t="s">
        <v>4773</v>
      </c>
      <c r="H366" s="138" t="s">
        <v>1702</v>
      </c>
      <c r="I366" s="138" t="s">
        <v>1566</v>
      </c>
      <c r="J366" s="135" t="s">
        <v>4774</v>
      </c>
      <c r="K366" s="164">
        <v>1654341353</v>
      </c>
      <c r="L366" s="165">
        <v>1422179877</v>
      </c>
      <c r="M366" s="165">
        <v>229834556</v>
      </c>
      <c r="N366" s="165">
        <v>45550176</v>
      </c>
      <c r="O366" s="165">
        <v>127243970</v>
      </c>
      <c r="P366" s="165">
        <v>40753001.310000002</v>
      </c>
      <c r="Q366" s="165">
        <v>2109349</v>
      </c>
      <c r="R366" s="165">
        <v>423.5</v>
      </c>
      <c r="S366" s="165">
        <v>217983416.31</v>
      </c>
      <c r="T366" s="165">
        <v>514718.81064935063</v>
      </c>
      <c r="U366" s="166">
        <v>2326920</v>
      </c>
      <c r="V366" s="168">
        <v>2538124481</v>
      </c>
      <c r="W366" s="165">
        <v>2165131039</v>
      </c>
      <c r="X366" s="165">
        <v>337177625</v>
      </c>
      <c r="Y366" s="165">
        <v>86349920</v>
      </c>
      <c r="Z366" s="165">
        <v>169119657</v>
      </c>
      <c r="AA366" s="165">
        <v>49518697</v>
      </c>
      <c r="AB366" s="165">
        <v>4741096</v>
      </c>
      <c r="AC366" s="165">
        <v>422.66666666666669</v>
      </c>
      <c r="AD366" s="165">
        <v>345545187</v>
      </c>
      <c r="AE366" s="165">
        <v>817535.9313880126</v>
      </c>
      <c r="AF366" s="166">
        <v>35815817</v>
      </c>
      <c r="AG366" s="11">
        <v>127561770.69</v>
      </c>
      <c r="AH366" s="12">
        <v>-0.83333333333331439</v>
      </c>
      <c r="AI366" s="132">
        <v>1</v>
      </c>
      <c r="AJ366" s="132">
        <v>1</v>
      </c>
      <c r="AK366" s="13">
        <v>0.1</v>
      </c>
      <c r="AL366" s="13">
        <v>0.58831562809993287</v>
      </c>
      <c r="AM366" s="14">
        <v>1</v>
      </c>
      <c r="AN366" s="14">
        <v>0</v>
      </c>
      <c r="AO366" s="82">
        <v>300458.01652892563</v>
      </c>
      <c r="AP366" s="82">
        <v>400125.37145110406</v>
      </c>
      <c r="AQ366" s="82">
        <v>99667.354922178434</v>
      </c>
      <c r="AR366" s="129">
        <v>0.33171807520264074</v>
      </c>
    </row>
    <row r="367" spans="1:44" ht="43.2" x14ac:dyDescent="0.3">
      <c r="A367" s="136" t="s">
        <v>572</v>
      </c>
      <c r="B367" s="137" t="s">
        <v>5152</v>
      </c>
      <c r="C367" s="134">
        <v>2020</v>
      </c>
      <c r="D367" s="149" t="s">
        <v>1114</v>
      </c>
      <c r="E367" s="135" t="s">
        <v>1108</v>
      </c>
      <c r="F367" s="384" t="s">
        <v>573</v>
      </c>
      <c r="G367" s="138" t="s">
        <v>4796</v>
      </c>
      <c r="H367" s="138" t="s">
        <v>2765</v>
      </c>
      <c r="I367" s="138" t="s">
        <v>1566</v>
      </c>
      <c r="J367" s="135" t="s">
        <v>4778</v>
      </c>
      <c r="K367" s="164">
        <v>724544276</v>
      </c>
      <c r="L367" s="165">
        <v>382172160</v>
      </c>
      <c r="M367" s="165">
        <v>243894598</v>
      </c>
      <c r="N367" s="165">
        <v>13972875</v>
      </c>
      <c r="O367" s="165">
        <v>164818983.37</v>
      </c>
      <c r="P367" s="165">
        <v>34707572.839999996</v>
      </c>
      <c r="Q367" s="165">
        <v>138270</v>
      </c>
      <c r="R367" s="165">
        <v>262.83333333333331</v>
      </c>
      <c r="S367" s="165">
        <v>312115219.20999998</v>
      </c>
      <c r="T367" s="165">
        <v>1187502.4193151554</v>
      </c>
      <c r="U367" s="166">
        <v>98477518</v>
      </c>
      <c r="V367" s="168">
        <v>895013230</v>
      </c>
      <c r="W367" s="165">
        <v>460254725</v>
      </c>
      <c r="X367" s="165">
        <v>329705293</v>
      </c>
      <c r="Y367" s="165">
        <v>14530969</v>
      </c>
      <c r="Z367" s="165">
        <v>200885370</v>
      </c>
      <c r="AA367" s="165">
        <v>36178710</v>
      </c>
      <c r="AB367" s="165">
        <v>561627</v>
      </c>
      <c r="AC367" s="165">
        <v>270.66666666666669</v>
      </c>
      <c r="AD367" s="165">
        <v>357209888</v>
      </c>
      <c r="AE367" s="165">
        <v>1319740.9655172413</v>
      </c>
      <c r="AF367" s="166">
        <v>105053212</v>
      </c>
      <c r="AG367" s="11">
        <v>45094668.790000021</v>
      </c>
      <c r="AH367" s="12">
        <v>7.8333333333333712</v>
      </c>
      <c r="AI367" s="132">
        <v>1</v>
      </c>
      <c r="AJ367" s="132">
        <v>1</v>
      </c>
      <c r="AK367" s="13">
        <v>0.05</v>
      </c>
      <c r="AL367" s="13">
        <v>0.11135855201036149</v>
      </c>
      <c r="AM367" s="14">
        <v>1</v>
      </c>
      <c r="AN367" s="14">
        <v>0</v>
      </c>
      <c r="AO367" s="82">
        <v>627085.54230818013</v>
      </c>
      <c r="AP367" s="82">
        <v>742187.32758620684</v>
      </c>
      <c r="AQ367" s="82">
        <v>115101.78527802671</v>
      </c>
      <c r="AR367" s="129">
        <v>0.18355037313467526</v>
      </c>
    </row>
    <row r="368" spans="1:44" ht="43.2" x14ac:dyDescent="0.3">
      <c r="A368" s="136" t="s">
        <v>574</v>
      </c>
      <c r="B368" s="137" t="s">
        <v>5153</v>
      </c>
      <c r="C368" s="134">
        <v>2020</v>
      </c>
      <c r="D368" s="149" t="s">
        <v>1114</v>
      </c>
      <c r="E368" s="135" t="s">
        <v>1108</v>
      </c>
      <c r="F368" s="384" t="s">
        <v>573</v>
      </c>
      <c r="G368" s="138" t="s">
        <v>4773</v>
      </c>
      <c r="H368" s="138" t="s">
        <v>3539</v>
      </c>
      <c r="I368" s="138" t="s">
        <v>1566</v>
      </c>
      <c r="J368" s="135" t="s">
        <v>4774</v>
      </c>
      <c r="K368" s="164">
        <v>548378722</v>
      </c>
      <c r="L368" s="165">
        <v>392818010</v>
      </c>
      <c r="M368" s="165">
        <v>76205685</v>
      </c>
      <c r="N368" s="165">
        <v>34162104</v>
      </c>
      <c r="O368" s="165">
        <v>142896227.28</v>
      </c>
      <c r="P368" s="165">
        <v>31100534.750000004</v>
      </c>
      <c r="Q368" s="165">
        <v>884768</v>
      </c>
      <c r="R368" s="165">
        <v>255.66666666666666</v>
      </c>
      <c r="S368" s="165">
        <v>288398661.03000003</v>
      </c>
      <c r="T368" s="165">
        <v>1128026.05357236</v>
      </c>
      <c r="U368" s="166">
        <v>79355027</v>
      </c>
      <c r="V368" s="168">
        <v>1036788722</v>
      </c>
      <c r="W368" s="165">
        <v>846013655</v>
      </c>
      <c r="X368" s="165">
        <v>77956929</v>
      </c>
      <c r="Y368" s="165">
        <v>37175187</v>
      </c>
      <c r="Z368" s="165">
        <v>162195522</v>
      </c>
      <c r="AA368" s="165">
        <v>30658157</v>
      </c>
      <c r="AB368" s="165">
        <v>887120</v>
      </c>
      <c r="AC368" s="165">
        <v>281.5</v>
      </c>
      <c r="AD368" s="165">
        <v>343734124</v>
      </c>
      <c r="AE368" s="165">
        <v>1221080.3694493782</v>
      </c>
      <c r="AF368" s="166">
        <v>112818138</v>
      </c>
      <c r="AG368" s="11">
        <v>55335462.969999969</v>
      </c>
      <c r="AH368" s="12">
        <v>25.833333333333343</v>
      </c>
      <c r="AI368" s="132">
        <v>0</v>
      </c>
      <c r="AJ368" s="132">
        <v>1</v>
      </c>
      <c r="AK368" s="13">
        <v>0.1</v>
      </c>
      <c r="AL368" s="13">
        <v>8.2493059446632433E-2</v>
      </c>
      <c r="AM368" s="14">
        <v>0</v>
      </c>
      <c r="AN368" s="14">
        <v>-1</v>
      </c>
      <c r="AO368" s="82">
        <v>558916.14320730115</v>
      </c>
      <c r="AP368" s="82">
        <v>576183.02664298401</v>
      </c>
      <c r="AQ368" s="82">
        <v>17266.883435682859</v>
      </c>
      <c r="AR368" s="129">
        <v>3.0893513536034423E-2</v>
      </c>
    </row>
    <row r="369" spans="1:44" ht="28.8" x14ac:dyDescent="0.3">
      <c r="A369" s="136" t="s">
        <v>575</v>
      </c>
      <c r="B369" s="137" t="s">
        <v>5154</v>
      </c>
      <c r="C369" s="134">
        <v>2019</v>
      </c>
      <c r="D369" s="149" t="s">
        <v>1114</v>
      </c>
      <c r="E369" s="135" t="s">
        <v>1108</v>
      </c>
      <c r="F369" s="384" t="s">
        <v>568</v>
      </c>
      <c r="G369" s="138" t="s">
        <v>4773</v>
      </c>
      <c r="H369" s="138" t="s">
        <v>1401</v>
      </c>
      <c r="I369" s="138" t="s">
        <v>1217</v>
      </c>
      <c r="J369" s="135" t="s">
        <v>4778</v>
      </c>
      <c r="K369" s="164">
        <v>1261386233</v>
      </c>
      <c r="L369" s="165">
        <v>1196005466</v>
      </c>
      <c r="M369" s="165">
        <v>61342806</v>
      </c>
      <c r="N369" s="165">
        <v>81410595</v>
      </c>
      <c r="O369" s="165">
        <v>189700000</v>
      </c>
      <c r="P369" s="165">
        <v>49422280.390000001</v>
      </c>
      <c r="Q369" s="165">
        <v>709735</v>
      </c>
      <c r="R369" s="165">
        <v>654.25</v>
      </c>
      <c r="S369" s="165">
        <v>325280571.38999999</v>
      </c>
      <c r="T369" s="165">
        <v>497180.85042414977</v>
      </c>
      <c r="U369" s="166">
        <v>4037961</v>
      </c>
      <c r="V369" s="168">
        <v>1761097612</v>
      </c>
      <c r="W369" s="165">
        <v>1561754041</v>
      </c>
      <c r="X369" s="165">
        <v>82924310</v>
      </c>
      <c r="Y369" s="165">
        <v>74741047</v>
      </c>
      <c r="Z369" s="165">
        <v>230409315</v>
      </c>
      <c r="AA369" s="165">
        <v>67135617</v>
      </c>
      <c r="AB369" s="165">
        <v>305371</v>
      </c>
      <c r="AC369" s="165">
        <v>672.58333333333337</v>
      </c>
      <c r="AD369" s="165">
        <v>489010611</v>
      </c>
      <c r="AE369" s="165">
        <v>727063.23033081403</v>
      </c>
      <c r="AF369" s="166">
        <v>116419261</v>
      </c>
      <c r="AG369" s="11">
        <v>163730039.61000001</v>
      </c>
      <c r="AH369" s="12">
        <v>18.333333333333371</v>
      </c>
      <c r="AI369" s="132">
        <v>1</v>
      </c>
      <c r="AJ369" s="132">
        <v>1</v>
      </c>
      <c r="AK369" s="13">
        <v>0.15</v>
      </c>
      <c r="AL369" s="13">
        <v>0.46237175064164271</v>
      </c>
      <c r="AM369" s="14">
        <v>1</v>
      </c>
      <c r="AN369" s="14">
        <v>0</v>
      </c>
      <c r="AO369" s="82">
        <v>289950.32479938859</v>
      </c>
      <c r="AP369" s="82">
        <v>342573.63152025768</v>
      </c>
      <c r="AQ369" s="82">
        <v>52623.306720869092</v>
      </c>
      <c r="AR369" s="129">
        <v>0.18149076659002961</v>
      </c>
    </row>
    <row r="370" spans="1:44" ht="57.6" x14ac:dyDescent="0.3">
      <c r="A370" s="136" t="s">
        <v>576</v>
      </c>
      <c r="B370" s="137" t="s">
        <v>5155</v>
      </c>
      <c r="C370" s="134">
        <v>2019</v>
      </c>
      <c r="D370" s="149" t="s">
        <v>1114</v>
      </c>
      <c r="E370" s="135" t="s">
        <v>1108</v>
      </c>
      <c r="F370" s="384" t="s">
        <v>568</v>
      </c>
      <c r="G370" s="138" t="s">
        <v>4773</v>
      </c>
      <c r="H370" s="138" t="s">
        <v>4549</v>
      </c>
      <c r="I370" s="138" t="s">
        <v>4255</v>
      </c>
      <c r="J370" s="135" t="s">
        <v>4805</v>
      </c>
      <c r="K370" s="164">
        <v>1128038289</v>
      </c>
      <c r="L370" s="165">
        <v>1265916201</v>
      </c>
      <c r="M370" s="165">
        <v>241905005</v>
      </c>
      <c r="N370" s="165">
        <v>115640458</v>
      </c>
      <c r="O370" s="165">
        <v>439487035.92000002</v>
      </c>
      <c r="P370" s="165">
        <v>126756582.97</v>
      </c>
      <c r="Q370" s="165">
        <v>19913852</v>
      </c>
      <c r="R370" s="165">
        <v>1260.4166666666667</v>
      </c>
      <c r="S370" s="165">
        <v>322015011.88999999</v>
      </c>
      <c r="T370" s="165">
        <v>255482.98463999998</v>
      </c>
      <c r="U370" s="166">
        <v>-379782917</v>
      </c>
      <c r="V370" s="168">
        <v>1241941384</v>
      </c>
      <c r="W370" s="165">
        <v>676091097</v>
      </c>
      <c r="X370" s="165">
        <v>734420150</v>
      </c>
      <c r="Y370" s="165">
        <v>41545703</v>
      </c>
      <c r="Z370" s="165">
        <v>453445830</v>
      </c>
      <c r="AA370" s="165">
        <v>144786737</v>
      </c>
      <c r="AB370" s="165">
        <v>10580416</v>
      </c>
      <c r="AC370" s="165">
        <v>1203</v>
      </c>
      <c r="AD370" s="165">
        <v>481788823</v>
      </c>
      <c r="AE370" s="165">
        <v>400489.46217788861</v>
      </c>
      <c r="AF370" s="166">
        <v>-168569863</v>
      </c>
      <c r="AG370" s="11">
        <v>159773811.11000001</v>
      </c>
      <c r="AH370" s="12">
        <v>-57.416666666666742</v>
      </c>
      <c r="AI370" s="132">
        <v>1</v>
      </c>
      <c r="AJ370" s="132">
        <v>0</v>
      </c>
      <c r="AK370" s="13">
        <v>0.15</v>
      </c>
      <c r="AL370" s="13">
        <v>0.56757784804294986</v>
      </c>
      <c r="AM370" s="14">
        <v>1</v>
      </c>
      <c r="AN370" s="14">
        <v>0</v>
      </c>
      <c r="AO370" s="82">
        <v>348683.92932495865</v>
      </c>
      <c r="AP370" s="82">
        <v>376929.20199501247</v>
      </c>
      <c r="AQ370" s="82">
        <v>28245.272670053819</v>
      </c>
      <c r="AR370" s="129">
        <v>8.1005375626963305E-2</v>
      </c>
    </row>
    <row r="371" spans="1:44" ht="28.8" x14ac:dyDescent="0.3">
      <c r="A371" s="136" t="s">
        <v>577</v>
      </c>
      <c r="B371" s="137" t="s">
        <v>5156</v>
      </c>
      <c r="C371" s="134">
        <v>2019</v>
      </c>
      <c r="D371" s="149" t="s">
        <v>4915</v>
      </c>
      <c r="E371" s="135" t="s">
        <v>1131</v>
      </c>
      <c r="F371" s="384" t="s">
        <v>578</v>
      </c>
      <c r="G371" s="138" t="s">
        <v>4773</v>
      </c>
      <c r="H371" s="138" t="s">
        <v>1931</v>
      </c>
      <c r="I371" s="138" t="s">
        <v>1566</v>
      </c>
      <c r="J371" s="135" t="s">
        <v>4774</v>
      </c>
      <c r="K371" s="164">
        <v>935039410</v>
      </c>
      <c r="L371" s="165">
        <v>793655958</v>
      </c>
      <c r="M371" s="165">
        <v>55613202</v>
      </c>
      <c r="N371" s="165">
        <v>5295476</v>
      </c>
      <c r="O371" s="165">
        <v>48028025.670000002</v>
      </c>
      <c r="P371" s="165">
        <v>14470799.550000001</v>
      </c>
      <c r="Q371" s="165">
        <v>114944</v>
      </c>
      <c r="R371" s="165">
        <v>211.41666666666666</v>
      </c>
      <c r="S371" s="165">
        <v>153679495.22000003</v>
      </c>
      <c r="T371" s="165">
        <v>726903.40663776128</v>
      </c>
      <c r="U371" s="166">
        <v>85770250</v>
      </c>
      <c r="V371" s="168">
        <v>1376679481</v>
      </c>
      <c r="W371" s="165">
        <v>1184682525</v>
      </c>
      <c r="X371" s="165">
        <v>98080284</v>
      </c>
      <c r="Y371" s="165">
        <v>36199222</v>
      </c>
      <c r="Z371" s="165">
        <v>130415768.16</v>
      </c>
      <c r="AA371" s="165">
        <v>30702810.889999997</v>
      </c>
      <c r="AB371" s="165">
        <v>1035691</v>
      </c>
      <c r="AC371" s="165">
        <v>511</v>
      </c>
      <c r="AD371" s="165">
        <v>292270164.05000001</v>
      </c>
      <c r="AE371" s="165">
        <v>571957.26819960866</v>
      </c>
      <c r="AF371" s="166">
        <v>93916672</v>
      </c>
      <c r="AG371" s="11">
        <v>138590668.82999998</v>
      </c>
      <c r="AH371" s="12">
        <v>299.58333333333337</v>
      </c>
      <c r="AI371" s="132">
        <v>0</v>
      </c>
      <c r="AJ371" s="132">
        <v>1</v>
      </c>
      <c r="AK371" s="13">
        <v>0.15</v>
      </c>
      <c r="AL371" s="13">
        <v>-0.21315918713326709</v>
      </c>
      <c r="AM371" s="14">
        <v>0</v>
      </c>
      <c r="AN371" s="14">
        <v>-1</v>
      </c>
      <c r="AO371" s="82">
        <v>227172.37210878992</v>
      </c>
      <c r="AP371" s="82">
        <v>255216.76743639921</v>
      </c>
      <c r="AQ371" s="82">
        <v>28044.395327609294</v>
      </c>
      <c r="AR371" s="129">
        <v>0.12344985029332345</v>
      </c>
    </row>
    <row r="372" spans="1:44" ht="28.8" x14ac:dyDescent="0.3">
      <c r="A372" s="136" t="s">
        <v>579</v>
      </c>
      <c r="B372" s="137" t="s">
        <v>5157</v>
      </c>
      <c r="C372" s="134">
        <v>2019</v>
      </c>
      <c r="D372" s="149" t="s">
        <v>4915</v>
      </c>
      <c r="E372" s="135" t="s">
        <v>1131</v>
      </c>
      <c r="F372" s="384" t="s">
        <v>578</v>
      </c>
      <c r="G372" s="138" t="s">
        <v>4773</v>
      </c>
      <c r="H372" s="138" t="s">
        <v>2429</v>
      </c>
      <c r="I372" s="138" t="s">
        <v>1566</v>
      </c>
      <c r="J372" s="135" t="s">
        <v>4774</v>
      </c>
      <c r="K372" s="164">
        <v>1015748559</v>
      </c>
      <c r="L372" s="165">
        <v>951989852</v>
      </c>
      <c r="M372" s="165">
        <v>49538917</v>
      </c>
      <c r="N372" s="165">
        <v>2010278</v>
      </c>
      <c r="O372" s="165">
        <v>23691885</v>
      </c>
      <c r="P372" s="165">
        <v>6789264.2499999991</v>
      </c>
      <c r="Q372" s="165">
        <v>0</v>
      </c>
      <c r="R372" s="165">
        <v>178.83333333333334</v>
      </c>
      <c r="S372" s="165">
        <v>46711217.25</v>
      </c>
      <c r="T372" s="165">
        <v>261199.72367194781</v>
      </c>
      <c r="U372" s="166">
        <v>14219790</v>
      </c>
      <c r="V372" s="168">
        <v>1786104769</v>
      </c>
      <c r="W372" s="165">
        <v>1724456093</v>
      </c>
      <c r="X372" s="165">
        <v>51746236</v>
      </c>
      <c r="Y372" s="165">
        <v>8499096</v>
      </c>
      <c r="Z372" s="165">
        <v>33278391</v>
      </c>
      <c r="AA372" s="165">
        <v>9419318.3200000003</v>
      </c>
      <c r="AB372" s="165">
        <v>98177</v>
      </c>
      <c r="AC372" s="165">
        <v>214.33333333333334</v>
      </c>
      <c r="AD372" s="165">
        <v>61197422.32</v>
      </c>
      <c r="AE372" s="165">
        <v>285524.52093312598</v>
      </c>
      <c r="AF372" s="166">
        <v>9902440</v>
      </c>
      <c r="AG372" s="11">
        <v>14486205.07</v>
      </c>
      <c r="AH372" s="12">
        <v>35.5</v>
      </c>
      <c r="AI372" s="132">
        <v>0</v>
      </c>
      <c r="AJ372" s="132">
        <v>0</v>
      </c>
      <c r="AK372" s="13">
        <v>0.15</v>
      </c>
      <c r="AL372" s="13">
        <v>9.3127205496238652E-2</v>
      </c>
      <c r="AM372" s="14">
        <v>0</v>
      </c>
      <c r="AN372" s="14">
        <v>-1</v>
      </c>
      <c r="AO372" s="82">
        <v>132480.25163094129</v>
      </c>
      <c r="AP372" s="82">
        <v>155264.65474339036</v>
      </c>
      <c r="AQ372" s="82">
        <v>22784.403112449072</v>
      </c>
      <c r="AR372" s="129">
        <v>0.17198339248268524</v>
      </c>
    </row>
    <row r="373" spans="1:44" ht="28.8" x14ac:dyDescent="0.3">
      <c r="A373" s="136" t="s">
        <v>580</v>
      </c>
      <c r="B373" s="137" t="s">
        <v>5158</v>
      </c>
      <c r="C373" s="134">
        <v>2019</v>
      </c>
      <c r="D373" s="149" t="s">
        <v>4915</v>
      </c>
      <c r="E373" s="135" t="s">
        <v>1131</v>
      </c>
      <c r="F373" s="384" t="s">
        <v>578</v>
      </c>
      <c r="G373" s="138" t="s">
        <v>4773</v>
      </c>
      <c r="H373" s="138" t="s">
        <v>2015</v>
      </c>
      <c r="I373" s="138" t="s">
        <v>1566</v>
      </c>
      <c r="J373" s="135" t="s">
        <v>4778</v>
      </c>
      <c r="K373" s="164">
        <v>1121633663</v>
      </c>
      <c r="L373" s="165">
        <v>886574092</v>
      </c>
      <c r="M373" s="165">
        <v>248128553</v>
      </c>
      <c r="N373" s="165">
        <v>17082067</v>
      </c>
      <c r="O373" s="165">
        <v>82568400.840000004</v>
      </c>
      <c r="P373" s="165">
        <v>24318444.93</v>
      </c>
      <c r="Q373" s="165">
        <v>751272</v>
      </c>
      <c r="R373" s="165">
        <v>265</v>
      </c>
      <c r="S373" s="165">
        <v>111651202.77000001</v>
      </c>
      <c r="T373" s="165">
        <v>421325.29347169813</v>
      </c>
      <c r="U373" s="166">
        <v>-13068982</v>
      </c>
      <c r="V373" s="168">
        <v>1857728978</v>
      </c>
      <c r="W373" s="165">
        <v>1599135789</v>
      </c>
      <c r="X373" s="165">
        <v>242965884</v>
      </c>
      <c r="Y373" s="165">
        <v>86927201</v>
      </c>
      <c r="Z373" s="165">
        <v>77348620.680000007</v>
      </c>
      <c r="AA373" s="165">
        <v>17168533.080000002</v>
      </c>
      <c r="AB373" s="165">
        <v>1277360</v>
      </c>
      <c r="AC373" s="165">
        <v>232.91666666666666</v>
      </c>
      <c r="AD373" s="165">
        <v>198349019.76000002</v>
      </c>
      <c r="AE373" s="165">
        <v>851587.92025760293</v>
      </c>
      <c r="AF373" s="166">
        <v>15627305</v>
      </c>
      <c r="AG373" s="11">
        <v>86697816.99000001</v>
      </c>
      <c r="AH373" s="12">
        <v>-32.083333333333343</v>
      </c>
      <c r="AI373" s="132">
        <v>1</v>
      </c>
      <c r="AJ373" s="132">
        <v>1</v>
      </c>
      <c r="AK373" s="13">
        <v>0.15</v>
      </c>
      <c r="AL373" s="13">
        <v>1.0212124460888643</v>
      </c>
      <c r="AM373" s="14">
        <v>1</v>
      </c>
      <c r="AN373" s="14">
        <v>0</v>
      </c>
      <c r="AO373" s="82">
        <v>311578.87109433964</v>
      </c>
      <c r="AP373" s="82">
        <v>332087.10130948125</v>
      </c>
      <c r="AQ373" s="82">
        <v>20508.230215141608</v>
      </c>
      <c r="AR373" s="129">
        <v>6.5820349573486148E-2</v>
      </c>
    </row>
    <row r="374" spans="1:44" ht="28.8" x14ac:dyDescent="0.3">
      <c r="A374" s="136" t="s">
        <v>581</v>
      </c>
      <c r="B374" s="137" t="s">
        <v>5159</v>
      </c>
      <c r="C374" s="134">
        <v>2019</v>
      </c>
      <c r="D374" s="149" t="s">
        <v>4915</v>
      </c>
      <c r="E374" s="135" t="s">
        <v>1131</v>
      </c>
      <c r="F374" s="384" t="s">
        <v>578</v>
      </c>
      <c r="G374" s="138" t="s">
        <v>4773</v>
      </c>
      <c r="H374" s="138" t="s">
        <v>2427</v>
      </c>
      <c r="I374" s="138" t="s">
        <v>1566</v>
      </c>
      <c r="J374" s="135" t="s">
        <v>4774</v>
      </c>
      <c r="K374" s="164">
        <v>1915409246</v>
      </c>
      <c r="L374" s="165">
        <v>1614597048</v>
      </c>
      <c r="M374" s="165">
        <v>194555722</v>
      </c>
      <c r="N374" s="165">
        <v>20296181</v>
      </c>
      <c r="O374" s="165">
        <v>168486362.59999999</v>
      </c>
      <c r="P374" s="165">
        <v>51112766.189999998</v>
      </c>
      <c r="Q374" s="165">
        <v>417368</v>
      </c>
      <c r="R374" s="165">
        <v>359.16666666666669</v>
      </c>
      <c r="S374" s="165">
        <v>346569153.79000002</v>
      </c>
      <c r="T374" s="165">
        <v>964925.71820881672</v>
      </c>
      <c r="U374" s="166">
        <v>106256476</v>
      </c>
      <c r="V374" s="168">
        <v>3213047539</v>
      </c>
      <c r="W374" s="165">
        <v>2854922018</v>
      </c>
      <c r="X374" s="165">
        <v>204684865</v>
      </c>
      <c r="Y374" s="165">
        <v>14380967</v>
      </c>
      <c r="Z374" s="165">
        <v>187841451.09999999</v>
      </c>
      <c r="AA374" s="165">
        <v>53304911.409999996</v>
      </c>
      <c r="AB374" s="165">
        <v>10309</v>
      </c>
      <c r="AC374" s="165">
        <v>303.33333333333331</v>
      </c>
      <c r="AD374" s="165">
        <v>408978294.50999999</v>
      </c>
      <c r="AE374" s="165">
        <v>1348280.0917912088</v>
      </c>
      <c r="AF374" s="166">
        <v>153440656</v>
      </c>
      <c r="AG374" s="11">
        <v>62409140.719999969</v>
      </c>
      <c r="AH374" s="12">
        <v>-55.833333333333371</v>
      </c>
      <c r="AI374" s="132">
        <v>1</v>
      </c>
      <c r="AJ374" s="132">
        <v>0</v>
      </c>
      <c r="AK374" s="13">
        <v>0.15</v>
      </c>
      <c r="AL374" s="13">
        <v>0.39728899546796215</v>
      </c>
      <c r="AM374" s="14">
        <v>1</v>
      </c>
      <c r="AN374" s="14">
        <v>0</v>
      </c>
      <c r="AO374" s="82">
        <v>469103.56176334101</v>
      </c>
      <c r="AP374" s="82">
        <v>619257.53109890106</v>
      </c>
      <c r="AQ374" s="82">
        <v>150153.96933556005</v>
      </c>
      <c r="AR374" s="129">
        <v>0.32008703743612066</v>
      </c>
    </row>
    <row r="375" spans="1:44" ht="43.2" x14ac:dyDescent="0.3">
      <c r="A375" s="136" t="s">
        <v>582</v>
      </c>
      <c r="B375" s="137" t="s">
        <v>5160</v>
      </c>
      <c r="C375" s="134">
        <v>2020</v>
      </c>
      <c r="D375" s="149" t="s">
        <v>1137</v>
      </c>
      <c r="E375" s="135" t="s">
        <v>1131</v>
      </c>
      <c r="F375" s="384" t="s">
        <v>299</v>
      </c>
      <c r="G375" s="138" t="s">
        <v>4773</v>
      </c>
      <c r="H375" s="138" t="s">
        <v>1796</v>
      </c>
      <c r="I375" s="138" t="s">
        <v>1566</v>
      </c>
      <c r="J375" s="135" t="s">
        <v>4774</v>
      </c>
      <c r="K375" s="164">
        <v>7092282841</v>
      </c>
      <c r="L375" s="165">
        <v>6276111693</v>
      </c>
      <c r="M375" s="165">
        <v>301482593</v>
      </c>
      <c r="N375" s="165">
        <v>273591660</v>
      </c>
      <c r="O375" s="165">
        <v>626522805.55999994</v>
      </c>
      <c r="P375" s="165">
        <v>154903993.90000001</v>
      </c>
      <c r="Q375" s="165">
        <v>20813530</v>
      </c>
      <c r="R375" s="165">
        <v>929.91666666666663</v>
      </c>
      <c r="S375" s="165">
        <v>1590520544.46</v>
      </c>
      <c r="T375" s="165">
        <v>1710390.4053696569</v>
      </c>
      <c r="U375" s="166">
        <v>514688555</v>
      </c>
      <c r="V375" s="168">
        <v>8931437939</v>
      </c>
      <c r="W375" s="165">
        <v>8389068090</v>
      </c>
      <c r="X375" s="165">
        <v>311551990</v>
      </c>
      <c r="Y375" s="165">
        <v>304035033</v>
      </c>
      <c r="Z375" s="165">
        <v>668726741.82000005</v>
      </c>
      <c r="AA375" s="165">
        <v>186673527.57999998</v>
      </c>
      <c r="AB375" s="165">
        <v>5480</v>
      </c>
      <c r="AC375" s="165">
        <v>997.5</v>
      </c>
      <c r="AD375" s="165">
        <v>1390258641.4000001</v>
      </c>
      <c r="AE375" s="165">
        <v>1393742.9988972433</v>
      </c>
      <c r="AF375" s="166">
        <v>230817859</v>
      </c>
      <c r="AG375" s="11">
        <v>-200261903.05999994</v>
      </c>
      <c r="AH375" s="12">
        <v>67.583333333333371</v>
      </c>
      <c r="AI375" s="132">
        <v>0</v>
      </c>
      <c r="AJ375" s="132">
        <v>0</v>
      </c>
      <c r="AK375" s="13">
        <v>0.1</v>
      </c>
      <c r="AL375" s="13">
        <v>-0.18513165657892106</v>
      </c>
      <c r="AM375" s="14">
        <v>0</v>
      </c>
      <c r="AN375" s="14">
        <v>-1</v>
      </c>
      <c r="AO375" s="82">
        <v>673740.80712608655</v>
      </c>
      <c r="AP375" s="82">
        <v>670402.74869172939</v>
      </c>
      <c r="AQ375" s="82">
        <v>-3338.0584343571682</v>
      </c>
      <c r="AR375" s="129">
        <v>-4.9545142568935274E-3</v>
      </c>
    </row>
    <row r="376" spans="1:44" ht="43.2" x14ac:dyDescent="0.3">
      <c r="A376" s="136" t="s">
        <v>583</v>
      </c>
      <c r="B376" s="137" t="s">
        <v>5161</v>
      </c>
      <c r="C376" s="134">
        <v>2019</v>
      </c>
      <c r="D376" s="149" t="s">
        <v>5030</v>
      </c>
      <c r="E376" s="135" t="s">
        <v>1175</v>
      </c>
      <c r="F376" s="384" t="s">
        <v>584</v>
      </c>
      <c r="G376" s="138" t="s">
        <v>4773</v>
      </c>
      <c r="H376" s="138" t="s">
        <v>2264</v>
      </c>
      <c r="I376" s="138" t="s">
        <v>1566</v>
      </c>
      <c r="J376" s="135" t="s">
        <v>4774</v>
      </c>
      <c r="K376" s="164">
        <v>2230911806</v>
      </c>
      <c r="L376" s="165">
        <v>1719960961</v>
      </c>
      <c r="M376" s="165">
        <v>509562368</v>
      </c>
      <c r="N376" s="165">
        <v>12274726</v>
      </c>
      <c r="O376" s="165">
        <v>87680019</v>
      </c>
      <c r="P376" s="165">
        <v>24978588</v>
      </c>
      <c r="Q376" s="165">
        <v>2987363</v>
      </c>
      <c r="R376" s="165">
        <v>264.58333333333331</v>
      </c>
      <c r="S376" s="165">
        <v>129309173</v>
      </c>
      <c r="T376" s="165">
        <v>488727.582992126</v>
      </c>
      <c r="U376" s="166">
        <v>1388477</v>
      </c>
      <c r="V376" s="168">
        <v>3083410569</v>
      </c>
      <c r="W376" s="165">
        <v>2439754429</v>
      </c>
      <c r="X376" s="165">
        <v>666636882</v>
      </c>
      <c r="Y376" s="165">
        <v>24842208</v>
      </c>
      <c r="Z376" s="165">
        <v>111097084.51000001</v>
      </c>
      <c r="AA376" s="165">
        <v>32274325.920000002</v>
      </c>
      <c r="AB376" s="165">
        <v>7917371</v>
      </c>
      <c r="AC376" s="165">
        <v>225.91666666666666</v>
      </c>
      <c r="AD376" s="165">
        <v>153150247.43000001</v>
      </c>
      <c r="AE376" s="165">
        <v>677905.92739210627</v>
      </c>
      <c r="AF376" s="166">
        <v>-22980742</v>
      </c>
      <c r="AG376" s="11">
        <v>23841074.430000007</v>
      </c>
      <c r="AH376" s="12">
        <v>-38.666666666666657</v>
      </c>
      <c r="AI376" s="132">
        <v>1</v>
      </c>
      <c r="AJ376" s="132">
        <v>1</v>
      </c>
      <c r="AK376" s="13">
        <v>0.15</v>
      </c>
      <c r="AL376" s="13">
        <v>0.38708343408816837</v>
      </c>
      <c r="AM376" s="14">
        <v>1</v>
      </c>
      <c r="AN376" s="14">
        <v>0</v>
      </c>
      <c r="AO376" s="82">
        <v>331389.04818897642</v>
      </c>
      <c r="AP376" s="82">
        <v>491761.34788638883</v>
      </c>
      <c r="AQ376" s="82">
        <v>160372.29969741241</v>
      </c>
      <c r="AR376" s="129">
        <v>0.48393964910379061</v>
      </c>
    </row>
    <row r="377" spans="1:44" ht="28.8" x14ac:dyDescent="0.3">
      <c r="A377" s="136" t="s">
        <v>585</v>
      </c>
      <c r="B377" s="137" t="s">
        <v>5162</v>
      </c>
      <c r="C377" s="134">
        <v>2019</v>
      </c>
      <c r="D377" s="149" t="s">
        <v>1178</v>
      </c>
      <c r="E377" s="135" t="s">
        <v>1175</v>
      </c>
      <c r="F377" s="384" t="s">
        <v>431</v>
      </c>
      <c r="G377" s="138" t="s">
        <v>4773</v>
      </c>
      <c r="H377" s="138" t="s">
        <v>1704</v>
      </c>
      <c r="I377" s="138" t="s">
        <v>1566</v>
      </c>
      <c r="J377" s="135" t="s">
        <v>4778</v>
      </c>
      <c r="K377" s="164">
        <v>2518791857</v>
      </c>
      <c r="L377" s="165">
        <v>1866504608</v>
      </c>
      <c r="M377" s="165">
        <v>563272958</v>
      </c>
      <c r="N377" s="165">
        <v>48318946</v>
      </c>
      <c r="O377" s="165">
        <v>156706533</v>
      </c>
      <c r="P377" s="165">
        <v>47873426</v>
      </c>
      <c r="Q377" s="165">
        <v>1894761</v>
      </c>
      <c r="R377" s="165">
        <v>458.5</v>
      </c>
      <c r="S377" s="165">
        <v>343807957</v>
      </c>
      <c r="T377" s="165">
        <v>749853.77753544168</v>
      </c>
      <c r="U377" s="166">
        <v>89014291</v>
      </c>
      <c r="V377" s="168">
        <v>5035231473</v>
      </c>
      <c r="W377" s="165">
        <v>4196483389</v>
      </c>
      <c r="X377" s="165">
        <v>737968003</v>
      </c>
      <c r="Y377" s="165">
        <v>41266620</v>
      </c>
      <c r="Z377" s="165">
        <v>203898930.80000001</v>
      </c>
      <c r="AA377" s="165">
        <v>62866149.190000005</v>
      </c>
      <c r="AB377" s="165">
        <v>1945942</v>
      </c>
      <c r="AC377" s="165">
        <v>534.16666666666663</v>
      </c>
      <c r="AD377" s="165">
        <v>410757722.99000001</v>
      </c>
      <c r="AE377" s="165">
        <v>768969.21620592836</v>
      </c>
      <c r="AF377" s="166">
        <v>100780081</v>
      </c>
      <c r="AG377" s="11">
        <v>66949765.99000001</v>
      </c>
      <c r="AH377" s="12">
        <v>75.666666666666629</v>
      </c>
      <c r="AI377" s="132">
        <v>0</v>
      </c>
      <c r="AJ377" s="132">
        <v>0</v>
      </c>
      <c r="AK377" s="13">
        <v>0.15</v>
      </c>
      <c r="AL377" s="13">
        <v>2.5492223297187255E-2</v>
      </c>
      <c r="AM377" s="14">
        <v>0</v>
      </c>
      <c r="AN377" s="14">
        <v>-1</v>
      </c>
      <c r="AO377" s="82">
        <v>341780.87895310798</v>
      </c>
      <c r="AP377" s="82">
        <v>381714.06702028087</v>
      </c>
      <c r="AQ377" s="82">
        <v>39933.188067172887</v>
      </c>
      <c r="AR377" s="129">
        <v>0.1168385668311529</v>
      </c>
    </row>
    <row r="378" spans="1:44" ht="28.8" x14ac:dyDescent="0.3">
      <c r="A378" s="136" t="s">
        <v>586</v>
      </c>
      <c r="B378" s="137" t="s">
        <v>5163</v>
      </c>
      <c r="C378" s="134">
        <v>2019</v>
      </c>
      <c r="D378" s="149" t="s">
        <v>1178</v>
      </c>
      <c r="E378" s="135" t="s">
        <v>1175</v>
      </c>
      <c r="F378" s="384" t="s">
        <v>476</v>
      </c>
      <c r="G378" s="138" t="s">
        <v>4773</v>
      </c>
      <c r="H378" s="138" t="s">
        <v>1599</v>
      </c>
      <c r="I378" s="138" t="s">
        <v>1566</v>
      </c>
      <c r="J378" s="135" t="s">
        <v>4778</v>
      </c>
      <c r="K378" s="164">
        <v>9870231820</v>
      </c>
      <c r="L378" s="165">
        <v>8984178493</v>
      </c>
      <c r="M378" s="165">
        <v>518995808</v>
      </c>
      <c r="N378" s="165">
        <v>72515216</v>
      </c>
      <c r="O378" s="165">
        <v>699462532</v>
      </c>
      <c r="P378" s="165">
        <v>215338192</v>
      </c>
      <c r="Q378" s="165">
        <v>2513179</v>
      </c>
      <c r="R378" s="165">
        <v>1804.1666666666667</v>
      </c>
      <c r="S378" s="165">
        <v>1356886638</v>
      </c>
      <c r="T378" s="165">
        <v>752084.97256351041</v>
      </c>
      <c r="U378" s="166">
        <v>367057519</v>
      </c>
      <c r="V378" s="168">
        <v>8953742114</v>
      </c>
      <c r="W378" s="165">
        <v>8075272392</v>
      </c>
      <c r="X378" s="165">
        <v>504560773</v>
      </c>
      <c r="Y378" s="165">
        <v>84804636</v>
      </c>
      <c r="Z378" s="165">
        <v>772247195.78999996</v>
      </c>
      <c r="AA378" s="165">
        <v>237401594.96000001</v>
      </c>
      <c r="AB378" s="165">
        <v>2185546</v>
      </c>
      <c r="AC378" s="165">
        <v>1708.3333333333333</v>
      </c>
      <c r="AD378" s="165">
        <v>1470547921.75</v>
      </c>
      <c r="AE378" s="165">
        <v>860808.53956097562</v>
      </c>
      <c r="AF378" s="166">
        <v>373908949</v>
      </c>
      <c r="AG378" s="11">
        <v>113661283.75</v>
      </c>
      <c r="AH378" s="12">
        <v>-95.833333333333485</v>
      </c>
      <c r="AI378" s="132">
        <v>0</v>
      </c>
      <c r="AJ378" s="132">
        <v>1</v>
      </c>
      <c r="AK378" s="13">
        <v>0.15</v>
      </c>
      <c r="AL378" s="13">
        <v>0.14456288097340919</v>
      </c>
      <c r="AM378" s="14">
        <v>0</v>
      </c>
      <c r="AN378" s="14">
        <v>-1</v>
      </c>
      <c r="AO378" s="82">
        <v>387692.85838337179</v>
      </c>
      <c r="AP378" s="82">
        <v>452047.13899902441</v>
      </c>
      <c r="AQ378" s="82">
        <v>64354.28061565262</v>
      </c>
      <c r="AR378" s="129">
        <v>0.16599294834576406</v>
      </c>
    </row>
    <row r="379" spans="1:44" ht="28.8" x14ac:dyDescent="0.3">
      <c r="A379" s="136" t="s">
        <v>587</v>
      </c>
      <c r="B379" s="137" t="s">
        <v>1179</v>
      </c>
      <c r="C379" s="134">
        <v>2020</v>
      </c>
      <c r="D379" s="149" t="s">
        <v>1178</v>
      </c>
      <c r="E379" s="135" t="s">
        <v>1175</v>
      </c>
      <c r="F379" s="384" t="s">
        <v>476</v>
      </c>
      <c r="G379" s="138" t="s">
        <v>4787</v>
      </c>
      <c r="H379" s="138" t="s">
        <v>2902</v>
      </c>
      <c r="I379" s="138" t="s">
        <v>1566</v>
      </c>
      <c r="J379" s="135" t="s">
        <v>4778</v>
      </c>
      <c r="K379" s="164">
        <v>1017847781</v>
      </c>
      <c r="L379" s="165">
        <v>461186880</v>
      </c>
      <c r="M379" s="165">
        <v>388706327</v>
      </c>
      <c r="N379" s="165">
        <v>58294607</v>
      </c>
      <c r="O379" s="165">
        <v>316284008.00999999</v>
      </c>
      <c r="P379" s="165">
        <v>92128307.88000001</v>
      </c>
      <c r="Q379" s="165">
        <v>9989025</v>
      </c>
      <c r="R379" s="165">
        <v>844.16666666666663</v>
      </c>
      <c r="S379" s="165">
        <v>644650521.88999999</v>
      </c>
      <c r="T379" s="165">
        <v>763653.13550641655</v>
      </c>
      <c r="U379" s="166">
        <v>167954574</v>
      </c>
      <c r="V379" s="168">
        <v>1075658664</v>
      </c>
      <c r="W379" s="165">
        <v>585402173</v>
      </c>
      <c r="X379" s="165">
        <v>399724176</v>
      </c>
      <c r="Y379" s="165">
        <v>54013057</v>
      </c>
      <c r="Z379" s="165">
        <v>365696815.19</v>
      </c>
      <c r="AA379" s="165">
        <v>106226461.72</v>
      </c>
      <c r="AB379" s="165">
        <v>9239580</v>
      </c>
      <c r="AC379" s="165">
        <v>786.91666666666663</v>
      </c>
      <c r="AD379" s="165">
        <v>625708228.90999997</v>
      </c>
      <c r="AE379" s="165">
        <v>795139.12389283068</v>
      </c>
      <c r="AF379" s="166">
        <v>90532315</v>
      </c>
      <c r="AG379" s="11">
        <v>-18942292.980000019</v>
      </c>
      <c r="AH379" s="12">
        <v>-57.25</v>
      </c>
      <c r="AI379" s="132">
        <v>0</v>
      </c>
      <c r="AJ379" s="132">
        <v>0</v>
      </c>
      <c r="AK379" s="13">
        <v>0.1</v>
      </c>
      <c r="AL379" s="13">
        <v>4.1230734676217073E-2</v>
      </c>
      <c r="AM379" s="14">
        <v>0</v>
      </c>
      <c r="AN379" s="14">
        <v>-1</v>
      </c>
      <c r="AO379" s="82">
        <v>374670.09833366238</v>
      </c>
      <c r="AP379" s="82">
        <v>464721.14606375096</v>
      </c>
      <c r="AQ379" s="82">
        <v>90051.047730088583</v>
      </c>
      <c r="AR379" s="129">
        <v>0.24034757011725461</v>
      </c>
    </row>
    <row r="380" spans="1:44" ht="28.8" x14ac:dyDescent="0.3">
      <c r="A380" s="136" t="s">
        <v>588</v>
      </c>
      <c r="B380" s="137" t="s">
        <v>5164</v>
      </c>
      <c r="C380" s="134">
        <v>2019</v>
      </c>
      <c r="D380" s="149" t="s">
        <v>1187</v>
      </c>
      <c r="E380" s="135" t="s">
        <v>1175</v>
      </c>
      <c r="F380" s="384" t="s">
        <v>476</v>
      </c>
      <c r="G380" s="138" t="s">
        <v>4773</v>
      </c>
      <c r="H380" s="138" t="s">
        <v>2826</v>
      </c>
      <c r="I380" s="138" t="s">
        <v>1566</v>
      </c>
      <c r="J380" s="135" t="s">
        <v>4774</v>
      </c>
      <c r="K380" s="164">
        <v>1517686213</v>
      </c>
      <c r="L380" s="165">
        <v>814992723</v>
      </c>
      <c r="M380" s="165">
        <v>174612153</v>
      </c>
      <c r="N380" s="165">
        <v>2500655</v>
      </c>
      <c r="O380" s="165">
        <v>37705549</v>
      </c>
      <c r="P380" s="165">
        <v>9454125</v>
      </c>
      <c r="Q380" s="165">
        <v>14787</v>
      </c>
      <c r="R380" s="165">
        <v>169.33333333333334</v>
      </c>
      <c r="S380" s="165">
        <v>577756453</v>
      </c>
      <c r="T380" s="191">
        <v>3411947.557086614</v>
      </c>
      <c r="U380" s="166">
        <v>528081337</v>
      </c>
      <c r="V380" s="168">
        <v>2680099067</v>
      </c>
      <c r="W380" s="165">
        <v>1746472243</v>
      </c>
      <c r="X380" s="165">
        <v>163390421</v>
      </c>
      <c r="Y380" s="165">
        <v>3724996</v>
      </c>
      <c r="Z380" s="165">
        <v>86298940.099999994</v>
      </c>
      <c r="AA380" s="165">
        <v>17341529.900000002</v>
      </c>
      <c r="AB380" s="165">
        <v>0</v>
      </c>
      <c r="AC380" s="165">
        <v>196.66666666666666</v>
      </c>
      <c r="AD380" s="165">
        <v>877601869</v>
      </c>
      <c r="AE380" s="165">
        <v>4462382.3847457627</v>
      </c>
      <c r="AF380" s="166">
        <v>770236403</v>
      </c>
      <c r="AG380" s="11">
        <v>299845416</v>
      </c>
      <c r="AH380" s="12">
        <v>27.333333333333314</v>
      </c>
      <c r="AI380" s="132">
        <v>1</v>
      </c>
      <c r="AJ380" s="132">
        <v>1</v>
      </c>
      <c r="AK380" s="13">
        <v>0.15</v>
      </c>
      <c r="AL380" s="13">
        <v>0.3078695676084775</v>
      </c>
      <c r="AM380" s="14">
        <v>1</v>
      </c>
      <c r="AN380" s="14">
        <v>0</v>
      </c>
      <c r="AO380" s="82">
        <v>222670.56496062991</v>
      </c>
      <c r="AP380" s="82">
        <v>438808.17</v>
      </c>
      <c r="AQ380" s="82">
        <v>216137.60503937007</v>
      </c>
      <c r="AR380" s="129">
        <v>0.97066087328419481</v>
      </c>
    </row>
    <row r="381" spans="1:44" ht="43.2" x14ac:dyDescent="0.3">
      <c r="A381" s="136" t="s">
        <v>589</v>
      </c>
      <c r="B381" s="137" t="s">
        <v>1144</v>
      </c>
      <c r="C381" s="134">
        <v>2020</v>
      </c>
      <c r="D381" s="149" t="s">
        <v>1143</v>
      </c>
      <c r="E381" s="135" t="s">
        <v>1140</v>
      </c>
      <c r="F381" s="384" t="s">
        <v>590</v>
      </c>
      <c r="G381" s="138" t="s">
        <v>4787</v>
      </c>
      <c r="H381" s="138" t="s">
        <v>2363</v>
      </c>
      <c r="I381" s="138" t="s">
        <v>1566</v>
      </c>
      <c r="J381" s="135" t="s">
        <v>4774</v>
      </c>
      <c r="K381" s="164">
        <v>1754117923</v>
      </c>
      <c r="L381" s="165">
        <v>935012386</v>
      </c>
      <c r="M381" s="165">
        <v>341232679</v>
      </c>
      <c r="N381" s="165">
        <v>30527276</v>
      </c>
      <c r="O381" s="165">
        <v>123358553</v>
      </c>
      <c r="P381" s="165">
        <v>41974417</v>
      </c>
      <c r="Q381" s="165">
        <v>1796892</v>
      </c>
      <c r="R381" s="165">
        <v>221.83333333333334</v>
      </c>
      <c r="S381" s="165">
        <v>675529996</v>
      </c>
      <c r="T381" s="165">
        <v>3045214.1066867015</v>
      </c>
      <c r="U381" s="166">
        <v>477872858</v>
      </c>
      <c r="V381" s="168">
        <v>1828300217</v>
      </c>
      <c r="W381" s="165">
        <v>1096694472</v>
      </c>
      <c r="X381" s="165">
        <v>292823623</v>
      </c>
      <c r="Y381" s="165">
        <v>29806136</v>
      </c>
      <c r="Z381" s="165">
        <v>145566391.69999999</v>
      </c>
      <c r="AA381" s="165">
        <v>42932152</v>
      </c>
      <c r="AB381" s="165">
        <v>1616633</v>
      </c>
      <c r="AC381" s="165">
        <v>209.16666666666666</v>
      </c>
      <c r="AD381" s="165">
        <v>658703434.70000005</v>
      </c>
      <c r="AE381" s="165">
        <v>3149179.76749004</v>
      </c>
      <c r="AF381" s="166">
        <v>438782122</v>
      </c>
      <c r="AG381" s="11">
        <v>-16826561.299999952</v>
      </c>
      <c r="AH381" s="12">
        <v>-12.666666666666686</v>
      </c>
      <c r="AI381" s="132">
        <v>0</v>
      </c>
      <c r="AJ381" s="132">
        <v>0</v>
      </c>
      <c r="AK381" s="13">
        <v>0.1</v>
      </c>
      <c r="AL381" s="13">
        <v>3.4140673280933953E-2</v>
      </c>
      <c r="AM381" s="14">
        <v>0</v>
      </c>
      <c r="AN381" s="14">
        <v>-1</v>
      </c>
      <c r="AO381" s="82">
        <v>556086.64012021036</v>
      </c>
      <c r="AP381" s="82">
        <v>695934.94039840635</v>
      </c>
      <c r="AQ381" s="82">
        <v>139848.30027819599</v>
      </c>
      <c r="AR381" s="129">
        <v>0.2514865313936776</v>
      </c>
    </row>
    <row r="382" spans="1:44" ht="28.8" x14ac:dyDescent="0.3">
      <c r="A382" s="136" t="s">
        <v>591</v>
      </c>
      <c r="B382" s="137" t="s">
        <v>1154</v>
      </c>
      <c r="C382" s="134">
        <v>2020</v>
      </c>
      <c r="D382" s="149" t="s">
        <v>1153</v>
      </c>
      <c r="E382" s="135" t="s">
        <v>1152</v>
      </c>
      <c r="F382" s="384" t="s">
        <v>148</v>
      </c>
      <c r="G382" s="138" t="s">
        <v>4787</v>
      </c>
      <c r="H382" s="138" t="s">
        <v>4292</v>
      </c>
      <c r="I382" s="138" t="s">
        <v>4255</v>
      </c>
      <c r="J382" s="135" t="s">
        <v>5034</v>
      </c>
      <c r="K382" s="164">
        <v>727553635</v>
      </c>
      <c r="L382" s="165">
        <v>488776689</v>
      </c>
      <c r="M382" s="165">
        <v>721396762</v>
      </c>
      <c r="N382" s="165">
        <v>44712813</v>
      </c>
      <c r="O382" s="165">
        <v>518866745</v>
      </c>
      <c r="P382" s="165">
        <v>162658057</v>
      </c>
      <c r="Q382" s="165">
        <v>5520082</v>
      </c>
      <c r="R382" s="165">
        <v>1404.3333333333333</v>
      </c>
      <c r="S382" s="165">
        <v>249137881</v>
      </c>
      <c r="T382" s="165">
        <v>177406.51388559223</v>
      </c>
      <c r="U382" s="166">
        <v>-482619816</v>
      </c>
      <c r="V382" s="168">
        <v>1104997766</v>
      </c>
      <c r="W382" s="165">
        <v>808070068</v>
      </c>
      <c r="X382" s="165">
        <v>460976896</v>
      </c>
      <c r="Y382" s="165">
        <v>49499379</v>
      </c>
      <c r="Z382" s="165">
        <v>590241554.22000003</v>
      </c>
      <c r="AA382" s="165">
        <v>185590356.21999997</v>
      </c>
      <c r="AB382" s="165">
        <v>6885533</v>
      </c>
      <c r="AC382" s="165">
        <v>1326.75</v>
      </c>
      <c r="AD382" s="165">
        <v>668167624.44000006</v>
      </c>
      <c r="AE382" s="165">
        <v>503612.30408140196</v>
      </c>
      <c r="AF382" s="166">
        <v>-164049198</v>
      </c>
      <c r="AG382" s="11">
        <v>419029743.44000006</v>
      </c>
      <c r="AH382" s="12">
        <v>-77.583333333333258</v>
      </c>
      <c r="AI382" s="132">
        <v>1</v>
      </c>
      <c r="AJ382" s="132">
        <v>1</v>
      </c>
      <c r="AK382" s="13">
        <v>0.1</v>
      </c>
      <c r="AL382" s="13">
        <v>1.838747574708504</v>
      </c>
      <c r="AM382" s="14">
        <v>1</v>
      </c>
      <c r="AN382" s="14">
        <v>0</v>
      </c>
      <c r="AO382" s="82">
        <v>369475.48896273441</v>
      </c>
      <c r="AP382" s="82">
        <v>444877.74955342006</v>
      </c>
      <c r="AQ382" s="82">
        <v>75402.260590685648</v>
      </c>
      <c r="AR382" s="129">
        <v>0.20407919562504673</v>
      </c>
    </row>
    <row r="383" spans="1:44" ht="28.8" x14ac:dyDescent="0.3">
      <c r="A383" s="136" t="s">
        <v>592</v>
      </c>
      <c r="B383" s="137" t="s">
        <v>5165</v>
      </c>
      <c r="C383" s="134">
        <v>2019</v>
      </c>
      <c r="D383" s="149" t="s">
        <v>1141</v>
      </c>
      <c r="E383" s="135" t="s">
        <v>1140</v>
      </c>
      <c r="F383" s="384" t="s">
        <v>593</v>
      </c>
      <c r="G383" s="138" t="s">
        <v>4773</v>
      </c>
      <c r="H383" s="138" t="s">
        <v>1748</v>
      </c>
      <c r="I383" s="138" t="s">
        <v>1566</v>
      </c>
      <c r="J383" s="135" t="s">
        <v>4778</v>
      </c>
      <c r="K383" s="164">
        <v>1210058204</v>
      </c>
      <c r="L383" s="165">
        <v>810466569</v>
      </c>
      <c r="M383" s="165">
        <v>434826848</v>
      </c>
      <c r="N383" s="165">
        <v>110913907</v>
      </c>
      <c r="O383" s="165">
        <v>189228124</v>
      </c>
      <c r="P383" s="165">
        <v>48063496</v>
      </c>
      <c r="Q383" s="165">
        <v>1606577</v>
      </c>
      <c r="R383" s="165">
        <v>604.08333333333337</v>
      </c>
      <c r="S383" s="165">
        <v>314576891</v>
      </c>
      <c r="T383" s="165">
        <v>520750.81969926885</v>
      </c>
      <c r="U383" s="166">
        <v>-35235213</v>
      </c>
      <c r="V383" s="168">
        <v>1143888659</v>
      </c>
      <c r="W383" s="165">
        <v>824746874</v>
      </c>
      <c r="X383" s="165">
        <v>422143334</v>
      </c>
      <c r="Y383" s="165">
        <v>102643269</v>
      </c>
      <c r="Z383" s="165">
        <v>188140282</v>
      </c>
      <c r="AA383" s="165">
        <v>53961662</v>
      </c>
      <c r="AB383" s="165">
        <v>2228023</v>
      </c>
      <c r="AC383" s="165">
        <v>577.75</v>
      </c>
      <c r="AD383" s="165">
        <v>243971687</v>
      </c>
      <c r="AE383" s="165">
        <v>422278.99091302464</v>
      </c>
      <c r="AF383" s="166">
        <v>-103001549</v>
      </c>
      <c r="AG383" s="11">
        <v>-70605204</v>
      </c>
      <c r="AH383" s="12">
        <v>-26.333333333333371</v>
      </c>
      <c r="AI383" s="132">
        <v>0</v>
      </c>
      <c r="AJ383" s="132">
        <v>0</v>
      </c>
      <c r="AK383" s="13">
        <v>0.15</v>
      </c>
      <c r="AL383" s="13">
        <v>-0.18909587122685667</v>
      </c>
      <c r="AM383" s="14">
        <v>0</v>
      </c>
      <c r="AN383" s="14">
        <v>-1</v>
      </c>
      <c r="AO383" s="82">
        <v>313248.37743136985</v>
      </c>
      <c r="AP383" s="82">
        <v>325643.06707053224</v>
      </c>
      <c r="AQ383" s="82">
        <v>12394.689639162389</v>
      </c>
      <c r="AR383" s="129">
        <v>3.9568248495965408E-2</v>
      </c>
    </row>
    <row r="384" spans="1:44" ht="28.8" x14ac:dyDescent="0.3">
      <c r="A384" s="136" t="s">
        <v>594</v>
      </c>
      <c r="B384" s="137" t="s">
        <v>5166</v>
      </c>
      <c r="C384" s="134">
        <v>2019</v>
      </c>
      <c r="D384" s="149" t="s">
        <v>1141</v>
      </c>
      <c r="E384" s="135" t="s">
        <v>1140</v>
      </c>
      <c r="F384" s="384" t="s">
        <v>593</v>
      </c>
      <c r="G384" s="138" t="s">
        <v>4773</v>
      </c>
      <c r="H384" s="138" t="s">
        <v>2383</v>
      </c>
      <c r="I384" s="138" t="s">
        <v>1566</v>
      </c>
      <c r="J384" s="135" t="s">
        <v>4774</v>
      </c>
      <c r="K384" s="164">
        <v>1836278712</v>
      </c>
      <c r="L384" s="165">
        <v>1024920748</v>
      </c>
      <c r="M384" s="165">
        <v>368450058</v>
      </c>
      <c r="N384" s="165">
        <v>38762088</v>
      </c>
      <c r="O384" s="165">
        <v>180998251</v>
      </c>
      <c r="P384" s="165">
        <v>50071958</v>
      </c>
      <c r="Q384" s="165">
        <v>1907586</v>
      </c>
      <c r="R384" s="165">
        <v>364.08333333333331</v>
      </c>
      <c r="S384" s="165">
        <v>714647789</v>
      </c>
      <c r="T384" s="165">
        <v>1962868.7269398032</v>
      </c>
      <c r="U384" s="166">
        <v>442907906</v>
      </c>
      <c r="V384" s="168">
        <v>2480897323</v>
      </c>
      <c r="W384" s="165">
        <v>1600658957</v>
      </c>
      <c r="X384" s="165">
        <v>587759242</v>
      </c>
      <c r="Y384" s="165">
        <v>38609260</v>
      </c>
      <c r="Z384" s="165">
        <v>191939065</v>
      </c>
      <c r="AA384" s="165">
        <v>57718092</v>
      </c>
      <c r="AB384" s="165">
        <v>2273308</v>
      </c>
      <c r="AC384" s="165">
        <v>328.58333333333331</v>
      </c>
      <c r="AD384" s="165">
        <v>583018849</v>
      </c>
      <c r="AE384" s="165">
        <v>1774340.9048947503</v>
      </c>
      <c r="AF384" s="166">
        <v>292479124</v>
      </c>
      <c r="AG384" s="11">
        <v>-131628940</v>
      </c>
      <c r="AH384" s="12">
        <v>-35.5</v>
      </c>
      <c r="AI384" s="132">
        <v>0</v>
      </c>
      <c r="AJ384" s="132">
        <v>0</v>
      </c>
      <c r="AK384" s="13">
        <v>0.15</v>
      </c>
      <c r="AL384" s="13">
        <v>-9.6047090219833486E-2</v>
      </c>
      <c r="AM384" s="14">
        <v>0</v>
      </c>
      <c r="AN384" s="14">
        <v>-1</v>
      </c>
      <c r="AO384" s="82">
        <v>497134.12954909593</v>
      </c>
      <c r="AP384" s="82">
        <v>584141.20720263757</v>
      </c>
      <c r="AQ384" s="82">
        <v>87007.077653541637</v>
      </c>
      <c r="AR384" s="129">
        <v>0.17501730917661518</v>
      </c>
    </row>
    <row r="385" spans="1:44" ht="43.2" x14ac:dyDescent="0.3">
      <c r="A385" s="136" t="s">
        <v>595</v>
      </c>
      <c r="B385" s="137" t="s">
        <v>5167</v>
      </c>
      <c r="C385" s="134">
        <v>2018</v>
      </c>
      <c r="D385" s="149" t="s">
        <v>4758</v>
      </c>
      <c r="E385" s="135" t="s">
        <v>1140</v>
      </c>
      <c r="F385" s="384" t="s">
        <v>596</v>
      </c>
      <c r="G385" s="138" t="s">
        <v>4773</v>
      </c>
      <c r="H385" s="138" t="s">
        <v>3367</v>
      </c>
      <c r="I385" s="138" t="s">
        <v>1566</v>
      </c>
      <c r="J385" s="135" t="s">
        <v>4778</v>
      </c>
      <c r="K385" s="164">
        <v>28922883000</v>
      </c>
      <c r="L385" s="165">
        <v>27643878300</v>
      </c>
      <c r="M385" s="165">
        <v>134857690</v>
      </c>
      <c r="N385" s="165">
        <v>275583210</v>
      </c>
      <c r="O385" s="165">
        <v>2403792910</v>
      </c>
      <c r="P385" s="165">
        <v>727593890</v>
      </c>
      <c r="Q385" s="165">
        <v>74119480</v>
      </c>
      <c r="R385" s="165">
        <v>5430.416666666667</v>
      </c>
      <c r="S385" s="165">
        <v>4625236500</v>
      </c>
      <c r="T385" s="165">
        <v>851727.73728228337</v>
      </c>
      <c r="U385" s="166">
        <v>1144147010</v>
      </c>
      <c r="V385" s="168">
        <v>20083671104</v>
      </c>
      <c r="W385" s="165">
        <v>19140626844</v>
      </c>
      <c r="X385" s="165">
        <v>11306312</v>
      </c>
      <c r="Y385" s="165">
        <v>242425272</v>
      </c>
      <c r="Z385" s="165">
        <v>2279269231</v>
      </c>
      <c r="AA385" s="165">
        <v>689564041</v>
      </c>
      <c r="AB385" s="165">
        <v>36050053</v>
      </c>
      <c r="AC385" s="165">
        <v>4816.416666666667</v>
      </c>
      <c r="AD385" s="165">
        <v>4179046545</v>
      </c>
      <c r="AE385" s="165">
        <v>867667.15469661052</v>
      </c>
      <c r="AF385" s="166">
        <v>931737948</v>
      </c>
      <c r="AG385" s="11">
        <v>-446189955</v>
      </c>
      <c r="AH385" s="12">
        <v>-614</v>
      </c>
      <c r="AI385" s="132">
        <v>0</v>
      </c>
      <c r="AJ385" s="132">
        <v>0</v>
      </c>
      <c r="AK385" s="13">
        <v>0.3</v>
      </c>
      <c r="AL385" s="13">
        <v>1.8714207899345858E-2</v>
      </c>
      <c r="AM385" s="14">
        <v>0</v>
      </c>
      <c r="AN385" s="14">
        <v>-1</v>
      </c>
      <c r="AO385" s="82">
        <v>442653.49374664313</v>
      </c>
      <c r="AP385" s="82">
        <v>473229.24670830666</v>
      </c>
      <c r="AQ385" s="82">
        <v>30575.752961663529</v>
      </c>
      <c r="AR385" s="129">
        <v>6.9073786592914299E-2</v>
      </c>
    </row>
    <row r="386" spans="1:44" ht="43.2" x14ac:dyDescent="0.3">
      <c r="A386" s="136" t="s">
        <v>597</v>
      </c>
      <c r="B386" s="137" t="s">
        <v>5168</v>
      </c>
      <c r="C386" s="134">
        <v>2018</v>
      </c>
      <c r="D386" s="149" t="s">
        <v>4758</v>
      </c>
      <c r="E386" s="135" t="s">
        <v>1140</v>
      </c>
      <c r="F386" s="384" t="s">
        <v>596</v>
      </c>
      <c r="G386" s="138" t="s">
        <v>4773</v>
      </c>
      <c r="H386" s="138" t="s">
        <v>3058</v>
      </c>
      <c r="I386" s="138" t="s">
        <v>1566</v>
      </c>
      <c r="J386" s="135" t="s">
        <v>4778</v>
      </c>
      <c r="K386" s="164">
        <v>8801231000</v>
      </c>
      <c r="L386" s="165">
        <v>7215770970</v>
      </c>
      <c r="M386" s="165">
        <v>919905140</v>
      </c>
      <c r="N386" s="165">
        <v>89390220</v>
      </c>
      <c r="O386" s="165">
        <v>960100510</v>
      </c>
      <c r="P386" s="165">
        <v>286758055.74000001</v>
      </c>
      <c r="Q386" s="165">
        <v>11496920</v>
      </c>
      <c r="R386" s="165">
        <v>2062.166666666667</v>
      </c>
      <c r="S386" s="165">
        <v>2013300595.74</v>
      </c>
      <c r="T386" s="165">
        <v>976303.52981815231</v>
      </c>
      <c r="U386" s="166">
        <v>665554890</v>
      </c>
      <c r="V386" s="168">
        <v>13938336892</v>
      </c>
      <c r="W386" s="165">
        <v>11512992109</v>
      </c>
      <c r="X386" s="165">
        <v>1153028233</v>
      </c>
      <c r="Y386" s="165">
        <v>190176151</v>
      </c>
      <c r="Z386" s="165">
        <v>1180665054.8799999</v>
      </c>
      <c r="AA386" s="165">
        <v>118887121.56999999</v>
      </c>
      <c r="AB386" s="165">
        <v>0</v>
      </c>
      <c r="AC386" s="165">
        <v>1904.5833333333333</v>
      </c>
      <c r="AD386" s="165">
        <v>2762044877.4500003</v>
      </c>
      <c r="AE386" s="165">
        <v>1450209.5178035442</v>
      </c>
      <c r="AF386" s="166">
        <v>1272316550</v>
      </c>
      <c r="AG386" s="11">
        <v>748744281.71000028</v>
      </c>
      <c r="AH386" s="12">
        <v>-157.58333333333371</v>
      </c>
      <c r="AI386" s="132">
        <v>1</v>
      </c>
      <c r="AJ386" s="132">
        <v>0</v>
      </c>
      <c r="AK386" s="13">
        <v>0.3</v>
      </c>
      <c r="AL386" s="13">
        <v>0.4854084569375674</v>
      </c>
      <c r="AM386" s="14">
        <v>1</v>
      </c>
      <c r="AN386" s="14">
        <v>0</v>
      </c>
      <c r="AO386" s="82">
        <v>465578.52258950938</v>
      </c>
      <c r="AP386" s="82">
        <v>619907.27011857356</v>
      </c>
      <c r="AQ386" s="82">
        <v>154328.74752906419</v>
      </c>
      <c r="AR386" s="129">
        <v>0.33147737715799352</v>
      </c>
    </row>
    <row r="387" spans="1:44" ht="28.8" x14ac:dyDescent="0.3">
      <c r="A387" s="136" t="s">
        <v>598</v>
      </c>
      <c r="B387" s="137" t="s">
        <v>5169</v>
      </c>
      <c r="C387" s="134">
        <v>2018</v>
      </c>
      <c r="D387" s="149" t="s">
        <v>4843</v>
      </c>
      <c r="E387" s="135" t="s">
        <v>1131</v>
      </c>
      <c r="F387" s="384" t="s">
        <v>599</v>
      </c>
      <c r="G387" s="138" t="s">
        <v>4773</v>
      </c>
      <c r="H387" s="138" t="s">
        <v>2132</v>
      </c>
      <c r="I387" s="138" t="s">
        <v>1566</v>
      </c>
      <c r="J387" s="135" t="s">
        <v>4778</v>
      </c>
      <c r="K387" s="164">
        <v>5668194633</v>
      </c>
      <c r="L387" s="165">
        <v>3767936087</v>
      </c>
      <c r="M387" s="165">
        <v>1428930526</v>
      </c>
      <c r="N387" s="165">
        <v>201356613</v>
      </c>
      <c r="O387" s="165">
        <v>773616742.03999996</v>
      </c>
      <c r="P387" s="165">
        <v>212085636</v>
      </c>
      <c r="Q387" s="165">
        <v>6007871</v>
      </c>
      <c r="R387" s="165">
        <v>1784.3333333333333</v>
      </c>
      <c r="S387" s="165">
        <v>1664394882.04</v>
      </c>
      <c r="T387" s="165">
        <v>932782.48573136562</v>
      </c>
      <c r="U387" s="166">
        <v>471328020</v>
      </c>
      <c r="V387" s="168">
        <v>4491872808</v>
      </c>
      <c r="W387" s="165">
        <v>3071500797</v>
      </c>
      <c r="X387" s="165">
        <v>1348887287</v>
      </c>
      <c r="Y387" s="165">
        <v>199399920</v>
      </c>
      <c r="Z387" s="165">
        <v>826519800.67999995</v>
      </c>
      <c r="AA387" s="165">
        <v>247232200.08999997</v>
      </c>
      <c r="AB387" s="165">
        <v>2177680</v>
      </c>
      <c r="AC387" s="165">
        <v>1556.5</v>
      </c>
      <c r="AD387" s="165">
        <v>1346814324.7699997</v>
      </c>
      <c r="AE387" s="165">
        <v>865283.85786700912</v>
      </c>
      <c r="AF387" s="166">
        <v>71484724</v>
      </c>
      <c r="AG387" s="11">
        <v>-317580557.27000022</v>
      </c>
      <c r="AH387" s="12">
        <v>-227.83333333333326</v>
      </c>
      <c r="AI387" s="132">
        <v>0</v>
      </c>
      <c r="AJ387" s="132">
        <v>0</v>
      </c>
      <c r="AK387" s="13">
        <v>0.3</v>
      </c>
      <c r="AL387" s="13">
        <v>-7.2362668385852702E-2</v>
      </c>
      <c r="AM387" s="14">
        <v>0</v>
      </c>
      <c r="AN387" s="14">
        <v>-1</v>
      </c>
      <c r="AO387" s="82">
        <v>433560.66245469829</v>
      </c>
      <c r="AP387" s="82">
        <v>531011.75758432376</v>
      </c>
      <c r="AQ387" s="82">
        <v>97451.095129625464</v>
      </c>
      <c r="AR387" s="129">
        <v>0.22476922739688798</v>
      </c>
    </row>
    <row r="388" spans="1:44" ht="28.8" x14ac:dyDescent="0.3">
      <c r="A388" s="136" t="s">
        <v>600</v>
      </c>
      <c r="B388" s="137" t="s">
        <v>5170</v>
      </c>
      <c r="C388" s="134">
        <v>2018</v>
      </c>
      <c r="D388" s="149" t="s">
        <v>4843</v>
      </c>
      <c r="E388" s="135" t="s">
        <v>1131</v>
      </c>
      <c r="F388" s="384" t="s">
        <v>599</v>
      </c>
      <c r="G388" s="138" t="s">
        <v>4773</v>
      </c>
      <c r="H388" s="138" t="s">
        <v>2717</v>
      </c>
      <c r="I388" s="138" t="s">
        <v>1566</v>
      </c>
      <c r="J388" s="135" t="s">
        <v>4778</v>
      </c>
      <c r="K388" s="164">
        <v>2615276987</v>
      </c>
      <c r="L388" s="165">
        <v>1976697569</v>
      </c>
      <c r="M388" s="165">
        <v>504011321</v>
      </c>
      <c r="N388" s="165">
        <v>123450408</v>
      </c>
      <c r="O388" s="165">
        <v>125501584.58</v>
      </c>
      <c r="P388" s="165">
        <v>33233674.590000004</v>
      </c>
      <c r="Q388" s="165">
        <v>9742119</v>
      </c>
      <c r="R388" s="165">
        <v>246.08333333333334</v>
      </c>
      <c r="S388" s="165">
        <v>426495883.16999996</v>
      </c>
      <c r="T388" s="165">
        <v>1733135.9966271585</v>
      </c>
      <c r="U388" s="166">
        <v>134568097</v>
      </c>
      <c r="V388" s="168">
        <v>4492000233</v>
      </c>
      <c r="W388" s="165">
        <v>3068107865</v>
      </c>
      <c r="X388" s="165">
        <v>688812924</v>
      </c>
      <c r="Y388" s="165">
        <v>122596156</v>
      </c>
      <c r="Z388" s="165">
        <v>146928849.93000001</v>
      </c>
      <c r="AA388" s="165">
        <v>42950758.370000005</v>
      </c>
      <c r="AB388" s="165">
        <v>7828866</v>
      </c>
      <c r="AC388" s="165">
        <v>238.25</v>
      </c>
      <c r="AD388" s="165">
        <v>1055384074.3000001</v>
      </c>
      <c r="AE388" s="165">
        <v>4429733.7850996852</v>
      </c>
      <c r="AF388" s="166">
        <v>735079444</v>
      </c>
      <c r="AG388" s="11">
        <v>628888191.13000011</v>
      </c>
      <c r="AH388" s="12">
        <v>-7.8333333333333428</v>
      </c>
      <c r="AI388" s="132">
        <v>1</v>
      </c>
      <c r="AJ388" s="132">
        <v>1</v>
      </c>
      <c r="AK388" s="13">
        <v>0.3</v>
      </c>
      <c r="AL388" s="13">
        <v>1.5559066282161353</v>
      </c>
      <c r="AM388" s="14">
        <v>1</v>
      </c>
      <c r="AN388" s="14">
        <v>0</v>
      </c>
      <c r="AO388" s="82">
        <v>509996.2800406366</v>
      </c>
      <c r="AP388" s="82">
        <v>616700.31450157403</v>
      </c>
      <c r="AQ388" s="82">
        <v>106704.03446093743</v>
      </c>
      <c r="AR388" s="129">
        <v>0.20922512307822183</v>
      </c>
    </row>
    <row r="389" spans="1:44" ht="28.8" x14ac:dyDescent="0.3">
      <c r="A389" s="136" t="s">
        <v>601</v>
      </c>
      <c r="B389" s="137" t="s">
        <v>5171</v>
      </c>
      <c r="C389" s="134">
        <v>2018</v>
      </c>
      <c r="D389" s="149" t="s">
        <v>4843</v>
      </c>
      <c r="E389" s="135" t="s">
        <v>1131</v>
      </c>
      <c r="F389" s="384" t="s">
        <v>599</v>
      </c>
      <c r="G389" s="138" t="s">
        <v>4773</v>
      </c>
      <c r="H389" s="138" t="s">
        <v>3316</v>
      </c>
      <c r="I389" s="138" t="s">
        <v>1566</v>
      </c>
      <c r="J389" s="135" t="s">
        <v>4774</v>
      </c>
      <c r="K389" s="164">
        <v>2670602255</v>
      </c>
      <c r="L389" s="165">
        <v>2455911959</v>
      </c>
      <c r="M389" s="165">
        <v>34474347</v>
      </c>
      <c r="N389" s="165">
        <v>0</v>
      </c>
      <c r="O389" s="165">
        <v>255679538</v>
      </c>
      <c r="P389" s="165">
        <v>73420005</v>
      </c>
      <c r="Q389" s="165">
        <v>0</v>
      </c>
      <c r="R389" s="165">
        <v>523.33333333333326</v>
      </c>
      <c r="S389" s="165">
        <v>509315492</v>
      </c>
      <c r="T389" s="165">
        <v>973214.31592356705</v>
      </c>
      <c r="U389" s="166">
        <v>180215949</v>
      </c>
      <c r="V389" s="168">
        <v>5696579505</v>
      </c>
      <c r="W389" s="165">
        <v>5292594629</v>
      </c>
      <c r="X389" s="165">
        <v>48716884</v>
      </c>
      <c r="Y389" s="165">
        <v>5881105</v>
      </c>
      <c r="Z389" s="165">
        <v>587988069.63999999</v>
      </c>
      <c r="AA389" s="165">
        <v>178315154.78</v>
      </c>
      <c r="AB389" s="165">
        <v>0</v>
      </c>
      <c r="AC389" s="165">
        <v>767.58333333333337</v>
      </c>
      <c r="AD389" s="165">
        <v>1127452321.4200001</v>
      </c>
      <c r="AE389" s="165">
        <v>1468833.7701704483</v>
      </c>
      <c r="AF389" s="166">
        <v>355267992</v>
      </c>
      <c r="AG389" s="11">
        <v>618136829.42000008</v>
      </c>
      <c r="AH389" s="12">
        <v>244.25000000000011</v>
      </c>
      <c r="AI389" s="132">
        <v>1</v>
      </c>
      <c r="AJ389" s="132">
        <v>1</v>
      </c>
      <c r="AK389" s="13">
        <v>0.3</v>
      </c>
      <c r="AL389" s="13">
        <v>0.5092603343526636</v>
      </c>
      <c r="AM389" s="14">
        <v>1</v>
      </c>
      <c r="AN389" s="14">
        <v>0</v>
      </c>
      <c r="AO389" s="82">
        <v>488559.62675159244</v>
      </c>
      <c r="AP389" s="82">
        <v>766025.06087069807</v>
      </c>
      <c r="AQ389" s="82">
        <v>277465.43411910563</v>
      </c>
      <c r="AR389" s="129">
        <v>0.56792542593819895</v>
      </c>
    </row>
    <row r="390" spans="1:44" ht="28.8" x14ac:dyDescent="0.3">
      <c r="A390" s="136" t="s">
        <v>602</v>
      </c>
      <c r="B390" s="137" t="s">
        <v>5172</v>
      </c>
      <c r="C390" s="134">
        <v>2020</v>
      </c>
      <c r="D390" s="149" t="s">
        <v>1176</v>
      </c>
      <c r="E390" s="135" t="s">
        <v>1175</v>
      </c>
      <c r="F390" s="384" t="s">
        <v>402</v>
      </c>
      <c r="G390" s="138" t="s">
        <v>4773</v>
      </c>
      <c r="H390" s="138" t="s">
        <v>2554</v>
      </c>
      <c r="I390" s="138" t="s">
        <v>1566</v>
      </c>
      <c r="J390" s="135" t="s">
        <v>4774</v>
      </c>
      <c r="K390" s="164">
        <v>9483329452</v>
      </c>
      <c r="L390" s="165">
        <v>756459183</v>
      </c>
      <c r="M390" s="165">
        <v>6993911092</v>
      </c>
      <c r="N390" s="165">
        <v>183154930</v>
      </c>
      <c r="O390" s="165">
        <v>767835762</v>
      </c>
      <c r="P390" s="165">
        <v>207781707</v>
      </c>
      <c r="Q390" s="165">
        <v>8601988</v>
      </c>
      <c r="R390" s="165">
        <v>1184.1666666666667</v>
      </c>
      <c r="S390" s="165">
        <v>2900333564</v>
      </c>
      <c r="T390" s="165">
        <v>2449261.278536242</v>
      </c>
      <c r="U390" s="166">
        <v>1732959177</v>
      </c>
      <c r="V390" s="168">
        <v>10998102484</v>
      </c>
      <c r="W390" s="165">
        <v>770692086</v>
      </c>
      <c r="X390" s="165">
        <v>7742206482</v>
      </c>
      <c r="Y390" s="165">
        <v>160490097</v>
      </c>
      <c r="Z390" s="165">
        <v>812941944.35000002</v>
      </c>
      <c r="AA390" s="165">
        <v>226133505.25000003</v>
      </c>
      <c r="AB390" s="165">
        <v>8497128</v>
      </c>
      <c r="AC390" s="165">
        <v>1204.5</v>
      </c>
      <c r="AD390" s="165">
        <v>3693266590.5999999</v>
      </c>
      <c r="AE390" s="165">
        <v>3066223.8195101703</v>
      </c>
      <c r="AF390" s="166">
        <v>2485203916</v>
      </c>
      <c r="AG390" s="11">
        <v>792933026.5999999</v>
      </c>
      <c r="AH390" s="12">
        <v>20.333333333333258</v>
      </c>
      <c r="AI390" s="132">
        <v>1</v>
      </c>
      <c r="AJ390" s="132">
        <v>1</v>
      </c>
      <c r="AK390" s="13">
        <v>0.1</v>
      </c>
      <c r="AL390" s="13">
        <v>0.25189739658971799</v>
      </c>
      <c r="AM390" s="14">
        <v>1</v>
      </c>
      <c r="AN390" s="14">
        <v>0</v>
      </c>
      <c r="AO390" s="82">
        <v>648418.65897255449</v>
      </c>
      <c r="AP390" s="82">
        <v>674920.66778746375</v>
      </c>
      <c r="AQ390" s="82">
        <v>26502.008814909263</v>
      </c>
      <c r="AR390" s="129">
        <v>4.0871755382398733E-2</v>
      </c>
    </row>
    <row r="391" spans="1:44" ht="28.8" x14ac:dyDescent="0.3">
      <c r="A391" s="136" t="s">
        <v>603</v>
      </c>
      <c r="B391" s="137" t="s">
        <v>5173</v>
      </c>
      <c r="C391" s="134">
        <v>2019</v>
      </c>
      <c r="D391" s="149" t="s">
        <v>1181</v>
      </c>
      <c r="E391" s="135" t="s">
        <v>1175</v>
      </c>
      <c r="F391" s="384" t="s">
        <v>604</v>
      </c>
      <c r="G391" s="138" t="s">
        <v>4773</v>
      </c>
      <c r="H391" s="138" t="s">
        <v>2717</v>
      </c>
      <c r="I391" s="138" t="s">
        <v>1566</v>
      </c>
      <c r="J391" s="135" t="s">
        <v>4774</v>
      </c>
      <c r="K391" s="164">
        <v>501325273</v>
      </c>
      <c r="L391" s="165">
        <v>437873454</v>
      </c>
      <c r="M391" s="165">
        <v>54183900</v>
      </c>
      <c r="N391" s="165">
        <v>2339762</v>
      </c>
      <c r="O391" s="165">
        <v>72697512</v>
      </c>
      <c r="P391" s="165">
        <v>20290287</v>
      </c>
      <c r="Q391" s="165">
        <v>1806</v>
      </c>
      <c r="R391" s="165">
        <v>214.75</v>
      </c>
      <c r="S391" s="165">
        <v>104597286</v>
      </c>
      <c r="T391" s="165">
        <v>487065.35972060537</v>
      </c>
      <c r="U391" s="166">
        <v>9267919</v>
      </c>
      <c r="V391" s="168">
        <v>1224186435</v>
      </c>
      <c r="W391" s="165">
        <v>985697715</v>
      </c>
      <c r="X391" s="165">
        <v>124774721</v>
      </c>
      <c r="Y391" s="165">
        <v>4155633</v>
      </c>
      <c r="Z391" s="165">
        <v>130395319.44000001</v>
      </c>
      <c r="AA391" s="165">
        <v>25562768.510000002</v>
      </c>
      <c r="AB391" s="165">
        <v>862</v>
      </c>
      <c r="AC391" s="165">
        <v>236.33333333333334</v>
      </c>
      <c r="AD391" s="165">
        <v>273828581.94999999</v>
      </c>
      <c r="AE391" s="165">
        <v>1158654.0844146684</v>
      </c>
      <c r="AF391" s="166">
        <v>113713999</v>
      </c>
      <c r="AG391" s="11">
        <v>169231295.94999999</v>
      </c>
      <c r="AH391" s="12">
        <v>21.583333333333343</v>
      </c>
      <c r="AI391" s="132">
        <v>1</v>
      </c>
      <c r="AJ391" s="132">
        <v>1</v>
      </c>
      <c r="AK391" s="13">
        <v>0.15</v>
      </c>
      <c r="AL391" s="13">
        <v>1.3788472249391748</v>
      </c>
      <c r="AM391" s="14">
        <v>1</v>
      </c>
      <c r="AN391" s="14">
        <v>0</v>
      </c>
      <c r="AO391" s="82">
        <v>338521.59254947613</v>
      </c>
      <c r="AP391" s="82">
        <v>551743.24163610721</v>
      </c>
      <c r="AQ391" s="82">
        <v>213221.64908663108</v>
      </c>
      <c r="AR391" s="129">
        <v>0.62986129623464993</v>
      </c>
    </row>
    <row r="392" spans="1:44" ht="43.2" x14ac:dyDescent="0.3">
      <c r="A392" s="136" t="s">
        <v>605</v>
      </c>
      <c r="B392" s="137" t="s">
        <v>5174</v>
      </c>
      <c r="C392" s="134">
        <v>2020</v>
      </c>
      <c r="D392" s="149" t="s">
        <v>1181</v>
      </c>
      <c r="E392" s="135" t="s">
        <v>1175</v>
      </c>
      <c r="F392" s="384" t="s">
        <v>604</v>
      </c>
      <c r="G392" s="138" t="s">
        <v>4773</v>
      </c>
      <c r="H392" s="138" t="s">
        <v>1712</v>
      </c>
      <c r="I392" s="138" t="s">
        <v>1566</v>
      </c>
      <c r="J392" s="135" t="s">
        <v>4774</v>
      </c>
      <c r="K392" s="164">
        <v>2647563474</v>
      </c>
      <c r="L392" s="165">
        <v>2741777986</v>
      </c>
      <c r="M392" s="165">
        <v>122126238</v>
      </c>
      <c r="N392" s="165">
        <v>18072585</v>
      </c>
      <c r="O392" s="165">
        <v>75019893</v>
      </c>
      <c r="P392" s="165">
        <v>21707766</v>
      </c>
      <c r="Q392" s="165">
        <v>0</v>
      </c>
      <c r="R392" s="165">
        <v>221.58333333333334</v>
      </c>
      <c r="S392" s="165">
        <v>-101540506</v>
      </c>
      <c r="T392" s="165">
        <v>-458249.74501692364</v>
      </c>
      <c r="U392" s="166">
        <v>-216340750</v>
      </c>
      <c r="V392" s="168">
        <v>2385006320</v>
      </c>
      <c r="W392" s="165">
        <v>2285142691</v>
      </c>
      <c r="X392" s="165">
        <v>127102639</v>
      </c>
      <c r="Y392" s="165">
        <v>34706296</v>
      </c>
      <c r="Z392" s="165">
        <v>83131390.079999998</v>
      </c>
      <c r="AA392" s="165">
        <v>24935014.350000001</v>
      </c>
      <c r="AB392" s="165">
        <v>0</v>
      </c>
      <c r="AC392" s="165">
        <v>207.5</v>
      </c>
      <c r="AD392" s="165">
        <v>115533690.43000001</v>
      </c>
      <c r="AE392" s="165">
        <v>556788.86954216869</v>
      </c>
      <c r="AF392" s="166">
        <v>-27239010</v>
      </c>
      <c r="AG392" s="11">
        <v>217074196.43000001</v>
      </c>
      <c r="AH392" s="12">
        <v>-14.083333333333343</v>
      </c>
      <c r="AI392" s="132">
        <v>0</v>
      </c>
      <c r="AJ392" s="132">
        <v>0</v>
      </c>
      <c r="AK392" s="13">
        <v>0.1</v>
      </c>
      <c r="AL392" s="13">
        <v>2.2150336579561691</v>
      </c>
      <c r="AM392" s="14">
        <v>1</v>
      </c>
      <c r="AN392" s="14">
        <v>0</v>
      </c>
      <c r="AO392" s="82">
        <v>338562.88679954869</v>
      </c>
      <c r="AP392" s="82">
        <v>400633.20520481927</v>
      </c>
      <c r="AQ392" s="82">
        <v>62070.318405270576</v>
      </c>
      <c r="AR392" s="129">
        <v>0.18333467968690931</v>
      </c>
    </row>
    <row r="393" spans="1:44" ht="28.8" x14ac:dyDescent="0.3">
      <c r="A393" s="136" t="s">
        <v>606</v>
      </c>
      <c r="B393" s="137" t="s">
        <v>5175</v>
      </c>
      <c r="C393" s="134">
        <v>2019</v>
      </c>
      <c r="D393" s="149" t="s">
        <v>1181</v>
      </c>
      <c r="E393" s="135" t="s">
        <v>1175</v>
      </c>
      <c r="F393" s="384" t="s">
        <v>402</v>
      </c>
      <c r="G393" s="138" t="s">
        <v>4773</v>
      </c>
      <c r="H393" s="138" t="s">
        <v>1704</v>
      </c>
      <c r="I393" s="138" t="s">
        <v>1566</v>
      </c>
      <c r="J393" s="135" t="s">
        <v>4798</v>
      </c>
      <c r="K393" s="164">
        <v>1021832250</v>
      </c>
      <c r="L393" s="165">
        <v>753607768</v>
      </c>
      <c r="M393" s="165">
        <v>227344320</v>
      </c>
      <c r="N393" s="165">
        <v>18785073</v>
      </c>
      <c r="O393" s="165">
        <v>125577082</v>
      </c>
      <c r="P393" s="165">
        <v>30909122</v>
      </c>
      <c r="Q393" s="165">
        <v>1315593</v>
      </c>
      <c r="R393" s="165">
        <v>236.91666666666666</v>
      </c>
      <c r="S393" s="165">
        <v>217467032</v>
      </c>
      <c r="T393" s="165">
        <v>917905.16496658465</v>
      </c>
      <c r="U393" s="166">
        <v>40880162</v>
      </c>
      <c r="V393" s="168">
        <v>1095984800</v>
      </c>
      <c r="W393" s="165">
        <v>782957287</v>
      </c>
      <c r="X393" s="165">
        <v>251105599</v>
      </c>
      <c r="Y393" s="165">
        <v>21189555</v>
      </c>
      <c r="Z393" s="165">
        <v>143795540.68999997</v>
      </c>
      <c r="AA393" s="165">
        <v>26538763.939999998</v>
      </c>
      <c r="AB393" s="165">
        <v>1718243</v>
      </c>
      <c r="AC393" s="165">
        <v>249.58333333333334</v>
      </c>
      <c r="AD393" s="165">
        <v>255164016.62999997</v>
      </c>
      <c r="AE393" s="165">
        <v>1022359.9998530883</v>
      </c>
      <c r="AF393" s="166">
        <v>61921914</v>
      </c>
      <c r="AG393" s="11">
        <v>37696984.629999965</v>
      </c>
      <c r="AH393" s="12">
        <v>12.666666666666686</v>
      </c>
      <c r="AI393" s="132">
        <v>0</v>
      </c>
      <c r="AJ393" s="132">
        <v>0</v>
      </c>
      <c r="AK393" s="13">
        <v>0.15</v>
      </c>
      <c r="AL393" s="13">
        <v>0.11379698530074722</v>
      </c>
      <c r="AM393" s="14">
        <v>0</v>
      </c>
      <c r="AN393" s="14">
        <v>-1</v>
      </c>
      <c r="AO393" s="82">
        <v>530047.4794231446</v>
      </c>
      <c r="AP393" s="82">
        <v>576142.40009348898</v>
      </c>
      <c r="AQ393" s="82">
        <v>46094.920670344378</v>
      </c>
      <c r="AR393" s="129">
        <v>8.6963757889217508E-2</v>
      </c>
    </row>
    <row r="394" spans="1:44" ht="28.8" x14ac:dyDescent="0.3">
      <c r="A394" s="136" t="s">
        <v>607</v>
      </c>
      <c r="B394" s="137" t="s">
        <v>5176</v>
      </c>
      <c r="C394" s="134">
        <v>2019</v>
      </c>
      <c r="D394" s="149" t="s">
        <v>1181</v>
      </c>
      <c r="E394" s="135" t="s">
        <v>1175</v>
      </c>
      <c r="F394" s="384" t="s">
        <v>402</v>
      </c>
      <c r="G394" s="138" t="s">
        <v>4773</v>
      </c>
      <c r="H394" s="138" t="s">
        <v>2669</v>
      </c>
      <c r="I394" s="138" t="s">
        <v>1566</v>
      </c>
      <c r="J394" s="135" t="s">
        <v>4774</v>
      </c>
      <c r="K394" s="164">
        <v>6639497144</v>
      </c>
      <c r="L394" s="165">
        <v>5868110124</v>
      </c>
      <c r="M394" s="165">
        <v>527466693</v>
      </c>
      <c r="N394" s="165">
        <v>0</v>
      </c>
      <c r="O394" s="165">
        <v>631183498</v>
      </c>
      <c r="P394" s="165">
        <v>169029483</v>
      </c>
      <c r="Q394" s="165">
        <v>16343333</v>
      </c>
      <c r="R394" s="165">
        <v>1130.3333333333333</v>
      </c>
      <c r="S394" s="165">
        <v>1060476641</v>
      </c>
      <c r="T394" s="165">
        <v>938198.1489236214</v>
      </c>
      <c r="U394" s="166">
        <v>243920327</v>
      </c>
      <c r="V394" s="168">
        <v>9875574191</v>
      </c>
      <c r="W394" s="165">
        <v>8848411024</v>
      </c>
      <c r="X394" s="165">
        <v>564592918</v>
      </c>
      <c r="Y394" s="165">
        <v>114505405</v>
      </c>
      <c r="Z394" s="165">
        <v>810143472.96000004</v>
      </c>
      <c r="AA394" s="165">
        <v>232700061.94999999</v>
      </c>
      <c r="AB394" s="165">
        <v>16736633</v>
      </c>
      <c r="AC394" s="165">
        <v>1073.4166666666667</v>
      </c>
      <c r="AD394" s="165">
        <v>1636655821.9100001</v>
      </c>
      <c r="AE394" s="165">
        <v>1524716.2380964211</v>
      </c>
      <c r="AF394" s="166">
        <v>462570249</v>
      </c>
      <c r="AG394" s="11">
        <v>576179180.91000009</v>
      </c>
      <c r="AH394" s="12">
        <v>-56.916666666666515</v>
      </c>
      <c r="AI394" s="132">
        <v>1</v>
      </c>
      <c r="AJ394" s="132">
        <v>1</v>
      </c>
      <c r="AK394" s="13">
        <v>0.15</v>
      </c>
      <c r="AL394" s="13">
        <v>0.62515374817142844</v>
      </c>
      <c r="AM394" s="14">
        <v>1</v>
      </c>
      <c r="AN394" s="14">
        <v>0</v>
      </c>
      <c r="AO394" s="82">
        <v>558404.74609259807</v>
      </c>
      <c r="AP394" s="82">
        <v>754733.4582346091</v>
      </c>
      <c r="AQ394" s="82">
        <v>196328.71214201103</v>
      </c>
      <c r="AR394" s="129">
        <v>0.3515885448965268</v>
      </c>
    </row>
    <row r="395" spans="1:44" ht="57.6" x14ac:dyDescent="0.3">
      <c r="A395" s="136" t="s">
        <v>608</v>
      </c>
      <c r="B395" s="137" t="s">
        <v>5177</v>
      </c>
      <c r="C395" s="134">
        <v>2019</v>
      </c>
      <c r="D395" s="149" t="s">
        <v>1181</v>
      </c>
      <c r="E395" s="135" t="s">
        <v>1175</v>
      </c>
      <c r="F395" s="384" t="s">
        <v>402</v>
      </c>
      <c r="G395" s="138" t="s">
        <v>4773</v>
      </c>
      <c r="H395" s="138" t="s">
        <v>2566</v>
      </c>
      <c r="I395" s="138" t="s">
        <v>1566</v>
      </c>
      <c r="J395" s="135" t="s">
        <v>4778</v>
      </c>
      <c r="K395" s="164">
        <v>497271988</v>
      </c>
      <c r="L395" s="165">
        <v>392871588</v>
      </c>
      <c r="M395" s="165">
        <v>114078732</v>
      </c>
      <c r="N395" s="165">
        <v>11668508</v>
      </c>
      <c r="O395" s="165">
        <v>129547493</v>
      </c>
      <c r="P395" s="165">
        <v>33142530</v>
      </c>
      <c r="Q395" s="165">
        <v>1424773</v>
      </c>
      <c r="R395" s="165">
        <v>363</v>
      </c>
      <c r="S395" s="165">
        <v>166104972</v>
      </c>
      <c r="T395" s="165">
        <v>457589.45454545453</v>
      </c>
      <c r="U395" s="166">
        <v>-9678332</v>
      </c>
      <c r="V395" s="168">
        <v>602453029</v>
      </c>
      <c r="W395" s="165">
        <v>490163112</v>
      </c>
      <c r="X395" s="165">
        <v>119704616</v>
      </c>
      <c r="Y395" s="165">
        <v>44916190</v>
      </c>
      <c r="Z395" s="165">
        <v>75357952.5</v>
      </c>
      <c r="AA395" s="165">
        <v>16794007.169999998</v>
      </c>
      <c r="AB395" s="165">
        <v>1525642</v>
      </c>
      <c r="AC395" s="165">
        <v>196.41666666666666</v>
      </c>
      <c r="AD395" s="165">
        <v>131179092.67</v>
      </c>
      <c r="AE395" s="165">
        <v>667861.31185405178</v>
      </c>
      <c r="AF395" s="166">
        <v>-7414699</v>
      </c>
      <c r="AG395" s="11">
        <v>-34925879.329999998</v>
      </c>
      <c r="AH395" s="12">
        <v>-166.58333333333334</v>
      </c>
      <c r="AI395" s="132">
        <v>1</v>
      </c>
      <c r="AJ395" s="132">
        <v>1</v>
      </c>
      <c r="AK395" s="13">
        <v>0.15</v>
      </c>
      <c r="AL395" s="13">
        <v>0.45952077785010137</v>
      </c>
      <c r="AM395" s="14">
        <v>1</v>
      </c>
      <c r="AN395" s="14">
        <v>0</v>
      </c>
      <c r="AO395" s="82">
        <v>356880.14600550965</v>
      </c>
      <c r="AP395" s="82">
        <v>383663.73780229106</v>
      </c>
      <c r="AQ395" s="82">
        <v>26783.591796781402</v>
      </c>
      <c r="AR395" s="129">
        <v>7.5049262606970313E-2</v>
      </c>
    </row>
    <row r="396" spans="1:44" ht="28.8" x14ac:dyDescent="0.3">
      <c r="A396" s="136" t="s">
        <v>609</v>
      </c>
      <c r="B396" s="137" t="s">
        <v>5178</v>
      </c>
      <c r="C396" s="134">
        <v>2020</v>
      </c>
      <c r="D396" s="149" t="s">
        <v>1181</v>
      </c>
      <c r="E396" s="135" t="s">
        <v>1175</v>
      </c>
      <c r="F396" s="384" t="s">
        <v>272</v>
      </c>
      <c r="G396" s="138" t="s">
        <v>4773</v>
      </c>
      <c r="H396" s="138" t="s">
        <v>3427</v>
      </c>
      <c r="I396" s="138" t="s">
        <v>1566</v>
      </c>
      <c r="J396" s="135" t="s">
        <v>4778</v>
      </c>
      <c r="K396" s="164">
        <v>10650727466</v>
      </c>
      <c r="L396" s="165">
        <v>6830342180</v>
      </c>
      <c r="M396" s="165">
        <v>4534506709</v>
      </c>
      <c r="N396" s="165">
        <v>862333772</v>
      </c>
      <c r="O396" s="165">
        <v>3156685522</v>
      </c>
      <c r="P396" s="165">
        <v>895538361</v>
      </c>
      <c r="Q396" s="165">
        <v>36827126</v>
      </c>
      <c r="R396" s="165">
        <v>5449</v>
      </c>
      <c r="S396" s="165">
        <v>4237263358</v>
      </c>
      <c r="T396" s="165">
        <v>777622.19820150489</v>
      </c>
      <c r="U396" s="166">
        <v>-714121423</v>
      </c>
      <c r="V396" s="168">
        <v>6268579624</v>
      </c>
      <c r="W396" s="165">
        <v>4373092320</v>
      </c>
      <c r="X396" s="165">
        <v>4219385335</v>
      </c>
      <c r="Y396" s="165">
        <v>950497403</v>
      </c>
      <c r="Z396" s="165">
        <v>3477120640.02</v>
      </c>
      <c r="AA396" s="165">
        <v>1038950744.71</v>
      </c>
      <c r="AB396" s="165">
        <v>42083431</v>
      </c>
      <c r="AC396" s="165">
        <v>5411.75</v>
      </c>
      <c r="AD396" s="165">
        <v>3184754187.73</v>
      </c>
      <c r="AE396" s="165">
        <v>588488.78601746203</v>
      </c>
      <c r="AF396" s="166">
        <v>-2323898031</v>
      </c>
      <c r="AG396" s="11">
        <v>-1052509170.27</v>
      </c>
      <c r="AH396" s="12">
        <v>-37.25</v>
      </c>
      <c r="AI396" s="132">
        <v>0</v>
      </c>
      <c r="AJ396" s="132">
        <v>0</v>
      </c>
      <c r="AK396" s="13">
        <v>0.1</v>
      </c>
      <c r="AL396" s="13">
        <v>-0.24322017812763053</v>
      </c>
      <c r="AM396" s="14">
        <v>0</v>
      </c>
      <c r="AN396" s="14">
        <v>-1</v>
      </c>
      <c r="AO396" s="82">
        <v>579314.6489264085</v>
      </c>
      <c r="AP396" s="82">
        <v>642513.16857208847</v>
      </c>
      <c r="AQ396" s="82">
        <v>63198.519645679975</v>
      </c>
      <c r="AR396" s="129">
        <v>0.10909187220243788</v>
      </c>
    </row>
    <row r="397" spans="1:44" ht="28.8" x14ac:dyDescent="0.3">
      <c r="A397" s="136" t="s">
        <v>610</v>
      </c>
      <c r="B397" s="137" t="s">
        <v>5179</v>
      </c>
      <c r="C397" s="134">
        <v>2020</v>
      </c>
      <c r="D397" s="149" t="s">
        <v>1181</v>
      </c>
      <c r="E397" s="135" t="s">
        <v>1175</v>
      </c>
      <c r="F397" s="384" t="s">
        <v>604</v>
      </c>
      <c r="G397" s="138" t="s">
        <v>4773</v>
      </c>
      <c r="H397" s="138" t="s">
        <v>4431</v>
      </c>
      <c r="I397" s="138" t="s">
        <v>4255</v>
      </c>
      <c r="J397" s="135" t="s">
        <v>4778</v>
      </c>
      <c r="K397" s="164">
        <v>3157395496</v>
      </c>
      <c r="L397" s="165">
        <v>3596068078</v>
      </c>
      <c r="M397" s="165">
        <v>131085345</v>
      </c>
      <c r="N397" s="165">
        <v>181965551</v>
      </c>
      <c r="O397" s="165">
        <v>666501498</v>
      </c>
      <c r="P397" s="165">
        <v>236595309</v>
      </c>
      <c r="Q397" s="165">
        <v>12387684</v>
      </c>
      <c r="R397" s="165">
        <v>671.83333333333337</v>
      </c>
      <c r="S397" s="165">
        <v>527692115</v>
      </c>
      <c r="T397" s="165">
        <v>785450.9278094765</v>
      </c>
      <c r="U397" s="166">
        <v>-569757927</v>
      </c>
      <c r="V397" s="168">
        <v>5137908000</v>
      </c>
      <c r="W397" s="165">
        <v>5762680478</v>
      </c>
      <c r="X397" s="165">
        <v>197073713</v>
      </c>
      <c r="Y397" s="165">
        <v>298031959</v>
      </c>
      <c r="Z397" s="165">
        <v>896366287.13</v>
      </c>
      <c r="AA397" s="165">
        <v>320479844.56999999</v>
      </c>
      <c r="AB397" s="165">
        <v>35174342</v>
      </c>
      <c r="AC397" s="165">
        <v>710.16666666666663</v>
      </c>
      <c r="AD397" s="165">
        <v>728206241.70000005</v>
      </c>
      <c r="AE397" s="165">
        <v>1025401.8892748182</v>
      </c>
      <c r="AF397" s="166">
        <v>-821846191</v>
      </c>
      <c r="AG397" s="11">
        <v>200514126.70000005</v>
      </c>
      <c r="AH397" s="12">
        <v>38.333333333333258</v>
      </c>
      <c r="AI397" s="132">
        <v>1</v>
      </c>
      <c r="AJ397" s="132">
        <v>1</v>
      </c>
      <c r="AK397" s="13">
        <v>0.1</v>
      </c>
      <c r="AL397" s="13">
        <v>0.30549452656450482</v>
      </c>
      <c r="AM397" s="14">
        <v>1</v>
      </c>
      <c r="AN397" s="14">
        <v>0</v>
      </c>
      <c r="AO397" s="82">
        <v>992063.75291490939</v>
      </c>
      <c r="AP397" s="82">
        <v>1262191.4392818587</v>
      </c>
      <c r="AQ397" s="82">
        <v>270127.68636694935</v>
      </c>
      <c r="AR397" s="129">
        <v>0.2722886362627932</v>
      </c>
    </row>
    <row r="398" spans="1:44" ht="28.8" x14ac:dyDescent="0.3">
      <c r="A398" s="136" t="s">
        <v>611</v>
      </c>
      <c r="B398" s="137" t="s">
        <v>5180</v>
      </c>
      <c r="C398" s="134">
        <v>2019</v>
      </c>
      <c r="D398" s="149" t="s">
        <v>1111</v>
      </c>
      <c r="E398" s="135" t="s">
        <v>1108</v>
      </c>
      <c r="F398" s="384" t="s">
        <v>612</v>
      </c>
      <c r="G398" s="138" t="s">
        <v>4773</v>
      </c>
      <c r="H398" s="138" t="s">
        <v>2975</v>
      </c>
      <c r="I398" s="138" t="s">
        <v>1566</v>
      </c>
      <c r="J398" s="135" t="s">
        <v>4774</v>
      </c>
      <c r="K398" s="164">
        <v>543912288</v>
      </c>
      <c r="L398" s="165">
        <v>397606809</v>
      </c>
      <c r="M398" s="165">
        <v>97127500</v>
      </c>
      <c r="N398" s="165">
        <v>7964127</v>
      </c>
      <c r="O398" s="165">
        <v>65320555</v>
      </c>
      <c r="P398" s="165">
        <v>19339661.849999998</v>
      </c>
      <c r="Q398" s="165">
        <v>500322</v>
      </c>
      <c r="R398" s="165">
        <v>233.08333333333334</v>
      </c>
      <c r="S398" s="165">
        <v>142302644.84999999</v>
      </c>
      <c r="T398" s="165">
        <v>610522.6092956739</v>
      </c>
      <c r="U398" s="166">
        <v>49177979</v>
      </c>
      <c r="V398" s="168">
        <v>376672482</v>
      </c>
      <c r="W398" s="165">
        <v>273321090</v>
      </c>
      <c r="X398" s="165">
        <v>76673153</v>
      </c>
      <c r="Y398" s="165">
        <v>10667962</v>
      </c>
      <c r="Z398" s="165">
        <v>59628953.020000003</v>
      </c>
      <c r="AA398" s="165">
        <v>13265384.889999999</v>
      </c>
      <c r="AB398" s="165">
        <v>506572</v>
      </c>
      <c r="AC398" s="165">
        <v>204.91666666666666</v>
      </c>
      <c r="AD398" s="165">
        <v>110747110.91000001</v>
      </c>
      <c r="AE398" s="165">
        <v>540449.50423749501</v>
      </c>
      <c r="AF398" s="166">
        <v>26678239</v>
      </c>
      <c r="AG398" s="11">
        <v>-31555533.939999983</v>
      </c>
      <c r="AH398" s="12">
        <v>-28.166666666666686</v>
      </c>
      <c r="AI398" s="132">
        <v>0</v>
      </c>
      <c r="AJ398" s="132">
        <v>0</v>
      </c>
      <c r="AK398" s="13">
        <v>0.15</v>
      </c>
      <c r="AL398" s="13">
        <v>-0.11477561821993776</v>
      </c>
      <c r="AM398" s="14">
        <v>0</v>
      </c>
      <c r="AN398" s="14">
        <v>-1</v>
      </c>
      <c r="AO398" s="82">
        <v>280245.49874865927</v>
      </c>
      <c r="AP398" s="82">
        <v>290991.23067913787</v>
      </c>
      <c r="AQ398" s="82">
        <v>10745.731930478592</v>
      </c>
      <c r="AR398" s="129">
        <v>3.8343994741967258E-2</v>
      </c>
    </row>
    <row r="399" spans="1:44" ht="28.8" x14ac:dyDescent="0.3">
      <c r="A399" s="136" t="s">
        <v>613</v>
      </c>
      <c r="B399" s="137" t="s">
        <v>5181</v>
      </c>
      <c r="C399" s="134">
        <v>2020</v>
      </c>
      <c r="D399" s="149" t="s">
        <v>5182</v>
      </c>
      <c r="E399" s="135" t="s">
        <v>1108</v>
      </c>
      <c r="F399" s="384" t="s">
        <v>612</v>
      </c>
      <c r="G399" s="138" t="s">
        <v>4773</v>
      </c>
      <c r="H399" s="138" t="s">
        <v>1382</v>
      </c>
      <c r="I399" s="138" t="s">
        <v>1217</v>
      </c>
      <c r="J399" s="135" t="s">
        <v>4774</v>
      </c>
      <c r="K399" s="164">
        <v>455076029</v>
      </c>
      <c r="L399" s="165">
        <v>656612335</v>
      </c>
      <c r="M399" s="165">
        <v>27578450</v>
      </c>
      <c r="N399" s="165">
        <v>340686743</v>
      </c>
      <c r="O399" s="165">
        <v>52205432.390000001</v>
      </c>
      <c r="P399" s="165">
        <v>15357408.560000001</v>
      </c>
      <c r="Q399" s="165">
        <v>295677</v>
      </c>
      <c r="R399" s="165">
        <v>163</v>
      </c>
      <c r="S399" s="165">
        <v>179430504.94999999</v>
      </c>
      <c r="T399" s="165">
        <v>1100800.6438650305</v>
      </c>
      <c r="U399" s="166">
        <v>-229114756</v>
      </c>
      <c r="V399" s="168">
        <v>551874429</v>
      </c>
      <c r="W399" s="165">
        <v>890678868</v>
      </c>
      <c r="X399" s="165">
        <v>22612159</v>
      </c>
      <c r="Y399" s="165">
        <v>313223383</v>
      </c>
      <c r="Z399" s="165">
        <v>72916723.659999996</v>
      </c>
      <c r="AA399" s="165">
        <v>21441850.190000001</v>
      </c>
      <c r="AB399" s="165">
        <v>239336</v>
      </c>
      <c r="AC399" s="165">
        <v>235</v>
      </c>
      <c r="AD399" s="165">
        <v>46404694.849999994</v>
      </c>
      <c r="AE399" s="165">
        <v>197466.78659574466</v>
      </c>
      <c r="AF399" s="166">
        <v>-361416598</v>
      </c>
      <c r="AG399" s="11">
        <v>-133025810.09999999</v>
      </c>
      <c r="AH399" s="12">
        <v>72</v>
      </c>
      <c r="AI399" s="132">
        <v>0</v>
      </c>
      <c r="AJ399" s="132">
        <v>0</v>
      </c>
      <c r="AK399" s="13">
        <v>0.1</v>
      </c>
      <c r="AL399" s="13">
        <v>-0.82061530233121949</v>
      </c>
      <c r="AM399" s="14">
        <v>0</v>
      </c>
      <c r="AN399" s="14">
        <v>-1</v>
      </c>
      <c r="AO399" s="82">
        <v>320278.7263190184</v>
      </c>
      <c r="AP399" s="82">
        <v>310283.93046808511</v>
      </c>
      <c r="AQ399" s="82">
        <v>-9994.7958509332966</v>
      </c>
      <c r="AR399" s="129">
        <v>-3.1206555508085265E-2</v>
      </c>
    </row>
    <row r="400" spans="1:44" ht="28.8" x14ac:dyDescent="0.3">
      <c r="A400" s="136" t="s">
        <v>614</v>
      </c>
      <c r="B400" s="137" t="s">
        <v>5183</v>
      </c>
      <c r="C400" s="134">
        <v>2020</v>
      </c>
      <c r="D400" s="149" t="s">
        <v>5182</v>
      </c>
      <c r="E400" s="135" t="s">
        <v>1108</v>
      </c>
      <c r="F400" s="384" t="s">
        <v>612</v>
      </c>
      <c r="G400" s="138" t="s">
        <v>4773</v>
      </c>
      <c r="H400" s="138" t="s">
        <v>3336</v>
      </c>
      <c r="I400" s="138" t="s">
        <v>1566</v>
      </c>
      <c r="J400" s="135" t="s">
        <v>4778</v>
      </c>
      <c r="K400" s="164">
        <v>699913171</v>
      </c>
      <c r="L400" s="165">
        <v>552311253</v>
      </c>
      <c r="M400" s="165">
        <v>142447278</v>
      </c>
      <c r="N400" s="165">
        <v>10254420</v>
      </c>
      <c r="O400" s="165">
        <v>203228843.78</v>
      </c>
      <c r="P400" s="165">
        <v>61740927.200000003</v>
      </c>
      <c r="Q400" s="165">
        <v>509747</v>
      </c>
      <c r="R400" s="165">
        <v>606.25</v>
      </c>
      <c r="S400" s="165">
        <v>280888577.98000002</v>
      </c>
      <c r="T400" s="165">
        <v>463321.36574020621</v>
      </c>
      <c r="U400" s="166">
        <v>5154640</v>
      </c>
      <c r="V400" s="168">
        <v>809017940</v>
      </c>
      <c r="W400" s="165">
        <v>655055334</v>
      </c>
      <c r="X400" s="165">
        <v>192375406</v>
      </c>
      <c r="Y400" s="165">
        <v>8975234</v>
      </c>
      <c r="Z400" s="165">
        <v>231208513.50999999</v>
      </c>
      <c r="AA400" s="165">
        <v>70305248.430000007</v>
      </c>
      <c r="AB400" s="165">
        <v>478761</v>
      </c>
      <c r="AC400" s="165">
        <v>548</v>
      </c>
      <c r="AD400" s="165">
        <v>272554956.94</v>
      </c>
      <c r="AE400" s="165">
        <v>497363.06010948907</v>
      </c>
      <c r="AF400" s="166">
        <v>-38412800</v>
      </c>
      <c r="AG400" s="11">
        <v>-8333621.0400000215</v>
      </c>
      <c r="AH400" s="12">
        <v>-58.25</v>
      </c>
      <c r="AI400" s="132">
        <v>0</v>
      </c>
      <c r="AJ400" s="132">
        <v>1</v>
      </c>
      <c r="AK400" s="13">
        <v>0.1</v>
      </c>
      <c r="AL400" s="13">
        <v>7.3473170469128268E-2</v>
      </c>
      <c r="AM400" s="14">
        <v>0</v>
      </c>
      <c r="AN400" s="14">
        <v>-1</v>
      </c>
      <c r="AO400" s="82">
        <v>335222.83510103094</v>
      </c>
      <c r="AP400" s="82">
        <v>421913.34582116787</v>
      </c>
      <c r="AQ400" s="82">
        <v>86690.510720136925</v>
      </c>
      <c r="AR400" s="129">
        <v>0.25860562480479521</v>
      </c>
    </row>
    <row r="401" spans="1:44" ht="28.8" x14ac:dyDescent="0.3">
      <c r="A401" s="136" t="s">
        <v>615</v>
      </c>
      <c r="B401" s="137" t="s">
        <v>5184</v>
      </c>
      <c r="C401" s="134">
        <v>2020</v>
      </c>
      <c r="D401" s="149" t="s">
        <v>5182</v>
      </c>
      <c r="E401" s="135" t="s">
        <v>1108</v>
      </c>
      <c r="F401" s="384" t="s">
        <v>612</v>
      </c>
      <c r="G401" s="138" t="s">
        <v>4773</v>
      </c>
      <c r="H401" s="138" t="s">
        <v>2264</v>
      </c>
      <c r="I401" s="138" t="s">
        <v>1566</v>
      </c>
      <c r="J401" s="135" t="s">
        <v>4778</v>
      </c>
      <c r="K401" s="164">
        <v>1500840351</v>
      </c>
      <c r="L401" s="165">
        <v>1153833758</v>
      </c>
      <c r="M401" s="165">
        <v>311276927</v>
      </c>
      <c r="N401" s="165">
        <v>13531735</v>
      </c>
      <c r="O401" s="165">
        <v>161886514.15000001</v>
      </c>
      <c r="P401" s="165">
        <v>47451800.149999991</v>
      </c>
      <c r="Q401" s="165">
        <v>49882</v>
      </c>
      <c r="R401" s="165">
        <v>367.41666666666669</v>
      </c>
      <c r="S401" s="165">
        <v>258649597.30000001</v>
      </c>
      <c r="T401" s="165">
        <v>703968.05797232932</v>
      </c>
      <c r="U401" s="166">
        <v>35729666</v>
      </c>
      <c r="V401" s="168">
        <v>1887396621</v>
      </c>
      <c r="W401" s="165">
        <v>1441615667</v>
      </c>
      <c r="X401" s="165">
        <v>354786440</v>
      </c>
      <c r="Y401" s="165">
        <v>16739305</v>
      </c>
      <c r="Z401" s="165">
        <v>188386318</v>
      </c>
      <c r="AA401" s="165">
        <v>55019718</v>
      </c>
      <c r="AB401" s="165">
        <v>43322</v>
      </c>
      <c r="AC401" s="165">
        <v>358.5</v>
      </c>
      <c r="AD401" s="165">
        <v>351183177</v>
      </c>
      <c r="AE401" s="165">
        <v>979590.45188284514</v>
      </c>
      <c r="AF401" s="166">
        <v>90994514</v>
      </c>
      <c r="AG401" s="11">
        <v>92533579.699999988</v>
      </c>
      <c r="AH401" s="12">
        <v>-8.9166666666666856</v>
      </c>
      <c r="AI401" s="132">
        <v>1</v>
      </c>
      <c r="AJ401" s="132">
        <v>1</v>
      </c>
      <c r="AK401" s="13">
        <v>0.1</v>
      </c>
      <c r="AL401" s="13">
        <v>0.39152684001032645</v>
      </c>
      <c r="AM401" s="14">
        <v>1</v>
      </c>
      <c r="AN401" s="14">
        <v>0</v>
      </c>
      <c r="AO401" s="82">
        <v>440607.43247902021</v>
      </c>
      <c r="AP401" s="82">
        <v>525484.84797768481</v>
      </c>
      <c r="AQ401" s="82">
        <v>84877.415498664603</v>
      </c>
      <c r="AR401" s="129">
        <v>0.1926372758196857</v>
      </c>
    </row>
    <row r="402" spans="1:44" ht="28.8" x14ac:dyDescent="0.3">
      <c r="A402" s="136" t="s">
        <v>616</v>
      </c>
      <c r="B402" s="137" t="s">
        <v>5185</v>
      </c>
      <c r="C402" s="134">
        <v>2020</v>
      </c>
      <c r="D402" s="149" t="s">
        <v>5182</v>
      </c>
      <c r="E402" s="135" t="s">
        <v>1108</v>
      </c>
      <c r="F402" s="384" t="s">
        <v>612</v>
      </c>
      <c r="G402" s="138" t="s">
        <v>4773</v>
      </c>
      <c r="H402" s="138" t="s">
        <v>3371</v>
      </c>
      <c r="I402" s="138" t="s">
        <v>1566</v>
      </c>
      <c r="J402" s="135" t="s">
        <v>4774</v>
      </c>
      <c r="K402" s="164">
        <v>3355306683</v>
      </c>
      <c r="L402" s="165">
        <v>3041266025</v>
      </c>
      <c r="M402" s="165">
        <v>217837920</v>
      </c>
      <c r="N402" s="165">
        <v>0</v>
      </c>
      <c r="O402" s="165">
        <v>243140965.26999998</v>
      </c>
      <c r="P402" s="165">
        <v>62507737.799999997</v>
      </c>
      <c r="Q402" s="165">
        <v>713167</v>
      </c>
      <c r="R402" s="165">
        <v>548.91666666666663</v>
      </c>
      <c r="S402" s="165">
        <v>402564608.06999999</v>
      </c>
      <c r="T402" s="165">
        <v>733380.18776984978</v>
      </c>
      <c r="U402" s="166">
        <v>96202738</v>
      </c>
      <c r="V402" s="168">
        <v>3973051272</v>
      </c>
      <c r="W402" s="165">
        <v>3659350104</v>
      </c>
      <c r="X402" s="165">
        <v>509989235</v>
      </c>
      <c r="Y402" s="165">
        <v>22591935</v>
      </c>
      <c r="Z402" s="165">
        <v>251547023</v>
      </c>
      <c r="AA402" s="165">
        <v>70802824</v>
      </c>
      <c r="AB402" s="165">
        <v>636692</v>
      </c>
      <c r="AC402" s="165">
        <v>517.58333333333337</v>
      </c>
      <c r="AD402" s="165">
        <v>149290407</v>
      </c>
      <c r="AE402" s="165">
        <v>288437.43100949924</v>
      </c>
      <c r="AF402" s="166">
        <v>-196288067</v>
      </c>
      <c r="AG402" s="11">
        <v>-253274201.06999999</v>
      </c>
      <c r="AH402" s="12">
        <v>-31.333333333333258</v>
      </c>
      <c r="AI402" s="132">
        <v>0</v>
      </c>
      <c r="AJ402" s="132">
        <v>0</v>
      </c>
      <c r="AK402" s="13">
        <v>0.1</v>
      </c>
      <c r="AL402" s="13">
        <v>-0.60670136181344081</v>
      </c>
      <c r="AM402" s="14">
        <v>0</v>
      </c>
      <c r="AN402" s="14">
        <v>-1</v>
      </c>
      <c r="AO402" s="82">
        <v>442946.95358129649</v>
      </c>
      <c r="AP402" s="82">
        <v>486002.94252133305</v>
      </c>
      <c r="AQ402" s="82">
        <v>43055.988940036565</v>
      </c>
      <c r="AR402" s="129">
        <v>9.7203488119563808E-2</v>
      </c>
    </row>
    <row r="403" spans="1:44" ht="28.8" x14ac:dyDescent="0.3">
      <c r="A403" s="136" t="s">
        <v>617</v>
      </c>
      <c r="B403" s="137" t="s">
        <v>5186</v>
      </c>
      <c r="C403" s="134">
        <v>2020</v>
      </c>
      <c r="D403" s="149" t="s">
        <v>5187</v>
      </c>
      <c r="E403" s="135" t="s">
        <v>1131</v>
      </c>
      <c r="F403" s="384" t="s">
        <v>618</v>
      </c>
      <c r="G403" s="138" t="s">
        <v>4773</v>
      </c>
      <c r="H403" s="138" t="s">
        <v>2743</v>
      </c>
      <c r="I403" s="138" t="s">
        <v>1566</v>
      </c>
      <c r="J403" s="135" t="s">
        <v>4778</v>
      </c>
      <c r="K403" s="164">
        <v>4364785952</v>
      </c>
      <c r="L403" s="165">
        <v>1615135602</v>
      </c>
      <c r="M403" s="165">
        <v>1932919398</v>
      </c>
      <c r="N403" s="165">
        <v>135188479</v>
      </c>
      <c r="O403" s="165">
        <v>1070830376.88</v>
      </c>
      <c r="P403" s="165">
        <v>119325404.09999999</v>
      </c>
      <c r="Q403" s="165">
        <v>2148069</v>
      </c>
      <c r="R403" s="165">
        <v>2561.8333333333335</v>
      </c>
      <c r="S403" s="165">
        <v>2144223280.98</v>
      </c>
      <c r="T403" s="165">
        <v>836987.81379741069</v>
      </c>
      <c r="U403" s="166">
        <v>816730952</v>
      </c>
      <c r="V403" s="168">
        <v>4371566396</v>
      </c>
      <c r="W403" s="165">
        <v>2306592808</v>
      </c>
      <c r="X403" s="165">
        <v>2153120351</v>
      </c>
      <c r="Y403" s="165">
        <v>189367668</v>
      </c>
      <c r="Z403" s="165">
        <v>1203577622.51</v>
      </c>
      <c r="AA403" s="165">
        <v>361723848.71899998</v>
      </c>
      <c r="AB403" s="165">
        <v>3082647</v>
      </c>
      <c r="AC403" s="165">
        <v>2661.6666666666665</v>
      </c>
      <c r="AD403" s="165">
        <v>1669605023.2290001</v>
      </c>
      <c r="AE403" s="165">
        <v>627278.0300171572</v>
      </c>
      <c r="AF403" s="166">
        <v>-88146763</v>
      </c>
      <c r="AG403" s="11">
        <v>-474618257.75099993</v>
      </c>
      <c r="AH403" s="12">
        <v>99.83333333333303</v>
      </c>
      <c r="AI403" s="132">
        <v>0</v>
      </c>
      <c r="AJ403" s="132">
        <v>0</v>
      </c>
      <c r="AK403" s="13">
        <v>0.1</v>
      </c>
      <c r="AL403" s="13">
        <v>-0.25055296802948657</v>
      </c>
      <c r="AM403" s="14">
        <v>0</v>
      </c>
      <c r="AN403" s="14">
        <v>-1</v>
      </c>
      <c r="AO403" s="82">
        <v>417993.77147095179</v>
      </c>
      <c r="AP403" s="82">
        <v>452189.46368566062</v>
      </c>
      <c r="AQ403" s="82">
        <v>34195.692214708833</v>
      </c>
      <c r="AR403" s="129">
        <v>8.1809095131661014E-2</v>
      </c>
    </row>
    <row r="404" spans="1:44" ht="28.8" x14ac:dyDescent="0.3">
      <c r="A404" s="136" t="s">
        <v>619</v>
      </c>
      <c r="B404" s="137" t="s">
        <v>5188</v>
      </c>
      <c r="C404" s="134">
        <v>2020</v>
      </c>
      <c r="D404" s="149" t="s">
        <v>1137</v>
      </c>
      <c r="E404" s="135" t="s">
        <v>1131</v>
      </c>
      <c r="F404" s="384" t="s">
        <v>618</v>
      </c>
      <c r="G404" s="138" t="s">
        <v>4796</v>
      </c>
      <c r="H404" s="138" t="s">
        <v>4653</v>
      </c>
      <c r="I404" s="138" t="s">
        <v>4612</v>
      </c>
      <c r="J404" s="135" t="s">
        <v>4774</v>
      </c>
      <c r="K404" s="164">
        <v>523142214</v>
      </c>
      <c r="L404" s="165">
        <v>473873427</v>
      </c>
      <c r="M404" s="165">
        <v>6442184</v>
      </c>
      <c r="N404" s="165">
        <v>28910497</v>
      </c>
      <c r="O404" s="165">
        <v>37105219.979999997</v>
      </c>
      <c r="P404" s="165">
        <v>7164938</v>
      </c>
      <c r="Q404" s="165">
        <v>6442184</v>
      </c>
      <c r="R404" s="165">
        <v>62.25</v>
      </c>
      <c r="S404" s="165">
        <v>122449441.97999999</v>
      </c>
      <c r="T404" s="165">
        <v>1967059.3089156626</v>
      </c>
      <c r="U404" s="166">
        <v>42826603</v>
      </c>
      <c r="V404" s="168">
        <v>552495150</v>
      </c>
      <c r="W404" s="165">
        <v>548142927</v>
      </c>
      <c r="X404" s="165">
        <v>68624744</v>
      </c>
      <c r="Y404" s="165">
        <v>29405227</v>
      </c>
      <c r="Z404" s="165">
        <v>57695745.379999995</v>
      </c>
      <c r="AA404" s="165">
        <v>13345560.440000001</v>
      </c>
      <c r="AB404" s="165">
        <v>6078621</v>
      </c>
      <c r="AC404" s="165">
        <v>93.083333333333329</v>
      </c>
      <c r="AD404" s="165">
        <v>42252632.819999993</v>
      </c>
      <c r="AE404" s="165">
        <v>453922.64444046549</v>
      </c>
      <c r="AF404" s="166">
        <v>-64272521</v>
      </c>
      <c r="AG404" s="11">
        <v>-80196809.159999996</v>
      </c>
      <c r="AH404" s="12">
        <v>30.833333333333329</v>
      </c>
      <c r="AI404" s="132">
        <v>0</v>
      </c>
      <c r="AJ404" s="132">
        <v>0</v>
      </c>
      <c r="AK404" s="13">
        <v>0.05</v>
      </c>
      <c r="AL404" s="13">
        <v>-0.76923794941394008</v>
      </c>
      <c r="AM404" s="14">
        <v>0</v>
      </c>
      <c r="AN404" s="14">
        <v>-1</v>
      </c>
      <c r="AO404" s="82">
        <v>596067.7908433734</v>
      </c>
      <c r="AP404" s="82">
        <v>619828.95663384057</v>
      </c>
      <c r="AQ404" s="82">
        <v>23761.165790467174</v>
      </c>
      <c r="AR404" s="129">
        <v>3.9863193676087816E-2</v>
      </c>
    </row>
    <row r="405" spans="1:44" ht="43.2" x14ac:dyDescent="0.3">
      <c r="A405" s="136" t="s">
        <v>620</v>
      </c>
      <c r="B405" s="137" t="s">
        <v>5189</v>
      </c>
      <c r="C405" s="134">
        <v>2020</v>
      </c>
      <c r="D405" s="149" t="s">
        <v>1137</v>
      </c>
      <c r="E405" s="135" t="s">
        <v>1131</v>
      </c>
      <c r="F405" s="384" t="s">
        <v>299</v>
      </c>
      <c r="G405" s="138" t="s">
        <v>4796</v>
      </c>
      <c r="H405" s="138" t="s">
        <v>2717</v>
      </c>
      <c r="I405" s="138" t="s">
        <v>1566</v>
      </c>
      <c r="J405" s="135" t="s">
        <v>4774</v>
      </c>
      <c r="K405" s="164">
        <v>5510897105</v>
      </c>
      <c r="L405" s="165">
        <v>4943572436</v>
      </c>
      <c r="M405" s="165">
        <v>169708060</v>
      </c>
      <c r="N405" s="165">
        <v>2478705</v>
      </c>
      <c r="O405" s="165">
        <v>493843901.50999999</v>
      </c>
      <c r="P405" s="165">
        <v>136914117.38</v>
      </c>
      <c r="Q405" s="165">
        <v>131057</v>
      </c>
      <c r="R405" s="165">
        <v>783.5</v>
      </c>
      <c r="S405" s="165">
        <v>1030984389.89</v>
      </c>
      <c r="T405" s="165">
        <v>1315870.31255903</v>
      </c>
      <c r="U405" s="166">
        <v>397616609</v>
      </c>
      <c r="V405" s="168">
        <v>9728027461</v>
      </c>
      <c r="W405" s="165">
        <v>8275615326</v>
      </c>
      <c r="X405" s="165">
        <v>190275734</v>
      </c>
      <c r="Y405" s="165">
        <v>5603384</v>
      </c>
      <c r="Z405" s="165">
        <v>595281967.60000002</v>
      </c>
      <c r="AA405" s="165">
        <v>174120420.10999998</v>
      </c>
      <c r="AB405" s="165">
        <v>113511</v>
      </c>
      <c r="AC405" s="165">
        <v>800.75</v>
      </c>
      <c r="AD405" s="165">
        <v>2037255683.7099998</v>
      </c>
      <c r="AE405" s="165">
        <v>2544184.4317327505</v>
      </c>
      <c r="AF405" s="166">
        <v>1262136401</v>
      </c>
      <c r="AG405" s="11">
        <v>1006271293.8199998</v>
      </c>
      <c r="AH405" s="12">
        <v>17.25</v>
      </c>
      <c r="AI405" s="132">
        <v>1</v>
      </c>
      <c r="AJ405" s="132">
        <v>1</v>
      </c>
      <c r="AK405" s="13">
        <v>0.05</v>
      </c>
      <c r="AL405" s="13">
        <v>0.93346138343983154</v>
      </c>
      <c r="AM405" s="14">
        <v>1</v>
      </c>
      <c r="AN405" s="14">
        <v>0</v>
      </c>
      <c r="AO405" s="82">
        <v>630304.91577536694</v>
      </c>
      <c r="AP405" s="82">
        <v>743405.51682797377</v>
      </c>
      <c r="AQ405" s="82">
        <v>113100.60105260683</v>
      </c>
      <c r="AR405" s="129">
        <v>0.17943791682709098</v>
      </c>
    </row>
    <row r="406" spans="1:44" ht="43.2" x14ac:dyDescent="0.3">
      <c r="A406" s="136" t="s">
        <v>621</v>
      </c>
      <c r="B406" s="137" t="s">
        <v>5190</v>
      </c>
      <c r="C406" s="134">
        <v>2020</v>
      </c>
      <c r="D406" s="149" t="s">
        <v>1137</v>
      </c>
      <c r="E406" s="135" t="s">
        <v>1131</v>
      </c>
      <c r="F406" s="384" t="s">
        <v>299</v>
      </c>
      <c r="G406" s="138" t="s">
        <v>4773</v>
      </c>
      <c r="H406" s="138" t="s">
        <v>2584</v>
      </c>
      <c r="I406" s="138" t="s">
        <v>1566</v>
      </c>
      <c r="J406" s="135" t="s">
        <v>4778</v>
      </c>
      <c r="K406" s="164">
        <v>653664205</v>
      </c>
      <c r="L406" s="165">
        <v>438034788</v>
      </c>
      <c r="M406" s="165">
        <v>195368746</v>
      </c>
      <c r="N406" s="165">
        <v>42874105</v>
      </c>
      <c r="O406" s="165">
        <v>54837911.979999997</v>
      </c>
      <c r="P406" s="165">
        <v>10238176.59</v>
      </c>
      <c r="Q406" s="165">
        <v>1200781</v>
      </c>
      <c r="R406" s="165">
        <v>91.5</v>
      </c>
      <c r="S406" s="165">
        <v>129411645.56999999</v>
      </c>
      <c r="T406" s="165">
        <v>1414334.924262295</v>
      </c>
      <c r="U406" s="166">
        <v>20260671</v>
      </c>
      <c r="V406" s="168">
        <v>780685617</v>
      </c>
      <c r="W406" s="165">
        <v>529224731</v>
      </c>
      <c r="X406" s="165">
        <v>229437568</v>
      </c>
      <c r="Y406" s="165">
        <v>45760737</v>
      </c>
      <c r="Z406" s="165">
        <v>86709869.189999998</v>
      </c>
      <c r="AA406" s="165">
        <v>14228377.749999998</v>
      </c>
      <c r="AB406" s="165">
        <v>916139</v>
      </c>
      <c r="AC406" s="165">
        <v>100.25</v>
      </c>
      <c r="AD406" s="165">
        <v>169638440.94</v>
      </c>
      <c r="AE406" s="165">
        <v>1692154.024339152</v>
      </c>
      <c r="AF406" s="166">
        <v>22023318</v>
      </c>
      <c r="AG406" s="11">
        <v>40226795.370000005</v>
      </c>
      <c r="AH406" s="12">
        <v>8.75</v>
      </c>
      <c r="AI406" s="132">
        <v>1</v>
      </c>
      <c r="AJ406" s="132">
        <v>1</v>
      </c>
      <c r="AK406" s="13">
        <v>0.1</v>
      </c>
      <c r="AL406" s="13">
        <v>0.19643091326628648</v>
      </c>
      <c r="AM406" s="14">
        <v>1</v>
      </c>
      <c r="AN406" s="14">
        <v>0</v>
      </c>
      <c r="AO406" s="82">
        <v>599321.44240437157</v>
      </c>
      <c r="AP406" s="82">
        <v>864936.35102244385</v>
      </c>
      <c r="AQ406" s="82">
        <v>265614.90861807228</v>
      </c>
      <c r="AR406" s="129">
        <v>0.44319273402345205</v>
      </c>
    </row>
    <row r="407" spans="1:44" ht="28.8" x14ac:dyDescent="0.3">
      <c r="A407" s="136" t="s">
        <v>622</v>
      </c>
      <c r="B407" s="137" t="s">
        <v>5191</v>
      </c>
      <c r="C407" s="134">
        <v>2019</v>
      </c>
      <c r="D407" s="149" t="s">
        <v>1165</v>
      </c>
      <c r="E407" s="135" t="s">
        <v>1152</v>
      </c>
      <c r="F407" s="384" t="s">
        <v>623</v>
      </c>
      <c r="G407" s="138" t="s">
        <v>4773</v>
      </c>
      <c r="H407" s="138" t="s">
        <v>2264</v>
      </c>
      <c r="I407" s="138" t="s">
        <v>1566</v>
      </c>
      <c r="J407" s="135" t="s">
        <v>4774</v>
      </c>
      <c r="K407" s="164">
        <v>1009070965</v>
      </c>
      <c r="L407" s="165">
        <v>805813158</v>
      </c>
      <c r="M407" s="165">
        <v>131985712</v>
      </c>
      <c r="N407" s="165">
        <v>42434788</v>
      </c>
      <c r="O407" s="165">
        <v>70882057</v>
      </c>
      <c r="P407" s="165">
        <v>19390621</v>
      </c>
      <c r="Q407" s="165">
        <v>4497251</v>
      </c>
      <c r="R407" s="165">
        <v>327.5</v>
      </c>
      <c r="S407" s="165">
        <v>208476812</v>
      </c>
      <c r="T407" s="165">
        <v>636570.41832061065</v>
      </c>
      <c r="U407" s="166">
        <v>71272095</v>
      </c>
      <c r="V407" s="168">
        <v>1932443601</v>
      </c>
      <c r="W407" s="165">
        <v>1623066205</v>
      </c>
      <c r="X407" s="165">
        <v>204125848</v>
      </c>
      <c r="Y407" s="165">
        <v>31156137</v>
      </c>
      <c r="Z407" s="165">
        <v>90702974</v>
      </c>
      <c r="AA407" s="165">
        <v>24726634</v>
      </c>
      <c r="AB407" s="165">
        <v>4312992</v>
      </c>
      <c r="AC407" s="165">
        <v>362.16666666666669</v>
      </c>
      <c r="AD407" s="165">
        <v>256150285</v>
      </c>
      <c r="AE407" s="165">
        <v>707271.84077312471</v>
      </c>
      <c r="AF407" s="166">
        <v>105251548</v>
      </c>
      <c r="AG407" s="11">
        <v>47673473</v>
      </c>
      <c r="AH407" s="12">
        <v>34.666666666666686</v>
      </c>
      <c r="AI407" s="132">
        <v>0</v>
      </c>
      <c r="AJ407" s="132">
        <v>1</v>
      </c>
      <c r="AK407" s="13">
        <v>0.15</v>
      </c>
      <c r="AL407" s="13">
        <v>0.11106614096206346</v>
      </c>
      <c r="AM407" s="14">
        <v>0</v>
      </c>
      <c r="AN407" s="14">
        <v>-1</v>
      </c>
      <c r="AO407" s="82">
        <v>216433.76183206108</v>
      </c>
      <c r="AP407" s="82">
        <v>250445.39530602851</v>
      </c>
      <c r="AQ407" s="82">
        <v>34011.633473967435</v>
      </c>
      <c r="AR407" s="129">
        <v>0.157145692918087</v>
      </c>
    </row>
    <row r="408" spans="1:44" ht="28.8" x14ac:dyDescent="0.3">
      <c r="A408" s="136" t="s">
        <v>624</v>
      </c>
      <c r="B408" s="137" t="s">
        <v>5192</v>
      </c>
      <c r="C408" s="134">
        <v>2020</v>
      </c>
      <c r="D408" s="149" t="s">
        <v>1165</v>
      </c>
      <c r="E408" s="135" t="s">
        <v>1152</v>
      </c>
      <c r="F408" s="384" t="s">
        <v>623</v>
      </c>
      <c r="G408" s="138" t="s">
        <v>4773</v>
      </c>
      <c r="H408" s="138" t="s">
        <v>4653</v>
      </c>
      <c r="I408" s="138" t="s">
        <v>4612</v>
      </c>
      <c r="J408" s="135" t="s">
        <v>4774</v>
      </c>
      <c r="K408" s="164">
        <v>4714799626</v>
      </c>
      <c r="L408" s="165">
        <v>731310143</v>
      </c>
      <c r="M408" s="165">
        <v>2115509703</v>
      </c>
      <c r="N408" s="165">
        <v>131505651</v>
      </c>
      <c r="O408" s="165">
        <v>837692107</v>
      </c>
      <c r="P408" s="165">
        <v>215101776</v>
      </c>
      <c r="Q408" s="165">
        <v>37229957</v>
      </c>
      <c r="R408" s="165">
        <v>1839.75</v>
      </c>
      <c r="S408" s="165">
        <v>3089509271</v>
      </c>
      <c r="T408" s="165">
        <v>1679309.2925669248</v>
      </c>
      <c r="U408" s="166">
        <v>1867979780</v>
      </c>
      <c r="V408" s="168">
        <v>4507352972</v>
      </c>
      <c r="W408" s="165">
        <v>1182567644</v>
      </c>
      <c r="X408" s="165">
        <v>2408026969</v>
      </c>
      <c r="Y408" s="165">
        <v>143079637</v>
      </c>
      <c r="Z408" s="165">
        <v>879039934</v>
      </c>
      <c r="AA408" s="165">
        <v>256848879</v>
      </c>
      <c r="AB408" s="165">
        <v>34019311</v>
      </c>
      <c r="AC408" s="165">
        <v>1674.1666666666667</v>
      </c>
      <c r="AD408" s="165">
        <v>2229746120</v>
      </c>
      <c r="AE408" s="165">
        <v>1331854.3275261323</v>
      </c>
      <c r="AF408" s="166">
        <v>916758359</v>
      </c>
      <c r="AG408" s="11">
        <v>-859763151</v>
      </c>
      <c r="AH408" s="12">
        <v>-165.58333333333326</v>
      </c>
      <c r="AI408" s="132">
        <v>0</v>
      </c>
      <c r="AJ408" s="132">
        <v>0</v>
      </c>
      <c r="AK408" s="13">
        <v>0.1</v>
      </c>
      <c r="AL408" s="13">
        <v>-0.20690349423363219</v>
      </c>
      <c r="AM408" s="14">
        <v>0</v>
      </c>
      <c r="AN408" s="14">
        <v>-1</v>
      </c>
      <c r="AO408" s="82">
        <v>455329.31485256151</v>
      </c>
      <c r="AP408" s="82">
        <v>525061.18506719754</v>
      </c>
      <c r="AQ408" s="82">
        <v>69731.87021463603</v>
      </c>
      <c r="AR408" s="129">
        <v>0.15314601529052796</v>
      </c>
    </row>
    <row r="409" spans="1:44" ht="28.8" x14ac:dyDescent="0.3">
      <c r="A409" s="136" t="s">
        <v>625</v>
      </c>
      <c r="B409" s="137" t="s">
        <v>5193</v>
      </c>
      <c r="C409" s="134">
        <v>2020</v>
      </c>
      <c r="D409" s="149" t="s">
        <v>1165</v>
      </c>
      <c r="E409" s="135" t="s">
        <v>1152</v>
      </c>
      <c r="F409" s="384" t="s">
        <v>623</v>
      </c>
      <c r="G409" s="138" t="s">
        <v>4773</v>
      </c>
      <c r="H409" s="138" t="s">
        <v>1636</v>
      </c>
      <c r="I409" s="138" t="s">
        <v>1566</v>
      </c>
      <c r="J409" s="135" t="s">
        <v>4774</v>
      </c>
      <c r="K409" s="164">
        <v>850810733</v>
      </c>
      <c r="L409" s="165">
        <v>689781141</v>
      </c>
      <c r="M409" s="165">
        <v>67982696</v>
      </c>
      <c r="N409" s="165">
        <v>10691953</v>
      </c>
      <c r="O409" s="165">
        <v>15607235</v>
      </c>
      <c r="P409" s="165">
        <v>1009143</v>
      </c>
      <c r="Q409" s="165">
        <v>0</v>
      </c>
      <c r="R409" s="165">
        <v>154.25</v>
      </c>
      <c r="S409" s="165">
        <v>120355227</v>
      </c>
      <c r="T409" s="165">
        <v>780260.790923825</v>
      </c>
      <c r="U409" s="166">
        <v>93046896</v>
      </c>
      <c r="V409" s="168">
        <v>901322380</v>
      </c>
      <c r="W409" s="165">
        <v>795412314</v>
      </c>
      <c r="X409" s="165">
        <v>67226015</v>
      </c>
      <c r="Y409" s="165">
        <v>11281140</v>
      </c>
      <c r="Z409" s="165">
        <v>19995852</v>
      </c>
      <c r="AA409" s="165">
        <v>5736286</v>
      </c>
      <c r="AB409" s="165">
        <v>0</v>
      </c>
      <c r="AC409" s="165">
        <v>227.16666666666666</v>
      </c>
      <c r="AD409" s="165">
        <v>75697329</v>
      </c>
      <c r="AE409" s="165">
        <v>333223.7520176082</v>
      </c>
      <c r="AF409" s="166">
        <v>38684051</v>
      </c>
      <c r="AG409" s="11">
        <v>-44657898</v>
      </c>
      <c r="AH409" s="12">
        <v>72.916666666666657</v>
      </c>
      <c r="AI409" s="132">
        <v>0</v>
      </c>
      <c r="AJ409" s="132">
        <v>0</v>
      </c>
      <c r="AK409" s="13">
        <v>0.1</v>
      </c>
      <c r="AL409" s="13">
        <v>-0.57293285236081126</v>
      </c>
      <c r="AM409" s="14">
        <v>0</v>
      </c>
      <c r="AN409" s="14">
        <v>-1</v>
      </c>
      <c r="AO409" s="82">
        <v>101181.4262560778</v>
      </c>
      <c r="AP409" s="82">
        <v>88022.826118855475</v>
      </c>
      <c r="AQ409" s="82">
        <v>-13158.600137222325</v>
      </c>
      <c r="AR409" s="129">
        <v>-0.13004956170433413</v>
      </c>
    </row>
    <row r="410" spans="1:44" ht="43.2" x14ac:dyDescent="0.3">
      <c r="A410" s="136" t="s">
        <v>626</v>
      </c>
      <c r="B410" s="137" t="s">
        <v>5194</v>
      </c>
      <c r="C410" s="134">
        <v>2019</v>
      </c>
      <c r="D410" s="149" t="s">
        <v>1165</v>
      </c>
      <c r="E410" s="135" t="s">
        <v>1152</v>
      </c>
      <c r="F410" s="384" t="s">
        <v>623</v>
      </c>
      <c r="G410" s="138" t="s">
        <v>4773</v>
      </c>
      <c r="H410" s="138" t="s">
        <v>4651</v>
      </c>
      <c r="I410" s="138" t="s">
        <v>4612</v>
      </c>
      <c r="J410" s="135" t="s">
        <v>4805</v>
      </c>
      <c r="K410" s="164">
        <v>1369913206</v>
      </c>
      <c r="L410" s="165">
        <v>827320311</v>
      </c>
      <c r="M410" s="165">
        <v>428310800</v>
      </c>
      <c r="N410" s="165">
        <v>28928773</v>
      </c>
      <c r="O410" s="165">
        <v>346920761</v>
      </c>
      <c r="P410" s="165">
        <v>92817881</v>
      </c>
      <c r="Q410" s="165">
        <v>8559400</v>
      </c>
      <c r="R410" s="165">
        <v>1021.9166666666666</v>
      </c>
      <c r="S410" s="165">
        <v>591508910</v>
      </c>
      <c r="T410" s="165">
        <v>578823.03840821981</v>
      </c>
      <c r="U410" s="166">
        <v>114282095</v>
      </c>
      <c r="V410" s="168">
        <v>1589571333</v>
      </c>
      <c r="W410" s="165">
        <v>883241491</v>
      </c>
      <c r="X410" s="165">
        <v>643742921</v>
      </c>
      <c r="Y410" s="165">
        <v>8289488</v>
      </c>
      <c r="Z410" s="165">
        <v>420892831</v>
      </c>
      <c r="AA410" s="165">
        <v>124518687</v>
      </c>
      <c r="AB410" s="165">
        <v>7831564</v>
      </c>
      <c r="AC410" s="165">
        <v>1080.5833333333333</v>
      </c>
      <c r="AD410" s="165">
        <v>624119491</v>
      </c>
      <c r="AE410" s="165">
        <v>577576.45500115678</v>
      </c>
      <c r="AF410" s="166">
        <v>62586921</v>
      </c>
      <c r="AG410" s="11">
        <v>32610581</v>
      </c>
      <c r="AH410" s="12">
        <v>58.666666666666629</v>
      </c>
      <c r="AI410" s="132">
        <v>0</v>
      </c>
      <c r="AJ410" s="132">
        <v>1</v>
      </c>
      <c r="AK410" s="13">
        <v>0.15</v>
      </c>
      <c r="AL410" s="13">
        <v>-2.1536461299123122E-3</v>
      </c>
      <c r="AM410" s="14">
        <v>0</v>
      </c>
      <c r="AN410" s="14">
        <v>-1</v>
      </c>
      <c r="AO410" s="82">
        <v>339480.48046970565</v>
      </c>
      <c r="AP410" s="82">
        <v>389505.20336238143</v>
      </c>
      <c r="AQ410" s="82">
        <v>50024.722892675782</v>
      </c>
      <c r="AR410" s="129">
        <v>0.14735669875175583</v>
      </c>
    </row>
    <row r="411" spans="1:44" ht="28.8" x14ac:dyDescent="0.3">
      <c r="A411" s="136" t="s">
        <v>627</v>
      </c>
      <c r="B411" s="137" t="s">
        <v>5195</v>
      </c>
      <c r="C411" s="134">
        <v>2019</v>
      </c>
      <c r="D411" s="149" t="s">
        <v>1165</v>
      </c>
      <c r="E411" s="135" t="s">
        <v>1152</v>
      </c>
      <c r="F411" s="384" t="s">
        <v>623</v>
      </c>
      <c r="G411" s="138" t="s">
        <v>4773</v>
      </c>
      <c r="H411" s="138" t="s">
        <v>2789</v>
      </c>
      <c r="I411" s="138" t="s">
        <v>1566</v>
      </c>
      <c r="J411" s="135" t="s">
        <v>4774</v>
      </c>
      <c r="K411" s="164">
        <v>505068566</v>
      </c>
      <c r="L411" s="165">
        <v>290674451</v>
      </c>
      <c r="M411" s="165">
        <v>205206780</v>
      </c>
      <c r="N411" s="165">
        <v>14194629</v>
      </c>
      <c r="O411" s="165">
        <v>75542628</v>
      </c>
      <c r="P411" s="165">
        <v>21010125</v>
      </c>
      <c r="Q411" s="165">
        <v>1801261</v>
      </c>
      <c r="R411" s="165">
        <v>394.66666666666669</v>
      </c>
      <c r="S411" s="165">
        <v>121735978</v>
      </c>
      <c r="T411" s="165">
        <v>308452.64695945947</v>
      </c>
      <c r="U411" s="166">
        <v>9187335</v>
      </c>
      <c r="V411" s="168">
        <v>517888469</v>
      </c>
      <c r="W411" s="165">
        <v>318713867</v>
      </c>
      <c r="X411" s="165">
        <v>187017439</v>
      </c>
      <c r="Y411" s="165">
        <v>36826454</v>
      </c>
      <c r="Z411" s="165">
        <v>69909627.010000005</v>
      </c>
      <c r="AA411" s="165">
        <v>20897370</v>
      </c>
      <c r="AB411" s="165">
        <v>2556662</v>
      </c>
      <c r="AC411" s="165">
        <v>284.08333333333331</v>
      </c>
      <c r="AD411" s="165">
        <v>142347276.00999999</v>
      </c>
      <c r="AE411" s="165">
        <v>501075.7735758287</v>
      </c>
      <c r="AF411" s="166">
        <v>12157163</v>
      </c>
      <c r="AG411" s="11">
        <v>20611298.00999999</v>
      </c>
      <c r="AH411" s="12">
        <v>-110.58333333333337</v>
      </c>
      <c r="AI411" s="132">
        <v>1</v>
      </c>
      <c r="AJ411" s="132">
        <v>1</v>
      </c>
      <c r="AK411" s="13">
        <v>0.15</v>
      </c>
      <c r="AL411" s="13">
        <v>0.62448197478608147</v>
      </c>
      <c r="AM411" s="14">
        <v>1</v>
      </c>
      <c r="AN411" s="14">
        <v>0</v>
      </c>
      <c r="AO411" s="82">
        <v>191408.6858108108</v>
      </c>
      <c r="AP411" s="82">
        <v>246088.44943385161</v>
      </c>
      <c r="AQ411" s="82">
        <v>54679.76362304081</v>
      </c>
      <c r="AR411" s="129">
        <v>0.28567023168993777</v>
      </c>
    </row>
    <row r="412" spans="1:44" ht="28.8" x14ac:dyDescent="0.3">
      <c r="A412" s="136" t="s">
        <v>628</v>
      </c>
      <c r="B412" s="137" t="s">
        <v>5196</v>
      </c>
      <c r="C412" s="134">
        <v>2020</v>
      </c>
      <c r="D412" s="149" t="s">
        <v>1165</v>
      </c>
      <c r="E412" s="135" t="s">
        <v>1152</v>
      </c>
      <c r="F412" s="384" t="s">
        <v>623</v>
      </c>
      <c r="G412" s="138" t="s">
        <v>4773</v>
      </c>
      <c r="H412" s="138" t="s">
        <v>4459</v>
      </c>
      <c r="I412" s="138" t="s">
        <v>4255</v>
      </c>
      <c r="J412" s="135" t="s">
        <v>4798</v>
      </c>
      <c r="K412" s="164">
        <v>22467423154</v>
      </c>
      <c r="L412" s="165">
        <v>4824593680</v>
      </c>
      <c r="M412" s="165">
        <v>6381025550</v>
      </c>
      <c r="N412" s="165">
        <v>1804866069</v>
      </c>
      <c r="O412" s="165">
        <v>2838410204</v>
      </c>
      <c r="P412" s="165">
        <v>711251267</v>
      </c>
      <c r="Q412" s="165">
        <v>70297427</v>
      </c>
      <c r="R412" s="165">
        <v>3451.25</v>
      </c>
      <c r="S412" s="165">
        <v>16686628891</v>
      </c>
      <c r="T412" s="165">
        <v>4834952.2320898222</v>
      </c>
      <c r="U412" s="166">
        <v>11261803924</v>
      </c>
      <c r="V412" s="168">
        <v>23322309296</v>
      </c>
      <c r="W412" s="165">
        <v>7628993346</v>
      </c>
      <c r="X412" s="165">
        <v>5153986172</v>
      </c>
      <c r="Y412" s="165">
        <v>2086794854</v>
      </c>
      <c r="Z412" s="165">
        <v>2991590257</v>
      </c>
      <c r="AA412" s="165">
        <v>829136531</v>
      </c>
      <c r="AB412" s="165">
        <v>60284719</v>
      </c>
      <c r="AC412" s="165">
        <v>3409.0833333333335</v>
      </c>
      <c r="AD412" s="165">
        <v>16507136139</v>
      </c>
      <c r="AE412" s="165">
        <v>4842104.0276711723</v>
      </c>
      <c r="AF412" s="166">
        <v>10539329778</v>
      </c>
      <c r="AG412" s="11">
        <v>-179492752</v>
      </c>
      <c r="AH412" s="12">
        <v>-42.166666666666515</v>
      </c>
      <c r="AI412" s="132">
        <v>0</v>
      </c>
      <c r="AJ412" s="132">
        <v>0</v>
      </c>
      <c r="AK412" s="13">
        <v>0.1</v>
      </c>
      <c r="AL412" s="13">
        <v>1.4791873135011624E-3</v>
      </c>
      <c r="AM412" s="14">
        <v>0</v>
      </c>
      <c r="AN412" s="14">
        <v>-1</v>
      </c>
      <c r="AO412" s="82">
        <v>822429.61361825431</v>
      </c>
      <c r="AP412" s="82">
        <v>877535.09213131585</v>
      </c>
      <c r="AQ412" s="82">
        <v>55105.478513061535</v>
      </c>
      <c r="AR412" s="129">
        <v>6.7003276147397761E-2</v>
      </c>
    </row>
    <row r="413" spans="1:44" ht="28.8" x14ac:dyDescent="0.3">
      <c r="A413" s="136" t="s">
        <v>629</v>
      </c>
      <c r="B413" s="137" t="s">
        <v>5197</v>
      </c>
      <c r="C413" s="134">
        <v>2020</v>
      </c>
      <c r="D413" s="149" t="s">
        <v>1165</v>
      </c>
      <c r="E413" s="135" t="s">
        <v>1152</v>
      </c>
      <c r="F413" s="384" t="s">
        <v>623</v>
      </c>
      <c r="G413" s="138" t="s">
        <v>4773</v>
      </c>
      <c r="H413" s="138" t="s">
        <v>1597</v>
      </c>
      <c r="I413" s="138" t="s">
        <v>1566</v>
      </c>
      <c r="J413" s="135" t="s">
        <v>4774</v>
      </c>
      <c r="K413" s="164">
        <v>1562973062</v>
      </c>
      <c r="L413" s="165">
        <v>1292466253</v>
      </c>
      <c r="M413" s="165">
        <v>218578993</v>
      </c>
      <c r="N413" s="165">
        <v>31549886</v>
      </c>
      <c r="O413" s="165">
        <v>239528683</v>
      </c>
      <c r="P413" s="165">
        <v>63869947</v>
      </c>
      <c r="Q413" s="165">
        <v>3340269</v>
      </c>
      <c r="R413" s="165">
        <v>512.33333333333337</v>
      </c>
      <c r="S413" s="165">
        <v>390216601</v>
      </c>
      <c r="T413" s="165">
        <v>761645.93558880931</v>
      </c>
      <c r="U413" s="166">
        <v>51927816</v>
      </c>
      <c r="V413" s="168">
        <v>2087306250</v>
      </c>
      <c r="W413" s="165">
        <v>1507581350</v>
      </c>
      <c r="X413" s="165">
        <v>478397130</v>
      </c>
      <c r="Y413" s="165">
        <v>43183949</v>
      </c>
      <c r="Z413" s="165">
        <v>303113279</v>
      </c>
      <c r="AA413" s="165">
        <v>88604349</v>
      </c>
      <c r="AB413" s="165">
        <v>2815619</v>
      </c>
      <c r="AC413" s="165">
        <v>528.66666666666663</v>
      </c>
      <c r="AD413" s="165">
        <v>539044966</v>
      </c>
      <c r="AE413" s="165">
        <v>1019631.0832282472</v>
      </c>
      <c r="AF413" s="166">
        <v>101327770</v>
      </c>
      <c r="AG413" s="11">
        <v>148828365</v>
      </c>
      <c r="AH413" s="12">
        <v>16.333333333333258</v>
      </c>
      <c r="AI413" s="132">
        <v>1</v>
      </c>
      <c r="AJ413" s="132">
        <v>1</v>
      </c>
      <c r="AK413" s="13">
        <v>0.1</v>
      </c>
      <c r="AL413" s="13">
        <v>0.33872056089473812</v>
      </c>
      <c r="AM413" s="14">
        <v>1</v>
      </c>
      <c r="AN413" s="14">
        <v>0</v>
      </c>
      <c r="AO413" s="82">
        <v>467525.08067664277</v>
      </c>
      <c r="AP413" s="82">
        <v>573354.24779319041</v>
      </c>
      <c r="AQ413" s="82">
        <v>105829.16711654764</v>
      </c>
      <c r="AR413" s="129">
        <v>0.22636040608427366</v>
      </c>
    </row>
    <row r="414" spans="1:44" ht="28.8" x14ac:dyDescent="0.3">
      <c r="A414" s="136" t="s">
        <v>630</v>
      </c>
      <c r="B414" s="137" t="s">
        <v>5198</v>
      </c>
      <c r="C414" s="134">
        <v>2019</v>
      </c>
      <c r="D414" s="149" t="s">
        <v>1165</v>
      </c>
      <c r="E414" s="135" t="s">
        <v>1152</v>
      </c>
      <c r="F414" s="384" t="s">
        <v>623</v>
      </c>
      <c r="G414" s="138" t="s">
        <v>4773</v>
      </c>
      <c r="H414" s="138" t="s">
        <v>4491</v>
      </c>
      <c r="I414" s="138" t="s">
        <v>4255</v>
      </c>
      <c r="J414" s="135" t="s">
        <v>4778</v>
      </c>
      <c r="K414" s="164">
        <v>908039044</v>
      </c>
      <c r="L414" s="165">
        <v>851936486</v>
      </c>
      <c r="M414" s="165">
        <v>51047870</v>
      </c>
      <c r="N414" s="165">
        <v>10815391</v>
      </c>
      <c r="O414" s="165">
        <v>77722267</v>
      </c>
      <c r="P414" s="165">
        <v>20853503</v>
      </c>
      <c r="Q414" s="165">
        <v>567606</v>
      </c>
      <c r="R414" s="165">
        <v>192.58333333333334</v>
      </c>
      <c r="S414" s="165">
        <v>115013455</v>
      </c>
      <c r="T414" s="165">
        <v>597213.95932496747</v>
      </c>
      <c r="U414" s="166">
        <v>5054688</v>
      </c>
      <c r="V414" s="168">
        <v>357452900</v>
      </c>
      <c r="W414" s="165">
        <v>301055587</v>
      </c>
      <c r="X414" s="165">
        <v>8411488</v>
      </c>
      <c r="Y414" s="165">
        <v>9624561</v>
      </c>
      <c r="Z414" s="165">
        <v>66554049</v>
      </c>
      <c r="AA414" s="165">
        <v>20158480</v>
      </c>
      <c r="AB414" s="165">
        <v>423572</v>
      </c>
      <c r="AC414" s="165">
        <v>156.5</v>
      </c>
      <c r="AD414" s="165">
        <v>144746487</v>
      </c>
      <c r="AE414" s="165">
        <v>924897.68051118206</v>
      </c>
      <c r="AF414" s="166">
        <v>47985825</v>
      </c>
      <c r="AG414" s="11">
        <v>29733032</v>
      </c>
      <c r="AH414" s="12">
        <v>-36.083333333333343</v>
      </c>
      <c r="AI414" s="132">
        <v>1</v>
      </c>
      <c r="AJ414" s="132">
        <v>1</v>
      </c>
      <c r="AK414" s="13">
        <v>0.15</v>
      </c>
      <c r="AL414" s="13">
        <v>0.54868730797920406</v>
      </c>
      <c r="AM414" s="14">
        <v>1</v>
      </c>
      <c r="AN414" s="14">
        <v>0</v>
      </c>
      <c r="AO414" s="82">
        <v>403577.32756382518</v>
      </c>
      <c r="AP414" s="82">
        <v>425265.4888178914</v>
      </c>
      <c r="AQ414" s="82">
        <v>21688.161254066217</v>
      </c>
      <c r="AR414" s="129">
        <v>5.3739791045710472E-2</v>
      </c>
    </row>
    <row r="415" spans="1:44" ht="28.8" x14ac:dyDescent="0.3">
      <c r="A415" s="136" t="s">
        <v>631</v>
      </c>
      <c r="B415" s="137" t="s">
        <v>5199</v>
      </c>
      <c r="C415" s="134">
        <v>2020</v>
      </c>
      <c r="D415" s="149" t="s">
        <v>1165</v>
      </c>
      <c r="E415" s="135" t="s">
        <v>1152</v>
      </c>
      <c r="F415" s="384" t="s">
        <v>623</v>
      </c>
      <c r="G415" s="138" t="s">
        <v>4796</v>
      </c>
      <c r="H415" s="138" t="s">
        <v>1221</v>
      </c>
      <c r="I415" s="138" t="s">
        <v>1217</v>
      </c>
      <c r="J415" s="135" t="s">
        <v>4774</v>
      </c>
      <c r="K415" s="164">
        <v>472052675</v>
      </c>
      <c r="L415" s="165">
        <v>240836848</v>
      </c>
      <c r="M415" s="165">
        <v>92005363</v>
      </c>
      <c r="N415" s="165">
        <v>25302424</v>
      </c>
      <c r="O415" s="165">
        <v>93882615</v>
      </c>
      <c r="P415" s="165">
        <v>18288027</v>
      </c>
      <c r="Q415" s="165">
        <v>4763289</v>
      </c>
      <c r="R415" s="165">
        <v>179.83333333333334</v>
      </c>
      <c r="S415" s="165">
        <v>281446819</v>
      </c>
      <c r="T415" s="165">
        <v>1565042.5523632993</v>
      </c>
      <c r="U415" s="166">
        <v>139210464</v>
      </c>
      <c r="V415" s="168">
        <v>113190415</v>
      </c>
      <c r="W415" s="165">
        <v>45971789</v>
      </c>
      <c r="X415" s="165">
        <v>46647017</v>
      </c>
      <c r="Y415" s="165">
        <v>29435873</v>
      </c>
      <c r="Z415" s="165">
        <v>117965400</v>
      </c>
      <c r="AA415" s="165">
        <v>21391845</v>
      </c>
      <c r="AB415" s="165">
        <v>4934593</v>
      </c>
      <c r="AC415" s="165">
        <v>176.83333333333334</v>
      </c>
      <c r="AD415" s="165">
        <v>194299320</v>
      </c>
      <c r="AE415" s="165">
        <v>1098770.8953817154</v>
      </c>
      <c r="AF415" s="166">
        <v>20571609</v>
      </c>
      <c r="AG415" s="11">
        <v>-87147499</v>
      </c>
      <c r="AH415" s="12">
        <v>-3</v>
      </c>
      <c r="AI415" s="132">
        <v>0</v>
      </c>
      <c r="AJ415" s="132">
        <v>0</v>
      </c>
      <c r="AK415" s="13">
        <v>0.05</v>
      </c>
      <c r="AL415" s="13">
        <v>-0.29792905630584943</v>
      </c>
      <c r="AM415" s="14">
        <v>0</v>
      </c>
      <c r="AN415" s="14">
        <v>-1</v>
      </c>
      <c r="AO415" s="82">
        <v>522053.46617238183</v>
      </c>
      <c r="AP415" s="82">
        <v>667099.34024505178</v>
      </c>
      <c r="AQ415" s="82">
        <v>145045.87407266995</v>
      </c>
      <c r="AR415" s="129">
        <v>0.27783720149609326</v>
      </c>
    </row>
    <row r="416" spans="1:44" ht="28.8" x14ac:dyDescent="0.3">
      <c r="A416" s="136" t="s">
        <v>632</v>
      </c>
      <c r="B416" s="137" t="s">
        <v>5200</v>
      </c>
      <c r="C416" s="134">
        <v>2019</v>
      </c>
      <c r="D416" s="149" t="s">
        <v>4766</v>
      </c>
      <c r="E416" s="135" t="s">
        <v>1175</v>
      </c>
      <c r="F416" s="384" t="s">
        <v>633</v>
      </c>
      <c r="G416" s="138" t="s">
        <v>4773</v>
      </c>
      <c r="H416" s="138" t="s">
        <v>1748</v>
      </c>
      <c r="I416" s="138" t="s">
        <v>1566</v>
      </c>
      <c r="J416" s="135" t="s">
        <v>4774</v>
      </c>
      <c r="K416" s="164">
        <v>539567097</v>
      </c>
      <c r="L416" s="165">
        <v>432446145</v>
      </c>
      <c r="M416" s="165">
        <v>76224300</v>
      </c>
      <c r="N416" s="165">
        <v>11678622</v>
      </c>
      <c r="O416" s="165">
        <v>82402500</v>
      </c>
      <c r="P416" s="165">
        <v>24473002</v>
      </c>
      <c r="Q416" s="165">
        <v>2256871</v>
      </c>
      <c r="R416" s="165">
        <v>328.58333333333337</v>
      </c>
      <c r="S416" s="165">
        <v>151707647</v>
      </c>
      <c r="T416" s="165">
        <v>461702.19731169153</v>
      </c>
      <c r="U416" s="166">
        <v>30896652</v>
      </c>
      <c r="V416" s="168">
        <v>749047127</v>
      </c>
      <c r="W416" s="165">
        <v>628404643</v>
      </c>
      <c r="X416" s="165">
        <v>83688966</v>
      </c>
      <c r="Y416" s="165">
        <v>12358002</v>
      </c>
      <c r="Z416" s="165">
        <v>70193741.129999995</v>
      </c>
      <c r="AA416" s="165">
        <v>20816760.699999999</v>
      </c>
      <c r="AB416" s="165">
        <v>2025478</v>
      </c>
      <c r="AC416" s="165">
        <v>256.16666666666669</v>
      </c>
      <c r="AD416" s="165">
        <v>142347499.82999998</v>
      </c>
      <c r="AE416" s="165">
        <v>555683.14832791139</v>
      </c>
      <c r="AF416" s="166">
        <v>36953518</v>
      </c>
      <c r="AG416" s="11">
        <v>-9360147.1700000167</v>
      </c>
      <c r="AH416" s="12">
        <v>-72.416666666666686</v>
      </c>
      <c r="AI416" s="132">
        <v>1</v>
      </c>
      <c r="AJ416" s="132">
        <v>1</v>
      </c>
      <c r="AK416" s="13">
        <v>0.15</v>
      </c>
      <c r="AL416" s="13">
        <v>0.20355317778429471</v>
      </c>
      <c r="AM416" s="14">
        <v>1</v>
      </c>
      <c r="AN416" s="14">
        <v>0</v>
      </c>
      <c r="AO416" s="82">
        <v>250781.13111843771</v>
      </c>
      <c r="AP416" s="82">
        <v>274015.90551724134</v>
      </c>
      <c r="AQ416" s="82">
        <v>23234.774398803624</v>
      </c>
      <c r="AR416" s="129">
        <v>9.2649611616236083E-2</v>
      </c>
    </row>
    <row r="417" spans="1:44" ht="43.2" x14ac:dyDescent="0.3">
      <c r="A417" s="136" t="s">
        <v>634</v>
      </c>
      <c r="B417" s="137" t="s">
        <v>5201</v>
      </c>
      <c r="C417" s="134">
        <v>2019</v>
      </c>
      <c r="D417" s="149" t="s">
        <v>4766</v>
      </c>
      <c r="E417" s="135" t="s">
        <v>1175</v>
      </c>
      <c r="F417" s="384" t="s">
        <v>635</v>
      </c>
      <c r="G417" s="138" t="s">
        <v>4773</v>
      </c>
      <c r="H417" s="138" t="s">
        <v>2566</v>
      </c>
      <c r="I417" s="138" t="s">
        <v>1566</v>
      </c>
      <c r="J417" s="135" t="s">
        <v>4774</v>
      </c>
      <c r="K417" s="164">
        <v>3359226342</v>
      </c>
      <c r="L417" s="165">
        <v>1810340639</v>
      </c>
      <c r="M417" s="165">
        <v>1499282373</v>
      </c>
      <c r="N417" s="165">
        <v>49086140</v>
      </c>
      <c r="O417" s="165">
        <v>590285995</v>
      </c>
      <c r="P417" s="165">
        <v>178574743</v>
      </c>
      <c r="Q417" s="165">
        <v>921484</v>
      </c>
      <c r="R417" s="165">
        <v>1587.9166666666667</v>
      </c>
      <c r="S417" s="165">
        <v>868471692</v>
      </c>
      <c r="T417" s="165">
        <v>546925.23243243236</v>
      </c>
      <c r="U417" s="166">
        <v>49603330</v>
      </c>
      <c r="V417" s="168">
        <v>3546300146</v>
      </c>
      <c r="W417" s="165">
        <v>2042165138</v>
      </c>
      <c r="X417" s="165">
        <v>1446834988</v>
      </c>
      <c r="Y417" s="165">
        <v>57832362</v>
      </c>
      <c r="Z417" s="165">
        <v>702675769.10000002</v>
      </c>
      <c r="AA417" s="165">
        <v>213302219.47</v>
      </c>
      <c r="AB417" s="165">
        <v>2345967</v>
      </c>
      <c r="AC417" s="165">
        <v>1357.0833333333333</v>
      </c>
      <c r="AD417" s="165">
        <v>1033456337.5700001</v>
      </c>
      <c r="AE417" s="165">
        <v>761527.54380350024</v>
      </c>
      <c r="AF417" s="166">
        <v>57300020</v>
      </c>
      <c r="AG417" s="11">
        <v>164984645.57000005</v>
      </c>
      <c r="AH417" s="12">
        <v>-230.83333333333348</v>
      </c>
      <c r="AI417" s="132">
        <v>1</v>
      </c>
      <c r="AJ417" s="132">
        <v>1</v>
      </c>
      <c r="AK417" s="13">
        <v>0.15</v>
      </c>
      <c r="AL417" s="13">
        <v>0.39237961284031475</v>
      </c>
      <c r="AM417" s="14">
        <v>1</v>
      </c>
      <c r="AN417" s="14">
        <v>0</v>
      </c>
      <c r="AO417" s="82">
        <v>371736.12909997377</v>
      </c>
      <c r="AP417" s="82">
        <v>517783.80283696658</v>
      </c>
      <c r="AQ417" s="82">
        <v>146047.67373699282</v>
      </c>
      <c r="AR417" s="129">
        <v>0.39287995517302843</v>
      </c>
    </row>
    <row r="418" spans="1:44" ht="28.8" x14ac:dyDescent="0.3">
      <c r="A418" s="136" t="s">
        <v>636</v>
      </c>
      <c r="B418" s="137" t="s">
        <v>5202</v>
      </c>
      <c r="C418" s="134">
        <v>2019</v>
      </c>
      <c r="D418" s="149" t="s">
        <v>4766</v>
      </c>
      <c r="E418" s="135" t="s">
        <v>1175</v>
      </c>
      <c r="F418" s="384" t="s">
        <v>633</v>
      </c>
      <c r="G418" s="138" t="s">
        <v>4773</v>
      </c>
      <c r="H418" s="138" t="s">
        <v>2196</v>
      </c>
      <c r="I418" s="138" t="s">
        <v>1566</v>
      </c>
      <c r="J418" s="135" t="s">
        <v>4774</v>
      </c>
      <c r="K418" s="164">
        <v>6659007308</v>
      </c>
      <c r="L418" s="165">
        <v>5766974282</v>
      </c>
      <c r="M418" s="165">
        <v>706925672</v>
      </c>
      <c r="N418" s="165">
        <v>603084640</v>
      </c>
      <c r="O418" s="165">
        <v>485360062</v>
      </c>
      <c r="P418" s="165">
        <v>146926091</v>
      </c>
      <c r="Q418" s="165">
        <v>42572944</v>
      </c>
      <c r="R418" s="165">
        <v>1158.1666666666667</v>
      </c>
      <c r="S418" s="165">
        <v>1463051091</v>
      </c>
      <c r="T418" s="165">
        <v>1263247.4522952943</v>
      </c>
      <c r="U418" s="166">
        <v>185107354</v>
      </c>
      <c r="V418" s="168">
        <v>9158031229</v>
      </c>
      <c r="W418" s="165">
        <v>6122884878</v>
      </c>
      <c r="X418" s="165">
        <v>2134717291</v>
      </c>
      <c r="Y418" s="165">
        <v>460279185</v>
      </c>
      <c r="Z418" s="165">
        <v>564435298.43000007</v>
      </c>
      <c r="AA418" s="165">
        <v>169700731.47</v>
      </c>
      <c r="AB418" s="165">
        <v>39432697</v>
      </c>
      <c r="AC418" s="165">
        <v>1123.9166666666667</v>
      </c>
      <c r="AD418" s="165">
        <v>2134276971.9000001</v>
      </c>
      <c r="AE418" s="165">
        <v>1898963.7178616445</v>
      </c>
      <c r="AF418" s="166">
        <v>900429060</v>
      </c>
      <c r="AG418" s="11">
        <v>671225880.9000001</v>
      </c>
      <c r="AH418" s="12">
        <v>-34.25</v>
      </c>
      <c r="AI418" s="132">
        <v>1</v>
      </c>
      <c r="AJ418" s="132">
        <v>1</v>
      </c>
      <c r="AK418" s="13">
        <v>0.15</v>
      </c>
      <c r="AL418" s="13">
        <v>0.50323970177022725</v>
      </c>
      <c r="AM418" s="14">
        <v>1</v>
      </c>
      <c r="AN418" s="14">
        <v>0</v>
      </c>
      <c r="AO418" s="82">
        <v>419076.17959418619</v>
      </c>
      <c r="AP418" s="82">
        <v>502203.8689968118</v>
      </c>
      <c r="AQ418" s="82">
        <v>83127.689402625605</v>
      </c>
      <c r="AR418" s="129">
        <v>0.19835937581353957</v>
      </c>
    </row>
    <row r="419" spans="1:44" ht="28.8" x14ac:dyDescent="0.3">
      <c r="A419" s="136" t="s">
        <v>637</v>
      </c>
      <c r="B419" s="137" t="s">
        <v>5203</v>
      </c>
      <c r="C419" s="134">
        <v>2019</v>
      </c>
      <c r="D419" s="149" t="s">
        <v>4766</v>
      </c>
      <c r="E419" s="135" t="s">
        <v>1175</v>
      </c>
      <c r="F419" s="384" t="s">
        <v>633</v>
      </c>
      <c r="G419" s="138" t="s">
        <v>4773</v>
      </c>
      <c r="H419" s="138" t="s">
        <v>2975</v>
      </c>
      <c r="I419" s="138" t="s">
        <v>1566</v>
      </c>
      <c r="J419" s="135" t="s">
        <v>4774</v>
      </c>
      <c r="K419" s="164">
        <v>1904199984</v>
      </c>
      <c r="L419" s="165">
        <v>1355525338</v>
      </c>
      <c r="M419" s="165">
        <v>302790372</v>
      </c>
      <c r="N419" s="165">
        <v>4527435</v>
      </c>
      <c r="O419" s="165">
        <v>422829708.63999999</v>
      </c>
      <c r="P419" s="165">
        <v>124822773</v>
      </c>
      <c r="Q419" s="165">
        <v>119641</v>
      </c>
      <c r="R419" s="165">
        <v>762.16666666666663</v>
      </c>
      <c r="S419" s="165">
        <v>798183831.63999999</v>
      </c>
      <c r="T419" s="165">
        <v>1047256.2846796414</v>
      </c>
      <c r="U419" s="166">
        <v>245884274</v>
      </c>
      <c r="V419" s="168">
        <v>2242154060</v>
      </c>
      <c r="W419" s="165">
        <v>1400998581</v>
      </c>
      <c r="X419" s="165">
        <v>520391682</v>
      </c>
      <c r="Y419" s="165">
        <v>15995713</v>
      </c>
      <c r="Z419" s="165">
        <v>600629158.36000001</v>
      </c>
      <c r="AA419" s="165">
        <v>166972878.44</v>
      </c>
      <c r="AB419" s="165">
        <v>356891</v>
      </c>
      <c r="AC419" s="165">
        <v>781.33333333333337</v>
      </c>
      <c r="AD419" s="165">
        <v>1104718437.8</v>
      </c>
      <c r="AE419" s="165">
        <v>1413888.7855802046</v>
      </c>
      <c r="AF419" s="166">
        <v>320763797</v>
      </c>
      <c r="AG419" s="11">
        <v>306534606.15999997</v>
      </c>
      <c r="AH419" s="12">
        <v>19.166666666666742</v>
      </c>
      <c r="AI419" s="132">
        <v>1</v>
      </c>
      <c r="AJ419" s="132">
        <v>1</v>
      </c>
      <c r="AK419" s="13">
        <v>0.15</v>
      </c>
      <c r="AL419" s="13">
        <v>0.35008862396127149</v>
      </c>
      <c r="AM419" s="14">
        <v>1</v>
      </c>
      <c r="AN419" s="14">
        <v>0</v>
      </c>
      <c r="AO419" s="82">
        <v>554773.28927181277</v>
      </c>
      <c r="AP419" s="82">
        <v>768723.32554607512</v>
      </c>
      <c r="AQ419" s="82">
        <v>213950.03627426235</v>
      </c>
      <c r="AR419" s="129">
        <v>0.38565309543848092</v>
      </c>
    </row>
    <row r="420" spans="1:44" ht="28.8" x14ac:dyDescent="0.3">
      <c r="A420" s="136" t="s">
        <v>638</v>
      </c>
      <c r="B420" s="137" t="s">
        <v>5204</v>
      </c>
      <c r="C420" s="134">
        <v>2020</v>
      </c>
      <c r="D420" s="149" t="s">
        <v>1120</v>
      </c>
      <c r="E420" s="135" t="s">
        <v>1117</v>
      </c>
      <c r="F420" s="384" t="s">
        <v>639</v>
      </c>
      <c r="G420" s="138" t="s">
        <v>4773</v>
      </c>
      <c r="H420" s="138" t="s">
        <v>2427</v>
      </c>
      <c r="I420" s="138" t="s">
        <v>1566</v>
      </c>
      <c r="J420" s="135" t="s">
        <v>4774</v>
      </c>
      <c r="K420" s="164">
        <v>647772866</v>
      </c>
      <c r="L420" s="165">
        <v>386619534</v>
      </c>
      <c r="M420" s="165">
        <v>196035344</v>
      </c>
      <c r="N420" s="165">
        <v>30874047</v>
      </c>
      <c r="O420" s="165">
        <v>91938113</v>
      </c>
      <c r="P420" s="165">
        <v>20149892</v>
      </c>
      <c r="Q420" s="165">
        <v>469534</v>
      </c>
      <c r="R420" s="165">
        <v>237.58333333333334</v>
      </c>
      <c r="S420" s="165">
        <v>208549574</v>
      </c>
      <c r="T420" s="165">
        <v>877795.4710627849</v>
      </c>
      <c r="U420" s="166">
        <v>65117988</v>
      </c>
      <c r="V420" s="168">
        <v>1190673415</v>
      </c>
      <c r="W420" s="165">
        <v>703919020</v>
      </c>
      <c r="X420" s="165">
        <v>267851728</v>
      </c>
      <c r="Y420" s="165">
        <v>29900947</v>
      </c>
      <c r="Z420" s="165">
        <v>105787894.14</v>
      </c>
      <c r="AA420" s="165">
        <v>21199513.710000001</v>
      </c>
      <c r="AB420" s="165">
        <v>645399</v>
      </c>
      <c r="AC420" s="165">
        <v>252.16666666666666</v>
      </c>
      <c r="AD420" s="165">
        <v>376436420.84999996</v>
      </c>
      <c r="AE420" s="165">
        <v>1492808.013945803</v>
      </c>
      <c r="AF420" s="166">
        <v>218902667</v>
      </c>
      <c r="AG420" s="11">
        <v>167886846.84999996</v>
      </c>
      <c r="AH420" s="12">
        <v>14.583333333333314</v>
      </c>
      <c r="AI420" s="132">
        <v>1</v>
      </c>
      <c r="AJ420" s="132">
        <v>1</v>
      </c>
      <c r="AK420" s="13">
        <v>0.1</v>
      </c>
      <c r="AL420" s="13">
        <v>0.70063307572093092</v>
      </c>
      <c r="AM420" s="14">
        <v>1</v>
      </c>
      <c r="AN420" s="14">
        <v>0</v>
      </c>
      <c r="AO420" s="82">
        <v>386972.06453875831</v>
      </c>
      <c r="AP420" s="82">
        <v>419515.77319233312</v>
      </c>
      <c r="AQ420" s="82">
        <v>32543.708653574809</v>
      </c>
      <c r="AR420" s="129">
        <v>8.4098341032354584E-2</v>
      </c>
    </row>
    <row r="421" spans="1:44" ht="28.8" x14ac:dyDescent="0.3">
      <c r="A421" s="136" t="s">
        <v>640</v>
      </c>
      <c r="B421" s="137" t="s">
        <v>5205</v>
      </c>
      <c r="C421" s="134">
        <v>2020</v>
      </c>
      <c r="D421" s="149" t="s">
        <v>1120</v>
      </c>
      <c r="E421" s="135" t="s">
        <v>1117</v>
      </c>
      <c r="F421" s="384" t="s">
        <v>639</v>
      </c>
      <c r="G421" s="138" t="s">
        <v>4796</v>
      </c>
      <c r="H421" s="138" t="s">
        <v>1221</v>
      </c>
      <c r="I421" s="138" t="s">
        <v>1217</v>
      </c>
      <c r="J421" s="135" t="s">
        <v>4774</v>
      </c>
      <c r="K421" s="164">
        <v>462885803</v>
      </c>
      <c r="L421" s="165">
        <v>439713947</v>
      </c>
      <c r="M421" s="165">
        <v>0</v>
      </c>
      <c r="N421" s="165">
        <v>26823959</v>
      </c>
      <c r="O421" s="165">
        <v>45043447.890000001</v>
      </c>
      <c r="P421" s="165">
        <v>12963107.449999999</v>
      </c>
      <c r="Q421" s="165">
        <v>457565</v>
      </c>
      <c r="R421" s="165">
        <v>97.333333333333329</v>
      </c>
      <c r="S421" s="165">
        <v>108459935.34</v>
      </c>
      <c r="T421" s="165">
        <v>1114314.4041780822</v>
      </c>
      <c r="U421" s="166">
        <v>23171856</v>
      </c>
      <c r="V421" s="168">
        <v>566891671</v>
      </c>
      <c r="W421" s="165">
        <v>207159717</v>
      </c>
      <c r="X421" s="165">
        <v>235411260</v>
      </c>
      <c r="Y421" s="165">
        <v>48463054</v>
      </c>
      <c r="Z421" s="165">
        <v>63128473</v>
      </c>
      <c r="AA421" s="165">
        <v>15374372</v>
      </c>
      <c r="AB421" s="165">
        <v>577178</v>
      </c>
      <c r="AC421" s="165">
        <v>103.5</v>
      </c>
      <c r="AD421" s="165">
        <v>251863771</v>
      </c>
      <c r="AE421" s="165">
        <v>2433466.3864734299</v>
      </c>
      <c r="AF421" s="166">
        <v>124320694</v>
      </c>
      <c r="AG421" s="11">
        <v>143403835.66</v>
      </c>
      <c r="AH421" s="12">
        <v>6.1666666666666714</v>
      </c>
      <c r="AI421" s="132">
        <v>1</v>
      </c>
      <c r="AJ421" s="132">
        <v>1</v>
      </c>
      <c r="AK421" s="13">
        <v>0.05</v>
      </c>
      <c r="AL421" s="13">
        <v>1.1838238741238563</v>
      </c>
      <c r="AM421" s="14">
        <v>1</v>
      </c>
      <c r="AN421" s="14">
        <v>0</v>
      </c>
      <c r="AO421" s="82">
        <v>462775.14955479454</v>
      </c>
      <c r="AP421" s="82">
        <v>609936.93719806767</v>
      </c>
      <c r="AQ421" s="82">
        <v>147161.78764327313</v>
      </c>
      <c r="AR421" s="129">
        <v>0.31799846596094827</v>
      </c>
    </row>
    <row r="422" spans="1:44" ht="43.2" x14ac:dyDescent="0.3">
      <c r="A422" s="136" t="s">
        <v>641</v>
      </c>
      <c r="B422" s="137" t="s">
        <v>5206</v>
      </c>
      <c r="C422" s="134">
        <v>2019</v>
      </c>
      <c r="D422" s="149" t="s">
        <v>1118</v>
      </c>
      <c r="E422" s="135" t="s">
        <v>1117</v>
      </c>
      <c r="F422" s="384" t="s">
        <v>639</v>
      </c>
      <c r="G422" s="138" t="s">
        <v>4773</v>
      </c>
      <c r="H422" s="138" t="s">
        <v>3397</v>
      </c>
      <c r="I422" s="138" t="s">
        <v>1566</v>
      </c>
      <c r="J422" s="135" t="s">
        <v>4778</v>
      </c>
      <c r="K422" s="164">
        <v>4328399538</v>
      </c>
      <c r="L422" s="165">
        <v>2812441895</v>
      </c>
      <c r="M422" s="165">
        <v>1492542566</v>
      </c>
      <c r="N422" s="165">
        <v>156710979</v>
      </c>
      <c r="O422" s="165">
        <v>1146504319.27</v>
      </c>
      <c r="P422" s="165">
        <v>303343139</v>
      </c>
      <c r="Q422" s="165">
        <v>28946099</v>
      </c>
      <c r="R422" s="165">
        <v>3676.3333333333335</v>
      </c>
      <c r="S422" s="165">
        <v>1658919613.27</v>
      </c>
      <c r="T422" s="165">
        <v>451242.98121407197</v>
      </c>
      <c r="U422" s="166">
        <v>23415077</v>
      </c>
      <c r="V422" s="168">
        <v>4874344946</v>
      </c>
      <c r="W422" s="165">
        <v>3551671913</v>
      </c>
      <c r="X422" s="165">
        <v>1766611659</v>
      </c>
      <c r="Y422" s="165">
        <v>151095302</v>
      </c>
      <c r="Z422" s="165">
        <v>1103177063.5099998</v>
      </c>
      <c r="AA422" s="165">
        <v>332879260.90000004</v>
      </c>
      <c r="AB422" s="165">
        <v>39092869</v>
      </c>
      <c r="AC422" s="165">
        <v>3074.9166666666665</v>
      </c>
      <c r="AD422" s="165">
        <v>1182305869.4099998</v>
      </c>
      <c r="AE422" s="165">
        <v>384500.13368709176</v>
      </c>
      <c r="AF422" s="166">
        <v>-443938626</v>
      </c>
      <c r="AG422" s="11">
        <v>-476613743.86000013</v>
      </c>
      <c r="AH422" s="12">
        <v>-601.41666666666697</v>
      </c>
      <c r="AI422" s="132">
        <v>0</v>
      </c>
      <c r="AJ422" s="132">
        <v>0</v>
      </c>
      <c r="AK422" s="13">
        <v>0.15</v>
      </c>
      <c r="AL422" s="13">
        <v>-0.14790889378489602</v>
      </c>
      <c r="AM422" s="14">
        <v>0</v>
      </c>
      <c r="AN422" s="14">
        <v>-1</v>
      </c>
      <c r="AO422" s="82">
        <v>311860.81764529872</v>
      </c>
      <c r="AP422" s="82">
        <v>358766.49129027879</v>
      </c>
      <c r="AQ422" s="82">
        <v>46905.673644980066</v>
      </c>
      <c r="AR422" s="129">
        <v>0.15040579319691649</v>
      </c>
    </row>
    <row r="423" spans="1:44" ht="28.8" x14ac:dyDescent="0.3">
      <c r="A423" s="136" t="s">
        <v>642</v>
      </c>
      <c r="B423" s="137" t="s">
        <v>5207</v>
      </c>
      <c r="C423" s="134">
        <v>2019</v>
      </c>
      <c r="D423" s="149" t="s">
        <v>1118</v>
      </c>
      <c r="E423" s="135" t="s">
        <v>1117</v>
      </c>
      <c r="F423" s="384" t="s">
        <v>639</v>
      </c>
      <c r="G423" s="138" t="s">
        <v>4773</v>
      </c>
      <c r="H423" s="138" t="s">
        <v>2151</v>
      </c>
      <c r="I423" s="138" t="s">
        <v>1566</v>
      </c>
      <c r="J423" s="135" t="s">
        <v>4778</v>
      </c>
      <c r="K423" s="164">
        <v>3262858127</v>
      </c>
      <c r="L423" s="165">
        <v>2473499105</v>
      </c>
      <c r="M423" s="165">
        <v>473779808</v>
      </c>
      <c r="N423" s="165">
        <v>34357532</v>
      </c>
      <c r="O423" s="165">
        <v>459890538</v>
      </c>
      <c r="P423" s="165">
        <v>124585711</v>
      </c>
      <c r="Q423" s="165">
        <v>4193776</v>
      </c>
      <c r="R423" s="165">
        <v>1522.6666666666667</v>
      </c>
      <c r="S423" s="165">
        <v>938606771</v>
      </c>
      <c r="T423" s="165">
        <v>616423.01072679507</v>
      </c>
      <c r="U423" s="166">
        <v>315579214</v>
      </c>
      <c r="V423" s="168">
        <v>3049280118</v>
      </c>
      <c r="W423" s="165">
        <v>2332974520</v>
      </c>
      <c r="X423" s="165">
        <v>454335801</v>
      </c>
      <c r="Y423" s="165">
        <v>21108268</v>
      </c>
      <c r="Z423" s="165">
        <v>492070182</v>
      </c>
      <c r="AA423" s="165">
        <v>151111568</v>
      </c>
      <c r="AB423" s="165">
        <v>4322095</v>
      </c>
      <c r="AC423" s="165">
        <v>1451.75</v>
      </c>
      <c r="AD423" s="165">
        <v>930581910</v>
      </c>
      <c r="AE423" s="165">
        <v>641006.99845014641</v>
      </c>
      <c r="AF423" s="166">
        <v>261969797</v>
      </c>
      <c r="AG423" s="11">
        <v>-8024861</v>
      </c>
      <c r="AH423" s="12">
        <v>-70.916666666666742</v>
      </c>
      <c r="AI423" s="132">
        <v>0</v>
      </c>
      <c r="AJ423" s="132">
        <v>1</v>
      </c>
      <c r="AK423" s="13">
        <v>0.15</v>
      </c>
      <c r="AL423" s="13">
        <v>3.9881687739073746E-2</v>
      </c>
      <c r="AM423" s="14">
        <v>0</v>
      </c>
      <c r="AN423" s="14">
        <v>-1</v>
      </c>
      <c r="AO423" s="82">
        <v>302029.68782837124</v>
      </c>
      <c r="AP423" s="82">
        <v>338949.66902014811</v>
      </c>
      <c r="AQ423" s="82">
        <v>36919.981191776867</v>
      </c>
      <c r="AR423" s="129">
        <v>0.12223957670266072</v>
      </c>
    </row>
    <row r="424" spans="1:44" ht="43.2" x14ac:dyDescent="0.3">
      <c r="A424" s="136" t="s">
        <v>643</v>
      </c>
      <c r="B424" s="137" t="s">
        <v>5208</v>
      </c>
      <c r="C424" s="134">
        <v>2020</v>
      </c>
      <c r="D424" s="149" t="s">
        <v>1118</v>
      </c>
      <c r="E424" s="135" t="s">
        <v>1117</v>
      </c>
      <c r="F424" s="384" t="s">
        <v>639</v>
      </c>
      <c r="G424" s="138" t="s">
        <v>4773</v>
      </c>
      <c r="H424" s="138" t="s">
        <v>2343</v>
      </c>
      <c r="I424" s="138" t="s">
        <v>1566</v>
      </c>
      <c r="J424" s="135" t="s">
        <v>4774</v>
      </c>
      <c r="K424" s="164">
        <v>650399237</v>
      </c>
      <c r="L424" s="165">
        <v>489933952</v>
      </c>
      <c r="M424" s="165">
        <v>117529363</v>
      </c>
      <c r="N424" s="165">
        <v>8768071</v>
      </c>
      <c r="O424" s="165">
        <v>71347303.439999998</v>
      </c>
      <c r="P424" s="165">
        <v>14523802.24</v>
      </c>
      <c r="Q424" s="165">
        <v>0</v>
      </c>
      <c r="R424" s="165">
        <v>152.75</v>
      </c>
      <c r="S424" s="165">
        <v>137575098.68000001</v>
      </c>
      <c r="T424" s="165">
        <v>900655.31050736504</v>
      </c>
      <c r="U424" s="166">
        <v>42935922</v>
      </c>
      <c r="V424" s="168">
        <v>781965873</v>
      </c>
      <c r="W424" s="165">
        <v>597239800</v>
      </c>
      <c r="X424" s="165">
        <v>135526648</v>
      </c>
      <c r="Y424" s="165">
        <v>13947223</v>
      </c>
      <c r="Z424" s="165">
        <v>79467860.219999999</v>
      </c>
      <c r="AA424" s="165">
        <v>16390603.469999999</v>
      </c>
      <c r="AB424" s="165">
        <v>0</v>
      </c>
      <c r="AC424" s="165">
        <v>153</v>
      </c>
      <c r="AD424" s="165">
        <v>159005111.69</v>
      </c>
      <c r="AE424" s="165">
        <v>1039249.0960130718</v>
      </c>
      <c r="AF424" s="166">
        <v>49199425</v>
      </c>
      <c r="AG424" s="11">
        <v>21430013.00999999</v>
      </c>
      <c r="AH424" s="12">
        <v>0.25</v>
      </c>
      <c r="AI424" s="132">
        <v>1</v>
      </c>
      <c r="AJ424" s="132">
        <v>1</v>
      </c>
      <c r="AK424" s="13">
        <v>0.1</v>
      </c>
      <c r="AL424" s="13">
        <v>0.1538810557837047</v>
      </c>
      <c r="AM424" s="14">
        <v>1</v>
      </c>
      <c r="AN424" s="14">
        <v>0</v>
      </c>
      <c r="AO424" s="82">
        <v>467085.45623567922</v>
      </c>
      <c r="AP424" s="82">
        <v>519397.77921568626</v>
      </c>
      <c r="AQ424" s="82">
        <v>52312.32298000704</v>
      </c>
      <c r="AR424" s="129">
        <v>0.11199732785859129</v>
      </c>
    </row>
    <row r="425" spans="1:44" ht="28.8" x14ac:dyDescent="0.3">
      <c r="A425" s="136" t="s">
        <v>644</v>
      </c>
      <c r="B425" s="137" t="s">
        <v>1150</v>
      </c>
      <c r="C425" s="134">
        <v>2020</v>
      </c>
      <c r="D425" s="149" t="s">
        <v>1149</v>
      </c>
      <c r="E425" s="135" t="s">
        <v>1140</v>
      </c>
      <c r="F425" s="384" t="s">
        <v>645</v>
      </c>
      <c r="G425" s="138" t="s">
        <v>4787</v>
      </c>
      <c r="H425" s="138" t="s">
        <v>3058</v>
      </c>
      <c r="I425" s="138" t="s">
        <v>1566</v>
      </c>
      <c r="J425" s="135" t="s">
        <v>4798</v>
      </c>
      <c r="K425" s="164">
        <v>3162277441</v>
      </c>
      <c r="L425" s="165">
        <v>1883397338</v>
      </c>
      <c r="M425" s="165">
        <v>1033395067</v>
      </c>
      <c r="N425" s="165">
        <v>38773125</v>
      </c>
      <c r="O425" s="165">
        <v>604001802</v>
      </c>
      <c r="P425" s="165">
        <v>175249255.49000001</v>
      </c>
      <c r="Q425" s="165">
        <v>4532409</v>
      </c>
      <c r="R425" s="165">
        <v>1181.4166666666667</v>
      </c>
      <c r="S425" s="165">
        <v>1068041627.49</v>
      </c>
      <c r="T425" s="165">
        <v>904034.67093743384</v>
      </c>
      <c r="U425" s="166">
        <v>245485036</v>
      </c>
      <c r="V425" s="168">
        <v>2593404740</v>
      </c>
      <c r="W425" s="165">
        <v>1759268394</v>
      </c>
      <c r="X425" s="165">
        <v>930125162</v>
      </c>
      <c r="Y425" s="165">
        <v>33497227</v>
      </c>
      <c r="Z425" s="165">
        <v>525548741</v>
      </c>
      <c r="AA425" s="165">
        <v>153892782</v>
      </c>
      <c r="AB425" s="165">
        <v>4584562</v>
      </c>
      <c r="AC425" s="165">
        <v>944.66666666666663</v>
      </c>
      <c r="AD425" s="165">
        <v>621534496</v>
      </c>
      <c r="AE425" s="165">
        <v>657940.53916725481</v>
      </c>
      <c r="AF425" s="166">
        <v>-95988816</v>
      </c>
      <c r="AG425" s="11">
        <v>-446507131.49000001</v>
      </c>
      <c r="AH425" s="12">
        <v>-236.75000000000011</v>
      </c>
      <c r="AI425" s="132">
        <v>0</v>
      </c>
      <c r="AJ425" s="132">
        <v>0</v>
      </c>
      <c r="AK425" s="13">
        <v>0.1</v>
      </c>
      <c r="AL425" s="13">
        <v>-0.27221757988551476</v>
      </c>
      <c r="AM425" s="14">
        <v>0</v>
      </c>
      <c r="AN425" s="14">
        <v>-1</v>
      </c>
      <c r="AO425" s="82">
        <v>511252.14248430554</v>
      </c>
      <c r="AP425" s="82">
        <v>556332.4710656316</v>
      </c>
      <c r="AQ425" s="82">
        <v>45080.328581326059</v>
      </c>
      <c r="AR425" s="129">
        <v>8.8176312303101856E-2</v>
      </c>
    </row>
    <row r="426" spans="1:44" ht="28.8" x14ac:dyDescent="0.3">
      <c r="A426" s="136" t="s">
        <v>646</v>
      </c>
      <c r="B426" s="137" t="s">
        <v>1173</v>
      </c>
      <c r="C426" s="134">
        <v>2020</v>
      </c>
      <c r="D426" s="149" t="s">
        <v>1163</v>
      </c>
      <c r="E426" s="135" t="s">
        <v>1152</v>
      </c>
      <c r="F426" s="384" t="s">
        <v>645</v>
      </c>
      <c r="G426" s="138" t="s">
        <v>4787</v>
      </c>
      <c r="H426" s="138" t="s">
        <v>3124</v>
      </c>
      <c r="I426" s="138" t="s">
        <v>1566</v>
      </c>
      <c r="J426" s="135" t="s">
        <v>4774</v>
      </c>
      <c r="K426" s="164">
        <v>4610287718</v>
      </c>
      <c r="L426" s="165">
        <v>3849443738</v>
      </c>
      <c r="M426" s="165">
        <v>775907300</v>
      </c>
      <c r="N426" s="165">
        <v>208184701</v>
      </c>
      <c r="O426" s="165">
        <v>1272255771</v>
      </c>
      <c r="P426" s="165">
        <v>360176131</v>
      </c>
      <c r="Q426" s="165">
        <v>3425563</v>
      </c>
      <c r="R426" s="165">
        <v>3216.25</v>
      </c>
      <c r="S426" s="165">
        <v>1828978846</v>
      </c>
      <c r="T426" s="165">
        <v>568668.12157015153</v>
      </c>
      <c r="U426" s="166">
        <v>-15063320</v>
      </c>
      <c r="V426" s="168">
        <v>3087384268</v>
      </c>
      <c r="W426" s="165">
        <v>2734793880</v>
      </c>
      <c r="X426" s="165">
        <v>736266477</v>
      </c>
      <c r="Y426" s="165">
        <v>156538197</v>
      </c>
      <c r="Z426" s="165">
        <v>1310138953</v>
      </c>
      <c r="AA426" s="165">
        <v>391816763</v>
      </c>
      <c r="AB426" s="165">
        <v>1648646</v>
      </c>
      <c r="AC426" s="165">
        <v>2959.5</v>
      </c>
      <c r="AD426" s="165">
        <v>1476466470</v>
      </c>
      <c r="AE426" s="165">
        <v>498890.51191079576</v>
      </c>
      <c r="AF426" s="166">
        <v>-383676089</v>
      </c>
      <c r="AG426" s="11">
        <v>-352512376</v>
      </c>
      <c r="AH426" s="12">
        <v>-256.75</v>
      </c>
      <c r="AI426" s="132">
        <v>0</v>
      </c>
      <c r="AJ426" s="132">
        <v>0</v>
      </c>
      <c r="AK426" s="13">
        <v>0.1</v>
      </c>
      <c r="AL426" s="13">
        <v>-0.12270357269192445</v>
      </c>
      <c r="AM426" s="14">
        <v>0</v>
      </c>
      <c r="AN426" s="14">
        <v>-1</v>
      </c>
      <c r="AO426" s="82">
        <v>395571.16859696852</v>
      </c>
      <c r="AP426" s="82">
        <v>442689.28974488936</v>
      </c>
      <c r="AQ426" s="82">
        <v>47118.121147920843</v>
      </c>
      <c r="AR426" s="129">
        <v>0.11911414402379661</v>
      </c>
    </row>
    <row r="427" spans="1:44" ht="28.8" x14ac:dyDescent="0.3">
      <c r="A427" s="136" t="s">
        <v>647</v>
      </c>
      <c r="B427" s="137" t="s">
        <v>1160</v>
      </c>
      <c r="C427" s="134">
        <v>2020</v>
      </c>
      <c r="D427" s="149" t="s">
        <v>1159</v>
      </c>
      <c r="E427" s="135" t="s">
        <v>1152</v>
      </c>
      <c r="F427" s="384" t="s">
        <v>485</v>
      </c>
      <c r="G427" s="138" t="s">
        <v>4787</v>
      </c>
      <c r="H427" s="138" t="s">
        <v>1700</v>
      </c>
      <c r="I427" s="138" t="s">
        <v>1566</v>
      </c>
      <c r="J427" s="135" t="s">
        <v>4774</v>
      </c>
      <c r="K427" s="164">
        <v>3191335390</v>
      </c>
      <c r="L427" s="165">
        <v>2582197264</v>
      </c>
      <c r="M427" s="165">
        <v>470748665</v>
      </c>
      <c r="N427" s="165">
        <v>33223039</v>
      </c>
      <c r="O427" s="165">
        <v>440478164</v>
      </c>
      <c r="P427" s="165">
        <v>128096488</v>
      </c>
      <c r="Q427" s="165">
        <v>36571</v>
      </c>
      <c r="R427" s="165">
        <v>848.08333333333337</v>
      </c>
      <c r="S427" s="165">
        <v>740223723</v>
      </c>
      <c r="T427" s="165">
        <v>872819.56136385968</v>
      </c>
      <c r="U427" s="166">
        <v>138389461</v>
      </c>
      <c r="V427" s="168">
        <v>4072310991</v>
      </c>
      <c r="W427" s="165">
        <v>3268587523</v>
      </c>
      <c r="X427" s="165">
        <v>470936390</v>
      </c>
      <c r="Y427" s="165">
        <v>28072782</v>
      </c>
      <c r="Z427" s="165">
        <v>485646296</v>
      </c>
      <c r="AA427" s="165">
        <v>135846189</v>
      </c>
      <c r="AB427" s="165">
        <v>241781</v>
      </c>
      <c r="AC427" s="165">
        <v>731.83333333333337</v>
      </c>
      <c r="AD427" s="165">
        <v>982594126</v>
      </c>
      <c r="AE427" s="165">
        <v>1342647.4051468913</v>
      </c>
      <c r="AF427" s="166">
        <v>332787078</v>
      </c>
      <c r="AG427" s="11">
        <v>242370403</v>
      </c>
      <c r="AH427" s="12">
        <v>-116.25</v>
      </c>
      <c r="AI427" s="132">
        <v>1</v>
      </c>
      <c r="AJ427" s="132">
        <v>1</v>
      </c>
      <c r="AK427" s="13">
        <v>0.1</v>
      </c>
      <c r="AL427" s="13">
        <v>0.53828748979915142</v>
      </c>
      <c r="AM427" s="14">
        <v>1</v>
      </c>
      <c r="AN427" s="14">
        <v>0</v>
      </c>
      <c r="AO427" s="82">
        <v>519380.757394124</v>
      </c>
      <c r="AP427" s="82">
        <v>663602.31746754725</v>
      </c>
      <c r="AQ427" s="82">
        <v>144221.56007342326</v>
      </c>
      <c r="AR427" s="129">
        <v>0.27767982933565438</v>
      </c>
    </row>
    <row r="428" spans="1:44" ht="28.8" x14ac:dyDescent="0.3">
      <c r="A428" s="136" t="s">
        <v>648</v>
      </c>
      <c r="B428" s="137" t="s">
        <v>5209</v>
      </c>
      <c r="C428" s="134">
        <v>2018</v>
      </c>
      <c r="D428" s="149" t="s">
        <v>4915</v>
      </c>
      <c r="E428" s="135" t="s">
        <v>1131</v>
      </c>
      <c r="F428" s="384" t="s">
        <v>649</v>
      </c>
      <c r="G428" s="138" t="s">
        <v>4773</v>
      </c>
      <c r="H428" s="138" t="s">
        <v>1931</v>
      </c>
      <c r="I428" s="138" t="s">
        <v>1566</v>
      </c>
      <c r="J428" s="135" t="s">
        <v>4798</v>
      </c>
      <c r="K428" s="164">
        <v>2894577543</v>
      </c>
      <c r="L428" s="165">
        <v>1501681128</v>
      </c>
      <c r="M428" s="165">
        <v>1329523414</v>
      </c>
      <c r="N428" s="165">
        <v>62624554</v>
      </c>
      <c r="O428" s="165">
        <v>541252912</v>
      </c>
      <c r="P428" s="165">
        <v>148665665.93000001</v>
      </c>
      <c r="Q428" s="165">
        <v>10544027</v>
      </c>
      <c r="R428" s="165">
        <v>2474.583333333333</v>
      </c>
      <c r="S428" s="165">
        <v>826460159.93000007</v>
      </c>
      <c r="T428" s="165">
        <v>333979.52245024423</v>
      </c>
      <c r="U428" s="166">
        <v>63373001</v>
      </c>
      <c r="V428" s="168">
        <v>3148696332</v>
      </c>
      <c r="W428" s="165">
        <v>1937863622</v>
      </c>
      <c r="X428" s="165">
        <v>1094384184</v>
      </c>
      <c r="Y428" s="165">
        <v>234194275</v>
      </c>
      <c r="Z428" s="165">
        <v>620966512.18000007</v>
      </c>
      <c r="AA428" s="165">
        <v>186167541.13000003</v>
      </c>
      <c r="AB428" s="165">
        <v>8856646</v>
      </c>
      <c r="AC428" s="165">
        <v>2057.3333333333335</v>
      </c>
      <c r="AD428" s="165">
        <v>1166633500.3100002</v>
      </c>
      <c r="AE428" s="165">
        <v>567061.00144685677</v>
      </c>
      <c r="AF428" s="166">
        <v>116448526</v>
      </c>
      <c r="AG428" s="11">
        <v>340173340.38000011</v>
      </c>
      <c r="AH428" s="12">
        <v>-417.24999999999955</v>
      </c>
      <c r="AI428" s="132">
        <v>1</v>
      </c>
      <c r="AJ428" s="132">
        <v>1</v>
      </c>
      <c r="AK428" s="13">
        <v>0.3</v>
      </c>
      <c r="AL428" s="13">
        <v>0.69789153538516358</v>
      </c>
      <c r="AM428" s="14">
        <v>1</v>
      </c>
      <c r="AN428" s="14">
        <v>0</v>
      </c>
      <c r="AO428" s="82">
        <v>218724.86762081162</v>
      </c>
      <c r="AP428" s="82">
        <v>301830.77390473103</v>
      </c>
      <c r="AQ428" s="82">
        <v>83105.906283919408</v>
      </c>
      <c r="AR428" s="129">
        <v>0.37995636796084131</v>
      </c>
    </row>
    <row r="429" spans="1:44" ht="28.8" x14ac:dyDescent="0.3">
      <c r="A429" s="136" t="s">
        <v>650</v>
      </c>
      <c r="B429" s="137" t="s">
        <v>5210</v>
      </c>
      <c r="C429" s="134">
        <v>2019</v>
      </c>
      <c r="D429" s="149" t="s">
        <v>4915</v>
      </c>
      <c r="E429" s="135" t="s">
        <v>1131</v>
      </c>
      <c r="F429" s="384" t="s">
        <v>649</v>
      </c>
      <c r="G429" s="138" t="s">
        <v>4773</v>
      </c>
      <c r="H429" s="138" t="s">
        <v>2717</v>
      </c>
      <c r="I429" s="138" t="s">
        <v>1566</v>
      </c>
      <c r="J429" s="135" t="s">
        <v>4774</v>
      </c>
      <c r="K429" s="164">
        <v>11667142048</v>
      </c>
      <c r="L429" s="165">
        <v>11273969134</v>
      </c>
      <c r="M429" s="165">
        <v>206325055</v>
      </c>
      <c r="N429" s="165">
        <v>100586913</v>
      </c>
      <c r="O429" s="165">
        <v>547874255</v>
      </c>
      <c r="P429" s="165">
        <v>150076232.03</v>
      </c>
      <c r="Q429" s="165">
        <v>1116349</v>
      </c>
      <c r="R429" s="165">
        <v>862.33333333333337</v>
      </c>
      <c r="S429" s="165">
        <v>986501608.02999997</v>
      </c>
      <c r="T429" s="165">
        <v>1143991.0413954386</v>
      </c>
      <c r="U429" s="166">
        <v>186847859</v>
      </c>
      <c r="V429" s="168">
        <v>19826950873</v>
      </c>
      <c r="W429" s="165">
        <v>17424589740</v>
      </c>
      <c r="X429" s="165">
        <v>329990095</v>
      </c>
      <c r="Y429" s="165">
        <v>199315884</v>
      </c>
      <c r="Z429" s="165">
        <v>866627292.19999993</v>
      </c>
      <c r="AA429" s="165">
        <v>250296380.00999996</v>
      </c>
      <c r="AB429" s="165">
        <v>4190073</v>
      </c>
      <c r="AC429" s="165">
        <v>891.75</v>
      </c>
      <c r="AD429" s="165">
        <v>3392800667.2099996</v>
      </c>
      <c r="AE429" s="165">
        <v>3804654.5188786089</v>
      </c>
      <c r="AF429" s="166">
        <v>2072371038</v>
      </c>
      <c r="AG429" s="11">
        <v>2406299059.1799994</v>
      </c>
      <c r="AH429" s="12">
        <v>29.416666666666629</v>
      </c>
      <c r="AI429" s="132">
        <v>1</v>
      </c>
      <c r="AJ429" s="132">
        <v>1</v>
      </c>
      <c r="AK429" s="13">
        <v>0.15</v>
      </c>
      <c r="AL429" s="13">
        <v>2.3257730060543129</v>
      </c>
      <c r="AM429" s="14">
        <v>1</v>
      </c>
      <c r="AN429" s="14">
        <v>0</v>
      </c>
      <c r="AO429" s="82">
        <v>635339.29841515271</v>
      </c>
      <c r="AP429" s="82">
        <v>971827.63352957659</v>
      </c>
      <c r="AQ429" s="82">
        <v>336488.33511442388</v>
      </c>
      <c r="AR429" s="129">
        <v>0.52961989908981</v>
      </c>
    </row>
    <row r="430" spans="1:44" ht="28.8" x14ac:dyDescent="0.3">
      <c r="A430" s="136" t="s">
        <v>651</v>
      </c>
      <c r="B430" s="137" t="s">
        <v>5211</v>
      </c>
      <c r="C430" s="134">
        <v>2019</v>
      </c>
      <c r="D430" s="149" t="s">
        <v>1137</v>
      </c>
      <c r="E430" s="135" t="s">
        <v>1131</v>
      </c>
      <c r="F430" s="384" t="s">
        <v>649</v>
      </c>
      <c r="G430" s="138" t="s">
        <v>4773</v>
      </c>
      <c r="H430" s="138" t="s">
        <v>2423</v>
      </c>
      <c r="I430" s="138" t="s">
        <v>1566</v>
      </c>
      <c r="J430" s="135" t="s">
        <v>4774</v>
      </c>
      <c r="K430" s="164">
        <v>3317912308</v>
      </c>
      <c r="L430" s="165">
        <v>2660044148</v>
      </c>
      <c r="M430" s="165">
        <v>462589386</v>
      </c>
      <c r="N430" s="165">
        <v>61778294</v>
      </c>
      <c r="O430" s="165">
        <v>201270854.55000001</v>
      </c>
      <c r="P430" s="165">
        <v>53235140.729999997</v>
      </c>
      <c r="Q430" s="165">
        <v>1145011</v>
      </c>
      <c r="R430" s="165">
        <v>555.83333333333337</v>
      </c>
      <c r="S430" s="165">
        <v>512708074.28000003</v>
      </c>
      <c r="T430" s="165">
        <v>922413.32704047975</v>
      </c>
      <c r="U430" s="166">
        <v>195278774</v>
      </c>
      <c r="V430" s="168">
        <v>5486852728</v>
      </c>
      <c r="W430" s="165">
        <v>3996392931</v>
      </c>
      <c r="X430" s="165">
        <v>732546201</v>
      </c>
      <c r="Y430" s="165">
        <v>106264083</v>
      </c>
      <c r="Z430" s="165">
        <v>360063434.77999997</v>
      </c>
      <c r="AA430" s="165">
        <v>98720463.469999999</v>
      </c>
      <c r="AB430" s="165">
        <v>2169046</v>
      </c>
      <c r="AC430" s="165">
        <v>850.33333333333337</v>
      </c>
      <c r="AD430" s="165">
        <v>1325130623.25</v>
      </c>
      <c r="AE430" s="165">
        <v>1558366.0798706389</v>
      </c>
      <c r="AF430" s="166">
        <v>757913596</v>
      </c>
      <c r="AG430" s="11">
        <v>812422548.97000003</v>
      </c>
      <c r="AH430" s="12">
        <v>294.5</v>
      </c>
      <c r="AI430" s="132">
        <v>1</v>
      </c>
      <c r="AJ430" s="132">
        <v>1</v>
      </c>
      <c r="AK430" s="13">
        <v>0.15</v>
      </c>
      <c r="AL430" s="13">
        <v>0.68944444894351231</v>
      </c>
      <c r="AM430" s="14">
        <v>1</v>
      </c>
      <c r="AN430" s="14">
        <v>0</v>
      </c>
      <c r="AO430" s="82">
        <v>362106.48494752625</v>
      </c>
      <c r="AP430" s="82">
        <v>423437.98680517438</v>
      </c>
      <c r="AQ430" s="82">
        <v>61331.501857648138</v>
      </c>
      <c r="AR430" s="129">
        <v>0.16937421561653565</v>
      </c>
    </row>
    <row r="431" spans="1:44" ht="28.8" x14ac:dyDescent="0.3">
      <c r="A431" s="136" t="s">
        <v>652</v>
      </c>
      <c r="B431" s="137" t="s">
        <v>5212</v>
      </c>
      <c r="C431" s="134">
        <v>2020</v>
      </c>
      <c r="D431" s="149" t="s">
        <v>1137</v>
      </c>
      <c r="E431" s="135" t="s">
        <v>1131</v>
      </c>
      <c r="F431" s="384" t="s">
        <v>649</v>
      </c>
      <c r="G431" s="138" t="s">
        <v>4773</v>
      </c>
      <c r="H431" s="138" t="s">
        <v>3453</v>
      </c>
      <c r="I431" s="138" t="s">
        <v>1566</v>
      </c>
      <c r="J431" s="135" t="s">
        <v>4778</v>
      </c>
      <c r="K431" s="164">
        <v>353110279</v>
      </c>
      <c r="L431" s="165">
        <v>277098266</v>
      </c>
      <c r="M431" s="165">
        <v>52271889</v>
      </c>
      <c r="N431" s="165">
        <v>2851635</v>
      </c>
      <c r="O431" s="165">
        <v>61251765.32</v>
      </c>
      <c r="P431" s="165">
        <v>16056056.409999998</v>
      </c>
      <c r="Q431" s="165">
        <v>394925</v>
      </c>
      <c r="R431" s="165">
        <v>237</v>
      </c>
      <c r="S431" s="165">
        <v>104294505.72999999</v>
      </c>
      <c r="T431" s="165">
        <v>440061.20561181428</v>
      </c>
      <c r="U431" s="166">
        <v>23740124</v>
      </c>
      <c r="V431" s="168">
        <v>461454501</v>
      </c>
      <c r="W431" s="165">
        <v>340931417</v>
      </c>
      <c r="X431" s="165">
        <v>100327104</v>
      </c>
      <c r="Y431" s="165">
        <v>4422436</v>
      </c>
      <c r="Z431" s="165">
        <v>112801138.80999999</v>
      </c>
      <c r="AA431" s="165">
        <v>32656164.169999998</v>
      </c>
      <c r="AB431" s="165">
        <v>367837</v>
      </c>
      <c r="AC431" s="165">
        <v>238.16666666666666</v>
      </c>
      <c r="AD431" s="165">
        <v>170443555.97999999</v>
      </c>
      <c r="AE431" s="165">
        <v>715648.24064380687</v>
      </c>
      <c r="AF431" s="166">
        <v>20195980</v>
      </c>
      <c r="AG431" s="11">
        <v>66149050.25</v>
      </c>
      <c r="AH431" s="12">
        <v>1.1666666666666572</v>
      </c>
      <c r="AI431" s="132">
        <v>1</v>
      </c>
      <c r="AJ431" s="132">
        <v>1</v>
      </c>
      <c r="AK431" s="13">
        <v>0.1</v>
      </c>
      <c r="AL431" s="13">
        <v>0.62624703958797001</v>
      </c>
      <c r="AM431" s="14">
        <v>1</v>
      </c>
      <c r="AN431" s="14">
        <v>0</v>
      </c>
      <c r="AO431" s="82">
        <v>258446.26717299578</v>
      </c>
      <c r="AP431" s="82">
        <v>473622.69619314204</v>
      </c>
      <c r="AQ431" s="82">
        <v>215176.42902014626</v>
      </c>
      <c r="AR431" s="129">
        <v>0.83257704347540051</v>
      </c>
    </row>
    <row r="432" spans="1:44" ht="28.8" x14ac:dyDescent="0.3">
      <c r="A432" s="136" t="s">
        <v>653</v>
      </c>
      <c r="B432" s="137" t="s">
        <v>5213</v>
      </c>
      <c r="C432" s="134">
        <v>2020</v>
      </c>
      <c r="D432" s="149" t="s">
        <v>1137</v>
      </c>
      <c r="E432" s="135" t="s">
        <v>1131</v>
      </c>
      <c r="F432" s="384" t="s">
        <v>649</v>
      </c>
      <c r="G432" s="138" t="s">
        <v>4773</v>
      </c>
      <c r="H432" s="138" t="s">
        <v>3108</v>
      </c>
      <c r="I432" s="138" t="s">
        <v>1566</v>
      </c>
      <c r="J432" s="135" t="s">
        <v>4774</v>
      </c>
      <c r="K432" s="164">
        <v>11292134628</v>
      </c>
      <c r="L432" s="165">
        <v>6677677273</v>
      </c>
      <c r="M432" s="165">
        <v>2499979190</v>
      </c>
      <c r="N432" s="165">
        <v>217488850</v>
      </c>
      <c r="O432" s="165">
        <v>1496719403.0300002</v>
      </c>
      <c r="P432" s="165">
        <v>335074985.07999998</v>
      </c>
      <c r="Q432" s="165">
        <v>5435750</v>
      </c>
      <c r="R432" s="165">
        <v>1605</v>
      </c>
      <c r="S432" s="165">
        <v>4169197153.1100001</v>
      </c>
      <c r="T432" s="165">
        <v>2597630.6249906542</v>
      </c>
      <c r="U432" s="166">
        <v>2114478165</v>
      </c>
      <c r="V432" s="168">
        <v>12140445095</v>
      </c>
      <c r="W432" s="165">
        <v>7388888973</v>
      </c>
      <c r="X432" s="165">
        <v>3057380312</v>
      </c>
      <c r="Y432" s="165">
        <v>224843364</v>
      </c>
      <c r="Z432" s="165">
        <v>1744054460.5999999</v>
      </c>
      <c r="AA432" s="165">
        <v>399128873.20999998</v>
      </c>
      <c r="AB432" s="165">
        <v>5095361</v>
      </c>
      <c r="AC432" s="165">
        <v>1759.6666666666667</v>
      </c>
      <c r="AD432" s="165">
        <v>4067297868.8099999</v>
      </c>
      <c r="AE432" s="165">
        <v>2311402.4638056448</v>
      </c>
      <c r="AF432" s="166">
        <v>1694175810</v>
      </c>
      <c r="AG432" s="11">
        <v>-101899284.30000019</v>
      </c>
      <c r="AH432" s="12">
        <v>154.66666666666674</v>
      </c>
      <c r="AI432" s="132">
        <v>0</v>
      </c>
      <c r="AJ432" s="132">
        <v>0</v>
      </c>
      <c r="AK432" s="13">
        <v>0.1</v>
      </c>
      <c r="AL432" s="13">
        <v>-0.11018816832394751</v>
      </c>
      <c r="AM432" s="14">
        <v>0</v>
      </c>
      <c r="AN432" s="14">
        <v>-1</v>
      </c>
      <c r="AO432" s="82">
        <v>932535.45360124623</v>
      </c>
      <c r="AP432" s="82">
        <v>991127.74802045827</v>
      </c>
      <c r="AQ432" s="82">
        <v>58592.294419212034</v>
      </c>
      <c r="AR432" s="129">
        <v>6.2831170861055829E-2</v>
      </c>
    </row>
    <row r="433" spans="1:44" ht="28.8" x14ac:dyDescent="0.3">
      <c r="A433" s="136" t="s">
        <v>654</v>
      </c>
      <c r="B433" s="137" t="s">
        <v>5214</v>
      </c>
      <c r="C433" s="134">
        <v>2020</v>
      </c>
      <c r="D433" s="149" t="s">
        <v>1137</v>
      </c>
      <c r="E433" s="135" t="s">
        <v>1131</v>
      </c>
      <c r="F433" s="384" t="s">
        <v>655</v>
      </c>
      <c r="G433" s="138" t="s">
        <v>4796</v>
      </c>
      <c r="H433" s="138" t="s">
        <v>2715</v>
      </c>
      <c r="I433" s="138" t="s">
        <v>1566</v>
      </c>
      <c r="J433" s="135" t="s">
        <v>4774</v>
      </c>
      <c r="K433" s="164">
        <v>717619784</v>
      </c>
      <c r="L433" s="165">
        <v>410241327</v>
      </c>
      <c r="M433" s="165">
        <v>210356864</v>
      </c>
      <c r="N433" s="165">
        <v>28564648</v>
      </c>
      <c r="O433" s="165">
        <v>131342193.75</v>
      </c>
      <c r="P433" s="165">
        <v>24108600.900000002</v>
      </c>
      <c r="Q433" s="165">
        <v>253924</v>
      </c>
      <c r="R433" s="165">
        <v>161.5</v>
      </c>
      <c r="S433" s="165">
        <v>281290959.64999998</v>
      </c>
      <c r="T433" s="165">
        <v>1741739.6882352941</v>
      </c>
      <c r="U433" s="166">
        <v>97021593</v>
      </c>
      <c r="V433" s="168">
        <v>1050873080</v>
      </c>
      <c r="W433" s="165">
        <v>583794969</v>
      </c>
      <c r="X433" s="165">
        <v>257057911</v>
      </c>
      <c r="Y433" s="165">
        <v>64241663</v>
      </c>
      <c r="Z433" s="165">
        <v>174859592.30999997</v>
      </c>
      <c r="AA433" s="165">
        <v>29185324.229999997</v>
      </c>
      <c r="AB433" s="165">
        <v>1349849</v>
      </c>
      <c r="AC433" s="165">
        <v>183.33333333333334</v>
      </c>
      <c r="AD433" s="165">
        <v>479656628.53999996</v>
      </c>
      <c r="AE433" s="165">
        <v>2616308.8829454542</v>
      </c>
      <c r="AF433" s="166">
        <v>210020200</v>
      </c>
      <c r="AG433" s="11">
        <v>198365668.88999999</v>
      </c>
      <c r="AH433" s="12">
        <v>21.833333333333343</v>
      </c>
      <c r="AI433" s="132">
        <v>1</v>
      </c>
      <c r="AJ433" s="132">
        <v>1</v>
      </c>
      <c r="AK433" s="13">
        <v>0.05</v>
      </c>
      <c r="AL433" s="13">
        <v>0.50212393678644363</v>
      </c>
      <c r="AM433" s="14">
        <v>1</v>
      </c>
      <c r="AN433" s="14">
        <v>0</v>
      </c>
      <c r="AO433" s="82">
        <v>813264.35758513934</v>
      </c>
      <c r="AP433" s="82">
        <v>953779.59441818157</v>
      </c>
      <c r="AQ433" s="82">
        <v>140515.23683304223</v>
      </c>
      <c r="AR433" s="129">
        <v>0.17277928821358923</v>
      </c>
    </row>
    <row r="434" spans="1:44" ht="28.8" x14ac:dyDescent="0.3">
      <c r="A434" s="136" t="s">
        <v>656</v>
      </c>
      <c r="B434" s="137" t="s">
        <v>5215</v>
      </c>
      <c r="C434" s="134">
        <v>2020</v>
      </c>
      <c r="D434" s="149" t="s">
        <v>1137</v>
      </c>
      <c r="E434" s="135" t="s">
        <v>1131</v>
      </c>
      <c r="F434" s="384" t="s">
        <v>655</v>
      </c>
      <c r="G434" s="138" t="s">
        <v>4773</v>
      </c>
      <c r="H434" s="138" t="s">
        <v>2431</v>
      </c>
      <c r="I434" s="138" t="s">
        <v>1566</v>
      </c>
      <c r="J434" s="135" t="s">
        <v>4778</v>
      </c>
      <c r="K434" s="164">
        <v>1338529770</v>
      </c>
      <c r="L434" s="165">
        <v>1112939454</v>
      </c>
      <c r="M434" s="165">
        <v>191799322</v>
      </c>
      <c r="N434" s="165">
        <v>80584719</v>
      </c>
      <c r="O434" s="165">
        <v>218781199.37</v>
      </c>
      <c r="P434" s="165">
        <v>41047525.630000003</v>
      </c>
      <c r="Q434" s="165">
        <v>2402117</v>
      </c>
      <c r="R434" s="165">
        <v>265.58333333333331</v>
      </c>
      <c r="S434" s="165">
        <v>376606555</v>
      </c>
      <c r="T434" s="165">
        <v>1418035.3498588016</v>
      </c>
      <c r="U434" s="166">
        <v>33790994</v>
      </c>
      <c r="V434" s="168">
        <v>1895018308</v>
      </c>
      <c r="W434" s="165">
        <v>1567516001</v>
      </c>
      <c r="X434" s="165">
        <v>219560506</v>
      </c>
      <c r="Y434" s="165">
        <v>80697674</v>
      </c>
      <c r="Z434" s="165">
        <v>242109801.84</v>
      </c>
      <c r="AA434" s="165">
        <v>40996043.940000005</v>
      </c>
      <c r="AB434" s="165">
        <v>2075374</v>
      </c>
      <c r="AC434" s="165">
        <v>263.41666666666669</v>
      </c>
      <c r="AD434" s="165">
        <v>473820694.78000003</v>
      </c>
      <c r="AE434" s="165">
        <v>1798749.8694590318</v>
      </c>
      <c r="AF434" s="166">
        <v>107941801</v>
      </c>
      <c r="AG434" s="11">
        <v>97214139.780000031</v>
      </c>
      <c r="AH434" s="12">
        <v>-2.1666666666666288</v>
      </c>
      <c r="AI434" s="132">
        <v>1</v>
      </c>
      <c r="AJ434" s="132">
        <v>1</v>
      </c>
      <c r="AK434" s="13">
        <v>0.1</v>
      </c>
      <c r="AL434" s="13">
        <v>0.26848027448681022</v>
      </c>
      <c r="AM434" s="14">
        <v>1</v>
      </c>
      <c r="AN434" s="14">
        <v>0</v>
      </c>
      <c r="AO434" s="82">
        <v>823776.08799497969</v>
      </c>
      <c r="AP434" s="82">
        <v>919113.45209743746</v>
      </c>
      <c r="AQ434" s="82">
        <v>95337.364102457766</v>
      </c>
      <c r="AR434" s="129">
        <v>0.11573213339379995</v>
      </c>
    </row>
    <row r="435" spans="1:44" ht="28.8" x14ac:dyDescent="0.3">
      <c r="A435" s="136" t="s">
        <v>657</v>
      </c>
      <c r="B435" s="137" t="s">
        <v>5216</v>
      </c>
      <c r="C435" s="134">
        <v>2019</v>
      </c>
      <c r="D435" s="149" t="s">
        <v>1146</v>
      </c>
      <c r="E435" s="135" t="s">
        <v>1140</v>
      </c>
      <c r="F435" s="384" t="s">
        <v>658</v>
      </c>
      <c r="G435" s="138" t="s">
        <v>4773</v>
      </c>
      <c r="H435" s="138" t="s">
        <v>2431</v>
      </c>
      <c r="I435" s="138" t="s">
        <v>1566</v>
      </c>
      <c r="J435" s="135" t="s">
        <v>4778</v>
      </c>
      <c r="K435" s="164">
        <v>3345130154</v>
      </c>
      <c r="L435" s="165">
        <v>2317571392</v>
      </c>
      <c r="M435" s="165">
        <v>853524942</v>
      </c>
      <c r="N435" s="165">
        <v>124071680</v>
      </c>
      <c r="O435" s="165">
        <v>356876014</v>
      </c>
      <c r="P435" s="165">
        <v>116648737</v>
      </c>
      <c r="Q435" s="165">
        <v>8212698</v>
      </c>
      <c r="R435" s="165">
        <v>1051.3333333333333</v>
      </c>
      <c r="S435" s="165">
        <v>779842949</v>
      </c>
      <c r="T435" s="165">
        <v>741765.64584654407</v>
      </c>
      <c r="U435" s="166">
        <v>174033820</v>
      </c>
      <c r="V435" s="168">
        <v>4283692667</v>
      </c>
      <c r="W435" s="165">
        <v>3313796512</v>
      </c>
      <c r="X435" s="165">
        <v>773333981</v>
      </c>
      <c r="Y435" s="165">
        <v>370376525</v>
      </c>
      <c r="Z435" s="165">
        <v>416843642.27999997</v>
      </c>
      <c r="AA435" s="165">
        <v>124471841.5</v>
      </c>
      <c r="AB435" s="165">
        <v>8418568</v>
      </c>
      <c r="AC435" s="165">
        <v>915.25</v>
      </c>
      <c r="AD435" s="165">
        <v>1116672750.78</v>
      </c>
      <c r="AE435" s="165">
        <v>1220074.0243430757</v>
      </c>
      <c r="AF435" s="166">
        <v>196562174</v>
      </c>
      <c r="AG435" s="11">
        <v>336829801.77999997</v>
      </c>
      <c r="AH435" s="12">
        <v>-136.08333333333326</v>
      </c>
      <c r="AI435" s="132">
        <v>1</v>
      </c>
      <c r="AJ435" s="132">
        <v>1</v>
      </c>
      <c r="AK435" s="13">
        <v>0.15</v>
      </c>
      <c r="AL435" s="13">
        <v>0.64482410313823513</v>
      </c>
      <c r="AM435" s="14">
        <v>1</v>
      </c>
      <c r="AN435" s="14">
        <v>0</v>
      </c>
      <c r="AO435" s="82">
        <v>339450.86937222577</v>
      </c>
      <c r="AP435" s="82">
        <v>455442.38435400161</v>
      </c>
      <c r="AQ435" s="82">
        <v>115991.51498177584</v>
      </c>
      <c r="AR435" s="129">
        <v>0.34170339641871705</v>
      </c>
    </row>
    <row r="436" spans="1:44" ht="28.8" x14ac:dyDescent="0.3">
      <c r="A436" s="136" t="s">
        <v>659</v>
      </c>
      <c r="B436" s="137" t="s">
        <v>5217</v>
      </c>
      <c r="C436" s="134">
        <v>2019</v>
      </c>
      <c r="D436" s="149" t="s">
        <v>1146</v>
      </c>
      <c r="E436" s="135" t="s">
        <v>1140</v>
      </c>
      <c r="F436" s="384" t="s">
        <v>658</v>
      </c>
      <c r="G436" s="138" t="s">
        <v>4773</v>
      </c>
      <c r="H436" s="138" t="s">
        <v>4651</v>
      </c>
      <c r="I436" s="138" t="s">
        <v>4612</v>
      </c>
      <c r="J436" s="135" t="s">
        <v>4778</v>
      </c>
      <c r="K436" s="164">
        <v>4755501955</v>
      </c>
      <c r="L436" s="165">
        <v>1843917211</v>
      </c>
      <c r="M436" s="165">
        <v>2748634448</v>
      </c>
      <c r="N436" s="165">
        <v>339537795</v>
      </c>
      <c r="O436" s="165">
        <v>1409210716</v>
      </c>
      <c r="P436" s="165">
        <v>414142615</v>
      </c>
      <c r="Q436" s="165">
        <v>28061691</v>
      </c>
      <c r="R436" s="165">
        <v>3317.75</v>
      </c>
      <c r="S436" s="165">
        <v>2353903113</v>
      </c>
      <c r="T436" s="165">
        <v>709487.78931504791</v>
      </c>
      <c r="U436" s="166">
        <v>162950296</v>
      </c>
      <c r="V436" s="168">
        <v>5261688416</v>
      </c>
      <c r="W436" s="165">
        <v>2235349981</v>
      </c>
      <c r="X436" s="165">
        <v>2891179797</v>
      </c>
      <c r="Y436" s="165">
        <v>514853132</v>
      </c>
      <c r="Z436" s="165">
        <v>1577581544</v>
      </c>
      <c r="AA436" s="165">
        <v>465122421</v>
      </c>
      <c r="AB436" s="165">
        <v>34939200</v>
      </c>
      <c r="AC436" s="165">
        <v>3270</v>
      </c>
      <c r="AD436" s="165">
        <v>2727654935</v>
      </c>
      <c r="AE436" s="165">
        <v>834145.24006116204</v>
      </c>
      <c r="AF436" s="166">
        <v>135158638</v>
      </c>
      <c r="AG436" s="11">
        <v>373751822</v>
      </c>
      <c r="AH436" s="12">
        <v>-47.75</v>
      </c>
      <c r="AI436" s="132">
        <v>1</v>
      </c>
      <c r="AJ436" s="132">
        <v>1</v>
      </c>
      <c r="AK436" s="13">
        <v>0.15</v>
      </c>
      <c r="AL436" s="13">
        <v>0.17570062763166083</v>
      </c>
      <c r="AM436" s="14">
        <v>1</v>
      </c>
      <c r="AN436" s="14">
        <v>0</v>
      </c>
      <c r="AO436" s="82">
        <v>424748.91598221689</v>
      </c>
      <c r="AP436" s="82">
        <v>482440.83914373087</v>
      </c>
      <c r="AQ436" s="82">
        <v>57691.923161513987</v>
      </c>
      <c r="AR436" s="129">
        <v>0.1358259456133124</v>
      </c>
    </row>
    <row r="437" spans="1:44" ht="28.8" x14ac:dyDescent="0.3">
      <c r="A437" s="136" t="s">
        <v>660</v>
      </c>
      <c r="B437" s="137" t="s">
        <v>5218</v>
      </c>
      <c r="C437" s="134">
        <v>2020</v>
      </c>
      <c r="D437" s="149" t="s">
        <v>1146</v>
      </c>
      <c r="E437" s="135" t="s">
        <v>1140</v>
      </c>
      <c r="F437" s="384" t="s">
        <v>658</v>
      </c>
      <c r="G437" s="138" t="s">
        <v>4796</v>
      </c>
      <c r="H437" s="138" t="s">
        <v>2214</v>
      </c>
      <c r="I437" s="138" t="s">
        <v>1566</v>
      </c>
      <c r="J437" s="135" t="s">
        <v>4774</v>
      </c>
      <c r="K437" s="164">
        <v>2851167228</v>
      </c>
      <c r="L437" s="165">
        <v>2057829259</v>
      </c>
      <c r="M437" s="165">
        <v>482003513</v>
      </c>
      <c r="N437" s="165">
        <v>22864759</v>
      </c>
      <c r="O437" s="165">
        <v>162350314</v>
      </c>
      <c r="P437" s="165">
        <v>48426759</v>
      </c>
      <c r="Q437" s="165">
        <v>0</v>
      </c>
      <c r="R437" s="165">
        <v>497.75</v>
      </c>
      <c r="S437" s="165">
        <v>544976288</v>
      </c>
      <c r="T437" s="165">
        <v>1094879.5339025615</v>
      </c>
      <c r="U437" s="166">
        <v>311334456</v>
      </c>
      <c r="V437" s="168">
        <v>3839039016</v>
      </c>
      <c r="W437" s="165">
        <v>2870228141</v>
      </c>
      <c r="X437" s="165">
        <v>612932376</v>
      </c>
      <c r="Y437" s="165">
        <v>18875989</v>
      </c>
      <c r="Z437" s="165">
        <v>158570625.25</v>
      </c>
      <c r="AA437" s="165">
        <v>47696735</v>
      </c>
      <c r="AB437" s="165">
        <v>0</v>
      </c>
      <c r="AC437" s="165">
        <v>469.41666666666669</v>
      </c>
      <c r="AD437" s="165">
        <v>581021848.25</v>
      </c>
      <c r="AE437" s="165">
        <v>1237752.9165631102</v>
      </c>
      <c r="AF437" s="166">
        <v>355878499</v>
      </c>
      <c r="AG437" s="11">
        <v>36045560.25</v>
      </c>
      <c r="AH437" s="12">
        <v>-28.333333333333314</v>
      </c>
      <c r="AI437" s="132">
        <v>1</v>
      </c>
      <c r="AJ437" s="132">
        <v>1</v>
      </c>
      <c r="AK437" s="13">
        <v>0.05</v>
      </c>
      <c r="AL437" s="13">
        <v>0.13049233827579165</v>
      </c>
      <c r="AM437" s="14">
        <v>1</v>
      </c>
      <c r="AN437" s="14">
        <v>0</v>
      </c>
      <c r="AO437" s="82">
        <v>326168.38573581114</v>
      </c>
      <c r="AP437" s="82">
        <v>337803.56879105273</v>
      </c>
      <c r="AQ437" s="82">
        <v>11635.183055241592</v>
      </c>
      <c r="AR437" s="129">
        <v>3.5672320077844155E-2</v>
      </c>
    </row>
    <row r="438" spans="1:44" ht="43.2" x14ac:dyDescent="0.3">
      <c r="A438" s="136" t="s">
        <v>661</v>
      </c>
      <c r="B438" s="137" t="s">
        <v>5219</v>
      </c>
      <c r="C438" s="134">
        <v>2020</v>
      </c>
      <c r="D438" s="149" t="s">
        <v>1146</v>
      </c>
      <c r="E438" s="135" t="s">
        <v>1140</v>
      </c>
      <c r="F438" s="384" t="s">
        <v>658</v>
      </c>
      <c r="G438" s="138" t="s">
        <v>4773</v>
      </c>
      <c r="H438" s="138" t="s">
        <v>4288</v>
      </c>
      <c r="I438" s="138" t="s">
        <v>4255</v>
      </c>
      <c r="J438" s="135" t="s">
        <v>4805</v>
      </c>
      <c r="K438" s="164">
        <v>1858368717</v>
      </c>
      <c r="L438" s="165">
        <v>1816106147</v>
      </c>
      <c r="M438" s="165">
        <v>495526079</v>
      </c>
      <c r="N438" s="165">
        <v>14604307</v>
      </c>
      <c r="O438" s="165">
        <v>1152915787.49</v>
      </c>
      <c r="P438" s="165">
        <v>368261935.25999999</v>
      </c>
      <c r="Q438" s="165">
        <v>5028917</v>
      </c>
      <c r="R438" s="165">
        <v>2754.9166666666665</v>
      </c>
      <c r="S438" s="165">
        <v>1087547437.75</v>
      </c>
      <c r="T438" s="165">
        <v>394766.00178468798</v>
      </c>
      <c r="U438" s="166">
        <v>-453263509</v>
      </c>
      <c r="V438" s="168">
        <v>2228454670</v>
      </c>
      <c r="W438" s="165">
        <v>2528813452</v>
      </c>
      <c r="X438" s="165">
        <v>117977570</v>
      </c>
      <c r="Y438" s="165">
        <v>19731251</v>
      </c>
      <c r="Z438" s="165">
        <v>1203433030</v>
      </c>
      <c r="AA438" s="165">
        <v>382863397</v>
      </c>
      <c r="AB438" s="165">
        <v>4780660</v>
      </c>
      <c r="AC438" s="165">
        <v>2622.0833333333335</v>
      </c>
      <c r="AD438" s="165">
        <v>1192471986</v>
      </c>
      <c r="AE438" s="165">
        <v>454780.35378992528</v>
      </c>
      <c r="AF438" s="166">
        <v>-418336352</v>
      </c>
      <c r="AG438" s="11">
        <v>104924548.25</v>
      </c>
      <c r="AH438" s="12">
        <v>-132.83333333333303</v>
      </c>
      <c r="AI438" s="132">
        <v>1</v>
      </c>
      <c r="AJ438" s="132">
        <v>1</v>
      </c>
      <c r="AK438" s="13">
        <v>0.1</v>
      </c>
      <c r="AL438" s="13">
        <v>0.15202512374419275</v>
      </c>
      <c r="AM438" s="14">
        <v>1</v>
      </c>
      <c r="AN438" s="14">
        <v>0</v>
      </c>
      <c r="AO438" s="82">
        <v>418493.8881962552</v>
      </c>
      <c r="AP438" s="82">
        <v>458960.63435563323</v>
      </c>
      <c r="AQ438" s="82">
        <v>40466.746159378032</v>
      </c>
      <c r="AR438" s="129">
        <v>9.6696146110504033E-2</v>
      </c>
    </row>
    <row r="439" spans="1:44" ht="28.8" x14ac:dyDescent="0.3">
      <c r="A439" s="136" t="s">
        <v>662</v>
      </c>
      <c r="B439" s="137" t="s">
        <v>5220</v>
      </c>
      <c r="C439" s="134">
        <v>2019</v>
      </c>
      <c r="D439" s="149" t="s">
        <v>1146</v>
      </c>
      <c r="E439" s="135" t="s">
        <v>1140</v>
      </c>
      <c r="F439" s="384" t="s">
        <v>658</v>
      </c>
      <c r="G439" s="138" t="s">
        <v>4773</v>
      </c>
      <c r="H439" s="138" t="s">
        <v>2566</v>
      </c>
      <c r="I439" s="138" t="s">
        <v>1566</v>
      </c>
      <c r="J439" s="135" t="s">
        <v>4774</v>
      </c>
      <c r="K439" s="164">
        <v>651234365</v>
      </c>
      <c r="L439" s="165">
        <v>612752636</v>
      </c>
      <c r="M439" s="165">
        <v>25296690</v>
      </c>
      <c r="N439" s="165">
        <v>2185166</v>
      </c>
      <c r="O439" s="165">
        <v>36809592</v>
      </c>
      <c r="P439" s="165">
        <v>10208570</v>
      </c>
      <c r="Q439" s="165">
        <v>0</v>
      </c>
      <c r="R439" s="165">
        <v>197.91666666666666</v>
      </c>
      <c r="S439" s="165">
        <v>62388367</v>
      </c>
      <c r="T439" s="165">
        <v>315225.4332631579</v>
      </c>
      <c r="U439" s="166">
        <v>13185039</v>
      </c>
      <c r="V439" s="168">
        <v>390530104</v>
      </c>
      <c r="W439" s="165">
        <v>388561341</v>
      </c>
      <c r="X439" s="165">
        <v>7869921</v>
      </c>
      <c r="Y439" s="165">
        <v>3891213</v>
      </c>
      <c r="Z439" s="165">
        <v>48531340.619999997</v>
      </c>
      <c r="AA439" s="165">
        <v>13981948.949999999</v>
      </c>
      <c r="AB439" s="165">
        <v>0</v>
      </c>
      <c r="AC439" s="165">
        <v>202.66666666666666</v>
      </c>
      <c r="AD439" s="165">
        <v>60503344.569999993</v>
      </c>
      <c r="AE439" s="165">
        <v>298536.23965460522</v>
      </c>
      <c r="AF439" s="166">
        <v>-5901158</v>
      </c>
      <c r="AG439" s="11">
        <v>-1885022.4300000072</v>
      </c>
      <c r="AH439" s="12">
        <v>4.75</v>
      </c>
      <c r="AI439" s="132">
        <v>0</v>
      </c>
      <c r="AJ439" s="132">
        <v>0</v>
      </c>
      <c r="AK439" s="13">
        <v>0.15</v>
      </c>
      <c r="AL439" s="13">
        <v>-5.2943666378692855E-2</v>
      </c>
      <c r="AM439" s="14">
        <v>0</v>
      </c>
      <c r="AN439" s="14">
        <v>-1</v>
      </c>
      <c r="AO439" s="82">
        <v>185985.30694736843</v>
      </c>
      <c r="AP439" s="82">
        <v>239463.85174342105</v>
      </c>
      <c r="AQ439" s="82">
        <v>53478.544796052622</v>
      </c>
      <c r="AR439" s="129">
        <v>0.28754177237875256</v>
      </c>
    </row>
    <row r="440" spans="1:44" ht="28.8" x14ac:dyDescent="0.3">
      <c r="A440" s="136" t="s">
        <v>663</v>
      </c>
      <c r="B440" s="137" t="s">
        <v>5221</v>
      </c>
      <c r="C440" s="134">
        <v>2019</v>
      </c>
      <c r="D440" s="149" t="s">
        <v>1146</v>
      </c>
      <c r="E440" s="135" t="s">
        <v>1140</v>
      </c>
      <c r="F440" s="384" t="s">
        <v>658</v>
      </c>
      <c r="G440" s="138" t="s">
        <v>4773</v>
      </c>
      <c r="H440" s="138" t="s">
        <v>3463</v>
      </c>
      <c r="I440" s="138" t="s">
        <v>1566</v>
      </c>
      <c r="J440" s="135" t="s">
        <v>4774</v>
      </c>
      <c r="K440" s="164">
        <v>354655366</v>
      </c>
      <c r="L440" s="165">
        <v>323877216</v>
      </c>
      <c r="M440" s="165">
        <v>9710907</v>
      </c>
      <c r="N440" s="165">
        <v>8543360</v>
      </c>
      <c r="O440" s="165">
        <v>1976699</v>
      </c>
      <c r="P440" s="165">
        <v>587264</v>
      </c>
      <c r="Q440" s="165">
        <v>134068</v>
      </c>
      <c r="R440" s="165">
        <v>5.083333333333333</v>
      </c>
      <c r="S440" s="165">
        <v>32308634</v>
      </c>
      <c r="T440" s="165">
        <v>6355796.8524590172</v>
      </c>
      <c r="U440" s="166">
        <v>21067243</v>
      </c>
      <c r="V440" s="168">
        <v>174810833</v>
      </c>
      <c r="W440" s="165">
        <v>167465805</v>
      </c>
      <c r="X440" s="165">
        <v>11407696</v>
      </c>
      <c r="Y440" s="165">
        <v>6953403</v>
      </c>
      <c r="Z440" s="165">
        <v>4972079</v>
      </c>
      <c r="AA440" s="165">
        <v>984488</v>
      </c>
      <c r="AB440" s="165">
        <v>204722</v>
      </c>
      <c r="AC440" s="165">
        <v>10.5</v>
      </c>
      <c r="AD440" s="165">
        <v>9052024</v>
      </c>
      <c r="AE440" s="165">
        <v>862097.52380952379</v>
      </c>
      <c r="AF440" s="166">
        <v>-4062668</v>
      </c>
      <c r="AG440" s="11">
        <v>-23256610</v>
      </c>
      <c r="AH440" s="12">
        <v>5.416666666666667</v>
      </c>
      <c r="AI440" s="132">
        <v>0</v>
      </c>
      <c r="AJ440" s="132">
        <v>0</v>
      </c>
      <c r="AK440" s="13">
        <v>0.15</v>
      </c>
      <c r="AL440" s="13">
        <v>-0.86436043499407944</v>
      </c>
      <c r="AM440" s="14">
        <v>0</v>
      </c>
      <c r="AN440" s="14">
        <v>-1</v>
      </c>
      <c r="AO440" s="82">
        <v>388858.81967213115</v>
      </c>
      <c r="AP440" s="82">
        <v>473531.33333333331</v>
      </c>
      <c r="AQ440" s="82">
        <v>84672.51366120216</v>
      </c>
      <c r="AR440" s="129">
        <v>0.21774615715954271</v>
      </c>
    </row>
    <row r="441" spans="1:44" ht="28.8" x14ac:dyDescent="0.3">
      <c r="A441" s="136" t="s">
        <v>664</v>
      </c>
      <c r="B441" s="137" t="s">
        <v>5222</v>
      </c>
      <c r="C441" s="134">
        <v>2019</v>
      </c>
      <c r="D441" s="149" t="s">
        <v>5030</v>
      </c>
      <c r="E441" s="135" t="s">
        <v>1175</v>
      </c>
      <c r="F441" s="384" t="s">
        <v>267</v>
      </c>
      <c r="G441" s="138" t="s">
        <v>4773</v>
      </c>
      <c r="H441" s="138" t="s">
        <v>2264</v>
      </c>
      <c r="I441" s="138" t="s">
        <v>1566</v>
      </c>
      <c r="J441" s="135" t="s">
        <v>4778</v>
      </c>
      <c r="K441" s="164">
        <v>4199727733</v>
      </c>
      <c r="L441" s="165">
        <v>3224811833</v>
      </c>
      <c r="M441" s="165">
        <v>809015685</v>
      </c>
      <c r="N441" s="165">
        <v>98813548</v>
      </c>
      <c r="O441" s="165">
        <v>234911702</v>
      </c>
      <c r="P441" s="165">
        <v>60841434</v>
      </c>
      <c r="Q441" s="165">
        <v>8722975</v>
      </c>
      <c r="R441" s="165">
        <v>290.75</v>
      </c>
      <c r="S441" s="165">
        <v>569189874</v>
      </c>
      <c r="T441" s="165">
        <v>1957660.7876182287</v>
      </c>
      <c r="U441" s="166">
        <v>165900215</v>
      </c>
      <c r="V441" s="168">
        <v>4943830662</v>
      </c>
      <c r="W441" s="165">
        <v>3591256963</v>
      </c>
      <c r="X441" s="165">
        <v>1187298509</v>
      </c>
      <c r="Y441" s="165">
        <v>93372595</v>
      </c>
      <c r="Z441" s="165">
        <v>339581300.79000002</v>
      </c>
      <c r="AA441" s="165">
        <v>94311303.349999994</v>
      </c>
      <c r="AB441" s="165">
        <v>16641168</v>
      </c>
      <c r="AC441" s="165">
        <v>328.25</v>
      </c>
      <c r="AD441" s="165">
        <v>709181557.13999999</v>
      </c>
      <c r="AE441" s="165">
        <v>2160492.1771210968</v>
      </c>
      <c r="AF441" s="166">
        <v>165275190</v>
      </c>
      <c r="AG441" s="11">
        <v>139991683.13999999</v>
      </c>
      <c r="AH441" s="12">
        <v>37.5</v>
      </c>
      <c r="AI441" s="132">
        <v>0</v>
      </c>
      <c r="AJ441" s="132">
        <v>1</v>
      </c>
      <c r="AK441" s="13">
        <v>0.15</v>
      </c>
      <c r="AL441" s="13">
        <v>0.10360905782865482</v>
      </c>
      <c r="AM441" s="14">
        <v>0</v>
      </c>
      <c r="AN441" s="14">
        <v>-1</v>
      </c>
      <c r="AO441" s="82">
        <v>807950.82373172825</v>
      </c>
      <c r="AP441" s="82">
        <v>1034520.3375171364</v>
      </c>
      <c r="AQ441" s="82">
        <v>226569.51378540811</v>
      </c>
      <c r="AR441" s="129">
        <v>0.28042488123093756</v>
      </c>
    </row>
    <row r="442" spans="1:44" ht="43.2" x14ac:dyDescent="0.3">
      <c r="A442" s="136" t="s">
        <v>665</v>
      </c>
      <c r="B442" s="137" t="s">
        <v>5223</v>
      </c>
      <c r="C442" s="134">
        <v>2019</v>
      </c>
      <c r="D442" s="149" t="s">
        <v>5030</v>
      </c>
      <c r="E442" s="135" t="s">
        <v>1175</v>
      </c>
      <c r="F442" s="384" t="s">
        <v>584</v>
      </c>
      <c r="G442" s="138" t="s">
        <v>4773</v>
      </c>
      <c r="H442" s="138" t="s">
        <v>1974</v>
      </c>
      <c r="I442" s="138" t="s">
        <v>1566</v>
      </c>
      <c r="J442" s="135" t="s">
        <v>4774</v>
      </c>
      <c r="K442" s="164">
        <v>882014668</v>
      </c>
      <c r="L442" s="165">
        <v>644996268</v>
      </c>
      <c r="M442" s="165">
        <v>132764705</v>
      </c>
      <c r="N442" s="165">
        <v>19693257</v>
      </c>
      <c r="O442" s="165">
        <v>260058061</v>
      </c>
      <c r="P442" s="165">
        <v>82957598</v>
      </c>
      <c r="Q442" s="165">
        <v>46514</v>
      </c>
      <c r="R442" s="165">
        <v>486.83333333333331</v>
      </c>
      <c r="S442" s="165">
        <v>467009125</v>
      </c>
      <c r="T442" s="165">
        <v>959279.2707976721</v>
      </c>
      <c r="U442" s="166">
        <v>104253695</v>
      </c>
      <c r="V442" s="168">
        <v>2181151236</v>
      </c>
      <c r="W442" s="165">
        <v>1179769709</v>
      </c>
      <c r="X442" s="165">
        <v>277061836</v>
      </c>
      <c r="Y442" s="165">
        <v>31734214</v>
      </c>
      <c r="Z442" s="165">
        <v>433200438.79000008</v>
      </c>
      <c r="AA442" s="165">
        <v>123526994.38000001</v>
      </c>
      <c r="AB442" s="165">
        <v>717633</v>
      </c>
      <c r="AC442" s="165">
        <v>639.83333333333337</v>
      </c>
      <c r="AD442" s="165">
        <v>1313498971.1700001</v>
      </c>
      <c r="AE442" s="165">
        <v>2052876.7457723366</v>
      </c>
      <c r="AF442" s="166">
        <v>724319691</v>
      </c>
      <c r="AG442" s="11">
        <v>846489846.17000008</v>
      </c>
      <c r="AH442" s="12">
        <v>153.00000000000006</v>
      </c>
      <c r="AI442" s="132">
        <v>1</v>
      </c>
      <c r="AJ442" s="132">
        <v>0</v>
      </c>
      <c r="AK442" s="13">
        <v>0.15</v>
      </c>
      <c r="AL442" s="13">
        <v>1.1400199234994415</v>
      </c>
      <c r="AM442" s="14">
        <v>1</v>
      </c>
      <c r="AN442" s="14">
        <v>0</v>
      </c>
      <c r="AO442" s="82">
        <v>534182.93940431357</v>
      </c>
      <c r="AP442" s="82">
        <v>677052.0012346966</v>
      </c>
      <c r="AQ442" s="82">
        <v>142869.06183038303</v>
      </c>
      <c r="AR442" s="129">
        <v>0.26745343456625825</v>
      </c>
    </row>
    <row r="443" spans="1:44" ht="28.8" x14ac:dyDescent="0.3">
      <c r="A443" s="136" t="s">
        <v>666</v>
      </c>
      <c r="B443" s="137" t="s">
        <v>5224</v>
      </c>
      <c r="C443" s="134">
        <v>2020</v>
      </c>
      <c r="D443" s="149" t="s">
        <v>5030</v>
      </c>
      <c r="E443" s="135" t="s">
        <v>1175</v>
      </c>
      <c r="F443" s="384" t="s">
        <v>425</v>
      </c>
      <c r="G443" s="138" t="s">
        <v>4773</v>
      </c>
      <c r="H443" s="138" t="s">
        <v>1570</v>
      </c>
      <c r="I443" s="138" t="s">
        <v>1566</v>
      </c>
      <c r="J443" s="135" t="s">
        <v>4774</v>
      </c>
      <c r="K443" s="164">
        <v>4087407232</v>
      </c>
      <c r="L443" s="165">
        <v>3938273610</v>
      </c>
      <c r="M443" s="165">
        <v>72237900</v>
      </c>
      <c r="N443" s="165">
        <v>13840806</v>
      </c>
      <c r="O443" s="165">
        <v>94503919</v>
      </c>
      <c r="P443" s="165">
        <v>26428395</v>
      </c>
      <c r="Q443" s="165">
        <v>842301</v>
      </c>
      <c r="R443" s="165">
        <v>141.25</v>
      </c>
      <c r="S443" s="165">
        <v>212511143</v>
      </c>
      <c r="T443" s="165">
        <v>1504503.6672566372</v>
      </c>
      <c r="U443" s="166">
        <v>76895722</v>
      </c>
      <c r="V443" s="168">
        <v>5342806907</v>
      </c>
      <c r="W443" s="165">
        <v>5063674044</v>
      </c>
      <c r="X443" s="165">
        <v>177520533</v>
      </c>
      <c r="Y443" s="165">
        <v>22033030</v>
      </c>
      <c r="Z443" s="165">
        <v>152778518.31999999</v>
      </c>
      <c r="AA443" s="165">
        <v>44379043.93</v>
      </c>
      <c r="AB443" s="165">
        <v>758148</v>
      </c>
      <c r="AC443" s="165">
        <v>202.41666666666666</v>
      </c>
      <c r="AD443" s="165">
        <v>321561070.25</v>
      </c>
      <c r="AE443" s="165">
        <v>1588609.65129683</v>
      </c>
      <c r="AF443" s="166">
        <v>101612330</v>
      </c>
      <c r="AG443" s="11">
        <v>109049927.25</v>
      </c>
      <c r="AH443" s="12">
        <v>61.166666666666657</v>
      </c>
      <c r="AI443" s="132">
        <v>0</v>
      </c>
      <c r="AJ443" s="132">
        <v>1</v>
      </c>
      <c r="AK443" s="13">
        <v>0.1</v>
      </c>
      <c r="AL443" s="13">
        <v>5.5902808133395876E-2</v>
      </c>
      <c r="AM443" s="14">
        <v>0</v>
      </c>
      <c r="AN443" s="14">
        <v>-1</v>
      </c>
      <c r="AO443" s="82">
        <v>669054.29380530969</v>
      </c>
      <c r="AP443" s="82">
        <v>754772.42480032938</v>
      </c>
      <c r="AQ443" s="82">
        <v>85718.130995019688</v>
      </c>
      <c r="AR443" s="129">
        <v>0.12811834822476009</v>
      </c>
    </row>
    <row r="444" spans="1:44" ht="43.2" x14ac:dyDescent="0.3">
      <c r="A444" s="136" t="s">
        <v>667</v>
      </c>
      <c r="B444" s="137" t="s">
        <v>5225</v>
      </c>
      <c r="C444" s="134">
        <v>2020</v>
      </c>
      <c r="D444" s="149" t="s">
        <v>5030</v>
      </c>
      <c r="E444" s="135" t="s">
        <v>1175</v>
      </c>
      <c r="F444" s="384" t="s">
        <v>584</v>
      </c>
      <c r="G444" s="138" t="s">
        <v>4773</v>
      </c>
      <c r="H444" s="138" t="s">
        <v>3620</v>
      </c>
      <c r="I444" s="138" t="s">
        <v>3557</v>
      </c>
      <c r="J444" s="135" t="s">
        <v>4774</v>
      </c>
      <c r="K444" s="164">
        <v>2779790170</v>
      </c>
      <c r="L444" s="165">
        <v>2240016351</v>
      </c>
      <c r="M444" s="165">
        <v>146456081</v>
      </c>
      <c r="N444" s="165">
        <v>30304869</v>
      </c>
      <c r="O444" s="165">
        <v>586627089</v>
      </c>
      <c r="P444" s="165">
        <v>161677076</v>
      </c>
      <c r="Q444" s="165">
        <v>5613268</v>
      </c>
      <c r="R444" s="165">
        <v>801.66666666666663</v>
      </c>
      <c r="S444" s="165">
        <v>1177540040</v>
      </c>
      <c r="T444" s="165">
        <v>1468864.9147609149</v>
      </c>
      <c r="U444" s="166">
        <v>393317738</v>
      </c>
      <c r="V444" s="168">
        <v>3851639462</v>
      </c>
      <c r="W444" s="165">
        <v>3397449855</v>
      </c>
      <c r="X444" s="165">
        <v>181228147</v>
      </c>
      <c r="Y444" s="165">
        <v>27070975</v>
      </c>
      <c r="Z444" s="165">
        <v>716945517.07000005</v>
      </c>
      <c r="AA444" s="165">
        <v>203707231.44</v>
      </c>
      <c r="AB444" s="165">
        <v>5262364</v>
      </c>
      <c r="AC444" s="165">
        <v>857.41666666666663</v>
      </c>
      <c r="AD444" s="165">
        <v>1225947547.51</v>
      </c>
      <c r="AE444" s="165">
        <v>1429815.3921780542</v>
      </c>
      <c r="AF444" s="166">
        <v>272961460</v>
      </c>
      <c r="AG444" s="11">
        <v>48407507.50999999</v>
      </c>
      <c r="AH444" s="12">
        <v>55.75</v>
      </c>
      <c r="AI444" s="132">
        <v>0</v>
      </c>
      <c r="AJ444" s="132">
        <v>0</v>
      </c>
      <c r="AK444" s="13">
        <v>0.1</v>
      </c>
      <c r="AL444" s="13">
        <v>-2.6584827327653993E-2</v>
      </c>
      <c r="AM444" s="14">
        <v>0</v>
      </c>
      <c r="AN444" s="14">
        <v>-1</v>
      </c>
      <c r="AO444" s="82">
        <v>731759.36257796257</v>
      </c>
      <c r="AP444" s="82">
        <v>836169.32693556231</v>
      </c>
      <c r="AQ444" s="82">
        <v>104409.96435759973</v>
      </c>
      <c r="AR444" s="129">
        <v>0.14268346904338491</v>
      </c>
    </row>
    <row r="445" spans="1:44" ht="28.8" x14ac:dyDescent="0.3">
      <c r="A445" s="136" t="s">
        <v>668</v>
      </c>
      <c r="B445" s="137" t="s">
        <v>5226</v>
      </c>
      <c r="C445" s="134">
        <v>2019</v>
      </c>
      <c r="D445" s="149" t="s">
        <v>5030</v>
      </c>
      <c r="E445" s="135" t="s">
        <v>1175</v>
      </c>
      <c r="F445" s="384" t="s">
        <v>267</v>
      </c>
      <c r="G445" s="138" t="s">
        <v>4773</v>
      </c>
      <c r="H445" s="138" t="s">
        <v>3569</v>
      </c>
      <c r="I445" s="138" t="s">
        <v>3557</v>
      </c>
      <c r="J445" s="135" t="s">
        <v>4774</v>
      </c>
      <c r="K445" s="164">
        <v>3488499406</v>
      </c>
      <c r="L445" s="165">
        <v>2802378533</v>
      </c>
      <c r="M445" s="165">
        <v>567889716</v>
      </c>
      <c r="N445" s="165">
        <v>4846059</v>
      </c>
      <c r="O445" s="165">
        <v>309158148.40000004</v>
      </c>
      <c r="P445" s="165">
        <v>51992771</v>
      </c>
      <c r="Q445" s="165">
        <v>0</v>
      </c>
      <c r="R445" s="165">
        <v>472.66666666666669</v>
      </c>
      <c r="S445" s="165">
        <v>484228135.40000004</v>
      </c>
      <c r="T445" s="165">
        <v>1024460.0889985895</v>
      </c>
      <c r="U445" s="166">
        <v>118231157</v>
      </c>
      <c r="V445" s="168">
        <v>5644552925</v>
      </c>
      <c r="W445" s="165">
        <v>4634395381</v>
      </c>
      <c r="X445" s="165">
        <v>1145596873</v>
      </c>
      <c r="Y445" s="165">
        <v>6685195</v>
      </c>
      <c r="Z445" s="165">
        <v>450746467.23999995</v>
      </c>
      <c r="AA445" s="165">
        <v>86613627.74000001</v>
      </c>
      <c r="AB445" s="165">
        <v>0</v>
      </c>
      <c r="AC445" s="165">
        <v>661.41666666666663</v>
      </c>
      <c r="AD445" s="165">
        <v>408605960.97999996</v>
      </c>
      <c r="AE445" s="165">
        <v>617773.91101927683</v>
      </c>
      <c r="AF445" s="166">
        <v>-135439329</v>
      </c>
      <c r="AG445" s="11">
        <v>-75622174.420000076</v>
      </c>
      <c r="AH445" s="12">
        <v>188.74999999999994</v>
      </c>
      <c r="AI445" s="132">
        <v>0</v>
      </c>
      <c r="AJ445" s="132">
        <v>0</v>
      </c>
      <c r="AK445" s="13">
        <v>0.15</v>
      </c>
      <c r="AL445" s="13">
        <v>-0.39697610865446198</v>
      </c>
      <c r="AM445" s="14">
        <v>0</v>
      </c>
      <c r="AN445" s="14">
        <v>-1</v>
      </c>
      <c r="AO445" s="82">
        <v>654072.24626234139</v>
      </c>
      <c r="AP445" s="82">
        <v>681486.40630968881</v>
      </c>
      <c r="AQ445" s="82">
        <v>27414.160047347425</v>
      </c>
      <c r="AR445" s="129">
        <v>4.1913045850827668E-2</v>
      </c>
    </row>
    <row r="446" spans="1:44" ht="28.8" x14ac:dyDescent="0.3">
      <c r="A446" s="136" t="s">
        <v>669</v>
      </c>
      <c r="B446" s="137" t="s">
        <v>5227</v>
      </c>
      <c r="C446" s="134">
        <v>2020</v>
      </c>
      <c r="D446" s="149" t="s">
        <v>4865</v>
      </c>
      <c r="E446" s="135" t="s">
        <v>1108</v>
      </c>
      <c r="F446" s="384" t="s">
        <v>670</v>
      </c>
      <c r="G446" s="138" t="s">
        <v>4773</v>
      </c>
      <c r="H446" s="138" t="s">
        <v>2463</v>
      </c>
      <c r="I446" s="138" t="s">
        <v>1566</v>
      </c>
      <c r="J446" s="135" t="s">
        <v>4778</v>
      </c>
      <c r="K446" s="164">
        <v>6911803736</v>
      </c>
      <c r="L446" s="165">
        <v>4167369038</v>
      </c>
      <c r="M446" s="165">
        <v>1742856323</v>
      </c>
      <c r="N446" s="165">
        <v>317866458</v>
      </c>
      <c r="O446" s="165">
        <v>689260920</v>
      </c>
      <c r="P446" s="165">
        <v>181455825</v>
      </c>
      <c r="Q446" s="165">
        <v>35235956</v>
      </c>
      <c r="R446" s="165">
        <v>1748.9166666666667</v>
      </c>
      <c r="S446" s="165">
        <v>2225397534</v>
      </c>
      <c r="T446" s="165">
        <v>1272443.4367942058</v>
      </c>
      <c r="U446" s="166">
        <v>1001578375</v>
      </c>
      <c r="V446" s="168">
        <v>8880109204</v>
      </c>
      <c r="W446" s="165">
        <v>5206370419</v>
      </c>
      <c r="X446" s="165">
        <v>1968082534</v>
      </c>
      <c r="Y446" s="165">
        <v>296339415</v>
      </c>
      <c r="Z446" s="165">
        <v>885851456.85000002</v>
      </c>
      <c r="AA446" s="165">
        <v>206450680.93000001</v>
      </c>
      <c r="AB446" s="165">
        <v>8899793</v>
      </c>
      <c r="AC446" s="165">
        <v>1684.75</v>
      </c>
      <c r="AD446" s="165">
        <v>3103197596.7799997</v>
      </c>
      <c r="AE446" s="165">
        <v>1841933.578738685</v>
      </c>
      <c r="AF446" s="166">
        <v>1705656251</v>
      </c>
      <c r="AG446" s="11">
        <v>877800062.77999973</v>
      </c>
      <c r="AH446" s="12">
        <v>-64.166666666666742</v>
      </c>
      <c r="AI446" s="132">
        <v>1</v>
      </c>
      <c r="AJ446" s="132">
        <v>1</v>
      </c>
      <c r="AK446" s="13">
        <v>0.1</v>
      </c>
      <c r="AL446" s="13">
        <v>0.44755634875213013</v>
      </c>
      <c r="AM446" s="14">
        <v>1</v>
      </c>
      <c r="AN446" s="14">
        <v>0</v>
      </c>
      <c r="AO446" s="82">
        <v>394107.35407633294</v>
      </c>
      <c r="AP446" s="82">
        <v>525805.88030865113</v>
      </c>
      <c r="AQ446" s="82">
        <v>131698.5262323182</v>
      </c>
      <c r="AR446" s="129">
        <v>0.33416916703059063</v>
      </c>
    </row>
    <row r="447" spans="1:44" ht="28.8" x14ac:dyDescent="0.3">
      <c r="A447" s="136" t="s">
        <v>671</v>
      </c>
      <c r="B447" s="137" t="s">
        <v>5228</v>
      </c>
      <c r="C447" s="134">
        <v>2019</v>
      </c>
      <c r="D447" s="149" t="s">
        <v>4865</v>
      </c>
      <c r="E447" s="135" t="s">
        <v>1108</v>
      </c>
      <c r="F447" s="384" t="s">
        <v>670</v>
      </c>
      <c r="G447" s="138" t="s">
        <v>4773</v>
      </c>
      <c r="H447" s="138" t="s">
        <v>4288</v>
      </c>
      <c r="I447" s="138" t="s">
        <v>4255</v>
      </c>
      <c r="J447" s="135" t="s">
        <v>4774</v>
      </c>
      <c r="K447" s="164">
        <v>553605436</v>
      </c>
      <c r="L447" s="165">
        <v>571132943</v>
      </c>
      <c r="M447" s="165">
        <v>118332700</v>
      </c>
      <c r="N447" s="165">
        <v>90246409</v>
      </c>
      <c r="O447" s="165">
        <v>177963838.63</v>
      </c>
      <c r="P447" s="165">
        <v>48797364.74000001</v>
      </c>
      <c r="Q447" s="165">
        <v>29024</v>
      </c>
      <c r="R447" s="165">
        <v>552.41666666666663</v>
      </c>
      <c r="S447" s="165">
        <v>181176429.37</v>
      </c>
      <c r="T447" s="165">
        <v>327970.60679438832</v>
      </c>
      <c r="U447" s="166">
        <v>-135860207</v>
      </c>
      <c r="V447" s="168">
        <v>660955988</v>
      </c>
      <c r="W447" s="165">
        <v>705362495</v>
      </c>
      <c r="X447" s="165">
        <v>130190933</v>
      </c>
      <c r="Y447" s="165">
        <v>121578193</v>
      </c>
      <c r="Z447" s="165">
        <v>167861225.53999999</v>
      </c>
      <c r="AA447" s="165">
        <v>49228956.340000004</v>
      </c>
      <c r="AB447" s="165">
        <v>81339</v>
      </c>
      <c r="AC447" s="165">
        <v>712.83333333333337</v>
      </c>
      <c r="AD447" s="165">
        <v>164152273.88</v>
      </c>
      <c r="AE447" s="165">
        <v>230281.42232405889</v>
      </c>
      <c r="AF447" s="166">
        <v>-174597440</v>
      </c>
      <c r="AG447" s="11">
        <v>-17024155.49000001</v>
      </c>
      <c r="AH447" s="12">
        <v>160.41666666666674</v>
      </c>
      <c r="AI447" s="132">
        <v>0</v>
      </c>
      <c r="AJ447" s="132">
        <v>1</v>
      </c>
      <c r="AK447" s="13">
        <v>0.15</v>
      </c>
      <c r="AL447" s="13">
        <v>-0.29785958565006776</v>
      </c>
      <c r="AM447" s="14">
        <v>0</v>
      </c>
      <c r="AN447" s="14">
        <v>-1</v>
      </c>
      <c r="AO447" s="82">
        <v>322155.08576859254</v>
      </c>
      <c r="AP447" s="82">
        <v>235484.53430909515</v>
      </c>
      <c r="AQ447" s="82">
        <v>-86670.551459497394</v>
      </c>
      <c r="AR447" s="129">
        <v>-0.26903362786503948</v>
      </c>
    </row>
    <row r="448" spans="1:44" ht="28.8" x14ac:dyDescent="0.3">
      <c r="A448" s="136" t="s">
        <v>672</v>
      </c>
      <c r="B448" s="137" t="s">
        <v>5229</v>
      </c>
      <c r="C448" s="134">
        <v>2019</v>
      </c>
      <c r="D448" s="149" t="s">
        <v>4865</v>
      </c>
      <c r="E448" s="135" t="s">
        <v>1108</v>
      </c>
      <c r="F448" s="384" t="s">
        <v>670</v>
      </c>
      <c r="G448" s="138" t="s">
        <v>4773</v>
      </c>
      <c r="H448" s="138" t="s">
        <v>2425</v>
      </c>
      <c r="I448" s="138" t="s">
        <v>1566</v>
      </c>
      <c r="J448" s="135" t="s">
        <v>4778</v>
      </c>
      <c r="K448" s="164">
        <v>631592404</v>
      </c>
      <c r="L448" s="165">
        <v>516054044</v>
      </c>
      <c r="M448" s="165">
        <v>121501212</v>
      </c>
      <c r="N448" s="165">
        <v>3327332</v>
      </c>
      <c r="O448" s="165">
        <v>101878298</v>
      </c>
      <c r="P448" s="165">
        <v>25195792.039999999</v>
      </c>
      <c r="Q448" s="165">
        <v>464334</v>
      </c>
      <c r="R448" s="165">
        <v>157.66666666666666</v>
      </c>
      <c r="S448" s="165">
        <v>124902904.03999999</v>
      </c>
      <c r="T448" s="165">
        <v>792196.00871035946</v>
      </c>
      <c r="U448" s="166">
        <v>-5962852</v>
      </c>
      <c r="V448" s="168">
        <v>1197053648</v>
      </c>
      <c r="W448" s="165">
        <v>1064269857</v>
      </c>
      <c r="X448" s="165">
        <v>102786453</v>
      </c>
      <c r="Y448" s="165">
        <v>8220038</v>
      </c>
      <c r="Z448" s="165">
        <v>135962093</v>
      </c>
      <c r="AA448" s="165">
        <v>24269503</v>
      </c>
      <c r="AB448" s="165">
        <v>714346</v>
      </c>
      <c r="AC448" s="165">
        <v>170.41666666666666</v>
      </c>
      <c r="AD448" s="165">
        <v>199163318</v>
      </c>
      <c r="AE448" s="165">
        <v>1168684.506601467</v>
      </c>
      <c r="AF448" s="166">
        <v>29997338</v>
      </c>
      <c r="AG448" s="11">
        <v>74260413.960000008</v>
      </c>
      <c r="AH448" s="12">
        <v>12.75</v>
      </c>
      <c r="AI448" s="132">
        <v>1</v>
      </c>
      <c r="AJ448" s="132">
        <v>0</v>
      </c>
      <c r="AK448" s="13">
        <v>0.15</v>
      </c>
      <c r="AL448" s="13">
        <v>0.47524665013144918</v>
      </c>
      <c r="AM448" s="14">
        <v>1</v>
      </c>
      <c r="AN448" s="14">
        <v>0</v>
      </c>
      <c r="AO448" s="82">
        <v>646162.56659619452</v>
      </c>
      <c r="AP448" s="82">
        <v>797821.57261613698</v>
      </c>
      <c r="AQ448" s="82">
        <v>151659.00601994246</v>
      </c>
      <c r="AR448" s="129">
        <v>0.23470719886922597</v>
      </c>
    </row>
    <row r="449" spans="1:44" ht="28.8" x14ac:dyDescent="0.3">
      <c r="A449" s="136" t="s">
        <v>673</v>
      </c>
      <c r="B449" s="137" t="s">
        <v>5230</v>
      </c>
      <c r="C449" s="134">
        <v>2019</v>
      </c>
      <c r="D449" s="149" t="s">
        <v>4865</v>
      </c>
      <c r="E449" s="135" t="s">
        <v>1108</v>
      </c>
      <c r="F449" s="384" t="s">
        <v>670</v>
      </c>
      <c r="G449" s="138" t="s">
        <v>4773</v>
      </c>
      <c r="H449" s="138" t="s">
        <v>2826</v>
      </c>
      <c r="I449" s="138" t="s">
        <v>1566</v>
      </c>
      <c r="J449" s="135" t="s">
        <v>4778</v>
      </c>
      <c r="K449" s="164">
        <v>3026582896</v>
      </c>
      <c r="L449" s="165">
        <v>2264286015</v>
      </c>
      <c r="M449" s="165">
        <v>645803721</v>
      </c>
      <c r="N449" s="165">
        <v>86743467</v>
      </c>
      <c r="O449" s="165">
        <v>300681780</v>
      </c>
      <c r="P449" s="165">
        <v>80213456</v>
      </c>
      <c r="Q449" s="165">
        <v>2247788</v>
      </c>
      <c r="R449" s="165">
        <v>549.58333333333337</v>
      </c>
      <c r="S449" s="165">
        <v>586379651</v>
      </c>
      <c r="T449" s="165">
        <v>1066953.1178165276</v>
      </c>
      <c r="U449" s="166">
        <v>116493160</v>
      </c>
      <c r="V449" s="168">
        <v>1353325607</v>
      </c>
      <c r="W449" s="165">
        <v>1048710453</v>
      </c>
      <c r="X449" s="165">
        <v>330645826</v>
      </c>
      <c r="Y449" s="165">
        <v>64614300</v>
      </c>
      <c r="Z449" s="165">
        <v>353549567.36000001</v>
      </c>
      <c r="AA449" s="165">
        <v>103318860.78</v>
      </c>
      <c r="AB449" s="165">
        <v>12654741</v>
      </c>
      <c r="AC449" s="165">
        <v>559.41666666666663</v>
      </c>
      <c r="AD449" s="165">
        <v>508106797.13999999</v>
      </c>
      <c r="AE449" s="165">
        <v>908279.69099955319</v>
      </c>
      <c r="AF449" s="166">
        <v>-26030672</v>
      </c>
      <c r="AG449" s="11">
        <v>-78272853.860000014</v>
      </c>
      <c r="AH449" s="12">
        <v>9.8333333333332575</v>
      </c>
      <c r="AI449" s="132">
        <v>0</v>
      </c>
      <c r="AJ449" s="132">
        <v>1</v>
      </c>
      <c r="AK449" s="13">
        <v>0.15</v>
      </c>
      <c r="AL449" s="13">
        <v>-0.14871640283501875</v>
      </c>
      <c r="AM449" s="14">
        <v>0</v>
      </c>
      <c r="AN449" s="14">
        <v>-1</v>
      </c>
      <c r="AO449" s="82">
        <v>547108.62168309325</v>
      </c>
      <c r="AP449" s="82">
        <v>631996.8431878445</v>
      </c>
      <c r="AQ449" s="82">
        <v>84888.221504751244</v>
      </c>
      <c r="AR449" s="129">
        <v>0.15515789395459723</v>
      </c>
    </row>
    <row r="450" spans="1:44" ht="28.8" x14ac:dyDescent="0.3">
      <c r="A450" s="136" t="s">
        <v>674</v>
      </c>
      <c r="B450" s="137" t="s">
        <v>5231</v>
      </c>
      <c r="C450" s="134">
        <v>2020</v>
      </c>
      <c r="D450" s="149" t="s">
        <v>4865</v>
      </c>
      <c r="E450" s="135" t="s">
        <v>1108</v>
      </c>
      <c r="F450" s="384" t="s">
        <v>670</v>
      </c>
      <c r="G450" s="138" t="s">
        <v>4773</v>
      </c>
      <c r="H450" s="138" t="s">
        <v>2725</v>
      </c>
      <c r="I450" s="138" t="s">
        <v>1566</v>
      </c>
      <c r="J450" s="135" t="s">
        <v>4778</v>
      </c>
      <c r="K450" s="164">
        <v>374979356</v>
      </c>
      <c r="L450" s="165">
        <v>204243452</v>
      </c>
      <c r="M450" s="165">
        <v>137242450</v>
      </c>
      <c r="N450" s="165">
        <v>6765232</v>
      </c>
      <c r="O450" s="165">
        <v>101716085</v>
      </c>
      <c r="P450" s="165">
        <v>19538599</v>
      </c>
      <c r="Q450" s="165">
        <v>487986</v>
      </c>
      <c r="R450" s="165">
        <v>172.5</v>
      </c>
      <c r="S450" s="165">
        <v>162001356</v>
      </c>
      <c r="T450" s="165">
        <v>939138.29565217393</v>
      </c>
      <c r="U450" s="166">
        <v>33493454</v>
      </c>
      <c r="V450" s="168">
        <v>499274629</v>
      </c>
      <c r="W450" s="165">
        <v>315096799</v>
      </c>
      <c r="X450" s="165">
        <v>142948815</v>
      </c>
      <c r="Y450" s="165">
        <v>11123418</v>
      </c>
      <c r="Z450" s="165">
        <v>116180745.45999999</v>
      </c>
      <c r="AA450" s="165">
        <v>20994500.739999998</v>
      </c>
      <c r="AB450" s="165">
        <v>902689</v>
      </c>
      <c r="AC450" s="165">
        <v>180.91666666666666</v>
      </c>
      <c r="AD450" s="165">
        <v>190430368.19999999</v>
      </c>
      <c r="AE450" s="165">
        <v>1052586.0978350991</v>
      </c>
      <c r="AF450" s="166">
        <v>41229015</v>
      </c>
      <c r="AG450" s="11">
        <v>28429012.199999988</v>
      </c>
      <c r="AH450" s="12">
        <v>8.4166666666666572</v>
      </c>
      <c r="AI450" s="132">
        <v>1</v>
      </c>
      <c r="AJ450" s="132">
        <v>1</v>
      </c>
      <c r="AK450" s="13">
        <v>0.1</v>
      </c>
      <c r="AL450" s="13">
        <v>0.12079988644909911</v>
      </c>
      <c r="AM450" s="14">
        <v>1</v>
      </c>
      <c r="AN450" s="14">
        <v>0</v>
      </c>
      <c r="AO450" s="82">
        <v>589658.46376811597</v>
      </c>
      <c r="AP450" s="82">
        <v>642178.23377245513</v>
      </c>
      <c r="AQ450" s="82">
        <v>52519.770004339167</v>
      </c>
      <c r="AR450" s="129">
        <v>8.9068118633827797E-2</v>
      </c>
    </row>
    <row r="451" spans="1:44" ht="28.8" x14ac:dyDescent="0.3">
      <c r="A451" s="136" t="s">
        <v>675</v>
      </c>
      <c r="B451" s="137" t="s">
        <v>5232</v>
      </c>
      <c r="C451" s="134">
        <v>2019</v>
      </c>
      <c r="D451" s="149" t="s">
        <v>5057</v>
      </c>
      <c r="E451" s="135" t="s">
        <v>1152</v>
      </c>
      <c r="F451" s="384" t="s">
        <v>676</v>
      </c>
      <c r="G451" s="138" t="s">
        <v>4773</v>
      </c>
      <c r="H451" s="138" t="s">
        <v>2996</v>
      </c>
      <c r="I451" s="138" t="s">
        <v>1566</v>
      </c>
      <c r="J451" s="135" t="s">
        <v>4778</v>
      </c>
      <c r="K451" s="164">
        <v>3293733072</v>
      </c>
      <c r="L451" s="165">
        <v>2666233759</v>
      </c>
      <c r="M451" s="165">
        <v>567796180</v>
      </c>
      <c r="N451" s="165">
        <v>18368081</v>
      </c>
      <c r="O451" s="165">
        <v>199780457</v>
      </c>
      <c r="P451" s="165">
        <v>57964524</v>
      </c>
      <c r="Q451" s="165">
        <v>5990625</v>
      </c>
      <c r="R451" s="165">
        <v>503.41666666666669</v>
      </c>
      <c r="S451" s="165">
        <v>341806820</v>
      </c>
      <c r="T451" s="165">
        <v>678973.98443966231</v>
      </c>
      <c r="U451" s="166">
        <v>59703133</v>
      </c>
      <c r="V451" s="168">
        <v>4366240151</v>
      </c>
      <c r="W451" s="165">
        <v>3658588612</v>
      </c>
      <c r="X451" s="165">
        <v>523114537</v>
      </c>
      <c r="Y451" s="165">
        <v>25780821</v>
      </c>
      <c r="Z451" s="165">
        <v>197571823</v>
      </c>
      <c r="AA451" s="165">
        <v>57970461</v>
      </c>
      <c r="AB451" s="165">
        <v>5219459</v>
      </c>
      <c r="AC451" s="165">
        <v>488.08333333333331</v>
      </c>
      <c r="AD451" s="165">
        <v>471079566</v>
      </c>
      <c r="AE451" s="165">
        <v>965162.16356496501</v>
      </c>
      <c r="AF451" s="166">
        <v>184537002</v>
      </c>
      <c r="AG451" s="11">
        <v>129272746</v>
      </c>
      <c r="AH451" s="12">
        <v>-15.333333333333371</v>
      </c>
      <c r="AI451" s="132">
        <v>1</v>
      </c>
      <c r="AJ451" s="132">
        <v>1</v>
      </c>
      <c r="AK451" s="13">
        <v>0.15</v>
      </c>
      <c r="AL451" s="13">
        <v>0.42150095354169537</v>
      </c>
      <c r="AM451" s="14">
        <v>1</v>
      </c>
      <c r="AN451" s="14">
        <v>0</v>
      </c>
      <c r="AO451" s="82">
        <v>396849.11173646746</v>
      </c>
      <c r="AP451" s="82">
        <v>404791.16885777703</v>
      </c>
      <c r="AQ451" s="82">
        <v>7942.0571213095682</v>
      </c>
      <c r="AR451" s="129">
        <v>2.0012787949954092E-2</v>
      </c>
    </row>
    <row r="452" spans="1:44" ht="28.8" x14ac:dyDescent="0.3">
      <c r="A452" s="136" t="s">
        <v>677</v>
      </c>
      <c r="B452" s="137" t="s">
        <v>5233</v>
      </c>
      <c r="C452" s="134">
        <v>2019</v>
      </c>
      <c r="D452" s="149" t="s">
        <v>5057</v>
      </c>
      <c r="E452" s="135" t="s">
        <v>1152</v>
      </c>
      <c r="F452" s="384" t="s">
        <v>676</v>
      </c>
      <c r="G452" s="138" t="s">
        <v>4773</v>
      </c>
      <c r="H452" s="138" t="s">
        <v>1931</v>
      </c>
      <c r="I452" s="138" t="s">
        <v>1566</v>
      </c>
      <c r="J452" s="135" t="s">
        <v>4774</v>
      </c>
      <c r="K452" s="164">
        <v>299325740</v>
      </c>
      <c r="L452" s="165">
        <v>191557062</v>
      </c>
      <c r="M452" s="165">
        <v>104332022</v>
      </c>
      <c r="N452" s="165">
        <v>18992203</v>
      </c>
      <c r="O452" s="165">
        <v>45737322</v>
      </c>
      <c r="P452" s="165">
        <v>13328502</v>
      </c>
      <c r="Q452" s="165">
        <v>859873</v>
      </c>
      <c r="R452" s="165">
        <v>114.91666666666667</v>
      </c>
      <c r="S452" s="165">
        <v>82354556</v>
      </c>
      <c r="T452" s="165">
        <v>716645.88252356777</v>
      </c>
      <c r="U452" s="166">
        <v>3436656</v>
      </c>
      <c r="V452" s="168">
        <v>255369637</v>
      </c>
      <c r="W452" s="165">
        <v>154759686</v>
      </c>
      <c r="X452" s="165">
        <v>101214443</v>
      </c>
      <c r="Y452" s="165">
        <v>14905777</v>
      </c>
      <c r="Z452" s="165">
        <v>38221698</v>
      </c>
      <c r="AA452" s="165">
        <v>7454480</v>
      </c>
      <c r="AB452" s="165">
        <v>791583</v>
      </c>
      <c r="AC452" s="165">
        <v>94</v>
      </c>
      <c r="AD452" s="165">
        <v>60769046</v>
      </c>
      <c r="AE452" s="165">
        <v>646479.21276595746</v>
      </c>
      <c r="AF452" s="166">
        <v>-604492</v>
      </c>
      <c r="AG452" s="11">
        <v>-21585510</v>
      </c>
      <c r="AH452" s="12">
        <v>-20.916666666666671</v>
      </c>
      <c r="AI452" s="132">
        <v>0</v>
      </c>
      <c r="AJ452" s="132">
        <v>0</v>
      </c>
      <c r="AK452" s="13">
        <v>0.15</v>
      </c>
      <c r="AL452" s="13">
        <v>-9.7909821235559247E-2</v>
      </c>
      <c r="AM452" s="14">
        <v>0</v>
      </c>
      <c r="AN452" s="14">
        <v>-1</v>
      </c>
      <c r="AO452" s="82">
        <v>398004.25235678029</v>
      </c>
      <c r="AP452" s="82">
        <v>406613.80851063831</v>
      </c>
      <c r="AQ452" s="82">
        <v>8609.5561538580223</v>
      </c>
      <c r="AR452" s="129">
        <v>2.1631819516692463E-2</v>
      </c>
    </row>
    <row r="453" spans="1:44" ht="28.8" x14ac:dyDescent="0.3">
      <c r="A453" s="136" t="s">
        <v>678</v>
      </c>
      <c r="B453" s="137" t="s">
        <v>5234</v>
      </c>
      <c r="C453" s="134">
        <v>2018</v>
      </c>
      <c r="D453" s="149" t="s">
        <v>5057</v>
      </c>
      <c r="E453" s="135" t="s">
        <v>1152</v>
      </c>
      <c r="F453" s="384" t="s">
        <v>676</v>
      </c>
      <c r="G453" s="138" t="s">
        <v>4773</v>
      </c>
      <c r="H453" s="138" t="s">
        <v>2717</v>
      </c>
      <c r="I453" s="138" t="s">
        <v>1566</v>
      </c>
      <c r="J453" s="135" t="s">
        <v>4774</v>
      </c>
      <c r="K453" s="164">
        <v>5321657816</v>
      </c>
      <c r="L453" s="165">
        <v>4458433908</v>
      </c>
      <c r="M453" s="165">
        <v>521462276</v>
      </c>
      <c r="N453" s="165">
        <v>157705222</v>
      </c>
      <c r="O453" s="165">
        <v>622367498</v>
      </c>
      <c r="P453" s="165">
        <v>195932521</v>
      </c>
      <c r="Q453" s="165">
        <v>31714941</v>
      </c>
      <c r="R453" s="165">
        <v>1330.25</v>
      </c>
      <c r="S453" s="165">
        <v>1349481814</v>
      </c>
      <c r="T453" s="165">
        <v>1014457.2929900395</v>
      </c>
      <c r="U453" s="166">
        <v>341761632</v>
      </c>
      <c r="V453" s="168">
        <v>11349804067</v>
      </c>
      <c r="W453" s="165">
        <v>10864406843</v>
      </c>
      <c r="X453" s="165">
        <v>459662622</v>
      </c>
      <c r="Y453" s="165">
        <v>158145907</v>
      </c>
      <c r="Z453" s="165">
        <v>903482342</v>
      </c>
      <c r="AA453" s="165">
        <v>267183421</v>
      </c>
      <c r="AB453" s="165">
        <v>27921265</v>
      </c>
      <c r="AC453" s="165">
        <v>1493.5</v>
      </c>
      <c r="AD453" s="165">
        <v>1382467537</v>
      </c>
      <c r="AE453" s="165">
        <v>925656.20154000667</v>
      </c>
      <c r="AF453" s="166">
        <v>25734602</v>
      </c>
      <c r="AG453" s="11">
        <v>32985723</v>
      </c>
      <c r="AH453" s="12">
        <v>163.25</v>
      </c>
      <c r="AI453" s="132">
        <v>0</v>
      </c>
      <c r="AJ453" s="132">
        <v>1</v>
      </c>
      <c r="AK453" s="13">
        <v>0.3</v>
      </c>
      <c r="AL453" s="13">
        <v>-8.7535562980675219E-2</v>
      </c>
      <c r="AM453" s="14">
        <v>0</v>
      </c>
      <c r="AN453" s="14">
        <v>-1</v>
      </c>
      <c r="AO453" s="82">
        <v>467857.5440706634</v>
      </c>
      <c r="AP453" s="82">
        <v>604942.98091730836</v>
      </c>
      <c r="AQ453" s="82">
        <v>137085.43684664497</v>
      </c>
      <c r="AR453" s="129">
        <v>0.293006789318631</v>
      </c>
    </row>
    <row r="454" spans="1:44" ht="28.8" x14ac:dyDescent="0.3">
      <c r="A454" s="136" t="s">
        <v>679</v>
      </c>
      <c r="B454" s="137" t="s">
        <v>5235</v>
      </c>
      <c r="C454" s="134">
        <v>2019</v>
      </c>
      <c r="D454" s="149" t="s">
        <v>5057</v>
      </c>
      <c r="E454" s="135" t="s">
        <v>1152</v>
      </c>
      <c r="F454" s="384" t="s">
        <v>676</v>
      </c>
      <c r="G454" s="138" t="s">
        <v>4773</v>
      </c>
      <c r="H454" s="138" t="s">
        <v>3394</v>
      </c>
      <c r="I454" s="138" t="s">
        <v>1566</v>
      </c>
      <c r="J454" s="135" t="s">
        <v>4778</v>
      </c>
      <c r="K454" s="164">
        <v>5274374430</v>
      </c>
      <c r="L454" s="165">
        <v>5554942637</v>
      </c>
      <c r="M454" s="165">
        <v>175423842</v>
      </c>
      <c r="N454" s="165">
        <v>97954737</v>
      </c>
      <c r="O454" s="165">
        <v>675908542</v>
      </c>
      <c r="P454" s="165">
        <v>206465076</v>
      </c>
      <c r="Q454" s="165">
        <v>4236699</v>
      </c>
      <c r="R454" s="165">
        <v>1776.5</v>
      </c>
      <c r="S454" s="165">
        <v>528573005</v>
      </c>
      <c r="T454" s="165">
        <v>297536.16943428089</v>
      </c>
      <c r="U454" s="166">
        <v>-455992049</v>
      </c>
      <c r="V454" s="168">
        <v>4050323703</v>
      </c>
      <c r="W454" s="165">
        <v>3818612876</v>
      </c>
      <c r="X454" s="165">
        <v>523552209</v>
      </c>
      <c r="Y454" s="165">
        <v>67248583</v>
      </c>
      <c r="Z454" s="165">
        <v>606417625</v>
      </c>
      <c r="AA454" s="165">
        <v>182563378</v>
      </c>
      <c r="AB454" s="165">
        <v>3918723</v>
      </c>
      <c r="AC454" s="165">
        <v>1339.5</v>
      </c>
      <c r="AD454" s="165">
        <v>568306927</v>
      </c>
      <c r="AE454" s="165">
        <v>424267.95595371409</v>
      </c>
      <c r="AF454" s="166">
        <v>-291841382</v>
      </c>
      <c r="AG454" s="11">
        <v>39733922</v>
      </c>
      <c r="AH454" s="12">
        <v>-437</v>
      </c>
      <c r="AI454" s="132">
        <v>1</v>
      </c>
      <c r="AJ454" s="132">
        <v>0</v>
      </c>
      <c r="AK454" s="13">
        <v>0.15</v>
      </c>
      <c r="AL454" s="13">
        <v>0.4259374246835268</v>
      </c>
      <c r="AM454" s="14">
        <v>1</v>
      </c>
      <c r="AN454" s="14">
        <v>0</v>
      </c>
      <c r="AO454" s="82">
        <v>380472.01913875598</v>
      </c>
      <c r="AP454" s="82">
        <v>452719.39156401641</v>
      </c>
      <c r="AQ454" s="82">
        <v>72247.37242526043</v>
      </c>
      <c r="AR454" s="129">
        <v>0.18988879284421767</v>
      </c>
    </row>
    <row r="455" spans="1:44" ht="28.8" x14ac:dyDescent="0.3">
      <c r="A455" s="136" t="s">
        <v>680</v>
      </c>
      <c r="B455" s="137" t="s">
        <v>5236</v>
      </c>
      <c r="C455" s="134">
        <v>2019</v>
      </c>
      <c r="D455" s="149" t="s">
        <v>5057</v>
      </c>
      <c r="E455" s="135" t="s">
        <v>1152</v>
      </c>
      <c r="F455" s="384" t="s">
        <v>676</v>
      </c>
      <c r="G455" s="138" t="s">
        <v>4773</v>
      </c>
      <c r="H455" s="138" t="s">
        <v>3539</v>
      </c>
      <c r="I455" s="138" t="s">
        <v>1566</v>
      </c>
      <c r="J455" s="135" t="s">
        <v>4778</v>
      </c>
      <c r="K455" s="164">
        <v>590123842</v>
      </c>
      <c r="L455" s="165">
        <v>431978803</v>
      </c>
      <c r="M455" s="165">
        <v>77509948</v>
      </c>
      <c r="N455" s="165">
        <v>21031755</v>
      </c>
      <c r="O455" s="165">
        <v>174296683</v>
      </c>
      <c r="P455" s="165">
        <v>48178205</v>
      </c>
      <c r="Q455" s="165">
        <v>2264034</v>
      </c>
      <c r="R455" s="165">
        <v>229.75</v>
      </c>
      <c r="S455" s="165">
        <v>326405768</v>
      </c>
      <c r="T455" s="165">
        <v>1420699.7519042438</v>
      </c>
      <c r="U455" s="166">
        <v>80635091</v>
      </c>
      <c r="V455" s="168">
        <v>489210314</v>
      </c>
      <c r="W455" s="165">
        <v>302484207</v>
      </c>
      <c r="X455" s="165">
        <v>36634098</v>
      </c>
      <c r="Y455" s="165">
        <v>14716964</v>
      </c>
      <c r="Z455" s="165">
        <v>151199519</v>
      </c>
      <c r="AA455" s="165">
        <v>26629841</v>
      </c>
      <c r="AB455" s="165">
        <v>1720770</v>
      </c>
      <c r="AC455" s="165">
        <v>181.83333333333334</v>
      </c>
      <c r="AD455" s="165">
        <v>344359103</v>
      </c>
      <c r="AE455" s="165">
        <v>1893817.2483959668</v>
      </c>
      <c r="AF455" s="166">
        <v>150092009</v>
      </c>
      <c r="AG455" s="11">
        <v>17953335</v>
      </c>
      <c r="AH455" s="12">
        <v>-47.916666666666657</v>
      </c>
      <c r="AI455" s="132">
        <v>1</v>
      </c>
      <c r="AJ455" s="132">
        <v>1</v>
      </c>
      <c r="AK455" s="13">
        <v>0.15</v>
      </c>
      <c r="AL455" s="13">
        <v>0.33301723323313026</v>
      </c>
      <c r="AM455" s="14">
        <v>1</v>
      </c>
      <c r="AN455" s="14">
        <v>0</v>
      </c>
      <c r="AO455" s="82">
        <v>758636.2698585419</v>
      </c>
      <c r="AP455" s="82">
        <v>831528.06049495866</v>
      </c>
      <c r="AQ455" s="82">
        <v>72891.790636416757</v>
      </c>
      <c r="AR455" s="129">
        <v>9.6082659810093674E-2</v>
      </c>
    </row>
    <row r="456" spans="1:44" ht="28.8" x14ac:dyDescent="0.3">
      <c r="A456" s="136" t="s">
        <v>681</v>
      </c>
      <c r="B456" s="137" t="s">
        <v>5237</v>
      </c>
      <c r="C456" s="134">
        <v>2019</v>
      </c>
      <c r="D456" s="149" t="s">
        <v>5057</v>
      </c>
      <c r="E456" s="135" t="s">
        <v>1152</v>
      </c>
      <c r="F456" s="384" t="s">
        <v>676</v>
      </c>
      <c r="G456" s="138" t="s">
        <v>4773</v>
      </c>
      <c r="H456" s="138" t="s">
        <v>3463</v>
      </c>
      <c r="I456" s="138" t="s">
        <v>1566</v>
      </c>
      <c r="J456" s="135" t="s">
        <v>4774</v>
      </c>
      <c r="K456" s="164">
        <v>869987303</v>
      </c>
      <c r="L456" s="165">
        <v>567277058</v>
      </c>
      <c r="M456" s="165">
        <v>265935760</v>
      </c>
      <c r="N456" s="165">
        <v>12046511</v>
      </c>
      <c r="O456" s="165">
        <v>185293515</v>
      </c>
      <c r="P456" s="165">
        <v>51004610</v>
      </c>
      <c r="Q456" s="165">
        <v>0</v>
      </c>
      <c r="R456" s="165">
        <v>403.66666666666669</v>
      </c>
      <c r="S456" s="165">
        <v>285119121</v>
      </c>
      <c r="T456" s="165">
        <v>706323.17341040459</v>
      </c>
      <c r="U456" s="166">
        <v>36774485</v>
      </c>
      <c r="V456" s="168">
        <v>858896906</v>
      </c>
      <c r="W456" s="165">
        <v>540966076</v>
      </c>
      <c r="X456" s="165">
        <v>263205843</v>
      </c>
      <c r="Y456" s="165">
        <v>16004372</v>
      </c>
      <c r="Z456" s="165">
        <v>218402168</v>
      </c>
      <c r="AA456" s="165">
        <v>49494456</v>
      </c>
      <c r="AB456" s="165">
        <v>0</v>
      </c>
      <c r="AC456" s="165">
        <v>417.08333333333331</v>
      </c>
      <c r="AD456" s="165">
        <v>338625983</v>
      </c>
      <c r="AE456" s="165">
        <v>811890.46873126877</v>
      </c>
      <c r="AF456" s="166">
        <v>54724987</v>
      </c>
      <c r="AG456" s="11">
        <v>53506862</v>
      </c>
      <c r="AH456" s="12">
        <v>13.416666666666629</v>
      </c>
      <c r="AI456" s="132">
        <v>1</v>
      </c>
      <c r="AJ456" s="132">
        <v>1</v>
      </c>
      <c r="AK456" s="13">
        <v>0.15</v>
      </c>
      <c r="AL456" s="13">
        <v>0.14946033838872919</v>
      </c>
      <c r="AM456" s="14">
        <v>0</v>
      </c>
      <c r="AN456" s="14">
        <v>-1</v>
      </c>
      <c r="AO456" s="82">
        <v>459026.04872006603</v>
      </c>
      <c r="AP456" s="82">
        <v>523641.56163836166</v>
      </c>
      <c r="AQ456" s="82">
        <v>64615.51291829563</v>
      </c>
      <c r="AR456" s="129">
        <v>0.14076654930252319</v>
      </c>
    </row>
    <row r="457" spans="1:44" ht="28.8" x14ac:dyDescent="0.3">
      <c r="A457" s="136" t="s">
        <v>682</v>
      </c>
      <c r="B457" s="137" t="s">
        <v>5238</v>
      </c>
      <c r="C457" s="134">
        <v>2018</v>
      </c>
      <c r="D457" s="149" t="s">
        <v>5057</v>
      </c>
      <c r="E457" s="135" t="s">
        <v>1152</v>
      </c>
      <c r="F457" s="384" t="s">
        <v>676</v>
      </c>
      <c r="G457" s="138" t="s">
        <v>4773</v>
      </c>
      <c r="H457" s="138" t="s">
        <v>3044</v>
      </c>
      <c r="I457" s="138" t="s">
        <v>1566</v>
      </c>
      <c r="J457" s="135" t="s">
        <v>4798</v>
      </c>
      <c r="K457" s="164">
        <v>5078822000</v>
      </c>
      <c r="L457" s="165">
        <v>4935162000</v>
      </c>
      <c r="M457" s="165">
        <v>445314000</v>
      </c>
      <c r="N457" s="165">
        <v>249191000</v>
      </c>
      <c r="O457" s="165">
        <v>1914583000</v>
      </c>
      <c r="P457" s="165">
        <v>566176000</v>
      </c>
      <c r="Q457" s="165">
        <v>13768000</v>
      </c>
      <c r="R457" s="165">
        <v>3502.9166666666665</v>
      </c>
      <c r="S457" s="165">
        <v>2442064000</v>
      </c>
      <c r="T457" s="165">
        <v>697151.61175211135</v>
      </c>
      <c r="U457" s="166">
        <v>-301654000</v>
      </c>
      <c r="V457" s="168">
        <v>5184174046</v>
      </c>
      <c r="W457" s="165">
        <v>6022070733</v>
      </c>
      <c r="X457" s="165">
        <v>574044908</v>
      </c>
      <c r="Y457" s="165">
        <v>208279069</v>
      </c>
      <c r="Z457" s="165">
        <v>1825672422</v>
      </c>
      <c r="AA457" s="165">
        <v>539631954</v>
      </c>
      <c r="AB457" s="165">
        <v>4089603</v>
      </c>
      <c r="AC457" s="165">
        <v>2834.25</v>
      </c>
      <c r="AD457" s="165">
        <v>1165731453</v>
      </c>
      <c r="AE457" s="165">
        <v>411301.56231807359</v>
      </c>
      <c r="AF457" s="166">
        <v>-1411941595</v>
      </c>
      <c r="AG457" s="11">
        <v>-1276332547</v>
      </c>
      <c r="AH457" s="12">
        <v>-668.66666666666652</v>
      </c>
      <c r="AI457" s="132">
        <v>0</v>
      </c>
      <c r="AJ457" s="132">
        <v>0</v>
      </c>
      <c r="AK457" s="13">
        <v>0.3</v>
      </c>
      <c r="AL457" s="13">
        <v>-0.41002566141961572</v>
      </c>
      <c r="AM457" s="14">
        <v>0</v>
      </c>
      <c r="AN457" s="14">
        <v>-1</v>
      </c>
      <c r="AO457" s="82">
        <v>546568.24075175449</v>
      </c>
      <c r="AP457" s="82">
        <v>644146.57210902357</v>
      </c>
      <c r="AQ457" s="82">
        <v>97578.331357269082</v>
      </c>
      <c r="AR457" s="129">
        <v>0.17852909130442529</v>
      </c>
    </row>
    <row r="458" spans="1:44" ht="28.8" x14ac:dyDescent="0.3">
      <c r="A458" s="136" t="s">
        <v>683</v>
      </c>
      <c r="B458" s="137" t="s">
        <v>5239</v>
      </c>
      <c r="C458" s="134">
        <v>2019</v>
      </c>
      <c r="D458" s="149" t="s">
        <v>5057</v>
      </c>
      <c r="E458" s="135" t="s">
        <v>1152</v>
      </c>
      <c r="F458" s="384" t="s">
        <v>684</v>
      </c>
      <c r="G458" s="138" t="s">
        <v>4773</v>
      </c>
      <c r="H458" s="138" t="s">
        <v>2773</v>
      </c>
      <c r="I458" s="138" t="s">
        <v>1566</v>
      </c>
      <c r="J458" s="135" t="s">
        <v>4774</v>
      </c>
      <c r="K458" s="164">
        <v>691018372</v>
      </c>
      <c r="L458" s="165">
        <v>649703187</v>
      </c>
      <c r="M458" s="165">
        <v>29066901</v>
      </c>
      <c r="N458" s="165">
        <v>8931652</v>
      </c>
      <c r="O458" s="165">
        <v>9209863</v>
      </c>
      <c r="P458" s="165">
        <v>2708329</v>
      </c>
      <c r="Q458" s="165">
        <v>94507</v>
      </c>
      <c r="R458" s="165">
        <v>33</v>
      </c>
      <c r="S458" s="165">
        <v>33192635</v>
      </c>
      <c r="T458" s="165">
        <v>1005837.4242424242</v>
      </c>
      <c r="U458" s="166">
        <v>12248284</v>
      </c>
      <c r="V458" s="168">
        <v>990152477</v>
      </c>
      <c r="W458" s="165">
        <v>922407699</v>
      </c>
      <c r="X458" s="165">
        <v>55350648</v>
      </c>
      <c r="Y458" s="165">
        <v>14364717</v>
      </c>
      <c r="Z458" s="165">
        <v>24434835</v>
      </c>
      <c r="AA458" s="165">
        <v>5502322</v>
      </c>
      <c r="AB458" s="165">
        <v>380761</v>
      </c>
      <c r="AC458" s="165">
        <v>96</v>
      </c>
      <c r="AD458" s="165">
        <v>57076765</v>
      </c>
      <c r="AE458" s="165">
        <v>594549.63541666663</v>
      </c>
      <c r="AF458" s="166">
        <v>12394130</v>
      </c>
      <c r="AG458" s="11">
        <v>23884130</v>
      </c>
      <c r="AH458" s="12">
        <v>63</v>
      </c>
      <c r="AI458" s="132">
        <v>0</v>
      </c>
      <c r="AJ458" s="132">
        <v>1</v>
      </c>
      <c r="AK458" s="13">
        <v>0.15</v>
      </c>
      <c r="AL458" s="13">
        <v>-0.40890085397697773</v>
      </c>
      <c r="AM458" s="14">
        <v>0</v>
      </c>
      <c r="AN458" s="14">
        <v>-1</v>
      </c>
      <c r="AO458" s="82">
        <v>279086.75757575757</v>
      </c>
      <c r="AP458" s="82">
        <v>254529.53125</v>
      </c>
      <c r="AQ458" s="82">
        <v>-24557.226325757569</v>
      </c>
      <c r="AR458" s="129">
        <v>-8.7991370637109378E-2</v>
      </c>
    </row>
    <row r="459" spans="1:44" ht="43.2" x14ac:dyDescent="0.3">
      <c r="A459" s="136" t="s">
        <v>685</v>
      </c>
      <c r="B459" s="137" t="s">
        <v>5240</v>
      </c>
      <c r="C459" s="134">
        <v>2019</v>
      </c>
      <c r="D459" s="149" t="s">
        <v>5057</v>
      </c>
      <c r="E459" s="135" t="s">
        <v>1152</v>
      </c>
      <c r="F459" s="384" t="s">
        <v>676</v>
      </c>
      <c r="G459" s="138" t="s">
        <v>4773</v>
      </c>
      <c r="H459" s="138" t="s">
        <v>2256</v>
      </c>
      <c r="I459" s="138" t="s">
        <v>1566</v>
      </c>
      <c r="J459" s="135" t="s">
        <v>4774</v>
      </c>
      <c r="K459" s="164">
        <v>2209218679</v>
      </c>
      <c r="L459" s="165">
        <v>1647576097</v>
      </c>
      <c r="M459" s="165">
        <v>324658015</v>
      </c>
      <c r="N459" s="165">
        <v>109892966</v>
      </c>
      <c r="O459" s="165">
        <v>212536819</v>
      </c>
      <c r="P459" s="165">
        <v>59458574</v>
      </c>
      <c r="Q459" s="165">
        <v>3637087</v>
      </c>
      <c r="R459" s="165">
        <v>417.33333333333331</v>
      </c>
      <c r="S459" s="165">
        <v>622510013</v>
      </c>
      <c r="T459" s="165">
        <v>1491637.4113418532</v>
      </c>
      <c r="U459" s="166">
        <v>236984567</v>
      </c>
      <c r="V459" s="168">
        <v>3789227645</v>
      </c>
      <c r="W459" s="165">
        <v>2859933892</v>
      </c>
      <c r="X459" s="165">
        <v>377620041</v>
      </c>
      <c r="Y459" s="165">
        <v>133010254</v>
      </c>
      <c r="Z459" s="165">
        <v>259615332</v>
      </c>
      <c r="AA459" s="165">
        <v>74486537.879999995</v>
      </c>
      <c r="AB459" s="165">
        <v>6255369</v>
      </c>
      <c r="AC459" s="165">
        <v>417.41666666666669</v>
      </c>
      <c r="AD459" s="165">
        <v>1025041204.88</v>
      </c>
      <c r="AE459" s="165">
        <v>2455678.6701058093</v>
      </c>
      <c r="AF459" s="166">
        <v>551673712</v>
      </c>
      <c r="AG459" s="11">
        <v>402531191.88</v>
      </c>
      <c r="AH459" s="12">
        <v>8.3333333333371229E-2</v>
      </c>
      <c r="AI459" s="132">
        <v>1</v>
      </c>
      <c r="AJ459" s="132">
        <v>1</v>
      </c>
      <c r="AK459" s="13">
        <v>0.15</v>
      </c>
      <c r="AL459" s="13">
        <v>0.64629731966832349</v>
      </c>
      <c r="AM459" s="14">
        <v>1</v>
      </c>
      <c r="AN459" s="14">
        <v>0</v>
      </c>
      <c r="AO459" s="82">
        <v>509273.52795527159</v>
      </c>
      <c r="AP459" s="82">
        <v>621957.27370732673</v>
      </c>
      <c r="AQ459" s="82">
        <v>112683.74575205514</v>
      </c>
      <c r="AR459" s="129">
        <v>0.22126370126576056</v>
      </c>
    </row>
    <row r="460" spans="1:44" ht="43.2" x14ac:dyDescent="0.3">
      <c r="A460" s="136" t="s">
        <v>686</v>
      </c>
      <c r="B460" s="137" t="s">
        <v>5241</v>
      </c>
      <c r="C460" s="134">
        <v>2018</v>
      </c>
      <c r="D460" s="149" t="s">
        <v>5057</v>
      </c>
      <c r="E460" s="135" t="s">
        <v>1152</v>
      </c>
      <c r="F460" s="384" t="s">
        <v>676</v>
      </c>
      <c r="G460" s="138" t="s">
        <v>4773</v>
      </c>
      <c r="H460" s="138" t="s">
        <v>3386</v>
      </c>
      <c r="I460" s="138" t="s">
        <v>1566</v>
      </c>
      <c r="J460" s="135" t="s">
        <v>4778</v>
      </c>
      <c r="K460" s="164">
        <v>5276254000</v>
      </c>
      <c r="L460" s="165">
        <v>2644056520</v>
      </c>
      <c r="M460" s="165">
        <v>1088945750</v>
      </c>
      <c r="N460" s="165">
        <v>60862790</v>
      </c>
      <c r="O460" s="165">
        <v>992840650</v>
      </c>
      <c r="P460" s="165">
        <v>299111093.94999999</v>
      </c>
      <c r="Q460" s="165">
        <v>6556560</v>
      </c>
      <c r="R460" s="165">
        <v>2007.166666666667</v>
      </c>
      <c r="S460" s="165">
        <v>2902622823.9499998</v>
      </c>
      <c r="T460" s="165">
        <v>1446129.4481192392</v>
      </c>
      <c r="U460" s="166">
        <v>1543251730</v>
      </c>
      <c r="V460" s="168">
        <v>5619347809</v>
      </c>
      <c r="W460" s="165">
        <v>2467322413</v>
      </c>
      <c r="X460" s="165">
        <v>1115310329</v>
      </c>
      <c r="Y460" s="165">
        <v>79059704</v>
      </c>
      <c r="Z460" s="165">
        <v>897383595</v>
      </c>
      <c r="AA460" s="165">
        <v>269594987</v>
      </c>
      <c r="AB460" s="165">
        <v>2869123</v>
      </c>
      <c r="AC460" s="165">
        <v>1621.0833333333333</v>
      </c>
      <c r="AD460" s="165">
        <v>3285622476</v>
      </c>
      <c r="AE460" s="165">
        <v>2026806.6474065697</v>
      </c>
      <c r="AF460" s="166">
        <v>2036715067</v>
      </c>
      <c r="AG460" s="11">
        <v>382999652.05000019</v>
      </c>
      <c r="AH460" s="12">
        <v>-386.08333333333371</v>
      </c>
      <c r="AI460" s="132">
        <v>1</v>
      </c>
      <c r="AJ460" s="132">
        <v>1</v>
      </c>
      <c r="AK460" s="13">
        <v>0.3</v>
      </c>
      <c r="AL460" s="13">
        <v>0.40153888021573714</v>
      </c>
      <c r="AM460" s="14">
        <v>1</v>
      </c>
      <c r="AN460" s="14">
        <v>0</v>
      </c>
      <c r="AO460" s="82">
        <v>494647.83691771148</v>
      </c>
      <c r="AP460" s="82">
        <v>553570.30483730021</v>
      </c>
      <c r="AQ460" s="82">
        <v>58922.467919588729</v>
      </c>
      <c r="AR460" s="129">
        <v>0.11912003555246709</v>
      </c>
    </row>
    <row r="461" spans="1:44" ht="28.8" x14ac:dyDescent="0.3">
      <c r="A461" s="136" t="s">
        <v>687</v>
      </c>
      <c r="B461" s="137" t="s">
        <v>5242</v>
      </c>
      <c r="C461" s="134">
        <v>2020</v>
      </c>
      <c r="D461" s="149" t="s">
        <v>5057</v>
      </c>
      <c r="E461" s="135" t="s">
        <v>1152</v>
      </c>
      <c r="F461" s="384" t="s">
        <v>676</v>
      </c>
      <c r="G461" s="138" t="s">
        <v>4773</v>
      </c>
      <c r="H461" s="138" t="s">
        <v>2431</v>
      </c>
      <c r="I461" s="138" t="s">
        <v>1566</v>
      </c>
      <c r="J461" s="135" t="s">
        <v>4774</v>
      </c>
      <c r="K461" s="164">
        <v>1052597098</v>
      </c>
      <c r="L461" s="165">
        <v>812006007</v>
      </c>
      <c r="M461" s="165">
        <v>199748971</v>
      </c>
      <c r="N461" s="165">
        <v>26643781</v>
      </c>
      <c r="O461" s="165">
        <v>113171653</v>
      </c>
      <c r="P461" s="165">
        <v>21356158</v>
      </c>
      <c r="Q461" s="165">
        <v>0</v>
      </c>
      <c r="R461" s="165">
        <v>240.16666666666666</v>
      </c>
      <c r="S461" s="165">
        <v>202013712</v>
      </c>
      <c r="T461" s="165">
        <v>841139.67522553785</v>
      </c>
      <c r="U461" s="166">
        <v>40842120</v>
      </c>
      <c r="V461" s="168">
        <v>1191527592</v>
      </c>
      <c r="W461" s="165">
        <v>853868275</v>
      </c>
      <c r="X461" s="165">
        <v>303089615</v>
      </c>
      <c r="Y461" s="165">
        <v>13540277</v>
      </c>
      <c r="Z461" s="165">
        <v>139389043</v>
      </c>
      <c r="AA461" s="165">
        <v>30461186</v>
      </c>
      <c r="AB461" s="165">
        <v>0</v>
      </c>
      <c r="AC461" s="165">
        <v>254.08333333333334</v>
      </c>
      <c r="AD461" s="165">
        <v>217960208</v>
      </c>
      <c r="AE461" s="165">
        <v>857829.61495572317</v>
      </c>
      <c r="AF461" s="166">
        <v>34569702</v>
      </c>
      <c r="AG461" s="11">
        <v>15946496</v>
      </c>
      <c r="AH461" s="12">
        <v>13.916666666666686</v>
      </c>
      <c r="AI461" s="132">
        <v>0</v>
      </c>
      <c r="AJ461" s="132">
        <v>0</v>
      </c>
      <c r="AK461" s="13">
        <v>0.1</v>
      </c>
      <c r="AL461" s="13">
        <v>1.9842043357174655E-2</v>
      </c>
      <c r="AM461" s="14">
        <v>0</v>
      </c>
      <c r="AN461" s="14">
        <v>-1</v>
      </c>
      <c r="AO461" s="82">
        <v>471221.31714087439</v>
      </c>
      <c r="AP461" s="82">
        <v>548595.77435224666</v>
      </c>
      <c r="AQ461" s="82">
        <v>77374.457211372268</v>
      </c>
      <c r="AR461" s="129">
        <v>0.16419982372792519</v>
      </c>
    </row>
    <row r="462" spans="1:44" ht="43.2" x14ac:dyDescent="0.3">
      <c r="A462" s="136" t="s">
        <v>688</v>
      </c>
      <c r="B462" s="137" t="s">
        <v>5243</v>
      </c>
      <c r="C462" s="134">
        <v>2020</v>
      </c>
      <c r="D462" s="149" t="s">
        <v>1134</v>
      </c>
      <c r="E462" s="135" t="s">
        <v>1131</v>
      </c>
      <c r="F462" s="384" t="s">
        <v>204</v>
      </c>
      <c r="G462" s="138" t="s">
        <v>4773</v>
      </c>
      <c r="H462" s="138" t="s">
        <v>2264</v>
      </c>
      <c r="I462" s="138" t="s">
        <v>1566</v>
      </c>
      <c r="J462" s="135" t="s">
        <v>4778</v>
      </c>
      <c r="K462" s="164">
        <v>1771760029</v>
      </c>
      <c r="L462" s="165">
        <v>1642343595</v>
      </c>
      <c r="M462" s="165">
        <v>17581091</v>
      </c>
      <c r="N462" s="165">
        <v>72503075</v>
      </c>
      <c r="O462" s="165">
        <v>133552548.97</v>
      </c>
      <c r="P462" s="165">
        <v>29571212.329999998</v>
      </c>
      <c r="Q462" s="165">
        <v>247322</v>
      </c>
      <c r="R462" s="165">
        <v>283.41666666666669</v>
      </c>
      <c r="S462" s="165">
        <v>347709501.30000001</v>
      </c>
      <c r="T462" s="165">
        <v>1226849.1665980595</v>
      </c>
      <c r="U462" s="166">
        <v>111835343</v>
      </c>
      <c r="V462" s="168">
        <v>1893887454</v>
      </c>
      <c r="W462" s="165">
        <v>1451148849</v>
      </c>
      <c r="X462" s="165">
        <v>113547713</v>
      </c>
      <c r="Y462" s="165">
        <v>105000750</v>
      </c>
      <c r="Z462" s="165">
        <v>126961339.58</v>
      </c>
      <c r="AA462" s="165">
        <v>23779004.509999998</v>
      </c>
      <c r="AB462" s="165">
        <v>1006415</v>
      </c>
      <c r="AC462" s="165">
        <v>237.5</v>
      </c>
      <c r="AD462" s="165">
        <v>585938401.09000003</v>
      </c>
      <c r="AE462" s="165">
        <v>2467109.0572210527</v>
      </c>
      <c r="AF462" s="166">
        <v>329190892</v>
      </c>
      <c r="AG462" s="11">
        <v>238228899.79000002</v>
      </c>
      <c r="AH462" s="12">
        <v>-45.916666666666686</v>
      </c>
      <c r="AI462" s="132">
        <v>1</v>
      </c>
      <c r="AJ462" s="132">
        <v>1</v>
      </c>
      <c r="AK462" s="13">
        <v>0.1</v>
      </c>
      <c r="AL462" s="13">
        <v>1.0109310258570745</v>
      </c>
      <c r="AM462" s="14">
        <v>1</v>
      </c>
      <c r="AN462" s="14">
        <v>0</v>
      </c>
      <c r="AO462" s="82">
        <v>471223.34244045865</v>
      </c>
      <c r="AP462" s="82">
        <v>534574.06138947373</v>
      </c>
      <c r="AQ462" s="82">
        <v>63350.718949015078</v>
      </c>
      <c r="AR462" s="129">
        <v>0.13443883874878226</v>
      </c>
    </row>
    <row r="463" spans="1:44" ht="28.8" x14ac:dyDescent="0.3">
      <c r="A463" s="136" t="s">
        <v>689</v>
      </c>
      <c r="B463" s="137" t="s">
        <v>5244</v>
      </c>
      <c r="C463" s="134">
        <v>2020</v>
      </c>
      <c r="D463" s="149" t="s">
        <v>1134</v>
      </c>
      <c r="E463" s="135" t="s">
        <v>1131</v>
      </c>
      <c r="F463" s="384" t="s">
        <v>202</v>
      </c>
      <c r="G463" s="138" t="s">
        <v>4796</v>
      </c>
      <c r="H463" s="138" t="s">
        <v>3108</v>
      </c>
      <c r="I463" s="138" t="s">
        <v>1566</v>
      </c>
      <c r="J463" s="135" t="s">
        <v>4774</v>
      </c>
      <c r="K463" s="164">
        <v>1724138163</v>
      </c>
      <c r="L463" s="165">
        <v>950403758</v>
      </c>
      <c r="M463" s="165">
        <v>753493646</v>
      </c>
      <c r="N463" s="165">
        <v>6688788</v>
      </c>
      <c r="O463" s="165">
        <v>305096458.44</v>
      </c>
      <c r="P463" s="165">
        <v>89606495.430000007</v>
      </c>
      <c r="Q463" s="165">
        <v>0</v>
      </c>
      <c r="R463" s="165">
        <v>525.91666666666663</v>
      </c>
      <c r="S463" s="165">
        <v>421632500.87</v>
      </c>
      <c r="T463" s="165">
        <v>801709.71485343063</v>
      </c>
      <c r="U463" s="166">
        <v>20240759</v>
      </c>
      <c r="V463" s="168">
        <v>2512026942</v>
      </c>
      <c r="W463" s="165">
        <v>1722566518</v>
      </c>
      <c r="X463" s="165">
        <v>734738455</v>
      </c>
      <c r="Y463" s="165">
        <v>10252470</v>
      </c>
      <c r="Z463" s="165">
        <v>370982647.48000002</v>
      </c>
      <c r="AA463" s="165">
        <v>109217988.13</v>
      </c>
      <c r="AB463" s="165">
        <v>0</v>
      </c>
      <c r="AC463" s="165">
        <v>552.33333333333337</v>
      </c>
      <c r="AD463" s="165">
        <v>545175074.61000001</v>
      </c>
      <c r="AE463" s="165">
        <v>987039.96610138798</v>
      </c>
      <c r="AF463" s="166">
        <v>54721969</v>
      </c>
      <c r="AG463" s="11">
        <v>123542573.74000001</v>
      </c>
      <c r="AH463" s="12">
        <v>26.416666666666742</v>
      </c>
      <c r="AI463" s="132">
        <v>1</v>
      </c>
      <c r="AJ463" s="132">
        <v>1</v>
      </c>
      <c r="AK463" s="13">
        <v>0.05</v>
      </c>
      <c r="AL463" s="13">
        <v>0.23116878551963649</v>
      </c>
      <c r="AM463" s="14">
        <v>1</v>
      </c>
      <c r="AN463" s="14">
        <v>0</v>
      </c>
      <c r="AO463" s="82">
        <v>580123.1977943274</v>
      </c>
      <c r="AP463" s="82">
        <v>671664.41909474949</v>
      </c>
      <c r="AQ463" s="82">
        <v>91541.221300422098</v>
      </c>
      <c r="AR463" s="129">
        <v>0.15779617441341554</v>
      </c>
    </row>
    <row r="464" spans="1:44" ht="28.8" x14ac:dyDescent="0.3">
      <c r="A464" s="136" t="s">
        <v>690</v>
      </c>
      <c r="B464" s="137" t="s">
        <v>5245</v>
      </c>
      <c r="C464" s="134">
        <v>2019</v>
      </c>
      <c r="D464" s="149" t="s">
        <v>1134</v>
      </c>
      <c r="E464" s="135" t="s">
        <v>1131</v>
      </c>
      <c r="F464" s="384" t="s">
        <v>208</v>
      </c>
      <c r="G464" s="138" t="s">
        <v>4773</v>
      </c>
      <c r="H464" s="138" t="s">
        <v>2566</v>
      </c>
      <c r="I464" s="138" t="s">
        <v>1566</v>
      </c>
      <c r="J464" s="135" t="s">
        <v>4774</v>
      </c>
      <c r="K464" s="164">
        <v>738237334</v>
      </c>
      <c r="L464" s="165">
        <v>394755809</v>
      </c>
      <c r="M464" s="165">
        <v>309457875</v>
      </c>
      <c r="N464" s="165">
        <v>29027897</v>
      </c>
      <c r="O464" s="165">
        <v>158810367</v>
      </c>
      <c r="P464" s="165">
        <v>46884745</v>
      </c>
      <c r="Q464" s="165">
        <v>1957191</v>
      </c>
      <c r="R464" s="165">
        <v>418.91666666666669</v>
      </c>
      <c r="S464" s="165">
        <v>270703850</v>
      </c>
      <c r="T464" s="165">
        <v>646199.76128903916</v>
      </c>
      <c r="U464" s="166">
        <v>34023650</v>
      </c>
      <c r="V464" s="168">
        <v>1077759330</v>
      </c>
      <c r="W464" s="165">
        <v>620121924</v>
      </c>
      <c r="X464" s="165">
        <v>410736713</v>
      </c>
      <c r="Y464" s="165">
        <v>35978814</v>
      </c>
      <c r="Z464" s="165">
        <v>279777266.74000001</v>
      </c>
      <c r="AA464" s="165">
        <v>79696446.260000005</v>
      </c>
      <c r="AB464" s="165">
        <v>1613637</v>
      </c>
      <c r="AC464" s="165">
        <v>503.75</v>
      </c>
      <c r="AD464" s="165">
        <v>443966857</v>
      </c>
      <c r="AE464" s="165">
        <v>881323.7856079404</v>
      </c>
      <c r="AF464" s="166">
        <v>46900693</v>
      </c>
      <c r="AG464" s="11">
        <v>173263007</v>
      </c>
      <c r="AH464" s="12">
        <v>84.833333333333314</v>
      </c>
      <c r="AI464" s="132">
        <v>1</v>
      </c>
      <c r="AJ464" s="132">
        <v>1</v>
      </c>
      <c r="AK464" s="13">
        <v>0.15</v>
      </c>
      <c r="AL464" s="13">
        <v>0.3638565727724814</v>
      </c>
      <c r="AM464" s="14">
        <v>1</v>
      </c>
      <c r="AN464" s="14">
        <v>0</v>
      </c>
      <c r="AO464" s="82">
        <v>379097.75293415552</v>
      </c>
      <c r="AP464" s="82">
        <v>555389.11511662533</v>
      </c>
      <c r="AQ464" s="82">
        <v>176291.36218246981</v>
      </c>
      <c r="AR464" s="129">
        <v>0.46502877112302321</v>
      </c>
    </row>
    <row r="465" spans="1:44" ht="28.8" x14ac:dyDescent="0.3">
      <c r="A465" s="136" t="s">
        <v>691</v>
      </c>
      <c r="B465" s="137" t="s">
        <v>5246</v>
      </c>
      <c r="C465" s="134">
        <v>2020</v>
      </c>
      <c r="D465" s="149" t="s">
        <v>1134</v>
      </c>
      <c r="E465" s="135" t="s">
        <v>1131</v>
      </c>
      <c r="F465" s="384" t="s">
        <v>202</v>
      </c>
      <c r="G465" s="138" t="s">
        <v>4796</v>
      </c>
      <c r="H465" s="138" t="s">
        <v>3072</v>
      </c>
      <c r="I465" s="138" t="s">
        <v>1566</v>
      </c>
      <c r="J465" s="135" t="s">
        <v>4774</v>
      </c>
      <c r="K465" s="164">
        <v>755326403</v>
      </c>
      <c r="L465" s="165">
        <v>664577912</v>
      </c>
      <c r="M465" s="165">
        <v>91459862</v>
      </c>
      <c r="N465" s="165">
        <v>7449442</v>
      </c>
      <c r="O465" s="165">
        <v>79119061</v>
      </c>
      <c r="P465" s="165">
        <v>16488291.02</v>
      </c>
      <c r="Q465" s="165">
        <v>1116779</v>
      </c>
      <c r="R465" s="165">
        <v>162.58333333333334</v>
      </c>
      <c r="S465" s="165">
        <v>103462202.02</v>
      </c>
      <c r="T465" s="165">
        <v>636364.13338800613</v>
      </c>
      <c r="U465" s="166">
        <v>-711371</v>
      </c>
      <c r="V465" s="168">
        <v>840199248</v>
      </c>
      <c r="W465" s="165">
        <v>737945901</v>
      </c>
      <c r="X465" s="165">
        <v>96946062</v>
      </c>
      <c r="Y465" s="165">
        <v>7298159</v>
      </c>
      <c r="Z465" s="165">
        <v>99122983.519999996</v>
      </c>
      <c r="AA465" s="165">
        <v>18878362.359999999</v>
      </c>
      <c r="AB465" s="165">
        <v>1052371</v>
      </c>
      <c r="AC465" s="165">
        <v>174.83333333333334</v>
      </c>
      <c r="AD465" s="165">
        <v>131659160.88</v>
      </c>
      <c r="AE465" s="165">
        <v>753055.25765490939</v>
      </c>
      <c r="AF465" s="166">
        <v>5307285</v>
      </c>
      <c r="AG465" s="11">
        <v>28196958.859999999</v>
      </c>
      <c r="AH465" s="12">
        <v>12.25</v>
      </c>
      <c r="AI465" s="132">
        <v>1</v>
      </c>
      <c r="AJ465" s="132">
        <v>1</v>
      </c>
      <c r="AK465" s="13">
        <v>0.05</v>
      </c>
      <c r="AL465" s="13">
        <v>0.18337163347028995</v>
      </c>
      <c r="AM465" s="14">
        <v>1</v>
      </c>
      <c r="AN465" s="14">
        <v>0</v>
      </c>
      <c r="AO465" s="82">
        <v>486636.97180932853</v>
      </c>
      <c r="AP465" s="82">
        <v>566957.00774070539</v>
      </c>
      <c r="AQ465" s="82">
        <v>80320.035931376857</v>
      </c>
      <c r="AR465" s="129">
        <v>0.16505124062552201</v>
      </c>
    </row>
    <row r="466" spans="1:44" ht="28.8" x14ac:dyDescent="0.3">
      <c r="A466" s="136" t="s">
        <v>692</v>
      </c>
      <c r="B466" s="137" t="s">
        <v>5247</v>
      </c>
      <c r="C466" s="134">
        <v>2019</v>
      </c>
      <c r="D466" s="149" t="s">
        <v>1134</v>
      </c>
      <c r="E466" s="135" t="s">
        <v>1131</v>
      </c>
      <c r="F466" s="384" t="s">
        <v>204</v>
      </c>
      <c r="G466" s="138" t="s">
        <v>4773</v>
      </c>
      <c r="H466" s="138" t="s">
        <v>2906</v>
      </c>
      <c r="I466" s="138" t="s">
        <v>1566</v>
      </c>
      <c r="J466" s="135" t="s">
        <v>4778</v>
      </c>
      <c r="K466" s="164">
        <v>964275810</v>
      </c>
      <c r="L466" s="165">
        <v>363826146</v>
      </c>
      <c r="M466" s="165">
        <v>533809223</v>
      </c>
      <c r="N466" s="165">
        <v>20472334</v>
      </c>
      <c r="O466" s="165">
        <v>450190894</v>
      </c>
      <c r="P466" s="165">
        <v>135712216</v>
      </c>
      <c r="Q466" s="165">
        <v>8443967</v>
      </c>
      <c r="R466" s="165">
        <v>1218.3333333333333</v>
      </c>
      <c r="S466" s="165">
        <v>681459852</v>
      </c>
      <c r="T466" s="165">
        <v>559337.77181942551</v>
      </c>
      <c r="U466" s="166">
        <v>66640441</v>
      </c>
      <c r="V466" s="168">
        <v>532664147</v>
      </c>
      <c r="W466" s="165">
        <v>241656270</v>
      </c>
      <c r="X466" s="165">
        <v>605950769</v>
      </c>
      <c r="Y466" s="165">
        <v>34259606</v>
      </c>
      <c r="Z466" s="165">
        <v>330244456.10000002</v>
      </c>
      <c r="AA466" s="165">
        <v>99412984.589999989</v>
      </c>
      <c r="AB466" s="165">
        <v>8370593</v>
      </c>
      <c r="AC466" s="165">
        <v>825.25</v>
      </c>
      <c r="AD466" s="165">
        <v>157344747.69</v>
      </c>
      <c r="AE466" s="165">
        <v>190663.12958497426</v>
      </c>
      <c r="AF466" s="166">
        <v>-314942892</v>
      </c>
      <c r="AG466" s="11">
        <v>-524115104.31</v>
      </c>
      <c r="AH466" s="12">
        <v>-393.08333333333326</v>
      </c>
      <c r="AI466" s="132">
        <v>0</v>
      </c>
      <c r="AJ466" s="132">
        <v>0</v>
      </c>
      <c r="AK466" s="13">
        <v>0.15</v>
      </c>
      <c r="AL466" s="13">
        <v>-0.65912702444535443</v>
      </c>
      <c r="AM466" s="14">
        <v>0</v>
      </c>
      <c r="AN466" s="14">
        <v>-1</v>
      </c>
      <c r="AO466" s="82">
        <v>369513.72968536254</v>
      </c>
      <c r="AP466" s="82">
        <v>400175.04525901243</v>
      </c>
      <c r="AQ466" s="82">
        <v>30661.315573649888</v>
      </c>
      <c r="AR466" s="129">
        <v>8.2977473123279299E-2</v>
      </c>
    </row>
    <row r="467" spans="1:44" ht="28.8" x14ac:dyDescent="0.3">
      <c r="A467" s="136" t="s">
        <v>693</v>
      </c>
      <c r="B467" s="137" t="s">
        <v>5248</v>
      </c>
      <c r="C467" s="134">
        <v>2020</v>
      </c>
      <c r="D467" s="149" t="s">
        <v>1134</v>
      </c>
      <c r="E467" s="135" t="s">
        <v>1131</v>
      </c>
      <c r="F467" s="384" t="s">
        <v>202</v>
      </c>
      <c r="G467" s="138" t="s">
        <v>4773</v>
      </c>
      <c r="H467" s="138" t="s">
        <v>3072</v>
      </c>
      <c r="I467" s="138" t="s">
        <v>1566</v>
      </c>
      <c r="J467" s="135" t="s">
        <v>4774</v>
      </c>
      <c r="K467" s="164">
        <v>507136121</v>
      </c>
      <c r="L467" s="165">
        <v>430532645</v>
      </c>
      <c r="M467" s="165">
        <v>74778456</v>
      </c>
      <c r="N467" s="165">
        <v>11130350</v>
      </c>
      <c r="O467" s="165">
        <v>73457144</v>
      </c>
      <c r="P467" s="165">
        <v>15511617.32</v>
      </c>
      <c r="Q467" s="165">
        <v>0</v>
      </c>
      <c r="R467" s="165">
        <v>156.75</v>
      </c>
      <c r="S467" s="165">
        <v>101924131.31999999</v>
      </c>
      <c r="T467" s="165">
        <v>650233.69263157889</v>
      </c>
      <c r="U467" s="166">
        <v>1825020</v>
      </c>
      <c r="V467" s="168">
        <v>562273548</v>
      </c>
      <c r="W467" s="165">
        <v>493644725</v>
      </c>
      <c r="X467" s="165">
        <v>66749064</v>
      </c>
      <c r="Y467" s="165">
        <v>7743535</v>
      </c>
      <c r="Z467" s="165">
        <v>103622308.59999999</v>
      </c>
      <c r="AA467" s="165">
        <v>20184480.619999997</v>
      </c>
      <c r="AB467" s="165">
        <v>0</v>
      </c>
      <c r="AC467" s="165">
        <v>161.66666666666666</v>
      </c>
      <c r="AD467" s="165">
        <v>133430083.22</v>
      </c>
      <c r="AE467" s="165">
        <v>825340.72094845364</v>
      </c>
      <c r="AF467" s="166">
        <v>1879759</v>
      </c>
      <c r="AG467" s="11">
        <v>31505951.900000006</v>
      </c>
      <c r="AH467" s="12">
        <v>4.9166666666666572</v>
      </c>
      <c r="AI467" s="132">
        <v>1</v>
      </c>
      <c r="AJ467" s="132">
        <v>1</v>
      </c>
      <c r="AK467" s="13">
        <v>0.1</v>
      </c>
      <c r="AL467" s="13">
        <v>0.26929861170373992</v>
      </c>
      <c r="AM467" s="14">
        <v>1</v>
      </c>
      <c r="AN467" s="14">
        <v>0</v>
      </c>
      <c r="AO467" s="82">
        <v>468626.11802232853</v>
      </c>
      <c r="AP467" s="82">
        <v>640962.73360824748</v>
      </c>
      <c r="AQ467" s="82">
        <v>172336.61558591895</v>
      </c>
      <c r="AR467" s="129">
        <v>0.3677486357636337</v>
      </c>
    </row>
    <row r="468" spans="1:44" ht="43.2" x14ac:dyDescent="0.3">
      <c r="A468" s="136" t="s">
        <v>694</v>
      </c>
      <c r="B468" s="137" t="s">
        <v>5249</v>
      </c>
      <c r="C468" s="134">
        <v>2018</v>
      </c>
      <c r="D468" s="149" t="s">
        <v>1161</v>
      </c>
      <c r="E468" s="135" t="s">
        <v>1152</v>
      </c>
      <c r="F468" s="384" t="s">
        <v>695</v>
      </c>
      <c r="G468" s="138" t="s">
        <v>4773</v>
      </c>
      <c r="H468" s="138" t="s">
        <v>2781</v>
      </c>
      <c r="I468" s="138" t="s">
        <v>1566</v>
      </c>
      <c r="J468" s="135" t="s">
        <v>4778</v>
      </c>
      <c r="K468" s="164">
        <v>1476323470</v>
      </c>
      <c r="L468" s="165">
        <v>849136632</v>
      </c>
      <c r="M468" s="165">
        <v>489977525</v>
      </c>
      <c r="N468" s="165">
        <v>32345691</v>
      </c>
      <c r="O468" s="165">
        <v>313502931</v>
      </c>
      <c r="P468" s="165">
        <v>82923645</v>
      </c>
      <c r="Q468" s="165">
        <v>2950656</v>
      </c>
      <c r="R468" s="165">
        <v>1140</v>
      </c>
      <c r="S468" s="165">
        <v>568932236</v>
      </c>
      <c r="T468" s="165">
        <v>499063.3649122807</v>
      </c>
      <c r="U468" s="166">
        <v>137209313</v>
      </c>
      <c r="V468" s="168">
        <v>1675956720</v>
      </c>
      <c r="W468" s="165">
        <v>908323957</v>
      </c>
      <c r="X468" s="165">
        <v>564336534</v>
      </c>
      <c r="Y468" s="165">
        <v>26944308</v>
      </c>
      <c r="Z468" s="165">
        <v>333236176</v>
      </c>
      <c r="AA468" s="165">
        <v>103107343</v>
      </c>
      <c r="AB468" s="165">
        <v>1397687</v>
      </c>
      <c r="AC468" s="165">
        <v>1063.9166666666667</v>
      </c>
      <c r="AD468" s="165">
        <v>667981743</v>
      </c>
      <c r="AE468" s="165">
        <v>627851.56387561676</v>
      </c>
      <c r="AF468" s="166">
        <v>203296229</v>
      </c>
      <c r="AG468" s="11">
        <v>99049507</v>
      </c>
      <c r="AH468" s="12">
        <v>-76.083333333333258</v>
      </c>
      <c r="AI468" s="132">
        <v>0</v>
      </c>
      <c r="AJ468" s="132">
        <v>0</v>
      </c>
      <c r="AK468" s="13">
        <v>0.3</v>
      </c>
      <c r="AL468" s="13">
        <v>0.25805981829641844</v>
      </c>
      <c r="AM468" s="14">
        <v>0</v>
      </c>
      <c r="AN468" s="14">
        <v>-1</v>
      </c>
      <c r="AO468" s="82">
        <v>275002.5710526316</v>
      </c>
      <c r="AP468" s="82">
        <v>313216.42609853524</v>
      </c>
      <c r="AQ468" s="82">
        <v>38213.855045903649</v>
      </c>
      <c r="AR468" s="129">
        <v>0.13895817373500141</v>
      </c>
    </row>
    <row r="469" spans="1:44" ht="43.2" x14ac:dyDescent="0.3">
      <c r="A469" s="136" t="s">
        <v>696</v>
      </c>
      <c r="B469" s="137" t="s">
        <v>5250</v>
      </c>
      <c r="C469" s="134">
        <v>2018</v>
      </c>
      <c r="D469" s="149" t="s">
        <v>1161</v>
      </c>
      <c r="E469" s="135" t="s">
        <v>1152</v>
      </c>
      <c r="F469" s="384" t="s">
        <v>695</v>
      </c>
      <c r="G469" s="138" t="s">
        <v>4773</v>
      </c>
      <c r="H469" s="138" t="s">
        <v>2757</v>
      </c>
      <c r="I469" s="138" t="s">
        <v>1566</v>
      </c>
      <c r="J469" s="135" t="s">
        <v>4778</v>
      </c>
      <c r="K469" s="164">
        <v>1211588000</v>
      </c>
      <c r="L469" s="165">
        <v>668738400</v>
      </c>
      <c r="M469" s="165">
        <v>541566850</v>
      </c>
      <c r="N469" s="165">
        <v>37548150</v>
      </c>
      <c r="O469" s="165">
        <v>289188430</v>
      </c>
      <c r="P469" s="165">
        <v>79277907.390000001</v>
      </c>
      <c r="Q469" s="165">
        <v>5853000</v>
      </c>
      <c r="R469" s="165">
        <v>901.66666666666663</v>
      </c>
      <c r="S469" s="165">
        <v>413150237.38999999</v>
      </c>
      <c r="T469" s="165">
        <v>458207.28730868764</v>
      </c>
      <c r="U469" s="166">
        <v>1282750</v>
      </c>
      <c r="V469" s="168">
        <v>1217807557</v>
      </c>
      <c r="W469" s="165">
        <v>689832991</v>
      </c>
      <c r="X469" s="165">
        <v>528096639</v>
      </c>
      <c r="Y469" s="165">
        <v>47837113</v>
      </c>
      <c r="Z469" s="165">
        <v>255086006</v>
      </c>
      <c r="AA469" s="165">
        <v>82114379</v>
      </c>
      <c r="AB469" s="165">
        <v>4059369</v>
      </c>
      <c r="AC469" s="165">
        <v>749.91666666666663</v>
      </c>
      <c r="AD469" s="165">
        <v>388974794</v>
      </c>
      <c r="AE469" s="165">
        <v>518690.69096566288</v>
      </c>
      <c r="AF469" s="166">
        <v>-122073</v>
      </c>
      <c r="AG469" s="11">
        <v>-24175443.389999986</v>
      </c>
      <c r="AH469" s="12">
        <v>-151.75</v>
      </c>
      <c r="AI469" s="132">
        <v>0</v>
      </c>
      <c r="AJ469" s="132">
        <v>1</v>
      </c>
      <c r="AK469" s="13">
        <v>0.3</v>
      </c>
      <c r="AL469" s="13">
        <v>0.1320000823208205</v>
      </c>
      <c r="AM469" s="14">
        <v>0</v>
      </c>
      <c r="AN469" s="14">
        <v>-1</v>
      </c>
      <c r="AO469" s="82">
        <v>320726.53974121995</v>
      </c>
      <c r="AP469" s="82">
        <v>340152.46938548732</v>
      </c>
      <c r="AQ469" s="82">
        <v>19425.929644267366</v>
      </c>
      <c r="AR469" s="129">
        <v>6.0568513163710369E-2</v>
      </c>
    </row>
    <row r="470" spans="1:44" ht="28.8" x14ac:dyDescent="0.3">
      <c r="A470" s="136" t="s">
        <v>697</v>
      </c>
      <c r="B470" s="137" t="s">
        <v>5251</v>
      </c>
      <c r="C470" s="134">
        <v>2019</v>
      </c>
      <c r="D470" s="149" t="s">
        <v>1157</v>
      </c>
      <c r="E470" s="135" t="s">
        <v>1152</v>
      </c>
      <c r="F470" s="384" t="s">
        <v>695</v>
      </c>
      <c r="G470" s="138" t="s">
        <v>4773</v>
      </c>
      <c r="H470" s="138" t="s">
        <v>1702</v>
      </c>
      <c r="I470" s="138" t="s">
        <v>1566</v>
      </c>
      <c r="J470" s="135" t="s">
        <v>4798</v>
      </c>
      <c r="K470" s="164">
        <v>575466654</v>
      </c>
      <c r="L470" s="165">
        <v>304394369</v>
      </c>
      <c r="M470" s="165">
        <v>225429946</v>
      </c>
      <c r="N470" s="165">
        <v>49857284</v>
      </c>
      <c r="O470" s="165">
        <v>94681298</v>
      </c>
      <c r="P470" s="165">
        <v>28308123</v>
      </c>
      <c r="Q470" s="165">
        <v>4929055</v>
      </c>
      <c r="R470" s="165">
        <v>317.33333333333331</v>
      </c>
      <c r="S470" s="165">
        <v>223418099</v>
      </c>
      <c r="T470" s="165">
        <v>704048.6313025211</v>
      </c>
      <c r="U470" s="166">
        <v>45642339</v>
      </c>
      <c r="V470" s="168">
        <v>670188160</v>
      </c>
      <c r="W470" s="165">
        <v>327249252</v>
      </c>
      <c r="X470" s="165">
        <v>216684939</v>
      </c>
      <c r="Y470" s="165">
        <v>47378683</v>
      </c>
      <c r="Z470" s="165">
        <v>97509244</v>
      </c>
      <c r="AA470" s="165">
        <v>29144280</v>
      </c>
      <c r="AB470" s="165">
        <v>5930539</v>
      </c>
      <c r="AC470" s="165">
        <v>296.75</v>
      </c>
      <c r="AD470" s="165">
        <v>306216715</v>
      </c>
      <c r="AE470" s="165">
        <v>1031901.3142375738</v>
      </c>
      <c r="AF470" s="166">
        <v>126253969</v>
      </c>
      <c r="AG470" s="11">
        <v>82798616</v>
      </c>
      <c r="AH470" s="12">
        <v>-20.583333333333314</v>
      </c>
      <c r="AI470" s="132">
        <v>1</v>
      </c>
      <c r="AJ470" s="132">
        <v>1</v>
      </c>
      <c r="AK470" s="13">
        <v>0.15</v>
      </c>
      <c r="AL470" s="13">
        <v>0.46566766275789795</v>
      </c>
      <c r="AM470" s="14">
        <v>1</v>
      </c>
      <c r="AN470" s="14">
        <v>0</v>
      </c>
      <c r="AO470" s="82">
        <v>298365.43487394962</v>
      </c>
      <c r="AP470" s="82">
        <v>328590.54422914912</v>
      </c>
      <c r="AQ470" s="82">
        <v>30225.1093551995</v>
      </c>
      <c r="AR470" s="129">
        <v>0.10130231528986822</v>
      </c>
    </row>
    <row r="471" spans="1:44" ht="28.8" x14ac:dyDescent="0.3">
      <c r="A471" s="136" t="s">
        <v>698</v>
      </c>
      <c r="B471" s="137" t="s">
        <v>5252</v>
      </c>
      <c r="C471" s="134">
        <v>2019</v>
      </c>
      <c r="D471" s="149" t="s">
        <v>1157</v>
      </c>
      <c r="E471" s="135" t="s">
        <v>1152</v>
      </c>
      <c r="F471" s="384" t="s">
        <v>695</v>
      </c>
      <c r="G471" s="138" t="s">
        <v>4773</v>
      </c>
      <c r="H471" s="138" t="s">
        <v>2898</v>
      </c>
      <c r="I471" s="138" t="s">
        <v>1566</v>
      </c>
      <c r="J471" s="135" t="s">
        <v>4774</v>
      </c>
      <c r="K471" s="164">
        <v>509425155</v>
      </c>
      <c r="L471" s="165">
        <v>440514272</v>
      </c>
      <c r="M471" s="165">
        <v>3930550</v>
      </c>
      <c r="N471" s="165">
        <v>13708448</v>
      </c>
      <c r="O471" s="165">
        <v>220483815</v>
      </c>
      <c r="P471" s="165">
        <v>33717163</v>
      </c>
      <c r="Q471" s="165">
        <v>0</v>
      </c>
      <c r="R471" s="165">
        <v>220.83333333333334</v>
      </c>
      <c r="S471" s="165">
        <v>332889759</v>
      </c>
      <c r="T471" s="165">
        <v>1507425.3237735848</v>
      </c>
      <c r="U471" s="166">
        <v>64980333</v>
      </c>
      <c r="V471" s="168">
        <v>1082594021</v>
      </c>
      <c r="W471" s="165">
        <v>627843395</v>
      </c>
      <c r="X471" s="165">
        <v>46622747</v>
      </c>
      <c r="Y471" s="165">
        <v>8279540</v>
      </c>
      <c r="Z471" s="165">
        <v>157771774</v>
      </c>
      <c r="AA471" s="165">
        <v>28197349</v>
      </c>
      <c r="AB471" s="165">
        <v>0</v>
      </c>
      <c r="AC471" s="165">
        <v>225.91666666666666</v>
      </c>
      <c r="AD471" s="165">
        <v>602376542</v>
      </c>
      <c r="AE471" s="165">
        <v>2666366.1025451864</v>
      </c>
      <c r="AF471" s="166">
        <v>408127879</v>
      </c>
      <c r="AG471" s="11">
        <v>269486783</v>
      </c>
      <c r="AH471" s="12">
        <v>5.0833333333333144</v>
      </c>
      <c r="AI471" s="132">
        <v>1</v>
      </c>
      <c r="AJ471" s="132">
        <v>1</v>
      </c>
      <c r="AK471" s="13">
        <v>0.15</v>
      </c>
      <c r="AL471" s="13">
        <v>0.76882135693461739</v>
      </c>
      <c r="AM471" s="14">
        <v>1</v>
      </c>
      <c r="AN471" s="14">
        <v>0</v>
      </c>
      <c r="AO471" s="82">
        <v>998417.27547169803</v>
      </c>
      <c r="AP471" s="82">
        <v>698362.70306160091</v>
      </c>
      <c r="AQ471" s="82">
        <v>-300054.57241009711</v>
      </c>
      <c r="AR471" s="129">
        <v>-0.30053022897499204</v>
      </c>
    </row>
    <row r="472" spans="1:44" ht="28.8" x14ac:dyDescent="0.3">
      <c r="A472" s="136" t="s">
        <v>699</v>
      </c>
      <c r="B472" s="137" t="s">
        <v>5253</v>
      </c>
      <c r="C472" s="134">
        <v>2019</v>
      </c>
      <c r="D472" s="149" t="s">
        <v>1157</v>
      </c>
      <c r="E472" s="135" t="s">
        <v>1152</v>
      </c>
      <c r="F472" s="384" t="s">
        <v>695</v>
      </c>
      <c r="G472" s="138" t="s">
        <v>4773</v>
      </c>
      <c r="H472" s="138" t="s">
        <v>3339</v>
      </c>
      <c r="I472" s="138" t="s">
        <v>1566</v>
      </c>
      <c r="J472" s="135" t="s">
        <v>4774</v>
      </c>
      <c r="K472" s="164">
        <v>1283289418</v>
      </c>
      <c r="L472" s="165">
        <v>891957795</v>
      </c>
      <c r="M472" s="165">
        <v>238390828</v>
      </c>
      <c r="N472" s="165">
        <v>12716024</v>
      </c>
      <c r="O472" s="165">
        <v>99204675</v>
      </c>
      <c r="P472" s="165">
        <v>29774949</v>
      </c>
      <c r="Q472" s="165">
        <v>0</v>
      </c>
      <c r="R472" s="165">
        <v>188.75</v>
      </c>
      <c r="S472" s="165">
        <v>294636443</v>
      </c>
      <c r="T472" s="165">
        <v>1560987.7774834437</v>
      </c>
      <c r="U472" s="166">
        <v>152940795</v>
      </c>
      <c r="V472" s="168">
        <v>2929307603</v>
      </c>
      <c r="W472" s="165">
        <v>2337678963</v>
      </c>
      <c r="X472" s="165">
        <v>363153413</v>
      </c>
      <c r="Y472" s="165">
        <v>25426067</v>
      </c>
      <c r="Z472" s="165">
        <v>73062007.810000002</v>
      </c>
      <c r="AA472" s="165">
        <v>15093016.73</v>
      </c>
      <c r="AB472" s="165">
        <v>81512</v>
      </c>
      <c r="AC472" s="165">
        <v>155.5</v>
      </c>
      <c r="AD472" s="165">
        <v>342137830.54000002</v>
      </c>
      <c r="AE472" s="165">
        <v>2200243.2832154343</v>
      </c>
      <c r="AF472" s="166">
        <v>228475227</v>
      </c>
      <c r="AG472" s="11">
        <v>47501387.540000021</v>
      </c>
      <c r="AH472" s="12">
        <v>-33.25</v>
      </c>
      <c r="AI472" s="132">
        <v>1</v>
      </c>
      <c r="AJ472" s="132">
        <v>1</v>
      </c>
      <c r="AK472" s="13">
        <v>0.15</v>
      </c>
      <c r="AL472" s="13">
        <v>0.40951986184030198</v>
      </c>
      <c r="AM472" s="14">
        <v>1</v>
      </c>
      <c r="AN472" s="14">
        <v>0</v>
      </c>
      <c r="AO472" s="82">
        <v>525587.68211920524</v>
      </c>
      <c r="AP472" s="82">
        <v>469852.14025723474</v>
      </c>
      <c r="AQ472" s="82">
        <v>-55735.541861970501</v>
      </c>
      <c r="AR472" s="129">
        <v>-0.10604423154903675</v>
      </c>
    </row>
    <row r="473" spans="1:44" ht="28.8" x14ac:dyDescent="0.3">
      <c r="A473" s="136" t="s">
        <v>700</v>
      </c>
      <c r="B473" s="137" t="s">
        <v>5254</v>
      </c>
      <c r="C473" s="134">
        <v>2019</v>
      </c>
      <c r="D473" s="149" t="s">
        <v>1157</v>
      </c>
      <c r="E473" s="135" t="s">
        <v>1152</v>
      </c>
      <c r="F473" s="384" t="s">
        <v>695</v>
      </c>
      <c r="G473" s="138" t="s">
        <v>4773</v>
      </c>
      <c r="H473" s="138" t="s">
        <v>3336</v>
      </c>
      <c r="I473" s="138" t="s">
        <v>1566</v>
      </c>
      <c r="J473" s="135" t="s">
        <v>4778</v>
      </c>
      <c r="K473" s="164">
        <v>554408000</v>
      </c>
      <c r="L473" s="165">
        <v>372498000</v>
      </c>
      <c r="M473" s="165">
        <v>194977000</v>
      </c>
      <c r="N473" s="165">
        <v>26510000</v>
      </c>
      <c r="O473" s="165">
        <v>114908231</v>
      </c>
      <c r="P473" s="165">
        <v>35228866</v>
      </c>
      <c r="Q473" s="165">
        <v>997918</v>
      </c>
      <c r="R473" s="165">
        <v>421.33333333333331</v>
      </c>
      <c r="S473" s="165">
        <v>164578015</v>
      </c>
      <c r="T473" s="165">
        <v>390612.37737341772</v>
      </c>
      <c r="U473" s="166">
        <v>-13067000</v>
      </c>
      <c r="V473" s="168">
        <v>1320406000</v>
      </c>
      <c r="W473" s="165">
        <v>875880000</v>
      </c>
      <c r="X473" s="165">
        <v>250822000</v>
      </c>
      <c r="Y473" s="165">
        <v>15253000</v>
      </c>
      <c r="Z473" s="165">
        <v>148311118</v>
      </c>
      <c r="AA473" s="165">
        <v>45383528</v>
      </c>
      <c r="AB473" s="165">
        <v>720235</v>
      </c>
      <c r="AC473" s="165">
        <v>442.75</v>
      </c>
      <c r="AD473" s="165">
        <v>403371881</v>
      </c>
      <c r="AE473" s="165">
        <v>911060.14906832296</v>
      </c>
      <c r="AF473" s="166">
        <v>193704000</v>
      </c>
      <c r="AG473" s="11">
        <v>238793866</v>
      </c>
      <c r="AH473" s="12">
        <v>21.416666666666686</v>
      </c>
      <c r="AI473" s="132">
        <v>1</v>
      </c>
      <c r="AJ473" s="132">
        <v>1</v>
      </c>
      <c r="AK473" s="13">
        <v>0.15</v>
      </c>
      <c r="AL473" s="13">
        <v>1.3323893369687871</v>
      </c>
      <c r="AM473" s="14">
        <v>1</v>
      </c>
      <c r="AN473" s="14">
        <v>0</v>
      </c>
      <c r="AO473" s="82">
        <v>272725.23180379748</v>
      </c>
      <c r="AP473" s="82">
        <v>334977.11575381143</v>
      </c>
      <c r="AQ473" s="82">
        <v>62251.883950013958</v>
      </c>
      <c r="AR473" s="129">
        <v>0.22825861596406627</v>
      </c>
    </row>
    <row r="474" spans="1:44" ht="28.8" x14ac:dyDescent="0.3">
      <c r="A474" s="136" t="s">
        <v>701</v>
      </c>
      <c r="B474" s="137" t="s">
        <v>5255</v>
      </c>
      <c r="C474" s="134">
        <v>2019</v>
      </c>
      <c r="D474" s="149" t="s">
        <v>1157</v>
      </c>
      <c r="E474" s="135" t="s">
        <v>1152</v>
      </c>
      <c r="F474" s="384" t="s">
        <v>695</v>
      </c>
      <c r="G474" s="138" t="s">
        <v>4773</v>
      </c>
      <c r="H474" s="138" t="s">
        <v>2435</v>
      </c>
      <c r="I474" s="138" t="s">
        <v>1566</v>
      </c>
      <c r="J474" s="135" t="s">
        <v>4774</v>
      </c>
      <c r="K474" s="164">
        <v>723560716</v>
      </c>
      <c r="L474" s="165">
        <v>578946876</v>
      </c>
      <c r="M474" s="165">
        <v>108859090</v>
      </c>
      <c r="N474" s="165">
        <v>6132474</v>
      </c>
      <c r="O474" s="165">
        <v>141957940</v>
      </c>
      <c r="P474" s="165">
        <v>42531059</v>
      </c>
      <c r="Q474" s="165">
        <v>0</v>
      </c>
      <c r="R474" s="165">
        <v>367.33333333333331</v>
      </c>
      <c r="S474" s="165">
        <v>226376223</v>
      </c>
      <c r="T474" s="165">
        <v>616269.20961887483</v>
      </c>
      <c r="U474" s="166">
        <v>35754750</v>
      </c>
      <c r="V474" s="168">
        <v>852107129</v>
      </c>
      <c r="W474" s="165">
        <v>776752710</v>
      </c>
      <c r="X474" s="165">
        <v>63456477</v>
      </c>
      <c r="Y474" s="165">
        <v>8915846</v>
      </c>
      <c r="Z474" s="165">
        <v>138253423</v>
      </c>
      <c r="AA474" s="165">
        <v>41342170</v>
      </c>
      <c r="AB474" s="165">
        <v>0</v>
      </c>
      <c r="AC474" s="165">
        <v>356.08333333333331</v>
      </c>
      <c r="AD474" s="165">
        <v>200409381</v>
      </c>
      <c r="AE474" s="165">
        <v>562815.9541305874</v>
      </c>
      <c r="AF474" s="166">
        <v>11897942</v>
      </c>
      <c r="AG474" s="11">
        <v>-25966842</v>
      </c>
      <c r="AH474" s="12">
        <v>-11.25</v>
      </c>
      <c r="AI474" s="132">
        <v>0</v>
      </c>
      <c r="AJ474" s="132">
        <v>1</v>
      </c>
      <c r="AK474" s="13">
        <v>0.15</v>
      </c>
      <c r="AL474" s="13">
        <v>-8.6736866182232308E-2</v>
      </c>
      <c r="AM474" s="14">
        <v>0</v>
      </c>
      <c r="AN474" s="14">
        <v>-1</v>
      </c>
      <c r="AO474" s="82">
        <v>386455.37205081672</v>
      </c>
      <c r="AP474" s="82">
        <v>388261.42663234263</v>
      </c>
      <c r="AQ474" s="82">
        <v>1806.0545815259102</v>
      </c>
      <c r="AR474" s="129">
        <v>4.6733845927451334E-3</v>
      </c>
    </row>
    <row r="475" spans="1:44" ht="28.8" x14ac:dyDescent="0.3">
      <c r="A475" s="136" t="s">
        <v>702</v>
      </c>
      <c r="B475" s="137" t="s">
        <v>5256</v>
      </c>
      <c r="C475" s="134">
        <v>2019</v>
      </c>
      <c r="D475" s="149" t="s">
        <v>1157</v>
      </c>
      <c r="E475" s="135" t="s">
        <v>1152</v>
      </c>
      <c r="F475" s="384" t="s">
        <v>695</v>
      </c>
      <c r="G475" s="138" t="s">
        <v>4773</v>
      </c>
      <c r="H475" s="138" t="s">
        <v>1597</v>
      </c>
      <c r="I475" s="138" t="s">
        <v>1566</v>
      </c>
      <c r="J475" s="135" t="s">
        <v>4774</v>
      </c>
      <c r="K475" s="164">
        <v>6809083274</v>
      </c>
      <c r="L475" s="165">
        <v>4793804668</v>
      </c>
      <c r="M475" s="165">
        <v>1567755274</v>
      </c>
      <c r="N475" s="165">
        <v>27019804</v>
      </c>
      <c r="O475" s="165">
        <v>603172656</v>
      </c>
      <c r="P475" s="165">
        <v>214917741</v>
      </c>
      <c r="Q475" s="165">
        <v>108765</v>
      </c>
      <c r="R475" s="165">
        <v>1529.5833333333333</v>
      </c>
      <c r="S475" s="165">
        <v>1292742298</v>
      </c>
      <c r="T475" s="165">
        <v>845159.76987196947</v>
      </c>
      <c r="U475" s="166">
        <v>447523332</v>
      </c>
      <c r="V475" s="168">
        <v>5290531853</v>
      </c>
      <c r="W475" s="165">
        <v>3868037380</v>
      </c>
      <c r="X475" s="165">
        <v>1223192594</v>
      </c>
      <c r="Y475" s="165">
        <v>18210477</v>
      </c>
      <c r="Z475" s="165">
        <v>517581878</v>
      </c>
      <c r="AA475" s="165">
        <v>180356261</v>
      </c>
      <c r="AB475" s="165">
        <v>257362</v>
      </c>
      <c r="AC475" s="165">
        <v>1261.6666666666667</v>
      </c>
      <c r="AD475" s="165">
        <v>915707857</v>
      </c>
      <c r="AE475" s="165">
        <v>725792.22483487451</v>
      </c>
      <c r="AF475" s="166">
        <v>199301879</v>
      </c>
      <c r="AG475" s="11">
        <v>-377034441</v>
      </c>
      <c r="AH475" s="12">
        <v>-267.91666666666652</v>
      </c>
      <c r="AI475" s="132">
        <v>0</v>
      </c>
      <c r="AJ475" s="132">
        <v>0</v>
      </c>
      <c r="AK475" s="13">
        <v>0.15</v>
      </c>
      <c r="AL475" s="13">
        <v>-0.14123666818641878</v>
      </c>
      <c r="AM475" s="14">
        <v>0</v>
      </c>
      <c r="AN475" s="14">
        <v>-1</v>
      </c>
      <c r="AO475" s="82">
        <v>394337.88460909837</v>
      </c>
      <c r="AP475" s="82">
        <v>410236.62721268163</v>
      </c>
      <c r="AQ475" s="82">
        <v>15898.742603583261</v>
      </c>
      <c r="AR475" s="129">
        <v>4.0317563247425303E-2</v>
      </c>
    </row>
    <row r="476" spans="1:44" ht="28.8" x14ac:dyDescent="0.3">
      <c r="A476" s="136" t="s">
        <v>703</v>
      </c>
      <c r="B476" s="137" t="s">
        <v>5257</v>
      </c>
      <c r="C476" s="134">
        <v>2019</v>
      </c>
      <c r="D476" s="149" t="s">
        <v>1157</v>
      </c>
      <c r="E476" s="135" t="s">
        <v>1152</v>
      </c>
      <c r="F476" s="384" t="s">
        <v>695</v>
      </c>
      <c r="G476" s="138" t="s">
        <v>4773</v>
      </c>
      <c r="H476" s="138" t="s">
        <v>2429</v>
      </c>
      <c r="I476" s="138" t="s">
        <v>1566</v>
      </c>
      <c r="J476" s="135" t="s">
        <v>4774</v>
      </c>
      <c r="K476" s="164">
        <v>885014955</v>
      </c>
      <c r="L476" s="165">
        <v>725951807</v>
      </c>
      <c r="M476" s="165">
        <v>89017056</v>
      </c>
      <c r="N476" s="165">
        <v>1402928</v>
      </c>
      <c r="O476" s="165">
        <v>61327590</v>
      </c>
      <c r="P476" s="165">
        <v>18506265</v>
      </c>
      <c r="Q476" s="165">
        <v>0</v>
      </c>
      <c r="R476" s="165">
        <v>297.41666666666669</v>
      </c>
      <c r="S476" s="165">
        <v>151282875</v>
      </c>
      <c r="T476" s="165">
        <v>508656.34631549451</v>
      </c>
      <c r="U476" s="166">
        <v>70046092</v>
      </c>
      <c r="V476" s="168">
        <v>78545740</v>
      </c>
      <c r="W476" s="165">
        <v>68318898</v>
      </c>
      <c r="X476" s="165">
        <v>4697042</v>
      </c>
      <c r="Y476" s="165">
        <v>3504916</v>
      </c>
      <c r="Z476" s="165">
        <v>2567052</v>
      </c>
      <c r="AA476" s="165">
        <v>693697</v>
      </c>
      <c r="AB476" s="165">
        <v>0</v>
      </c>
      <c r="AC476" s="165">
        <v>18.916666666666668</v>
      </c>
      <c r="AD476" s="165">
        <v>12295465</v>
      </c>
      <c r="AE476" s="165">
        <v>649980.52863436122</v>
      </c>
      <c r="AF476" s="166">
        <v>5529800</v>
      </c>
      <c r="AG476" s="11">
        <v>-138987410</v>
      </c>
      <c r="AH476" s="12">
        <v>-278.5</v>
      </c>
      <c r="AI476" s="132">
        <v>1</v>
      </c>
      <c r="AJ476" s="132">
        <v>1</v>
      </c>
      <c r="AK476" s="13">
        <v>0.15</v>
      </c>
      <c r="AL476" s="13">
        <v>0.27783823007419461</v>
      </c>
      <c r="AM476" s="14">
        <v>1</v>
      </c>
      <c r="AN476" s="14">
        <v>0</v>
      </c>
      <c r="AO476" s="82">
        <v>206200.91902493694</v>
      </c>
      <c r="AP476" s="82">
        <v>135703.18942731275</v>
      </c>
      <c r="AQ476" s="82">
        <v>-70497.729597624188</v>
      </c>
      <c r="AR476" s="129">
        <v>-0.34188853246138318</v>
      </c>
    </row>
    <row r="477" spans="1:44" ht="28.8" x14ac:dyDescent="0.3">
      <c r="A477" s="136" t="s">
        <v>704</v>
      </c>
      <c r="B477" s="137" t="s">
        <v>5258</v>
      </c>
      <c r="C477" s="134">
        <v>2019</v>
      </c>
      <c r="D477" s="149" t="s">
        <v>1157</v>
      </c>
      <c r="E477" s="135" t="s">
        <v>1152</v>
      </c>
      <c r="F477" s="384" t="s">
        <v>695</v>
      </c>
      <c r="G477" s="138" t="s">
        <v>4773</v>
      </c>
      <c r="H477" s="138" t="s">
        <v>2268</v>
      </c>
      <c r="I477" s="138" t="s">
        <v>1566</v>
      </c>
      <c r="J477" s="135" t="s">
        <v>4774</v>
      </c>
      <c r="K477" s="164">
        <v>2925163211</v>
      </c>
      <c r="L477" s="165">
        <v>1952060302</v>
      </c>
      <c r="M477" s="165">
        <v>723851295</v>
      </c>
      <c r="N477" s="165">
        <v>106641587</v>
      </c>
      <c r="O477" s="165">
        <v>289353627</v>
      </c>
      <c r="P477" s="165">
        <v>84772080</v>
      </c>
      <c r="Q477" s="165">
        <v>753349</v>
      </c>
      <c r="R477" s="165">
        <v>905.5</v>
      </c>
      <c r="S477" s="165">
        <v>730772257</v>
      </c>
      <c r="T477" s="165">
        <v>807037.27995582554</v>
      </c>
      <c r="U477" s="166">
        <v>249251614</v>
      </c>
      <c r="V477" s="168">
        <v>4038570144</v>
      </c>
      <c r="W477" s="165">
        <v>2632544617</v>
      </c>
      <c r="X477" s="165">
        <v>910850377</v>
      </c>
      <c r="Y477" s="165">
        <v>145418249</v>
      </c>
      <c r="Z477" s="165">
        <v>376028795</v>
      </c>
      <c r="AA477" s="165">
        <v>108605973</v>
      </c>
      <c r="AB477" s="165">
        <v>4129829</v>
      </c>
      <c r="AC477" s="165">
        <v>937.58333333333337</v>
      </c>
      <c r="AD477" s="165">
        <v>1129357996</v>
      </c>
      <c r="AE477" s="165">
        <v>1204541.4587147809</v>
      </c>
      <c r="AF477" s="166">
        <v>495175150</v>
      </c>
      <c r="AG477" s="11">
        <v>398585739</v>
      </c>
      <c r="AH477" s="12">
        <v>32.083333333333371</v>
      </c>
      <c r="AI477" s="132">
        <v>1</v>
      </c>
      <c r="AJ477" s="132">
        <v>1</v>
      </c>
      <c r="AK477" s="13">
        <v>0.15</v>
      </c>
      <c r="AL477" s="13">
        <v>0.49254748182140973</v>
      </c>
      <c r="AM477" s="14">
        <v>1</v>
      </c>
      <c r="AN477" s="14">
        <v>0</v>
      </c>
      <c r="AO477" s="82">
        <v>319551.21700717835</v>
      </c>
      <c r="AP477" s="82">
        <v>401061.73140165315</v>
      </c>
      <c r="AQ477" s="82">
        <v>81510.514394474798</v>
      </c>
      <c r="AR477" s="129">
        <v>0.2550780909485435</v>
      </c>
    </row>
    <row r="478" spans="1:44" ht="28.8" x14ac:dyDescent="0.3">
      <c r="A478" s="136" t="s">
        <v>705</v>
      </c>
      <c r="B478" s="137" t="s">
        <v>5259</v>
      </c>
      <c r="C478" s="134">
        <v>2019</v>
      </c>
      <c r="D478" s="149" t="s">
        <v>1157</v>
      </c>
      <c r="E478" s="135" t="s">
        <v>1152</v>
      </c>
      <c r="F478" s="384" t="s">
        <v>695</v>
      </c>
      <c r="G478" s="138" t="s">
        <v>4773</v>
      </c>
      <c r="H478" s="138" t="s">
        <v>3918</v>
      </c>
      <c r="I478" s="138" t="s">
        <v>3673</v>
      </c>
      <c r="J478" s="135" t="s">
        <v>4774</v>
      </c>
      <c r="K478" s="164">
        <v>963997355</v>
      </c>
      <c r="L478" s="165">
        <v>720251665</v>
      </c>
      <c r="M478" s="165">
        <v>189659189</v>
      </c>
      <c r="N478" s="165">
        <v>7606656</v>
      </c>
      <c r="O478" s="165">
        <v>97772829</v>
      </c>
      <c r="P478" s="165">
        <v>17707774</v>
      </c>
      <c r="Q478" s="165">
        <v>0</v>
      </c>
      <c r="R478" s="165">
        <v>113.08333333333333</v>
      </c>
      <c r="S478" s="165">
        <v>177173760</v>
      </c>
      <c r="T478" s="165">
        <v>1566753.9572586589</v>
      </c>
      <c r="U478" s="166">
        <v>54086501</v>
      </c>
      <c r="V478" s="168">
        <v>1517431189</v>
      </c>
      <c r="W478" s="165">
        <v>1092132879</v>
      </c>
      <c r="X478" s="165">
        <v>296366208</v>
      </c>
      <c r="Y478" s="165">
        <v>0</v>
      </c>
      <c r="Z478" s="165">
        <v>141337476</v>
      </c>
      <c r="AA478" s="165">
        <v>25526817</v>
      </c>
      <c r="AB478" s="165">
        <v>0</v>
      </c>
      <c r="AC478" s="165">
        <v>174.33333333333334</v>
      </c>
      <c r="AD478" s="165">
        <v>295796395</v>
      </c>
      <c r="AE478" s="165">
        <v>1696728.8432122371</v>
      </c>
      <c r="AF478" s="166">
        <v>128932102</v>
      </c>
      <c r="AG478" s="11">
        <v>118622635</v>
      </c>
      <c r="AH478" s="12">
        <v>61.250000000000014</v>
      </c>
      <c r="AI478" s="132">
        <v>0</v>
      </c>
      <c r="AJ478" s="132">
        <v>1</v>
      </c>
      <c r="AK478" s="13">
        <v>0.15</v>
      </c>
      <c r="AL478" s="13">
        <v>8.2958067008811032E-2</v>
      </c>
      <c r="AM478" s="14">
        <v>0</v>
      </c>
      <c r="AN478" s="14">
        <v>-1</v>
      </c>
      <c r="AO478" s="82">
        <v>864608.65733235085</v>
      </c>
      <c r="AP478" s="82">
        <v>810731.21988527721</v>
      </c>
      <c r="AQ478" s="82">
        <v>-53877.437447073637</v>
      </c>
      <c r="AR478" s="129">
        <v>-6.2314247018189883E-2</v>
      </c>
    </row>
    <row r="479" spans="1:44" ht="28.8" x14ac:dyDescent="0.3">
      <c r="A479" s="136" t="s">
        <v>706</v>
      </c>
      <c r="B479" s="137" t="s">
        <v>5260</v>
      </c>
      <c r="C479" s="134">
        <v>2019</v>
      </c>
      <c r="D479" s="149" t="s">
        <v>1157</v>
      </c>
      <c r="E479" s="135" t="s">
        <v>1152</v>
      </c>
      <c r="F479" s="384" t="s">
        <v>695</v>
      </c>
      <c r="G479" s="138" t="s">
        <v>4773</v>
      </c>
      <c r="H479" s="138" t="s">
        <v>3175</v>
      </c>
      <c r="I479" s="138" t="s">
        <v>1566</v>
      </c>
      <c r="J479" s="135" t="s">
        <v>4778</v>
      </c>
      <c r="K479" s="164">
        <v>5311508848</v>
      </c>
      <c r="L479" s="165">
        <v>3771670821</v>
      </c>
      <c r="M479" s="165">
        <v>1086498039</v>
      </c>
      <c r="N479" s="165">
        <v>61903509</v>
      </c>
      <c r="O479" s="165">
        <v>794448524</v>
      </c>
      <c r="P479" s="165">
        <v>236046396</v>
      </c>
      <c r="Q479" s="165">
        <v>1531399</v>
      </c>
      <c r="R479" s="165">
        <v>1681</v>
      </c>
      <c r="S479" s="165">
        <v>1547269816</v>
      </c>
      <c r="T479" s="165">
        <v>920446.05353955983</v>
      </c>
      <c r="U479" s="166">
        <v>453339988</v>
      </c>
      <c r="V479" s="168">
        <v>10166465191</v>
      </c>
      <c r="W479" s="165">
        <v>6825645823</v>
      </c>
      <c r="X479" s="165">
        <v>1590566755</v>
      </c>
      <c r="Y479" s="165">
        <v>101971462</v>
      </c>
      <c r="Z479" s="165">
        <v>1149117485</v>
      </c>
      <c r="AA479" s="165">
        <v>343810181</v>
      </c>
      <c r="AB479" s="165">
        <v>3633108</v>
      </c>
      <c r="AC479" s="165">
        <v>2015</v>
      </c>
      <c r="AD479" s="165">
        <v>3348784849</v>
      </c>
      <c r="AE479" s="165">
        <v>1661927.9647642679</v>
      </c>
      <c r="AF479" s="166">
        <v>1750252613</v>
      </c>
      <c r="AG479" s="11">
        <v>1801515033</v>
      </c>
      <c r="AH479" s="12">
        <v>334</v>
      </c>
      <c r="AI479" s="132">
        <v>1</v>
      </c>
      <c r="AJ479" s="132">
        <v>1</v>
      </c>
      <c r="AK479" s="13">
        <v>0.15</v>
      </c>
      <c r="AL479" s="13">
        <v>0.80556802867479282</v>
      </c>
      <c r="AM479" s="14">
        <v>1</v>
      </c>
      <c r="AN479" s="14">
        <v>0</v>
      </c>
      <c r="AO479" s="82">
        <v>472604.71386079717</v>
      </c>
      <c r="AP479" s="82">
        <v>570281.63027295284</v>
      </c>
      <c r="AQ479" s="82">
        <v>97676.916412155668</v>
      </c>
      <c r="AR479" s="129">
        <v>0.2066778293729119</v>
      </c>
    </row>
    <row r="480" spans="1:44" ht="28.8" x14ac:dyDescent="0.3">
      <c r="A480" s="136" t="s">
        <v>707</v>
      </c>
      <c r="B480" s="137" t="s">
        <v>5261</v>
      </c>
      <c r="C480" s="134">
        <v>2019</v>
      </c>
      <c r="D480" s="149" t="s">
        <v>1157</v>
      </c>
      <c r="E480" s="135" t="s">
        <v>1152</v>
      </c>
      <c r="F480" s="384" t="s">
        <v>695</v>
      </c>
      <c r="G480" s="138" t="s">
        <v>4773</v>
      </c>
      <c r="H480" s="138" t="s">
        <v>3064</v>
      </c>
      <c r="I480" s="138" t="s">
        <v>1566</v>
      </c>
      <c r="J480" s="135" t="s">
        <v>4778</v>
      </c>
      <c r="K480" s="164">
        <v>596466362</v>
      </c>
      <c r="L480" s="165">
        <v>282477259</v>
      </c>
      <c r="M480" s="165">
        <v>286884690</v>
      </c>
      <c r="N480" s="165">
        <v>9270402</v>
      </c>
      <c r="O480" s="165">
        <v>163218158</v>
      </c>
      <c r="P480" s="165">
        <v>48761587</v>
      </c>
      <c r="Q480" s="165">
        <v>242979</v>
      </c>
      <c r="R480" s="165">
        <v>422.66666666666669</v>
      </c>
      <c r="S480" s="165">
        <v>248597539</v>
      </c>
      <c r="T480" s="165">
        <v>588164.52444794949</v>
      </c>
      <c r="U480" s="166">
        <v>27104413</v>
      </c>
      <c r="V480" s="168">
        <v>878333211</v>
      </c>
      <c r="W480" s="165">
        <v>510231061</v>
      </c>
      <c r="X480" s="165">
        <v>262260524</v>
      </c>
      <c r="Y480" s="165">
        <v>17783650</v>
      </c>
      <c r="Z480" s="165">
        <v>166014699</v>
      </c>
      <c r="AA480" s="165">
        <v>30675397</v>
      </c>
      <c r="AB480" s="165">
        <v>0</v>
      </c>
      <c r="AC480" s="165">
        <v>239.16666666666666</v>
      </c>
      <c r="AD480" s="165">
        <v>320315372</v>
      </c>
      <c r="AE480" s="165">
        <v>1339297.7226480837</v>
      </c>
      <c r="AF480" s="166">
        <v>105841626</v>
      </c>
      <c r="AG480" s="11">
        <v>71717833</v>
      </c>
      <c r="AH480" s="12">
        <v>-183.50000000000003</v>
      </c>
      <c r="AI480" s="132">
        <v>1</v>
      </c>
      <c r="AJ480" s="132">
        <v>1</v>
      </c>
      <c r="AK480" s="13">
        <v>0.15</v>
      </c>
      <c r="AL480" s="13">
        <v>1.2770800931684896</v>
      </c>
      <c r="AM480" s="14">
        <v>1</v>
      </c>
      <c r="AN480" s="14">
        <v>0</v>
      </c>
      <c r="AO480" s="82">
        <v>386162.83438485803</v>
      </c>
      <c r="AP480" s="82">
        <v>694138.11428571434</v>
      </c>
      <c r="AQ480" s="82">
        <v>307975.27990085632</v>
      </c>
      <c r="AR480" s="129">
        <v>0.79752698208632289</v>
      </c>
    </row>
    <row r="481" spans="1:44" ht="43.2" x14ac:dyDescent="0.3">
      <c r="A481" s="136" t="s">
        <v>708</v>
      </c>
      <c r="B481" s="137" t="s">
        <v>5262</v>
      </c>
      <c r="C481" s="134">
        <v>2019</v>
      </c>
      <c r="D481" s="149" t="s">
        <v>1157</v>
      </c>
      <c r="E481" s="135" t="s">
        <v>1152</v>
      </c>
      <c r="F481" s="384" t="s">
        <v>695</v>
      </c>
      <c r="G481" s="138" t="s">
        <v>4773</v>
      </c>
      <c r="H481" s="138" t="s">
        <v>2566</v>
      </c>
      <c r="I481" s="138" t="s">
        <v>1566</v>
      </c>
      <c r="J481" s="135" t="s">
        <v>4778</v>
      </c>
      <c r="K481" s="164">
        <v>2719648364</v>
      </c>
      <c r="L481" s="165">
        <v>2756980006</v>
      </c>
      <c r="M481" s="165">
        <v>105479215</v>
      </c>
      <c r="N481" s="165">
        <v>119301084</v>
      </c>
      <c r="O481" s="165">
        <v>568498016</v>
      </c>
      <c r="P481" s="165">
        <v>171271229</v>
      </c>
      <c r="Q481" s="165">
        <v>29181306</v>
      </c>
      <c r="R481" s="165">
        <v>1150.9166666666667</v>
      </c>
      <c r="S481" s="165">
        <v>745440778</v>
      </c>
      <c r="T481" s="165">
        <v>647693.09506914776</v>
      </c>
      <c r="U481" s="166">
        <v>-142810857</v>
      </c>
      <c r="V481" s="168">
        <v>2660089959</v>
      </c>
      <c r="W481" s="165">
        <v>2725804921</v>
      </c>
      <c r="X481" s="165">
        <v>111130497</v>
      </c>
      <c r="Y481" s="165">
        <v>65504005</v>
      </c>
      <c r="Z481" s="165">
        <v>570726775</v>
      </c>
      <c r="AA481" s="165">
        <v>169600227</v>
      </c>
      <c r="AB481" s="165">
        <v>27246129</v>
      </c>
      <c r="AC481" s="165">
        <v>1006.4166666666666</v>
      </c>
      <c r="AD481" s="165">
        <v>656231677</v>
      </c>
      <c r="AE481" s="165">
        <v>652047.70423118328</v>
      </c>
      <c r="AF481" s="166">
        <v>-176845459</v>
      </c>
      <c r="AG481" s="11">
        <v>-89209101</v>
      </c>
      <c r="AH481" s="12">
        <v>-144.50000000000011</v>
      </c>
      <c r="AI481" s="132">
        <v>0</v>
      </c>
      <c r="AJ481" s="132">
        <v>1</v>
      </c>
      <c r="AK481" s="13">
        <v>0.15</v>
      </c>
      <c r="AL481" s="13">
        <v>6.7232459323713911E-3</v>
      </c>
      <c r="AM481" s="14">
        <v>0</v>
      </c>
      <c r="AN481" s="14">
        <v>-1</v>
      </c>
      <c r="AO481" s="82">
        <v>493952.37071899208</v>
      </c>
      <c r="AP481" s="82">
        <v>567087.9605862383</v>
      </c>
      <c r="AQ481" s="82">
        <v>73135.589867246221</v>
      </c>
      <c r="AR481" s="129">
        <v>0.14806202824938519</v>
      </c>
    </row>
    <row r="482" spans="1:44" ht="28.8" x14ac:dyDescent="0.3">
      <c r="A482" s="136" t="s">
        <v>709</v>
      </c>
      <c r="B482" s="137" t="s">
        <v>5263</v>
      </c>
      <c r="C482" s="134">
        <v>2020</v>
      </c>
      <c r="D482" s="149" t="s">
        <v>1128</v>
      </c>
      <c r="E482" s="135" t="s">
        <v>1117</v>
      </c>
      <c r="F482" s="384" t="s">
        <v>222</v>
      </c>
      <c r="G482" s="138" t="s">
        <v>4773</v>
      </c>
      <c r="H482" s="138" t="s">
        <v>1646</v>
      </c>
      <c r="I482" s="138" t="s">
        <v>1566</v>
      </c>
      <c r="J482" s="135" t="s">
        <v>4774</v>
      </c>
      <c r="K482" s="164">
        <v>1101187504</v>
      </c>
      <c r="L482" s="165">
        <v>865151306</v>
      </c>
      <c r="M482" s="165">
        <v>187932105</v>
      </c>
      <c r="N482" s="165">
        <v>18549282</v>
      </c>
      <c r="O482" s="165">
        <v>13743237.34</v>
      </c>
      <c r="P482" s="165">
        <v>3129039.37</v>
      </c>
      <c r="Q482" s="165">
        <v>277552</v>
      </c>
      <c r="R482" s="165">
        <v>35.5</v>
      </c>
      <c r="S482" s="165">
        <v>83803203.710000008</v>
      </c>
      <c r="T482" s="165">
        <v>2360653.6256338032</v>
      </c>
      <c r="U482" s="166">
        <v>48104093</v>
      </c>
      <c r="V482" s="168">
        <v>2152483147</v>
      </c>
      <c r="W482" s="165">
        <v>1917338190</v>
      </c>
      <c r="X482" s="165">
        <v>74659534</v>
      </c>
      <c r="Y482" s="165">
        <v>30234677</v>
      </c>
      <c r="Z482" s="165">
        <v>18747467.120000001</v>
      </c>
      <c r="AA482" s="165">
        <v>2864217.07</v>
      </c>
      <c r="AB482" s="165">
        <v>1054201</v>
      </c>
      <c r="AC482" s="165">
        <v>36.083333333333336</v>
      </c>
      <c r="AD482" s="165">
        <v>213385985.19</v>
      </c>
      <c r="AE482" s="165">
        <v>5913699.3586143181</v>
      </c>
      <c r="AF482" s="166">
        <v>160485423</v>
      </c>
      <c r="AG482" s="11">
        <v>129582781.47999999</v>
      </c>
      <c r="AH482" s="12">
        <v>0.5833333333333357</v>
      </c>
      <c r="AI482" s="132">
        <v>1</v>
      </c>
      <c r="AJ482" s="132">
        <v>1</v>
      </c>
      <c r="AK482" s="13">
        <v>0.1</v>
      </c>
      <c r="AL482" s="13">
        <v>1.5051109933480586</v>
      </c>
      <c r="AM482" s="14">
        <v>1</v>
      </c>
      <c r="AN482" s="14">
        <v>0</v>
      </c>
      <c r="AO482" s="82">
        <v>387133.4461971831</v>
      </c>
      <c r="AP482" s="82">
        <v>519560.28969976906</v>
      </c>
      <c r="AQ482" s="82">
        <v>132426.84350258595</v>
      </c>
      <c r="AR482" s="129">
        <v>0.34207027267578294</v>
      </c>
    </row>
    <row r="483" spans="1:44" ht="28.8" x14ac:dyDescent="0.3">
      <c r="A483" s="136" t="s">
        <v>710</v>
      </c>
      <c r="B483" s="137" t="s">
        <v>5264</v>
      </c>
      <c r="C483" s="134">
        <v>2019</v>
      </c>
      <c r="D483" s="149" t="s">
        <v>1128</v>
      </c>
      <c r="E483" s="135" t="s">
        <v>1117</v>
      </c>
      <c r="F483" s="384" t="s">
        <v>460</v>
      </c>
      <c r="G483" s="138" t="s">
        <v>4773</v>
      </c>
      <c r="H483" s="138" t="s">
        <v>1874</v>
      </c>
      <c r="I483" s="138" t="s">
        <v>1566</v>
      </c>
      <c r="J483" s="135" t="s">
        <v>4778</v>
      </c>
      <c r="K483" s="164">
        <v>6489155724</v>
      </c>
      <c r="L483" s="165">
        <v>5322957994</v>
      </c>
      <c r="M483" s="165">
        <v>1150747664</v>
      </c>
      <c r="N483" s="165">
        <v>837467394</v>
      </c>
      <c r="O483" s="165">
        <v>280165313.58999997</v>
      </c>
      <c r="P483" s="165">
        <v>94752418.150000006</v>
      </c>
      <c r="Q483" s="165">
        <v>35200000</v>
      </c>
      <c r="R483" s="165">
        <v>779.25</v>
      </c>
      <c r="S483" s="165">
        <v>1263035191.74</v>
      </c>
      <c r="T483" s="165">
        <v>1620834.3814436959</v>
      </c>
      <c r="U483" s="166">
        <v>15450066</v>
      </c>
      <c r="V483" s="168">
        <v>11856738320</v>
      </c>
      <c r="W483" s="165">
        <v>7480569240</v>
      </c>
      <c r="X483" s="165">
        <v>2262453741</v>
      </c>
      <c r="Y483" s="165">
        <v>806362621</v>
      </c>
      <c r="Z483" s="165">
        <v>414785044.29999995</v>
      </c>
      <c r="AA483" s="165">
        <v>124903712.92999999</v>
      </c>
      <c r="AB483" s="165">
        <v>31543402</v>
      </c>
      <c r="AC483" s="165">
        <v>796.5</v>
      </c>
      <c r="AD483" s="165">
        <v>3491310119.23</v>
      </c>
      <c r="AE483" s="165">
        <v>4383314.6506340243</v>
      </c>
      <c r="AF483" s="166">
        <v>2113715339</v>
      </c>
      <c r="AG483" s="11">
        <v>2228274927.4899998</v>
      </c>
      <c r="AH483" s="12">
        <v>17.25</v>
      </c>
      <c r="AI483" s="132">
        <v>1</v>
      </c>
      <c r="AJ483" s="132">
        <v>1</v>
      </c>
      <c r="AK483" s="13">
        <v>0.15</v>
      </c>
      <c r="AL483" s="13">
        <v>1.704356906595232</v>
      </c>
      <c r="AM483" s="14">
        <v>1</v>
      </c>
      <c r="AN483" s="14">
        <v>0</v>
      </c>
      <c r="AO483" s="82">
        <v>359532.00332370866</v>
      </c>
      <c r="AP483" s="82">
        <v>520759.62875078461</v>
      </c>
      <c r="AQ483" s="82">
        <v>161227.62542707595</v>
      </c>
      <c r="AR483" s="129">
        <v>0.44843747965855729</v>
      </c>
    </row>
    <row r="484" spans="1:44" ht="28.8" x14ac:dyDescent="0.3">
      <c r="A484" s="136" t="s">
        <v>711</v>
      </c>
      <c r="B484" s="137" t="s">
        <v>5265</v>
      </c>
      <c r="C484" s="134">
        <v>2020</v>
      </c>
      <c r="D484" s="149" t="s">
        <v>1128</v>
      </c>
      <c r="E484" s="135" t="s">
        <v>1117</v>
      </c>
      <c r="F484" s="384" t="s">
        <v>222</v>
      </c>
      <c r="G484" s="138" t="s">
        <v>4773</v>
      </c>
      <c r="H484" s="138" t="s">
        <v>2765</v>
      </c>
      <c r="I484" s="138" t="s">
        <v>1566</v>
      </c>
      <c r="J484" s="135" t="s">
        <v>4774</v>
      </c>
      <c r="K484" s="164">
        <v>596270126</v>
      </c>
      <c r="L484" s="165">
        <v>331107196</v>
      </c>
      <c r="M484" s="165">
        <v>86074381</v>
      </c>
      <c r="N484" s="165">
        <v>80482777</v>
      </c>
      <c r="O484" s="165">
        <v>84876402</v>
      </c>
      <c r="P484" s="165">
        <v>18971751</v>
      </c>
      <c r="Q484" s="165">
        <v>88609</v>
      </c>
      <c r="R484" s="165">
        <v>150.33333333333334</v>
      </c>
      <c r="S484" s="165">
        <v>363508088</v>
      </c>
      <c r="T484" s="165">
        <v>2418013.889135255</v>
      </c>
      <c r="U484" s="166">
        <v>179088549</v>
      </c>
      <c r="V484" s="168">
        <v>751896278</v>
      </c>
      <c r="W484" s="165">
        <v>449642994</v>
      </c>
      <c r="X484" s="165">
        <v>97519833</v>
      </c>
      <c r="Y484" s="165">
        <v>85010589</v>
      </c>
      <c r="Z484" s="165">
        <v>201030431.31999999</v>
      </c>
      <c r="AA484" s="165">
        <v>18292941.630000003</v>
      </c>
      <c r="AB484" s="165">
        <v>84149</v>
      </c>
      <c r="AC484" s="165">
        <v>151.58333333333334</v>
      </c>
      <c r="AD484" s="165">
        <v>509151561.94999999</v>
      </c>
      <c r="AE484" s="165">
        <v>3358888.8089059922</v>
      </c>
      <c r="AF484" s="166">
        <v>204733451</v>
      </c>
      <c r="AG484" s="11">
        <v>145643473.94999999</v>
      </c>
      <c r="AH484" s="12">
        <v>1.25</v>
      </c>
      <c r="AI484" s="132">
        <v>1</v>
      </c>
      <c r="AJ484" s="132">
        <v>1</v>
      </c>
      <c r="AK484" s="13">
        <v>0.1</v>
      </c>
      <c r="AL484" s="13">
        <v>0.38911063492691511</v>
      </c>
      <c r="AM484" s="14">
        <v>1</v>
      </c>
      <c r="AN484" s="14">
        <v>0</v>
      </c>
      <c r="AO484" s="82">
        <v>564588.03991130821</v>
      </c>
      <c r="AP484" s="82">
        <v>1326204.0548873006</v>
      </c>
      <c r="AQ484" s="82">
        <v>761616.01497599238</v>
      </c>
      <c r="AR484" s="129">
        <v>1.3489765300299941</v>
      </c>
    </row>
    <row r="485" spans="1:44" ht="28.8" x14ac:dyDescent="0.3">
      <c r="A485" s="136" t="s">
        <v>712</v>
      </c>
      <c r="B485" s="137" t="s">
        <v>5266</v>
      </c>
      <c r="C485" s="134">
        <v>2019</v>
      </c>
      <c r="D485" s="149" t="s">
        <v>1128</v>
      </c>
      <c r="E485" s="135" t="s">
        <v>1117</v>
      </c>
      <c r="F485" s="384" t="s">
        <v>222</v>
      </c>
      <c r="G485" s="138" t="s">
        <v>4773</v>
      </c>
      <c r="H485" s="138" t="s">
        <v>2264</v>
      </c>
      <c r="I485" s="138" t="s">
        <v>1566</v>
      </c>
      <c r="J485" s="135" t="s">
        <v>4774</v>
      </c>
      <c r="K485" s="164">
        <v>2574468532</v>
      </c>
      <c r="L485" s="165">
        <v>2179623436</v>
      </c>
      <c r="M485" s="165">
        <v>96863986</v>
      </c>
      <c r="N485" s="165">
        <v>0</v>
      </c>
      <c r="O485" s="165">
        <v>205441346.54000002</v>
      </c>
      <c r="P485" s="165">
        <v>60946586.609999999</v>
      </c>
      <c r="Q485" s="165">
        <v>4485059</v>
      </c>
      <c r="R485" s="165">
        <v>562.16666666666663</v>
      </c>
      <c r="S485" s="165">
        <v>568854102.14999998</v>
      </c>
      <c r="T485" s="165">
        <v>1011895.8235695227</v>
      </c>
      <c r="U485" s="166">
        <v>297981110</v>
      </c>
      <c r="V485" s="168">
        <v>3020401594</v>
      </c>
      <c r="W485" s="165">
        <v>1826336747</v>
      </c>
      <c r="X485" s="165">
        <v>836627133</v>
      </c>
      <c r="Y485" s="165">
        <v>53774051</v>
      </c>
      <c r="Z485" s="165">
        <v>226893618.25999999</v>
      </c>
      <c r="AA485" s="165">
        <v>67279773.150000006</v>
      </c>
      <c r="AB485" s="165">
        <v>8069550</v>
      </c>
      <c r="AC485" s="165">
        <v>532.58333333333337</v>
      </c>
      <c r="AD485" s="165">
        <v>713454706.40999997</v>
      </c>
      <c r="AE485" s="165">
        <v>1339611.4030542949</v>
      </c>
      <c r="AF485" s="166">
        <v>357437714</v>
      </c>
      <c r="AG485" s="11">
        <v>144600604.25999999</v>
      </c>
      <c r="AH485" s="12">
        <v>-29.583333333333258</v>
      </c>
      <c r="AI485" s="132">
        <v>1</v>
      </c>
      <c r="AJ485" s="132">
        <v>1</v>
      </c>
      <c r="AK485" s="13">
        <v>0.15</v>
      </c>
      <c r="AL485" s="13">
        <v>0.3238629644699984</v>
      </c>
      <c r="AM485" s="14">
        <v>1</v>
      </c>
      <c r="AN485" s="14">
        <v>0</v>
      </c>
      <c r="AO485" s="82">
        <v>365445.62088348658</v>
      </c>
      <c r="AP485" s="82">
        <v>426024.63137537159</v>
      </c>
      <c r="AQ485" s="82">
        <v>60579.010491885012</v>
      </c>
      <c r="AR485" s="129">
        <v>0.16576750966513609</v>
      </c>
    </row>
    <row r="486" spans="1:44" ht="28.8" x14ac:dyDescent="0.3">
      <c r="A486" s="136" t="s">
        <v>713</v>
      </c>
      <c r="B486" s="137" t="s">
        <v>5267</v>
      </c>
      <c r="C486" s="134">
        <v>2019</v>
      </c>
      <c r="D486" s="149" t="s">
        <v>1128</v>
      </c>
      <c r="E486" s="135" t="s">
        <v>1117</v>
      </c>
      <c r="F486" s="384" t="s">
        <v>222</v>
      </c>
      <c r="G486" s="138" t="s">
        <v>4773</v>
      </c>
      <c r="H486" s="138" t="s">
        <v>4330</v>
      </c>
      <c r="I486" s="138" t="s">
        <v>4255</v>
      </c>
      <c r="J486" s="135" t="s">
        <v>4774</v>
      </c>
      <c r="K486" s="164">
        <v>1127344745</v>
      </c>
      <c r="L486" s="165">
        <v>809167374</v>
      </c>
      <c r="M486" s="165">
        <v>186009522</v>
      </c>
      <c r="N486" s="165">
        <v>95295684</v>
      </c>
      <c r="O486" s="165">
        <v>316353949.27999997</v>
      </c>
      <c r="P486" s="165">
        <v>94592757.030000001</v>
      </c>
      <c r="Q486" s="165">
        <v>2375335</v>
      </c>
      <c r="R486" s="165">
        <v>998.41666666666663</v>
      </c>
      <c r="S486" s="165">
        <v>640785574.30999994</v>
      </c>
      <c r="T486" s="165">
        <v>641801.76043068187</v>
      </c>
      <c r="U486" s="166">
        <v>132167849</v>
      </c>
      <c r="V486" s="168">
        <v>1036479271</v>
      </c>
      <c r="W486" s="165">
        <v>825101101</v>
      </c>
      <c r="X486" s="165">
        <v>187399230</v>
      </c>
      <c r="Y486" s="165">
        <v>104785403</v>
      </c>
      <c r="Z486" s="165">
        <v>397988649</v>
      </c>
      <c r="AA486" s="165">
        <v>117834707</v>
      </c>
      <c r="AB486" s="165">
        <v>2651000</v>
      </c>
      <c r="AC486" s="165">
        <v>1013.6666666666666</v>
      </c>
      <c r="AD486" s="165">
        <v>647238699</v>
      </c>
      <c r="AE486" s="165">
        <v>638512.3633673134</v>
      </c>
      <c r="AF486" s="166">
        <v>23978940</v>
      </c>
      <c r="AG486" s="11">
        <v>6453124.6900000572</v>
      </c>
      <c r="AH486" s="12">
        <v>15.25</v>
      </c>
      <c r="AI486" s="132">
        <v>0</v>
      </c>
      <c r="AJ486" s="132">
        <v>0</v>
      </c>
      <c r="AK486" s="13">
        <v>0.15</v>
      </c>
      <c r="AL486" s="13">
        <v>-5.1252586156822488E-3</v>
      </c>
      <c r="AM486" s="14">
        <v>0</v>
      </c>
      <c r="AN486" s="14">
        <v>-1</v>
      </c>
      <c r="AO486" s="82">
        <v>316855.63737250643</v>
      </c>
      <c r="AP486" s="82">
        <v>392622.80401183822</v>
      </c>
      <c r="AQ486" s="82">
        <v>75767.166639331786</v>
      </c>
      <c r="AR486" s="129">
        <v>0.23912204077422583</v>
      </c>
    </row>
    <row r="487" spans="1:44" ht="43.2" x14ac:dyDescent="0.3">
      <c r="A487" s="136" t="s">
        <v>714</v>
      </c>
      <c r="B487" s="137" t="s">
        <v>5268</v>
      </c>
      <c r="C487" s="134">
        <v>2018</v>
      </c>
      <c r="D487" s="149" t="s">
        <v>1128</v>
      </c>
      <c r="E487" s="135" t="s">
        <v>1117</v>
      </c>
      <c r="F487" s="384" t="s">
        <v>220</v>
      </c>
      <c r="G487" s="138" t="s">
        <v>4773</v>
      </c>
      <c r="H487" s="138" t="s">
        <v>2566</v>
      </c>
      <c r="I487" s="138" t="s">
        <v>1566</v>
      </c>
      <c r="J487" s="135" t="s">
        <v>4778</v>
      </c>
      <c r="K487" s="164">
        <v>1950222372</v>
      </c>
      <c r="L487" s="165">
        <v>1570991107</v>
      </c>
      <c r="M487" s="165">
        <v>255634190</v>
      </c>
      <c r="N487" s="165">
        <v>109482569</v>
      </c>
      <c r="O487" s="165">
        <v>383571419.18000001</v>
      </c>
      <c r="P487" s="165">
        <v>116606850.90000001</v>
      </c>
      <c r="Q487" s="165">
        <v>20382628</v>
      </c>
      <c r="R487" s="165">
        <v>1074.3333333333333</v>
      </c>
      <c r="S487" s="165">
        <v>753640542.08000004</v>
      </c>
      <c r="T487" s="165">
        <v>701496.00565932365</v>
      </c>
      <c r="U487" s="166">
        <v>123597075</v>
      </c>
      <c r="V487" s="168">
        <v>2295685249</v>
      </c>
      <c r="W487" s="165">
        <v>1629541982</v>
      </c>
      <c r="X487" s="165">
        <v>290207806</v>
      </c>
      <c r="Y487" s="165">
        <v>105659655</v>
      </c>
      <c r="Z487" s="165">
        <v>477946858</v>
      </c>
      <c r="AA487" s="165">
        <v>144373585</v>
      </c>
      <c r="AB487" s="165">
        <v>0</v>
      </c>
      <c r="AC487" s="165">
        <v>984.83333333333337</v>
      </c>
      <c r="AD487" s="165">
        <v>1103915559</v>
      </c>
      <c r="AE487" s="165">
        <v>1120916.1201556947</v>
      </c>
      <c r="AF487" s="166">
        <v>375935461</v>
      </c>
      <c r="AG487" s="11">
        <v>350275016.91999996</v>
      </c>
      <c r="AH487" s="12">
        <v>-89.499999999999886</v>
      </c>
      <c r="AI487" s="132">
        <v>1</v>
      </c>
      <c r="AJ487" s="132">
        <v>1</v>
      </c>
      <c r="AK487" s="13">
        <v>0.3</v>
      </c>
      <c r="AL487" s="13">
        <v>0.59789379272449472</v>
      </c>
      <c r="AM487" s="14">
        <v>1</v>
      </c>
      <c r="AN487" s="14">
        <v>0</v>
      </c>
      <c r="AO487" s="82">
        <v>357032.03771020792</v>
      </c>
      <c r="AP487" s="82">
        <v>485307.35285158234</v>
      </c>
      <c r="AQ487" s="82">
        <v>128275.31514137442</v>
      </c>
      <c r="AR487" s="129">
        <v>0.35928236570604799</v>
      </c>
    </row>
    <row r="488" spans="1:44" ht="43.2" x14ac:dyDescent="0.3">
      <c r="A488" s="136" t="s">
        <v>715</v>
      </c>
      <c r="B488" s="137" t="s">
        <v>5269</v>
      </c>
      <c r="C488" s="134">
        <v>2019</v>
      </c>
      <c r="D488" s="149" t="s">
        <v>1128</v>
      </c>
      <c r="E488" s="135" t="s">
        <v>1117</v>
      </c>
      <c r="F488" s="384" t="s">
        <v>460</v>
      </c>
      <c r="G488" s="138" t="s">
        <v>4773</v>
      </c>
      <c r="H488" s="138" t="s">
        <v>3485</v>
      </c>
      <c r="I488" s="138" t="s">
        <v>1566</v>
      </c>
      <c r="J488" s="135" t="s">
        <v>4774</v>
      </c>
      <c r="K488" s="164">
        <v>1160038010</v>
      </c>
      <c r="L488" s="165">
        <v>1027355280</v>
      </c>
      <c r="M488" s="165">
        <v>65630995</v>
      </c>
      <c r="N488" s="165">
        <v>26353060</v>
      </c>
      <c r="O488" s="165">
        <v>75288136.870000005</v>
      </c>
      <c r="P488" s="165">
        <v>13559479.530000001</v>
      </c>
      <c r="Q488" s="165">
        <v>4495016</v>
      </c>
      <c r="R488" s="165">
        <v>186.25</v>
      </c>
      <c r="S488" s="165">
        <v>186747427.40000001</v>
      </c>
      <c r="T488" s="165">
        <v>1002670.7511409397</v>
      </c>
      <c r="U488" s="166">
        <v>67051735</v>
      </c>
      <c r="V488" s="168">
        <v>2326990435</v>
      </c>
      <c r="W488" s="165">
        <v>1845922378</v>
      </c>
      <c r="X488" s="165">
        <v>447016496</v>
      </c>
      <c r="Y488" s="165">
        <v>29122197</v>
      </c>
      <c r="Z488" s="165">
        <v>299079477.07999998</v>
      </c>
      <c r="AA488" s="165">
        <v>37672680.319999993</v>
      </c>
      <c r="AB488" s="165">
        <v>4262846</v>
      </c>
      <c r="AC488" s="165">
        <v>320.58333333333331</v>
      </c>
      <c r="AD488" s="165">
        <v>404188761.39999998</v>
      </c>
      <c r="AE488" s="165">
        <v>1260791.5614244866</v>
      </c>
      <c r="AF488" s="166">
        <v>34051561</v>
      </c>
      <c r="AG488" s="11">
        <v>217441333.99999997</v>
      </c>
      <c r="AH488" s="12">
        <v>134.33333333333331</v>
      </c>
      <c r="AI488" s="132">
        <v>1</v>
      </c>
      <c r="AJ488" s="132">
        <v>0</v>
      </c>
      <c r="AK488" s="13">
        <v>0.15</v>
      </c>
      <c r="AL488" s="13">
        <v>0.25743327009389683</v>
      </c>
      <c r="AM488" s="14">
        <v>1</v>
      </c>
      <c r="AN488" s="14">
        <v>0</v>
      </c>
      <c r="AO488" s="82">
        <v>404231.60735570471</v>
      </c>
      <c r="AP488" s="82">
        <v>932922.72548999218</v>
      </c>
      <c r="AQ488" s="82">
        <v>528691.11813428742</v>
      </c>
      <c r="AR488" s="129">
        <v>1.3078915861942089</v>
      </c>
    </row>
    <row r="489" spans="1:44" ht="43.2" x14ac:dyDescent="0.3">
      <c r="A489" s="136" t="s">
        <v>716</v>
      </c>
      <c r="B489" s="137" t="s">
        <v>5270</v>
      </c>
      <c r="C489" s="134">
        <v>2020</v>
      </c>
      <c r="D489" s="149" t="s">
        <v>1128</v>
      </c>
      <c r="E489" s="135" t="s">
        <v>1117</v>
      </c>
      <c r="F489" s="384" t="s">
        <v>220</v>
      </c>
      <c r="G489" s="138" t="s">
        <v>4773</v>
      </c>
      <c r="H489" s="138" t="s">
        <v>1646</v>
      </c>
      <c r="I489" s="138" t="s">
        <v>1566</v>
      </c>
      <c r="J489" s="135" t="s">
        <v>4774</v>
      </c>
      <c r="K489" s="164">
        <v>635267694</v>
      </c>
      <c r="L489" s="165">
        <v>523108482</v>
      </c>
      <c r="M489" s="165">
        <v>38099677</v>
      </c>
      <c r="N489" s="165">
        <v>9204877</v>
      </c>
      <c r="O489" s="165">
        <v>22992170.090000004</v>
      </c>
      <c r="P489" s="165">
        <v>1839122.18</v>
      </c>
      <c r="Q489" s="165">
        <v>771867</v>
      </c>
      <c r="R489" s="165">
        <v>60.75</v>
      </c>
      <c r="S489" s="165">
        <v>108867571.27000001</v>
      </c>
      <c r="T489" s="165">
        <v>1792058.7863374487</v>
      </c>
      <c r="U489" s="166">
        <v>74059535</v>
      </c>
      <c r="V489" s="168">
        <v>1012062196</v>
      </c>
      <c r="W489" s="165">
        <v>845956393</v>
      </c>
      <c r="X489" s="165">
        <v>87115859</v>
      </c>
      <c r="Y489" s="165">
        <v>16792212</v>
      </c>
      <c r="Z489" s="165">
        <v>36556352.829999998</v>
      </c>
      <c r="AA489" s="165">
        <v>6988764.2000000002</v>
      </c>
      <c r="AB489" s="165">
        <v>792447</v>
      </c>
      <c r="AC489" s="165">
        <v>69</v>
      </c>
      <c r="AD489" s="165">
        <v>140119720.03</v>
      </c>
      <c r="AE489" s="165">
        <v>2030720.5801449276</v>
      </c>
      <c r="AF489" s="166">
        <v>78989944</v>
      </c>
      <c r="AG489" s="11">
        <v>31252148.75999999</v>
      </c>
      <c r="AH489" s="12">
        <v>8.25</v>
      </c>
      <c r="AI489" s="132">
        <v>1</v>
      </c>
      <c r="AJ489" s="132">
        <v>1</v>
      </c>
      <c r="AK489" s="13">
        <v>0.1</v>
      </c>
      <c r="AL489" s="13">
        <v>0.13317743331400411</v>
      </c>
      <c r="AM489" s="14">
        <v>1</v>
      </c>
      <c r="AN489" s="14">
        <v>0</v>
      </c>
      <c r="AO489" s="82">
        <v>378471.93563786015</v>
      </c>
      <c r="AP489" s="82">
        <v>529802.2149275362</v>
      </c>
      <c r="AQ489" s="82">
        <v>151330.27928967605</v>
      </c>
      <c r="AR489" s="129">
        <v>0.3998454443778785</v>
      </c>
    </row>
    <row r="490" spans="1:44" ht="28.8" x14ac:dyDescent="0.3">
      <c r="A490" s="136" t="s">
        <v>717</v>
      </c>
      <c r="B490" s="137" t="s">
        <v>5271</v>
      </c>
      <c r="C490" s="134">
        <v>2020</v>
      </c>
      <c r="D490" s="149" t="s">
        <v>1120</v>
      </c>
      <c r="E490" s="135" t="s">
        <v>1117</v>
      </c>
      <c r="F490" s="384" t="s">
        <v>222</v>
      </c>
      <c r="G490" s="138" t="s">
        <v>4773</v>
      </c>
      <c r="H490" s="138" t="s">
        <v>1401</v>
      </c>
      <c r="I490" s="138" t="s">
        <v>1217</v>
      </c>
      <c r="J490" s="135" t="s">
        <v>4778</v>
      </c>
      <c r="K490" s="164">
        <v>1337683873</v>
      </c>
      <c r="L490" s="165">
        <v>1171652180</v>
      </c>
      <c r="M490" s="165">
        <v>0</v>
      </c>
      <c r="N490" s="165">
        <v>0</v>
      </c>
      <c r="O490" s="165">
        <v>237840932</v>
      </c>
      <c r="P490" s="165">
        <v>68679806.25999999</v>
      </c>
      <c r="Q490" s="165">
        <v>241170</v>
      </c>
      <c r="R490" s="165">
        <v>877.66666666666663</v>
      </c>
      <c r="S490" s="165">
        <v>472793601.25999999</v>
      </c>
      <c r="T490" s="165">
        <v>538693.81077857956</v>
      </c>
      <c r="U490" s="166">
        <v>166031693</v>
      </c>
      <c r="V490" s="168">
        <v>903871707</v>
      </c>
      <c r="W490" s="165">
        <v>1276763287</v>
      </c>
      <c r="X490" s="165">
        <v>0</v>
      </c>
      <c r="Y490" s="165">
        <v>0</v>
      </c>
      <c r="Z490" s="165">
        <v>187805336</v>
      </c>
      <c r="AA490" s="165">
        <v>54616884</v>
      </c>
      <c r="AB490" s="165">
        <v>222057</v>
      </c>
      <c r="AC490" s="165">
        <v>439.83333333333331</v>
      </c>
      <c r="AD490" s="165">
        <v>-130247303</v>
      </c>
      <c r="AE490" s="165">
        <v>-296128.76771504356</v>
      </c>
      <c r="AF490" s="166">
        <v>-372891580</v>
      </c>
      <c r="AG490" s="11">
        <v>-603040904.25999999</v>
      </c>
      <c r="AH490" s="12">
        <v>-437.83333333333331</v>
      </c>
      <c r="AI490" s="132">
        <v>0</v>
      </c>
      <c r="AJ490" s="132">
        <v>0</v>
      </c>
      <c r="AK490" s="13">
        <v>0.1</v>
      </c>
      <c r="AL490" s="13">
        <v>-1.5497163035899744</v>
      </c>
      <c r="AM490" s="14">
        <v>0</v>
      </c>
      <c r="AN490" s="14">
        <v>-1</v>
      </c>
      <c r="AO490" s="82">
        <v>270992.32662362326</v>
      </c>
      <c r="AP490" s="82">
        <v>426992.04850322095</v>
      </c>
      <c r="AQ490" s="82">
        <v>155999.7218795977</v>
      </c>
      <c r="AR490" s="129">
        <v>0.57566103004924973</v>
      </c>
    </row>
    <row r="491" spans="1:44" ht="28.8" x14ac:dyDescent="0.3">
      <c r="A491" s="136" t="s">
        <v>718</v>
      </c>
      <c r="B491" s="137" t="s">
        <v>5272</v>
      </c>
      <c r="C491" s="134">
        <v>2018</v>
      </c>
      <c r="D491" s="149" t="s">
        <v>1122</v>
      </c>
      <c r="E491" s="135" t="s">
        <v>1117</v>
      </c>
      <c r="F491" s="384" t="s">
        <v>719</v>
      </c>
      <c r="G491" s="138" t="s">
        <v>4773</v>
      </c>
      <c r="H491" s="138" t="s">
        <v>1997</v>
      </c>
      <c r="I491" s="138" t="s">
        <v>1566</v>
      </c>
      <c r="J491" s="135" t="s">
        <v>4778</v>
      </c>
      <c r="K491" s="164">
        <v>2032854000</v>
      </c>
      <c r="L491" s="165">
        <v>1251542940</v>
      </c>
      <c r="M491" s="165">
        <v>672978000</v>
      </c>
      <c r="N491" s="165">
        <v>57308200</v>
      </c>
      <c r="O491" s="165">
        <v>363540630</v>
      </c>
      <c r="P491" s="165">
        <v>96377992.709999993</v>
      </c>
      <c r="Q491" s="165">
        <v>12404080</v>
      </c>
      <c r="R491" s="165">
        <v>1502.75</v>
      </c>
      <c r="S491" s="165">
        <v>637963962.71000004</v>
      </c>
      <c r="T491" s="165">
        <v>424531.00163699884</v>
      </c>
      <c r="U491" s="166">
        <v>108333060</v>
      </c>
      <c r="V491" s="168">
        <v>2549071614</v>
      </c>
      <c r="W491" s="165">
        <v>1724497408</v>
      </c>
      <c r="X491" s="165">
        <v>770243878</v>
      </c>
      <c r="Y491" s="165">
        <v>62846795</v>
      </c>
      <c r="Z491" s="165">
        <v>453388612.5</v>
      </c>
      <c r="AA491" s="165">
        <v>135563814.13</v>
      </c>
      <c r="AB491" s="165">
        <v>5938268</v>
      </c>
      <c r="AC491" s="165">
        <v>1331.3333333333333</v>
      </c>
      <c r="AD491" s="165">
        <v>712067817.63</v>
      </c>
      <c r="AE491" s="165">
        <v>534853.14293690538</v>
      </c>
      <c r="AF491" s="166">
        <v>54330328</v>
      </c>
      <c r="AG491" s="11">
        <v>74103854.919999957</v>
      </c>
      <c r="AH491" s="12">
        <v>-171.41666666666674</v>
      </c>
      <c r="AI491" s="132">
        <v>0</v>
      </c>
      <c r="AJ491" s="132">
        <v>0</v>
      </c>
      <c r="AK491" s="13">
        <v>0.3</v>
      </c>
      <c r="AL491" s="13">
        <v>0.25986827817049885</v>
      </c>
      <c r="AM491" s="14">
        <v>0</v>
      </c>
      <c r="AN491" s="14">
        <v>-1</v>
      </c>
      <c r="AO491" s="82">
        <v>241916.90567293295</v>
      </c>
      <c r="AP491" s="82">
        <v>340552.28780671011</v>
      </c>
      <c r="AQ491" s="82">
        <v>98635.382133777166</v>
      </c>
      <c r="AR491" s="129">
        <v>0.40772422191581081</v>
      </c>
    </row>
    <row r="492" spans="1:44" ht="28.8" x14ac:dyDescent="0.3">
      <c r="A492" s="136" t="s">
        <v>720</v>
      </c>
      <c r="B492" s="137" t="s">
        <v>5273</v>
      </c>
      <c r="C492" s="134">
        <v>2018</v>
      </c>
      <c r="D492" s="149" t="s">
        <v>1122</v>
      </c>
      <c r="E492" s="135" t="s">
        <v>1117</v>
      </c>
      <c r="F492" s="384" t="s">
        <v>719</v>
      </c>
      <c r="G492" s="138" t="s">
        <v>4773</v>
      </c>
      <c r="H492" s="138" t="s">
        <v>3336</v>
      </c>
      <c r="I492" s="138" t="s">
        <v>1566</v>
      </c>
      <c r="J492" s="135" t="s">
        <v>4798</v>
      </c>
      <c r="K492" s="164">
        <v>1796402376</v>
      </c>
      <c r="L492" s="165">
        <v>1545730762</v>
      </c>
      <c r="M492" s="165">
        <v>312739029</v>
      </c>
      <c r="N492" s="165">
        <v>4247748</v>
      </c>
      <c r="O492" s="165">
        <v>208890628</v>
      </c>
      <c r="P492" s="165">
        <v>59488936</v>
      </c>
      <c r="Q492" s="165">
        <v>1265585</v>
      </c>
      <c r="R492" s="165">
        <v>773.91666666666663</v>
      </c>
      <c r="S492" s="165">
        <v>211825482</v>
      </c>
      <c r="T492" s="165">
        <v>273705.80208894156</v>
      </c>
      <c r="U492" s="166">
        <v>-62067415</v>
      </c>
      <c r="V492" s="168">
        <v>2709104302</v>
      </c>
      <c r="W492" s="165">
        <v>2115792333</v>
      </c>
      <c r="X492" s="165">
        <v>489789892</v>
      </c>
      <c r="Y492" s="165">
        <v>8174677</v>
      </c>
      <c r="Z492" s="165">
        <v>404348759.94</v>
      </c>
      <c r="AA492" s="165">
        <v>126825543.75999999</v>
      </c>
      <c r="AB492" s="165">
        <v>1117517</v>
      </c>
      <c r="AC492" s="165">
        <v>969.58333333333337</v>
      </c>
      <c r="AD492" s="165">
        <v>643988574.70000005</v>
      </c>
      <c r="AE492" s="165">
        <v>664191.05254834553</v>
      </c>
      <c r="AF492" s="166">
        <v>103522077</v>
      </c>
      <c r="AG492" s="11">
        <v>432163092.70000005</v>
      </c>
      <c r="AH492" s="12">
        <v>195.66666666666674</v>
      </c>
      <c r="AI492" s="132">
        <v>1</v>
      </c>
      <c r="AJ492" s="132">
        <v>1</v>
      </c>
      <c r="AK492" s="13">
        <v>0.3</v>
      </c>
      <c r="AL492" s="13">
        <v>1.4266604872823305</v>
      </c>
      <c r="AM492" s="14">
        <v>1</v>
      </c>
      <c r="AN492" s="14">
        <v>0</v>
      </c>
      <c r="AO492" s="82">
        <v>269913.59276407881</v>
      </c>
      <c r="AP492" s="82">
        <v>417033.52980489901</v>
      </c>
      <c r="AQ492" s="82">
        <v>147119.93704082019</v>
      </c>
      <c r="AR492" s="129">
        <v>0.54506309050323432</v>
      </c>
    </row>
    <row r="493" spans="1:44" ht="28.8" x14ac:dyDescent="0.3">
      <c r="A493" s="136" t="s">
        <v>721</v>
      </c>
      <c r="B493" s="137" t="s">
        <v>5274</v>
      </c>
      <c r="C493" s="134">
        <v>2018</v>
      </c>
      <c r="D493" s="149" t="s">
        <v>1122</v>
      </c>
      <c r="E493" s="135" t="s">
        <v>1117</v>
      </c>
      <c r="F493" s="384" t="s">
        <v>719</v>
      </c>
      <c r="G493" s="138" t="s">
        <v>4773</v>
      </c>
      <c r="H493" s="138" t="s">
        <v>2729</v>
      </c>
      <c r="I493" s="138" t="s">
        <v>1566</v>
      </c>
      <c r="J493" s="135" t="s">
        <v>4778</v>
      </c>
      <c r="K493" s="164">
        <v>2412133528</v>
      </c>
      <c r="L493" s="165">
        <v>1396660299</v>
      </c>
      <c r="M493" s="165">
        <v>550253242</v>
      </c>
      <c r="N493" s="165">
        <v>47422938</v>
      </c>
      <c r="O493" s="165">
        <v>363910905</v>
      </c>
      <c r="P493" s="165">
        <v>100355985.23999999</v>
      </c>
      <c r="Q493" s="165">
        <v>14892925</v>
      </c>
      <c r="R493" s="165">
        <v>1019.0833333333334</v>
      </c>
      <c r="S493" s="165">
        <v>991802740.24000001</v>
      </c>
      <c r="T493" s="165">
        <v>973230.26272630633</v>
      </c>
      <c r="U493" s="166">
        <v>465219987</v>
      </c>
      <c r="V493" s="168">
        <v>1228464240</v>
      </c>
      <c r="W493" s="165">
        <v>691798520</v>
      </c>
      <c r="X493" s="165">
        <v>538266898</v>
      </c>
      <c r="Y493" s="165">
        <v>66844882</v>
      </c>
      <c r="Z493" s="165">
        <v>326529390.71000004</v>
      </c>
      <c r="AA493" s="165">
        <v>99315167.269999996</v>
      </c>
      <c r="AB493" s="165">
        <v>0</v>
      </c>
      <c r="AC493" s="165">
        <v>846.5</v>
      </c>
      <c r="AD493" s="165">
        <v>491088261.98000002</v>
      </c>
      <c r="AE493" s="165">
        <v>580139.70700531604</v>
      </c>
      <c r="AF493" s="166">
        <v>-1601178</v>
      </c>
      <c r="AG493" s="11">
        <v>-500714478.25999999</v>
      </c>
      <c r="AH493" s="12">
        <v>-172.58333333333337</v>
      </c>
      <c r="AI493" s="132">
        <v>0</v>
      </c>
      <c r="AJ493" s="132">
        <v>0</v>
      </c>
      <c r="AK493" s="13">
        <v>0.3</v>
      </c>
      <c r="AL493" s="13">
        <v>-0.40390292632290337</v>
      </c>
      <c r="AM493" s="14">
        <v>0</v>
      </c>
      <c r="AN493" s="14">
        <v>-1</v>
      </c>
      <c r="AO493" s="82">
        <v>357096.31695150869</v>
      </c>
      <c r="AP493" s="82">
        <v>385740.56787950388</v>
      </c>
      <c r="AQ493" s="82">
        <v>28644.250927995192</v>
      </c>
      <c r="AR493" s="129">
        <v>8.0214355534461879E-2</v>
      </c>
    </row>
    <row r="494" spans="1:44" ht="28.8" x14ac:dyDescent="0.3">
      <c r="A494" s="136" t="s">
        <v>722</v>
      </c>
      <c r="B494" s="137" t="s">
        <v>5275</v>
      </c>
      <c r="C494" s="134">
        <v>2019</v>
      </c>
      <c r="D494" s="149" t="s">
        <v>1122</v>
      </c>
      <c r="E494" s="135" t="s">
        <v>1117</v>
      </c>
      <c r="F494" s="384" t="s">
        <v>719</v>
      </c>
      <c r="G494" s="138" t="s">
        <v>4773</v>
      </c>
      <c r="H494" s="138" t="s">
        <v>3336</v>
      </c>
      <c r="I494" s="138" t="s">
        <v>1566</v>
      </c>
      <c r="J494" s="135" t="s">
        <v>4774</v>
      </c>
      <c r="K494" s="164">
        <v>634488326</v>
      </c>
      <c r="L494" s="165">
        <v>419958824</v>
      </c>
      <c r="M494" s="165">
        <v>194705868</v>
      </c>
      <c r="N494" s="165">
        <v>7364411</v>
      </c>
      <c r="O494" s="165">
        <v>129451096</v>
      </c>
      <c r="P494" s="165">
        <v>36405621</v>
      </c>
      <c r="Q494" s="165">
        <v>0</v>
      </c>
      <c r="R494" s="165">
        <v>237.08333333333334</v>
      </c>
      <c r="S494" s="165">
        <v>193044762</v>
      </c>
      <c r="T494" s="165">
        <v>814248.55676625657</v>
      </c>
      <c r="U494" s="166">
        <v>19823634</v>
      </c>
      <c r="V494" s="168">
        <v>644775017</v>
      </c>
      <c r="W494" s="165">
        <v>406764973</v>
      </c>
      <c r="X494" s="165">
        <v>263911126</v>
      </c>
      <c r="Y494" s="165">
        <v>10777484</v>
      </c>
      <c r="Z494" s="165">
        <v>132559039.11</v>
      </c>
      <c r="AA494" s="165">
        <v>39613603.130000003</v>
      </c>
      <c r="AB494" s="165">
        <v>0</v>
      </c>
      <c r="AC494" s="165">
        <v>212.16666666666666</v>
      </c>
      <c r="AD494" s="165">
        <v>157049044.24000001</v>
      </c>
      <c r="AE494" s="165">
        <v>740215.44810683432</v>
      </c>
      <c r="AF494" s="166">
        <v>-25901082</v>
      </c>
      <c r="AG494" s="11">
        <v>-35995717.75999999</v>
      </c>
      <c r="AH494" s="12">
        <v>-24.916666666666686</v>
      </c>
      <c r="AI494" s="132">
        <v>0</v>
      </c>
      <c r="AJ494" s="132">
        <v>1</v>
      </c>
      <c r="AK494" s="13">
        <v>0.15</v>
      </c>
      <c r="AL494" s="13">
        <v>-9.0922002981497552E-2</v>
      </c>
      <c r="AM494" s="14">
        <v>0</v>
      </c>
      <c r="AN494" s="14">
        <v>-1</v>
      </c>
      <c r="AO494" s="82">
        <v>546015.16766256583</v>
      </c>
      <c r="AP494" s="82">
        <v>624787.30138256087</v>
      </c>
      <c r="AQ494" s="82">
        <v>78772.133719995036</v>
      </c>
      <c r="AR494" s="129">
        <v>0.14426729949134987</v>
      </c>
    </row>
    <row r="495" spans="1:44" ht="28.8" x14ac:dyDescent="0.3">
      <c r="A495" s="136" t="s">
        <v>723</v>
      </c>
      <c r="B495" s="137" t="s">
        <v>5276</v>
      </c>
      <c r="C495" s="134">
        <v>2019</v>
      </c>
      <c r="D495" s="149" t="s">
        <v>1122</v>
      </c>
      <c r="E495" s="135" t="s">
        <v>1117</v>
      </c>
      <c r="F495" s="384" t="s">
        <v>719</v>
      </c>
      <c r="G495" s="138" t="s">
        <v>4773</v>
      </c>
      <c r="H495" s="138" t="s">
        <v>3608</v>
      </c>
      <c r="I495" s="138" t="s">
        <v>3557</v>
      </c>
      <c r="J495" s="135" t="s">
        <v>4774</v>
      </c>
      <c r="K495" s="164">
        <v>1229725370</v>
      </c>
      <c r="L495" s="165">
        <v>1056959800</v>
      </c>
      <c r="M495" s="165">
        <v>96527638</v>
      </c>
      <c r="N495" s="165">
        <v>1754607</v>
      </c>
      <c r="O495" s="165">
        <v>144092118</v>
      </c>
      <c r="P495" s="165">
        <v>39535878</v>
      </c>
      <c r="Q495" s="165">
        <v>0</v>
      </c>
      <c r="R495" s="165">
        <v>289.08333333333331</v>
      </c>
      <c r="S495" s="165">
        <v>261620535</v>
      </c>
      <c r="T495" s="165">
        <v>905000.40933986742</v>
      </c>
      <c r="U495" s="166">
        <v>76237932</v>
      </c>
      <c r="V495" s="168">
        <v>1249901308</v>
      </c>
      <c r="W495" s="165">
        <v>1142173782</v>
      </c>
      <c r="X495" s="165">
        <v>100054278</v>
      </c>
      <c r="Y495" s="165">
        <v>817577</v>
      </c>
      <c r="Z495" s="165">
        <v>143653583.47999999</v>
      </c>
      <c r="AA495" s="165">
        <v>44936735.659999996</v>
      </c>
      <c r="AB495" s="165">
        <v>0</v>
      </c>
      <c r="AC495" s="165">
        <v>242.33333333333334</v>
      </c>
      <c r="AD495" s="165">
        <v>197081144.13999999</v>
      </c>
      <c r="AE495" s="165">
        <v>813264.693837689</v>
      </c>
      <c r="AF495" s="166">
        <v>7673248</v>
      </c>
      <c r="AG495" s="11">
        <v>-64539390.860000014</v>
      </c>
      <c r="AH495" s="12">
        <v>-46.749999999999972</v>
      </c>
      <c r="AI495" s="132">
        <v>0</v>
      </c>
      <c r="AJ495" s="132">
        <v>1</v>
      </c>
      <c r="AK495" s="13">
        <v>0.15</v>
      </c>
      <c r="AL495" s="13">
        <v>-0.10136539054164639</v>
      </c>
      <c r="AM495" s="14">
        <v>0</v>
      </c>
      <c r="AN495" s="14">
        <v>-1</v>
      </c>
      <c r="AO495" s="82">
        <v>498444.91669068899</v>
      </c>
      <c r="AP495" s="82">
        <v>592793.32935350749</v>
      </c>
      <c r="AQ495" s="82">
        <v>94348.412662818504</v>
      </c>
      <c r="AR495" s="129">
        <v>0.18928553487760125</v>
      </c>
    </row>
    <row r="496" spans="1:44" ht="28.8" x14ac:dyDescent="0.3">
      <c r="A496" s="136" t="s">
        <v>724</v>
      </c>
      <c r="B496" s="137" t="s">
        <v>5277</v>
      </c>
      <c r="C496" s="134">
        <v>2018</v>
      </c>
      <c r="D496" s="149" t="s">
        <v>1122</v>
      </c>
      <c r="E496" s="135" t="s">
        <v>1117</v>
      </c>
      <c r="F496" s="384" t="s">
        <v>719</v>
      </c>
      <c r="G496" s="138" t="s">
        <v>4773</v>
      </c>
      <c r="H496" s="138" t="s">
        <v>3564</v>
      </c>
      <c r="I496" s="138" t="s">
        <v>3557</v>
      </c>
      <c r="J496" s="135" t="s">
        <v>4798</v>
      </c>
      <c r="K496" s="164">
        <v>11047129000</v>
      </c>
      <c r="L496" s="165">
        <v>7040436590</v>
      </c>
      <c r="M496" s="165">
        <v>3412569060</v>
      </c>
      <c r="N496" s="165">
        <v>72498090</v>
      </c>
      <c r="O496" s="165">
        <v>1589589470.04</v>
      </c>
      <c r="P496" s="165">
        <v>436958061.90999997</v>
      </c>
      <c r="Q496" s="165">
        <v>6954596</v>
      </c>
      <c r="R496" s="165">
        <v>3630.0833333333335</v>
      </c>
      <c r="S496" s="165">
        <v>2700123567.9499998</v>
      </c>
      <c r="T496" s="165">
        <v>743818.61792429001</v>
      </c>
      <c r="U496" s="166">
        <v>594123350</v>
      </c>
      <c r="V496" s="168">
        <v>14030409717</v>
      </c>
      <c r="W496" s="165">
        <v>10909854671</v>
      </c>
      <c r="X496" s="165">
        <v>2492795710</v>
      </c>
      <c r="Y496" s="165">
        <v>72279895</v>
      </c>
      <c r="Z496" s="165">
        <v>2044466258.4199998</v>
      </c>
      <c r="AA496" s="165">
        <v>602486492.05999994</v>
      </c>
      <c r="AB496" s="165">
        <v>6856704</v>
      </c>
      <c r="AC496" s="165">
        <v>3754.9166666666665</v>
      </c>
      <c r="AD496" s="165">
        <v>3353848685.48</v>
      </c>
      <c r="AE496" s="165">
        <v>893188.57998979115</v>
      </c>
      <c r="AF496" s="166">
        <v>627759336</v>
      </c>
      <c r="AG496" s="11">
        <v>653725117.53000021</v>
      </c>
      <c r="AH496" s="12">
        <v>124.83333333333303</v>
      </c>
      <c r="AI496" s="132">
        <v>0</v>
      </c>
      <c r="AJ496" s="132">
        <v>1</v>
      </c>
      <c r="AK496" s="13">
        <v>0.3</v>
      </c>
      <c r="AL496" s="13">
        <v>0.20081503203025486</v>
      </c>
      <c r="AM496" s="14">
        <v>0</v>
      </c>
      <c r="AN496" s="14">
        <v>-1</v>
      </c>
      <c r="AO496" s="82">
        <v>437893.38262390665</v>
      </c>
      <c r="AP496" s="82">
        <v>544477.13222752383</v>
      </c>
      <c r="AQ496" s="82">
        <v>106583.74960361718</v>
      </c>
      <c r="AR496" s="129">
        <v>0.24340114245379851</v>
      </c>
    </row>
    <row r="497" spans="1:44" ht="28.8" x14ac:dyDescent="0.3">
      <c r="A497" s="136" t="s">
        <v>725</v>
      </c>
      <c r="B497" s="137" t="s">
        <v>5278</v>
      </c>
      <c r="C497" s="134">
        <v>2019</v>
      </c>
      <c r="D497" s="149" t="s">
        <v>1122</v>
      </c>
      <c r="E497" s="135" t="s">
        <v>1117</v>
      </c>
      <c r="F497" s="384" t="s">
        <v>719</v>
      </c>
      <c r="G497" s="138" t="s">
        <v>4773</v>
      </c>
      <c r="H497" s="138" t="s">
        <v>3564</v>
      </c>
      <c r="I497" s="138" t="s">
        <v>3557</v>
      </c>
      <c r="J497" s="135" t="s">
        <v>4774</v>
      </c>
      <c r="K497" s="164">
        <v>659437599</v>
      </c>
      <c r="L497" s="165">
        <v>619885829</v>
      </c>
      <c r="M497" s="165">
        <v>34394397</v>
      </c>
      <c r="N497" s="165">
        <v>424653</v>
      </c>
      <c r="O497" s="165">
        <v>36015278</v>
      </c>
      <c r="P497" s="165">
        <v>10588025</v>
      </c>
      <c r="Q497" s="165">
        <v>0</v>
      </c>
      <c r="R497" s="165">
        <v>66.083333333333329</v>
      </c>
      <c r="S497" s="165">
        <v>52185329</v>
      </c>
      <c r="T497" s="165">
        <v>789689.72005044145</v>
      </c>
      <c r="U497" s="166">
        <v>5157373</v>
      </c>
      <c r="V497" s="168">
        <v>950420944</v>
      </c>
      <c r="W497" s="165">
        <v>920106179</v>
      </c>
      <c r="X497" s="165">
        <v>25464272</v>
      </c>
      <c r="Y497" s="165">
        <v>8565035</v>
      </c>
      <c r="Z497" s="165">
        <v>52642960.560000002</v>
      </c>
      <c r="AA497" s="165">
        <v>10010573</v>
      </c>
      <c r="AB497" s="165">
        <v>301294</v>
      </c>
      <c r="AC497" s="165">
        <v>74.25</v>
      </c>
      <c r="AD497" s="165">
        <v>76370355.560000002</v>
      </c>
      <c r="AE497" s="165">
        <v>1028556.9772390573</v>
      </c>
      <c r="AF497" s="166">
        <v>4850493</v>
      </c>
      <c r="AG497" s="11">
        <v>24185026.560000002</v>
      </c>
      <c r="AH497" s="12">
        <v>8.1666666666666714</v>
      </c>
      <c r="AI497" s="132">
        <v>1</v>
      </c>
      <c r="AJ497" s="132">
        <v>0</v>
      </c>
      <c r="AK497" s="13">
        <v>0.15</v>
      </c>
      <c r="AL497" s="13">
        <v>0.30248242309650442</v>
      </c>
      <c r="AM497" s="14">
        <v>1</v>
      </c>
      <c r="AN497" s="14">
        <v>0</v>
      </c>
      <c r="AO497" s="82">
        <v>544997.90163934429</v>
      </c>
      <c r="AP497" s="82">
        <v>708996.10181818181</v>
      </c>
      <c r="AQ497" s="82">
        <v>163998.20017883752</v>
      </c>
      <c r="AR497" s="129">
        <v>0.30091528735346285</v>
      </c>
    </row>
    <row r="498" spans="1:44" ht="28.8" x14ac:dyDescent="0.3">
      <c r="A498" s="136" t="s">
        <v>726</v>
      </c>
      <c r="B498" s="137" t="s">
        <v>5279</v>
      </c>
      <c r="C498" s="134">
        <v>2019</v>
      </c>
      <c r="D498" s="149" t="s">
        <v>1122</v>
      </c>
      <c r="E498" s="135" t="s">
        <v>1117</v>
      </c>
      <c r="F498" s="384" t="s">
        <v>719</v>
      </c>
      <c r="G498" s="138" t="s">
        <v>4773</v>
      </c>
      <c r="H498" s="138" t="s">
        <v>2900</v>
      </c>
      <c r="I498" s="138" t="s">
        <v>1566</v>
      </c>
      <c r="J498" s="135" t="s">
        <v>4778</v>
      </c>
      <c r="K498" s="164">
        <v>995465480</v>
      </c>
      <c r="L498" s="165">
        <v>420863034</v>
      </c>
      <c r="M498" s="165">
        <v>400805963</v>
      </c>
      <c r="N498" s="165">
        <v>45937282</v>
      </c>
      <c r="O498" s="165">
        <v>258129726.71000001</v>
      </c>
      <c r="P498" s="165">
        <v>67463329.629999995</v>
      </c>
      <c r="Q498" s="165">
        <v>37092</v>
      </c>
      <c r="R498" s="165">
        <v>373</v>
      </c>
      <c r="S498" s="165">
        <v>545363913.34000003</v>
      </c>
      <c r="T498" s="165">
        <v>1462101.6443431636</v>
      </c>
      <c r="U498" s="166">
        <v>173796483</v>
      </c>
      <c r="V498" s="168">
        <v>737822636</v>
      </c>
      <c r="W498" s="165">
        <v>265187821</v>
      </c>
      <c r="X498" s="165">
        <v>409164324</v>
      </c>
      <c r="Y498" s="165">
        <v>79494908</v>
      </c>
      <c r="Z498" s="165">
        <v>243943360.89000002</v>
      </c>
      <c r="AA498" s="165">
        <v>69631280.400000006</v>
      </c>
      <c r="AB498" s="165">
        <v>1961</v>
      </c>
      <c r="AC498" s="165">
        <v>300.5</v>
      </c>
      <c r="AD498" s="165">
        <v>456542001.28999996</v>
      </c>
      <c r="AE498" s="165">
        <v>1519274.5467221297</v>
      </c>
      <c r="AF498" s="166">
        <v>63470491</v>
      </c>
      <c r="AG498" s="11">
        <v>-88821912.050000072</v>
      </c>
      <c r="AH498" s="12">
        <v>-72.5</v>
      </c>
      <c r="AI498" s="132">
        <v>0</v>
      </c>
      <c r="AJ498" s="132">
        <v>1</v>
      </c>
      <c r="AK498" s="13">
        <v>0.15</v>
      </c>
      <c r="AL498" s="13">
        <v>3.9103239088084329E-2</v>
      </c>
      <c r="AM498" s="14">
        <v>0</v>
      </c>
      <c r="AN498" s="14">
        <v>-1</v>
      </c>
      <c r="AO498" s="82">
        <v>692036.80083109927</v>
      </c>
      <c r="AP498" s="82">
        <v>811791.55038269551</v>
      </c>
      <c r="AQ498" s="82">
        <v>119754.74955159624</v>
      </c>
      <c r="AR498" s="129">
        <v>0.17304679376555865</v>
      </c>
    </row>
    <row r="499" spans="1:44" ht="28.8" x14ac:dyDescent="0.3">
      <c r="A499" s="136" t="s">
        <v>727</v>
      </c>
      <c r="B499" s="137" t="s">
        <v>5280</v>
      </c>
      <c r="C499" s="134">
        <v>2019</v>
      </c>
      <c r="D499" s="149" t="s">
        <v>1122</v>
      </c>
      <c r="E499" s="135" t="s">
        <v>1117</v>
      </c>
      <c r="F499" s="384" t="s">
        <v>719</v>
      </c>
      <c r="G499" s="138" t="s">
        <v>4773</v>
      </c>
      <c r="H499" s="138" t="s">
        <v>3541</v>
      </c>
      <c r="I499" s="138" t="s">
        <v>1566</v>
      </c>
      <c r="J499" s="135" t="s">
        <v>4774</v>
      </c>
      <c r="K499" s="164">
        <v>2646449689</v>
      </c>
      <c r="L499" s="165">
        <v>2260279149</v>
      </c>
      <c r="M499" s="165">
        <v>246532135</v>
      </c>
      <c r="N499" s="165">
        <v>12828504</v>
      </c>
      <c r="O499" s="165">
        <v>401860234</v>
      </c>
      <c r="P499" s="165">
        <v>80122806</v>
      </c>
      <c r="Q499" s="165">
        <v>128607</v>
      </c>
      <c r="R499" s="165">
        <v>390.83333333333331</v>
      </c>
      <c r="S499" s="165">
        <v>634578556</v>
      </c>
      <c r="T499" s="165">
        <v>1623655.1539445629</v>
      </c>
      <c r="U499" s="166">
        <v>139638405</v>
      </c>
      <c r="V499" s="168">
        <v>4167491717</v>
      </c>
      <c r="W499" s="165">
        <v>3523479094</v>
      </c>
      <c r="X499" s="165">
        <v>295616049</v>
      </c>
      <c r="Y499" s="165">
        <v>48603226</v>
      </c>
      <c r="Z499" s="165">
        <v>488702352.88</v>
      </c>
      <c r="AA499" s="165">
        <v>134937170.60000002</v>
      </c>
      <c r="AB499" s="165">
        <v>119502</v>
      </c>
      <c r="AC499" s="165">
        <v>501.25</v>
      </c>
      <c r="AD499" s="165">
        <v>1020758825.48</v>
      </c>
      <c r="AE499" s="165">
        <v>2036426.5844987531</v>
      </c>
      <c r="AF499" s="166">
        <v>348396574</v>
      </c>
      <c r="AG499" s="11">
        <v>386180269.48000002</v>
      </c>
      <c r="AH499" s="12">
        <v>110.41666666666669</v>
      </c>
      <c r="AI499" s="132">
        <v>1</v>
      </c>
      <c r="AJ499" s="132">
        <v>1</v>
      </c>
      <c r="AK499" s="13">
        <v>0.15</v>
      </c>
      <c r="AL499" s="13">
        <v>0.25422358312970594</v>
      </c>
      <c r="AM499" s="14">
        <v>1</v>
      </c>
      <c r="AN499" s="14">
        <v>0</v>
      </c>
      <c r="AO499" s="82">
        <v>1028213.8183368871</v>
      </c>
      <c r="AP499" s="82">
        <v>974967.28754114709</v>
      </c>
      <c r="AQ499" s="82">
        <v>-53246.530795739964</v>
      </c>
      <c r="AR499" s="129">
        <v>-5.1785465091166549E-2</v>
      </c>
    </row>
    <row r="500" spans="1:44" ht="28.8" x14ac:dyDescent="0.3">
      <c r="A500" s="136" t="s">
        <v>728</v>
      </c>
      <c r="B500" s="137" t="s">
        <v>5281</v>
      </c>
      <c r="C500" s="134">
        <v>2020</v>
      </c>
      <c r="D500" s="149" t="s">
        <v>4865</v>
      </c>
      <c r="E500" s="135" t="s">
        <v>1108</v>
      </c>
      <c r="F500" s="384" t="s">
        <v>633</v>
      </c>
      <c r="G500" s="138" t="s">
        <v>4773</v>
      </c>
      <c r="H500" s="138" t="s">
        <v>3355</v>
      </c>
      <c r="I500" s="138" t="s">
        <v>1566</v>
      </c>
      <c r="J500" s="135" t="s">
        <v>4774</v>
      </c>
      <c r="K500" s="164">
        <v>277586488</v>
      </c>
      <c r="L500" s="165">
        <v>240055504</v>
      </c>
      <c r="M500" s="165">
        <v>23702466</v>
      </c>
      <c r="N500" s="165">
        <v>868682</v>
      </c>
      <c r="O500" s="165">
        <v>26555404</v>
      </c>
      <c r="P500" s="165">
        <v>5668144</v>
      </c>
      <c r="Q500" s="165">
        <v>0</v>
      </c>
      <c r="R500" s="165">
        <v>53.666666666666664</v>
      </c>
      <c r="S500" s="165">
        <v>46920748</v>
      </c>
      <c r="T500" s="165">
        <v>874299.65217391308</v>
      </c>
      <c r="U500" s="166">
        <v>13828518</v>
      </c>
      <c r="V500" s="168">
        <v>282257869</v>
      </c>
      <c r="W500" s="165">
        <v>232263878</v>
      </c>
      <c r="X500" s="165">
        <v>34142578</v>
      </c>
      <c r="Y500" s="165">
        <v>528496</v>
      </c>
      <c r="Z500" s="165">
        <v>52501511.990000002</v>
      </c>
      <c r="AA500" s="165">
        <v>11242065.299999999</v>
      </c>
      <c r="AB500" s="165">
        <v>0</v>
      </c>
      <c r="AC500" s="165">
        <v>63.75</v>
      </c>
      <c r="AD500" s="165">
        <v>80123486.290000007</v>
      </c>
      <c r="AE500" s="165">
        <v>1256839.0006274511</v>
      </c>
      <c r="AF500" s="166">
        <v>15851413</v>
      </c>
      <c r="AG500" s="11">
        <v>33202738.290000007</v>
      </c>
      <c r="AH500" s="12">
        <v>10.083333333333336</v>
      </c>
      <c r="AI500" s="132">
        <v>1</v>
      </c>
      <c r="AJ500" s="132">
        <v>1</v>
      </c>
      <c r="AK500" s="13">
        <v>0.1</v>
      </c>
      <c r="AL500" s="13">
        <v>0.43753803401385327</v>
      </c>
      <c r="AM500" s="14">
        <v>1</v>
      </c>
      <c r="AN500" s="14">
        <v>0</v>
      </c>
      <c r="AO500" s="82">
        <v>494821.19254658389</v>
      </c>
      <c r="AP500" s="82">
        <v>823553.12925490201</v>
      </c>
      <c r="AQ500" s="82">
        <v>328731.93670831813</v>
      </c>
      <c r="AR500" s="129">
        <v>0.66434490207767394</v>
      </c>
    </row>
    <row r="501" spans="1:44" ht="28.8" x14ac:dyDescent="0.3">
      <c r="A501" s="136" t="s">
        <v>729</v>
      </c>
      <c r="B501" s="137" t="s">
        <v>5282</v>
      </c>
      <c r="C501" s="134">
        <v>2019</v>
      </c>
      <c r="D501" s="149" t="s">
        <v>1184</v>
      </c>
      <c r="E501" s="135" t="s">
        <v>1175</v>
      </c>
      <c r="F501" s="384" t="s">
        <v>633</v>
      </c>
      <c r="G501" s="138" t="s">
        <v>4773</v>
      </c>
      <c r="H501" s="138" t="s">
        <v>4611</v>
      </c>
      <c r="I501" s="138" t="s">
        <v>4612</v>
      </c>
      <c r="J501" s="135" t="s">
        <v>4778</v>
      </c>
      <c r="K501" s="164">
        <v>2957596751</v>
      </c>
      <c r="L501" s="165">
        <v>2067966036</v>
      </c>
      <c r="M501" s="165">
        <v>642524011</v>
      </c>
      <c r="N501" s="165">
        <v>352959122</v>
      </c>
      <c r="O501" s="165">
        <v>740052196</v>
      </c>
      <c r="P501" s="165">
        <v>218339296</v>
      </c>
      <c r="Q501" s="165">
        <v>59270920</v>
      </c>
      <c r="R501" s="165">
        <v>1881.9166666666667</v>
      </c>
      <c r="S501" s="165">
        <v>1617728238</v>
      </c>
      <c r="T501" s="165">
        <v>859617.36066953011</v>
      </c>
      <c r="U501" s="166">
        <v>247106704</v>
      </c>
      <c r="V501" s="168">
        <v>3332210487</v>
      </c>
      <c r="W501" s="165">
        <v>2075069342</v>
      </c>
      <c r="X501" s="165">
        <v>770201601</v>
      </c>
      <c r="Y501" s="165">
        <v>443272191</v>
      </c>
      <c r="Z501" s="165">
        <v>728260535.86000001</v>
      </c>
      <c r="AA501" s="165">
        <v>226589277</v>
      </c>
      <c r="AB501" s="165">
        <v>63771603</v>
      </c>
      <c r="AC501" s="165">
        <v>1673</v>
      </c>
      <c r="AD501" s="165">
        <v>1948833150.8600001</v>
      </c>
      <c r="AE501" s="165">
        <v>1164873.3717035267</v>
      </c>
      <c r="AF501" s="166">
        <v>486939544</v>
      </c>
      <c r="AG501" s="11">
        <v>331104912.86000013</v>
      </c>
      <c r="AH501" s="12">
        <v>-208.91666666666674</v>
      </c>
      <c r="AI501" s="132">
        <v>1</v>
      </c>
      <c r="AJ501" s="132">
        <v>1</v>
      </c>
      <c r="AK501" s="13">
        <v>0.15</v>
      </c>
      <c r="AL501" s="13">
        <v>0.35510684660905412</v>
      </c>
      <c r="AM501" s="14">
        <v>1</v>
      </c>
      <c r="AN501" s="14">
        <v>0</v>
      </c>
      <c r="AO501" s="82">
        <v>393243.87158482044</v>
      </c>
      <c r="AP501" s="82">
        <v>435302.17325762106</v>
      </c>
      <c r="AQ501" s="82">
        <v>42058.301672800619</v>
      </c>
      <c r="AR501" s="129">
        <v>0.10695221136772082</v>
      </c>
    </row>
    <row r="502" spans="1:44" ht="43.2" x14ac:dyDescent="0.3">
      <c r="A502" s="136" t="s">
        <v>730</v>
      </c>
      <c r="B502" s="137" t="s">
        <v>5283</v>
      </c>
      <c r="C502" s="134">
        <v>2018</v>
      </c>
      <c r="D502" s="149" t="s">
        <v>1187</v>
      </c>
      <c r="E502" s="135" t="s">
        <v>1175</v>
      </c>
      <c r="F502" s="384" t="s">
        <v>389</v>
      </c>
      <c r="G502" s="138" t="s">
        <v>4773</v>
      </c>
      <c r="H502" s="138" t="s">
        <v>2975</v>
      </c>
      <c r="I502" s="138" t="s">
        <v>1566</v>
      </c>
      <c r="J502" s="135" t="s">
        <v>4778</v>
      </c>
      <c r="K502" s="164">
        <v>1315163386</v>
      </c>
      <c r="L502" s="165">
        <v>564329721</v>
      </c>
      <c r="M502" s="165">
        <v>531462097</v>
      </c>
      <c r="N502" s="165">
        <v>69230600</v>
      </c>
      <c r="O502" s="165">
        <v>336364726</v>
      </c>
      <c r="P502" s="165">
        <v>91250169</v>
      </c>
      <c r="Q502" s="165">
        <v>687186</v>
      </c>
      <c r="R502" s="165">
        <v>964</v>
      </c>
      <c r="S502" s="165">
        <v>716904249</v>
      </c>
      <c r="T502" s="165">
        <v>743676.60684647306</v>
      </c>
      <c r="U502" s="166">
        <v>219371568</v>
      </c>
      <c r="V502" s="168">
        <v>1091720610</v>
      </c>
      <c r="W502" s="165">
        <v>449189640</v>
      </c>
      <c r="X502" s="165">
        <v>483437732</v>
      </c>
      <c r="Y502" s="165">
        <v>59661969</v>
      </c>
      <c r="Z502" s="165">
        <v>373315298.39000005</v>
      </c>
      <c r="AA502" s="165">
        <v>108589047.28</v>
      </c>
      <c r="AB502" s="165">
        <v>425341</v>
      </c>
      <c r="AC502" s="165">
        <v>875.91666666666663</v>
      </c>
      <c r="AD502" s="165">
        <v>701084893.67000008</v>
      </c>
      <c r="AE502" s="165">
        <v>800401.36276662559</v>
      </c>
      <c r="AF502" s="166">
        <v>159093238</v>
      </c>
      <c r="AG502" s="11">
        <v>-15819355.329999924</v>
      </c>
      <c r="AH502" s="12">
        <v>-88.083333333333371</v>
      </c>
      <c r="AI502" s="132">
        <v>0</v>
      </c>
      <c r="AJ502" s="132">
        <v>1</v>
      </c>
      <c r="AK502" s="13">
        <v>0.3</v>
      </c>
      <c r="AL502" s="13">
        <v>7.6276098020616745E-2</v>
      </c>
      <c r="AM502" s="14">
        <v>0</v>
      </c>
      <c r="AN502" s="14">
        <v>-1</v>
      </c>
      <c r="AO502" s="82">
        <v>348926.06431535271</v>
      </c>
      <c r="AP502" s="82">
        <v>426199.56052516418</v>
      </c>
      <c r="AQ502" s="82">
        <v>77273.496209811477</v>
      </c>
      <c r="AR502" s="129">
        <v>0.22146094577782294</v>
      </c>
    </row>
    <row r="503" spans="1:44" ht="43.2" x14ac:dyDescent="0.3">
      <c r="A503" s="136" t="s">
        <v>731</v>
      </c>
      <c r="B503" s="137" t="s">
        <v>5284</v>
      </c>
      <c r="C503" s="134">
        <v>2019</v>
      </c>
      <c r="D503" s="149" t="s">
        <v>1187</v>
      </c>
      <c r="E503" s="135" t="s">
        <v>1175</v>
      </c>
      <c r="F503" s="384" t="s">
        <v>389</v>
      </c>
      <c r="G503" s="138" t="s">
        <v>4773</v>
      </c>
      <c r="H503" s="138" t="s">
        <v>3620</v>
      </c>
      <c r="I503" s="138" t="s">
        <v>3557</v>
      </c>
      <c r="J503" s="135" t="s">
        <v>4774</v>
      </c>
      <c r="K503" s="164">
        <v>1642614856</v>
      </c>
      <c r="L503" s="165">
        <v>1022065865</v>
      </c>
      <c r="M503" s="165">
        <v>268183420</v>
      </c>
      <c r="N503" s="165">
        <v>315589</v>
      </c>
      <c r="O503" s="165">
        <v>37745013</v>
      </c>
      <c r="P503" s="165">
        <v>11894611</v>
      </c>
      <c r="Q503" s="165">
        <v>23442</v>
      </c>
      <c r="R503" s="165">
        <v>176.08333333333334</v>
      </c>
      <c r="S503" s="165">
        <v>402344226</v>
      </c>
      <c r="T503" s="191">
        <v>2284964.8424041644</v>
      </c>
      <c r="U503" s="166">
        <v>352365571</v>
      </c>
      <c r="V503" s="168">
        <v>3380391914</v>
      </c>
      <c r="W503" s="165">
        <v>3239946378</v>
      </c>
      <c r="X503" s="165">
        <v>361685739</v>
      </c>
      <c r="Y503" s="165">
        <v>297209</v>
      </c>
      <c r="Z503" s="165">
        <v>113365691</v>
      </c>
      <c r="AA503" s="165">
        <v>19560241.32</v>
      </c>
      <c r="AB503" s="165">
        <v>10939</v>
      </c>
      <c r="AC503" s="165">
        <v>169</v>
      </c>
      <c r="AD503" s="165">
        <v>-88006122.680000007</v>
      </c>
      <c r="AE503" s="165">
        <v>-520746.28804733732</v>
      </c>
      <c r="AF503" s="166">
        <v>-221240203</v>
      </c>
      <c r="AG503" s="11">
        <v>-490350348.68000001</v>
      </c>
      <c r="AH503" s="12">
        <v>-7.0833333333333428</v>
      </c>
      <c r="AI503" s="132">
        <v>0</v>
      </c>
      <c r="AJ503" s="132">
        <v>0</v>
      </c>
      <c r="AK503" s="13">
        <v>0.15</v>
      </c>
      <c r="AL503" s="13">
        <v>-1.2279012266989631</v>
      </c>
      <c r="AM503" s="14">
        <v>0</v>
      </c>
      <c r="AN503" s="14">
        <v>-1</v>
      </c>
      <c r="AO503" s="82">
        <v>214358.80548982488</v>
      </c>
      <c r="AP503" s="82">
        <v>670802.90532544383</v>
      </c>
      <c r="AQ503" s="82">
        <v>456444.09983561898</v>
      </c>
      <c r="AR503" s="129">
        <v>2.129346162349675</v>
      </c>
    </row>
    <row r="504" spans="1:44" ht="28.8" x14ac:dyDescent="0.3">
      <c r="A504" s="136" t="s">
        <v>732</v>
      </c>
      <c r="B504" s="137" t="s">
        <v>5285</v>
      </c>
      <c r="C504" s="134">
        <v>2018</v>
      </c>
      <c r="D504" s="149" t="s">
        <v>4766</v>
      </c>
      <c r="E504" s="135" t="s">
        <v>1175</v>
      </c>
      <c r="F504" s="384" t="s">
        <v>635</v>
      </c>
      <c r="G504" s="138" t="s">
        <v>4773</v>
      </c>
      <c r="H504" s="138" t="s">
        <v>2975</v>
      </c>
      <c r="I504" s="138" t="s">
        <v>1566</v>
      </c>
      <c r="J504" s="135" t="s">
        <v>4778</v>
      </c>
      <c r="K504" s="164">
        <v>409855717</v>
      </c>
      <c r="L504" s="165">
        <v>331077127</v>
      </c>
      <c r="M504" s="165">
        <v>55995188</v>
      </c>
      <c r="N504" s="165">
        <v>129203</v>
      </c>
      <c r="O504" s="165">
        <v>48939922</v>
      </c>
      <c r="P504" s="165">
        <v>14575013</v>
      </c>
      <c r="Q504" s="165">
        <v>3306</v>
      </c>
      <c r="R504" s="165">
        <v>133.16666666666666</v>
      </c>
      <c r="S504" s="165">
        <v>86430846</v>
      </c>
      <c r="T504" s="165">
        <v>649042.64831038809</v>
      </c>
      <c r="U504" s="166">
        <v>22783402</v>
      </c>
      <c r="V504" s="168">
        <v>409837064</v>
      </c>
      <c r="W504" s="165">
        <v>358762917</v>
      </c>
      <c r="X504" s="165">
        <v>42859746</v>
      </c>
      <c r="Y504" s="165">
        <v>11109531</v>
      </c>
      <c r="Z504" s="165">
        <v>62714587.020000003</v>
      </c>
      <c r="AA504" s="165">
        <v>12304698.470000001</v>
      </c>
      <c r="AB504" s="165">
        <v>8547</v>
      </c>
      <c r="AC504" s="165">
        <v>144.91666666666666</v>
      </c>
      <c r="AD504" s="165">
        <v>94351764.49000001</v>
      </c>
      <c r="AE504" s="165">
        <v>651076.00568142626</v>
      </c>
      <c r="AF504" s="166">
        <v>8214401</v>
      </c>
      <c r="AG504" s="11">
        <v>7920918.4900000095</v>
      </c>
      <c r="AH504" s="12">
        <v>11.75</v>
      </c>
      <c r="AI504" s="132">
        <v>0</v>
      </c>
      <c r="AJ504" s="132">
        <v>0</v>
      </c>
      <c r="AK504" s="13">
        <v>0.3</v>
      </c>
      <c r="AL504" s="13">
        <v>3.1328603752003303E-3</v>
      </c>
      <c r="AM504" s="14">
        <v>0</v>
      </c>
      <c r="AN504" s="14">
        <v>-1</v>
      </c>
      <c r="AO504" s="82">
        <v>367508.80100125162</v>
      </c>
      <c r="AP504" s="82">
        <v>432763.10767107538</v>
      </c>
      <c r="AQ504" s="82">
        <v>65254.306669823767</v>
      </c>
      <c r="AR504" s="129">
        <v>0.17755848701321719</v>
      </c>
    </row>
    <row r="505" spans="1:44" ht="28.8" x14ac:dyDescent="0.3">
      <c r="A505" s="136" t="s">
        <v>733</v>
      </c>
      <c r="B505" s="137" t="s">
        <v>5286</v>
      </c>
      <c r="C505" s="134">
        <v>2019</v>
      </c>
      <c r="D505" s="149" t="s">
        <v>4766</v>
      </c>
      <c r="E505" s="135" t="s">
        <v>1175</v>
      </c>
      <c r="F505" s="384" t="s">
        <v>734</v>
      </c>
      <c r="G505" s="138" t="s">
        <v>4773</v>
      </c>
      <c r="H505" s="138" t="s">
        <v>1634</v>
      </c>
      <c r="I505" s="138" t="s">
        <v>1566</v>
      </c>
      <c r="J505" s="135" t="s">
        <v>4774</v>
      </c>
      <c r="K505" s="164">
        <v>887780477</v>
      </c>
      <c r="L505" s="165">
        <v>746266118</v>
      </c>
      <c r="M505" s="165">
        <v>116705081</v>
      </c>
      <c r="N505" s="165">
        <v>16664838</v>
      </c>
      <c r="O505" s="165">
        <v>39777170</v>
      </c>
      <c r="P505" s="165">
        <v>11901872</v>
      </c>
      <c r="Q505" s="165">
        <v>23955</v>
      </c>
      <c r="R505" s="165">
        <v>135.91666666666666</v>
      </c>
      <c r="S505" s="165">
        <v>93177113</v>
      </c>
      <c r="T505" s="165">
        <v>685545.89576946665</v>
      </c>
      <c r="U505" s="166">
        <v>24809278</v>
      </c>
      <c r="V505" s="168">
        <v>1421935404</v>
      </c>
      <c r="W505" s="165">
        <v>1231779299</v>
      </c>
      <c r="X505" s="165">
        <v>120677222</v>
      </c>
      <c r="Y505" s="165">
        <v>18640622</v>
      </c>
      <c r="Z505" s="165">
        <v>83125008.540000007</v>
      </c>
      <c r="AA505" s="165">
        <v>16690671.930000002</v>
      </c>
      <c r="AB505" s="165">
        <v>18582</v>
      </c>
      <c r="AC505" s="165">
        <v>208</v>
      </c>
      <c r="AD505" s="165">
        <v>187953767.47000003</v>
      </c>
      <c r="AE505" s="165">
        <v>903623.88206730783</v>
      </c>
      <c r="AF505" s="166">
        <v>69478883</v>
      </c>
      <c r="AG505" s="11">
        <v>94776654.470000029</v>
      </c>
      <c r="AH505" s="12">
        <v>72.083333333333343</v>
      </c>
      <c r="AI505" s="132">
        <v>1</v>
      </c>
      <c r="AJ505" s="132">
        <v>1</v>
      </c>
      <c r="AK505" s="13">
        <v>0.15</v>
      </c>
      <c r="AL505" s="13">
        <v>0.31810850301927274</v>
      </c>
      <c r="AM505" s="14">
        <v>1</v>
      </c>
      <c r="AN505" s="14">
        <v>0</v>
      </c>
      <c r="AO505" s="82">
        <v>292658.51624770084</v>
      </c>
      <c r="AP505" s="82">
        <v>399639.46413461544</v>
      </c>
      <c r="AQ505" s="82">
        <v>106980.9478869146</v>
      </c>
      <c r="AR505" s="129">
        <v>0.36554872640838476</v>
      </c>
    </row>
    <row r="506" spans="1:44" ht="28.8" x14ac:dyDescent="0.3">
      <c r="A506" s="136" t="s">
        <v>735</v>
      </c>
      <c r="B506" s="137" t="s">
        <v>5287</v>
      </c>
      <c r="C506" s="134">
        <v>2019</v>
      </c>
      <c r="D506" s="149" t="s">
        <v>4766</v>
      </c>
      <c r="E506" s="135" t="s">
        <v>1175</v>
      </c>
      <c r="F506" s="384" t="s">
        <v>635</v>
      </c>
      <c r="G506" s="138" t="s">
        <v>4773</v>
      </c>
      <c r="H506" s="138" t="s">
        <v>2912</v>
      </c>
      <c r="I506" s="138" t="s">
        <v>1566</v>
      </c>
      <c r="J506" s="135" t="s">
        <v>4774</v>
      </c>
      <c r="K506" s="164">
        <v>453475928</v>
      </c>
      <c r="L506" s="165">
        <v>342517556</v>
      </c>
      <c r="M506" s="165">
        <v>62852539</v>
      </c>
      <c r="N506" s="165">
        <v>4575878</v>
      </c>
      <c r="O506" s="165">
        <v>238548477</v>
      </c>
      <c r="P506" s="165">
        <v>62709706</v>
      </c>
      <c r="Q506" s="165">
        <v>333798</v>
      </c>
      <c r="R506" s="165">
        <v>259.16666666666669</v>
      </c>
      <c r="S506" s="165">
        <v>354273692</v>
      </c>
      <c r="T506" s="165">
        <v>1366972.445016077</v>
      </c>
      <c r="U506" s="166">
        <v>48105833</v>
      </c>
      <c r="V506" s="168">
        <v>538116217</v>
      </c>
      <c r="W506" s="165">
        <v>406849184</v>
      </c>
      <c r="X506" s="165">
        <v>100667175</v>
      </c>
      <c r="Y506" s="165">
        <v>7712634</v>
      </c>
      <c r="Z506" s="165">
        <v>286383077.94000006</v>
      </c>
      <c r="AA506" s="165">
        <v>48098874.240000002</v>
      </c>
      <c r="AB506" s="165">
        <v>400115</v>
      </c>
      <c r="AC506" s="165">
        <v>253.75</v>
      </c>
      <c r="AD506" s="165">
        <v>373194559.18000007</v>
      </c>
      <c r="AE506" s="165">
        <v>1470717.4746009854</v>
      </c>
      <c r="AF506" s="166">
        <v>30599858</v>
      </c>
      <c r="AG506" s="11">
        <v>18920867.180000067</v>
      </c>
      <c r="AH506" s="12">
        <v>-5.4166666666666856</v>
      </c>
      <c r="AI506" s="132">
        <v>0</v>
      </c>
      <c r="AJ506" s="132">
        <v>1</v>
      </c>
      <c r="AK506" s="13">
        <v>0.15</v>
      </c>
      <c r="AL506" s="13">
        <v>7.5894009422062592E-2</v>
      </c>
      <c r="AM506" s="14">
        <v>0</v>
      </c>
      <c r="AN506" s="14">
        <v>-1</v>
      </c>
      <c r="AO506" s="82">
        <v>920444.28424437298</v>
      </c>
      <c r="AP506" s="82">
        <v>1128603.2628177342</v>
      </c>
      <c r="AQ506" s="82">
        <v>208158.97857336118</v>
      </c>
      <c r="AR506" s="129">
        <v>0.22615054722649153</v>
      </c>
    </row>
    <row r="507" spans="1:44" ht="28.8" x14ac:dyDescent="0.3">
      <c r="A507" s="136" t="s">
        <v>736</v>
      </c>
      <c r="B507" s="137" t="s">
        <v>5288</v>
      </c>
      <c r="C507" s="134">
        <v>2020</v>
      </c>
      <c r="D507" s="149" t="s">
        <v>5182</v>
      </c>
      <c r="E507" s="135" t="s">
        <v>1108</v>
      </c>
      <c r="F507" s="384" t="s">
        <v>737</v>
      </c>
      <c r="G507" s="138" t="s">
        <v>4773</v>
      </c>
      <c r="H507" s="138" t="s">
        <v>2975</v>
      </c>
      <c r="I507" s="138" t="s">
        <v>1566</v>
      </c>
      <c r="J507" s="135" t="s">
        <v>4778</v>
      </c>
      <c r="K507" s="164">
        <v>3163746137</v>
      </c>
      <c r="L507" s="165">
        <v>1631161571</v>
      </c>
      <c r="M507" s="165">
        <v>1232193027</v>
      </c>
      <c r="N507" s="165">
        <v>19680000</v>
      </c>
      <c r="O507" s="165">
        <v>437157932.36000001</v>
      </c>
      <c r="P507" s="165">
        <v>131177002.40000002</v>
      </c>
      <c r="Q507" s="165">
        <v>2614</v>
      </c>
      <c r="R507" s="165">
        <v>1094.5833333333333</v>
      </c>
      <c r="S507" s="165">
        <v>888409087.75999999</v>
      </c>
      <c r="T507" s="165">
        <v>811641.34397563769</v>
      </c>
      <c r="U507" s="166">
        <v>300391539</v>
      </c>
      <c r="V507" s="168">
        <v>4203883403</v>
      </c>
      <c r="W507" s="165">
        <v>2417745752</v>
      </c>
      <c r="X507" s="165">
        <v>1364562987</v>
      </c>
      <c r="Y507" s="165">
        <v>24423146</v>
      </c>
      <c r="Z507" s="165">
        <v>547888983.39999998</v>
      </c>
      <c r="AA507" s="165">
        <v>163840709.96999997</v>
      </c>
      <c r="AB507" s="165">
        <v>111513</v>
      </c>
      <c r="AC507" s="165">
        <v>1141.75</v>
      </c>
      <c r="AD507" s="165">
        <v>1157839016.3699999</v>
      </c>
      <c r="AE507" s="165">
        <v>1014091.5405036127</v>
      </c>
      <c r="AF507" s="166">
        <v>421574664</v>
      </c>
      <c r="AG507" s="11">
        <v>269429928.6099999</v>
      </c>
      <c r="AH507" s="12">
        <v>47.166666666666742</v>
      </c>
      <c r="AI507" s="132">
        <v>1</v>
      </c>
      <c r="AJ507" s="132">
        <v>1</v>
      </c>
      <c r="AK507" s="13">
        <v>0.1</v>
      </c>
      <c r="AL507" s="13">
        <v>0.24943308087288907</v>
      </c>
      <c r="AM507" s="14">
        <v>1</v>
      </c>
      <c r="AN507" s="14">
        <v>0</v>
      </c>
      <c r="AO507" s="82">
        <v>399382.96066387516</v>
      </c>
      <c r="AP507" s="82">
        <v>479867.73234070506</v>
      </c>
      <c r="AQ507" s="82">
        <v>80484.7716768299</v>
      </c>
      <c r="AR507" s="129">
        <v>0.20152279792568994</v>
      </c>
    </row>
    <row r="508" spans="1:44" ht="28.8" x14ac:dyDescent="0.3">
      <c r="A508" s="136" t="s">
        <v>738</v>
      </c>
      <c r="B508" s="137" t="s">
        <v>5289</v>
      </c>
      <c r="C508" s="134">
        <v>2020</v>
      </c>
      <c r="D508" s="149" t="s">
        <v>5182</v>
      </c>
      <c r="E508" s="135" t="s">
        <v>1108</v>
      </c>
      <c r="F508" s="384" t="s">
        <v>737</v>
      </c>
      <c r="G508" s="138" t="s">
        <v>4773</v>
      </c>
      <c r="H508" s="138" t="s">
        <v>2898</v>
      </c>
      <c r="I508" s="138" t="s">
        <v>1566</v>
      </c>
      <c r="J508" s="135" t="s">
        <v>4774</v>
      </c>
      <c r="K508" s="164">
        <v>701944342</v>
      </c>
      <c r="L508" s="165">
        <v>460257041</v>
      </c>
      <c r="M508" s="165">
        <v>190525310</v>
      </c>
      <c r="N508" s="165">
        <v>54190982</v>
      </c>
      <c r="O508" s="165">
        <v>82233847.5</v>
      </c>
      <c r="P508" s="165">
        <v>17623305.869999997</v>
      </c>
      <c r="Q508" s="165">
        <v>2808901</v>
      </c>
      <c r="R508" s="165">
        <v>152.16666666666666</v>
      </c>
      <c r="S508" s="165">
        <v>208019027.37</v>
      </c>
      <c r="T508" s="165">
        <v>1367047.2773493978</v>
      </c>
      <c r="U508" s="166">
        <v>51161991</v>
      </c>
      <c r="V508" s="168">
        <v>834204724</v>
      </c>
      <c r="W508" s="165">
        <v>477584883</v>
      </c>
      <c r="X508" s="165">
        <v>197365964</v>
      </c>
      <c r="Y508" s="165">
        <v>54875533</v>
      </c>
      <c r="Z508" s="165">
        <v>105193445.45999999</v>
      </c>
      <c r="AA508" s="165">
        <v>24115313.190000005</v>
      </c>
      <c r="AB508" s="165">
        <v>2514748</v>
      </c>
      <c r="AC508" s="165">
        <v>150.66666666666666</v>
      </c>
      <c r="AD508" s="165">
        <v>345952916.64999998</v>
      </c>
      <c r="AE508" s="165">
        <v>2296147.676880531</v>
      </c>
      <c r="AF508" s="166">
        <v>159253877</v>
      </c>
      <c r="AG508" s="11">
        <v>137933889.27999997</v>
      </c>
      <c r="AH508" s="12">
        <v>-1.5</v>
      </c>
      <c r="AI508" s="132">
        <v>1</v>
      </c>
      <c r="AJ508" s="132">
        <v>1</v>
      </c>
      <c r="AK508" s="13">
        <v>0.1</v>
      </c>
      <c r="AL508" s="13">
        <v>0.67964028281450517</v>
      </c>
      <c r="AM508" s="14">
        <v>1</v>
      </c>
      <c r="AN508" s="14">
        <v>0</v>
      </c>
      <c r="AO508" s="82">
        <v>540419.58926615561</v>
      </c>
      <c r="AP508" s="82">
        <v>698186.58491150441</v>
      </c>
      <c r="AQ508" s="82">
        <v>157766.9956453488</v>
      </c>
      <c r="AR508" s="129">
        <v>0.29193426511348908</v>
      </c>
    </row>
    <row r="509" spans="1:44" ht="28.8" x14ac:dyDescent="0.3">
      <c r="A509" s="136" t="s">
        <v>739</v>
      </c>
      <c r="B509" s="137" t="s">
        <v>5290</v>
      </c>
      <c r="C509" s="134">
        <v>2019</v>
      </c>
      <c r="D509" s="149" t="s">
        <v>5182</v>
      </c>
      <c r="E509" s="135" t="s">
        <v>1108</v>
      </c>
      <c r="F509" s="384" t="s">
        <v>737</v>
      </c>
      <c r="G509" s="138" t="s">
        <v>4773</v>
      </c>
      <c r="H509" s="138" t="s">
        <v>2151</v>
      </c>
      <c r="I509" s="138" t="s">
        <v>1566</v>
      </c>
      <c r="J509" s="135" t="s">
        <v>4774</v>
      </c>
      <c r="K509" s="164">
        <v>750381793</v>
      </c>
      <c r="L509" s="165">
        <v>298894523</v>
      </c>
      <c r="M509" s="165">
        <v>289834669</v>
      </c>
      <c r="N509" s="165">
        <v>21832919</v>
      </c>
      <c r="O509" s="165">
        <v>282378652.03000003</v>
      </c>
      <c r="P509" s="165">
        <v>82742144.780000001</v>
      </c>
      <c r="Q509" s="165">
        <v>1046969</v>
      </c>
      <c r="R509" s="165">
        <v>935.25</v>
      </c>
      <c r="S509" s="165">
        <v>549653285.81000006</v>
      </c>
      <c r="T509" s="165">
        <v>587707.33580326126</v>
      </c>
      <c r="U509" s="166">
        <v>161652601</v>
      </c>
      <c r="V509" s="168">
        <v>622943144</v>
      </c>
      <c r="W509" s="165">
        <v>254997310</v>
      </c>
      <c r="X509" s="165">
        <v>322328754</v>
      </c>
      <c r="Y509" s="165">
        <v>23542542</v>
      </c>
      <c r="Z509" s="165">
        <v>289504363</v>
      </c>
      <c r="AA509" s="165">
        <v>83676067</v>
      </c>
      <c r="AB509" s="165">
        <v>718554</v>
      </c>
      <c r="AC509" s="165">
        <v>809.41666666666663</v>
      </c>
      <c r="AD509" s="165">
        <v>443058606</v>
      </c>
      <c r="AE509" s="165">
        <v>547380.13713579741</v>
      </c>
      <c r="AF509" s="166">
        <v>45617080</v>
      </c>
      <c r="AG509" s="11">
        <v>-106594679.81000006</v>
      </c>
      <c r="AH509" s="12">
        <v>-125.83333333333337</v>
      </c>
      <c r="AI509" s="132">
        <v>0</v>
      </c>
      <c r="AJ509" s="132">
        <v>1</v>
      </c>
      <c r="AK509" s="13">
        <v>0.15</v>
      </c>
      <c r="AL509" s="13">
        <v>-6.861782600843469E-2</v>
      </c>
      <c r="AM509" s="14">
        <v>0</v>
      </c>
      <c r="AN509" s="14">
        <v>-1</v>
      </c>
      <c r="AO509" s="82">
        <v>301928.52395616152</v>
      </c>
      <c r="AP509" s="82">
        <v>357670.37537321117</v>
      </c>
      <c r="AQ509" s="82">
        <v>55741.851417049649</v>
      </c>
      <c r="AR509" s="129">
        <v>0.18461936184983663</v>
      </c>
    </row>
    <row r="510" spans="1:44" ht="28.8" x14ac:dyDescent="0.3">
      <c r="A510" s="136" t="s">
        <v>740</v>
      </c>
      <c r="B510" s="137" t="s">
        <v>5291</v>
      </c>
      <c r="C510" s="134">
        <v>2019</v>
      </c>
      <c r="D510" s="149" t="s">
        <v>4873</v>
      </c>
      <c r="E510" s="135" t="s">
        <v>1140</v>
      </c>
      <c r="F510" s="384" t="s">
        <v>741</v>
      </c>
      <c r="G510" s="138" t="s">
        <v>4773</v>
      </c>
      <c r="H510" s="138" t="s">
        <v>3171</v>
      </c>
      <c r="I510" s="138" t="s">
        <v>1566</v>
      </c>
      <c r="J510" s="135" t="s">
        <v>4778</v>
      </c>
      <c r="K510" s="164">
        <v>916700346</v>
      </c>
      <c r="L510" s="165">
        <v>876522528</v>
      </c>
      <c r="M510" s="165">
        <v>29455774</v>
      </c>
      <c r="N510" s="165">
        <v>18114162</v>
      </c>
      <c r="O510" s="165">
        <v>83785213</v>
      </c>
      <c r="P510" s="165">
        <v>24669685</v>
      </c>
      <c r="Q510" s="165">
        <v>1313199</v>
      </c>
      <c r="R510" s="165">
        <v>268.41666666666669</v>
      </c>
      <c r="S510" s="165">
        <v>138604303</v>
      </c>
      <c r="T510" s="165">
        <v>516377.40950015519</v>
      </c>
      <c r="U510" s="166">
        <v>10722044</v>
      </c>
      <c r="V510" s="168">
        <v>1662741052</v>
      </c>
      <c r="W510" s="165">
        <v>1467153656</v>
      </c>
      <c r="X510" s="165">
        <v>53211937</v>
      </c>
      <c r="Y510" s="165">
        <v>22770196</v>
      </c>
      <c r="Z510" s="165">
        <v>110046309</v>
      </c>
      <c r="AA510" s="165">
        <v>33034893</v>
      </c>
      <c r="AB510" s="165">
        <v>1291764</v>
      </c>
      <c r="AC510" s="165">
        <v>289.33333333333331</v>
      </c>
      <c r="AD510" s="165">
        <v>309518621</v>
      </c>
      <c r="AE510" s="165">
        <v>1069764.8191244241</v>
      </c>
      <c r="AF510" s="166">
        <v>142375459</v>
      </c>
      <c r="AG510" s="11">
        <v>170914318</v>
      </c>
      <c r="AH510" s="12">
        <v>20.916666666666629</v>
      </c>
      <c r="AI510" s="132">
        <v>1</v>
      </c>
      <c r="AJ510" s="132">
        <v>1</v>
      </c>
      <c r="AK510" s="13">
        <v>0.15</v>
      </c>
      <c r="AL510" s="13">
        <v>1.0716723839642794</v>
      </c>
      <c r="AM510" s="14">
        <v>1</v>
      </c>
      <c r="AN510" s="14">
        <v>0</v>
      </c>
      <c r="AO510" s="82">
        <v>312146.09003415087</v>
      </c>
      <c r="AP510" s="82">
        <v>380344.38594470051</v>
      </c>
      <c r="AQ510" s="82">
        <v>68198.295910549641</v>
      </c>
      <c r="AR510" s="129">
        <v>0.21848198035441757</v>
      </c>
    </row>
    <row r="511" spans="1:44" ht="28.8" x14ac:dyDescent="0.3">
      <c r="A511" s="136" t="s">
        <v>742</v>
      </c>
      <c r="B511" s="137" t="s">
        <v>5292</v>
      </c>
      <c r="C511" s="134">
        <v>2019</v>
      </c>
      <c r="D511" s="149" t="s">
        <v>4873</v>
      </c>
      <c r="E511" s="135" t="s">
        <v>1140</v>
      </c>
      <c r="F511" s="384" t="s">
        <v>741</v>
      </c>
      <c r="G511" s="138" t="s">
        <v>4773</v>
      </c>
      <c r="H511" s="138" t="s">
        <v>2196</v>
      </c>
      <c r="I511" s="138" t="s">
        <v>1566</v>
      </c>
      <c r="J511" s="135" t="s">
        <v>4778</v>
      </c>
      <c r="K511" s="164">
        <v>1753543617</v>
      </c>
      <c r="L511" s="165">
        <v>1308554141</v>
      </c>
      <c r="M511" s="165">
        <v>460099091</v>
      </c>
      <c r="N511" s="165">
        <v>41979190</v>
      </c>
      <c r="O511" s="165">
        <v>333276650</v>
      </c>
      <c r="P511" s="165">
        <v>96194617</v>
      </c>
      <c r="Q511" s="165">
        <v>1625046</v>
      </c>
      <c r="R511" s="165">
        <v>932.08333333333337</v>
      </c>
      <c r="S511" s="165">
        <v>457965888</v>
      </c>
      <c r="T511" s="165">
        <v>491335.77612874383</v>
      </c>
      <c r="U511" s="166">
        <v>-15109615</v>
      </c>
      <c r="V511" s="168">
        <v>2784231761</v>
      </c>
      <c r="W511" s="165">
        <v>1881336723</v>
      </c>
      <c r="X511" s="165">
        <v>539030501</v>
      </c>
      <c r="Y511" s="165">
        <v>60213956</v>
      </c>
      <c r="Z511" s="165">
        <v>338367224.65999997</v>
      </c>
      <c r="AA511" s="165">
        <v>101829168.84999999</v>
      </c>
      <c r="AB511" s="165">
        <v>2245044</v>
      </c>
      <c r="AC511" s="165">
        <v>788</v>
      </c>
      <c r="AD511" s="165">
        <v>866519930.50999999</v>
      </c>
      <c r="AE511" s="165">
        <v>1099644.5818654823</v>
      </c>
      <c r="AF511" s="166">
        <v>363864537</v>
      </c>
      <c r="AG511" s="11">
        <v>408554042.50999999</v>
      </c>
      <c r="AH511" s="12">
        <v>-144.08333333333337</v>
      </c>
      <c r="AI511" s="132">
        <v>1</v>
      </c>
      <c r="AJ511" s="132">
        <v>1</v>
      </c>
      <c r="AK511" s="13">
        <v>0.15</v>
      </c>
      <c r="AL511" s="13">
        <v>1.2380714467812624</v>
      </c>
      <c r="AM511" s="14">
        <v>1</v>
      </c>
      <c r="AN511" s="14">
        <v>0</v>
      </c>
      <c r="AO511" s="82">
        <v>357561.00134108181</v>
      </c>
      <c r="AP511" s="82">
        <v>429400.03129441623</v>
      </c>
      <c r="AQ511" s="82">
        <v>71839.029953334422</v>
      </c>
      <c r="AR511" s="129">
        <v>0.20091405294171416</v>
      </c>
    </row>
    <row r="512" spans="1:44" ht="28.8" x14ac:dyDescent="0.3">
      <c r="A512" s="136" t="s">
        <v>743</v>
      </c>
      <c r="B512" s="137" t="s">
        <v>5293</v>
      </c>
      <c r="C512" s="134">
        <v>2019</v>
      </c>
      <c r="D512" s="149" t="s">
        <v>4873</v>
      </c>
      <c r="E512" s="135" t="s">
        <v>1140</v>
      </c>
      <c r="F512" s="384" t="s">
        <v>741</v>
      </c>
      <c r="G512" s="138" t="s">
        <v>4773</v>
      </c>
      <c r="H512" s="138" t="s">
        <v>3293</v>
      </c>
      <c r="I512" s="138" t="s">
        <v>1566</v>
      </c>
      <c r="J512" s="135" t="s">
        <v>4778</v>
      </c>
      <c r="K512" s="164">
        <v>570828432</v>
      </c>
      <c r="L512" s="165">
        <v>432315011</v>
      </c>
      <c r="M512" s="165">
        <v>77865300</v>
      </c>
      <c r="N512" s="165">
        <v>9569795</v>
      </c>
      <c r="O512" s="165">
        <v>85584394</v>
      </c>
      <c r="P512" s="165">
        <v>24509966</v>
      </c>
      <c r="Q512" s="165">
        <v>257960</v>
      </c>
      <c r="R512" s="165">
        <v>179.58333333333334</v>
      </c>
      <c r="S512" s="165">
        <v>180570236</v>
      </c>
      <c r="T512" s="165">
        <v>1005495.513689095</v>
      </c>
      <c r="U512" s="166">
        <v>60648121</v>
      </c>
      <c r="V512" s="168">
        <v>839196348</v>
      </c>
      <c r="W512" s="165">
        <v>632178407</v>
      </c>
      <c r="X512" s="165">
        <v>119578209</v>
      </c>
      <c r="Y512" s="165">
        <v>5724368</v>
      </c>
      <c r="Z512" s="165">
        <v>116995706</v>
      </c>
      <c r="AA512" s="165">
        <v>27210883</v>
      </c>
      <c r="AB512" s="165">
        <v>262363</v>
      </c>
      <c r="AC512" s="165">
        <v>230.83333333333334</v>
      </c>
      <c r="AD512" s="165">
        <v>237633052</v>
      </c>
      <c r="AE512" s="165">
        <v>1029457.2649819495</v>
      </c>
      <c r="AF512" s="166">
        <v>87439732</v>
      </c>
      <c r="AG512" s="11">
        <v>57062816</v>
      </c>
      <c r="AH512" s="12">
        <v>51.25</v>
      </c>
      <c r="AI512" s="132">
        <v>0</v>
      </c>
      <c r="AJ512" s="132">
        <v>0</v>
      </c>
      <c r="AK512" s="13">
        <v>0.15</v>
      </c>
      <c r="AL512" s="13">
        <v>2.3830787668062348E-2</v>
      </c>
      <c r="AM512" s="14">
        <v>0</v>
      </c>
      <c r="AN512" s="14">
        <v>-1</v>
      </c>
      <c r="AO512" s="82">
        <v>476572.03155452432</v>
      </c>
      <c r="AP512" s="82">
        <v>506840.60361010826</v>
      </c>
      <c r="AQ512" s="82">
        <v>30268.572055583936</v>
      </c>
      <c r="AR512" s="129">
        <v>6.351311040400609E-2</v>
      </c>
    </row>
    <row r="513" spans="1:44" ht="28.8" x14ac:dyDescent="0.3">
      <c r="A513" s="136" t="s">
        <v>744</v>
      </c>
      <c r="B513" s="137" t="s">
        <v>5294</v>
      </c>
      <c r="C513" s="134">
        <v>2020</v>
      </c>
      <c r="D513" s="149" t="s">
        <v>4873</v>
      </c>
      <c r="E513" s="135" t="s">
        <v>1140</v>
      </c>
      <c r="F513" s="384" t="s">
        <v>741</v>
      </c>
      <c r="G513" s="138" t="s">
        <v>4773</v>
      </c>
      <c r="H513" s="138" t="s">
        <v>2902</v>
      </c>
      <c r="I513" s="138" t="s">
        <v>1566</v>
      </c>
      <c r="J513" s="135" t="s">
        <v>4778</v>
      </c>
      <c r="K513" s="164">
        <v>6985416483</v>
      </c>
      <c r="L513" s="165">
        <v>2824271964</v>
      </c>
      <c r="M513" s="165">
        <v>1089013200</v>
      </c>
      <c r="N513" s="165">
        <v>161671657</v>
      </c>
      <c r="O513" s="165">
        <v>838932500</v>
      </c>
      <c r="P513" s="165">
        <v>243095140</v>
      </c>
      <c r="Q513" s="165">
        <v>5688553</v>
      </c>
      <c r="R513" s="165">
        <v>1806.3333333333333</v>
      </c>
      <c r="S513" s="165">
        <v>4321519169</v>
      </c>
      <c r="T513" s="165">
        <v>2392426.186934859</v>
      </c>
      <c r="U513" s="166">
        <v>3072131319</v>
      </c>
      <c r="V513" s="168">
        <v>10166441262</v>
      </c>
      <c r="W513" s="165">
        <v>4279389253</v>
      </c>
      <c r="X513" s="165">
        <v>1093897512</v>
      </c>
      <c r="Y513" s="165">
        <v>166717472</v>
      </c>
      <c r="Z513" s="165">
        <v>973573580.33000004</v>
      </c>
      <c r="AA513" s="165">
        <v>271979749.13</v>
      </c>
      <c r="AB513" s="165">
        <v>5520421</v>
      </c>
      <c r="AC513" s="165">
        <v>1731</v>
      </c>
      <c r="AD513" s="165">
        <v>6210945719.46</v>
      </c>
      <c r="AE513" s="165">
        <v>3588068.0066204504</v>
      </c>
      <c r="AF513" s="166">
        <v>4793154497</v>
      </c>
      <c r="AG513" s="11">
        <v>1889426550.46</v>
      </c>
      <c r="AH513" s="12">
        <v>-75.333333333333258</v>
      </c>
      <c r="AI513" s="132">
        <v>1</v>
      </c>
      <c r="AJ513" s="132">
        <v>1</v>
      </c>
      <c r="AK513" s="13">
        <v>0.1</v>
      </c>
      <c r="AL513" s="13">
        <v>0.49976121520388461</v>
      </c>
      <c r="AM513" s="14">
        <v>1</v>
      </c>
      <c r="AN513" s="14">
        <v>0</v>
      </c>
      <c r="AO513" s="82">
        <v>464439.47222734825</v>
      </c>
      <c r="AP513" s="82">
        <v>562434.18852108612</v>
      </c>
      <c r="AQ513" s="82">
        <v>97994.716293737874</v>
      </c>
      <c r="AR513" s="129">
        <v>0.21099566715072049</v>
      </c>
    </row>
    <row r="514" spans="1:44" ht="28.8" x14ac:dyDescent="0.3">
      <c r="A514" s="136" t="s">
        <v>745</v>
      </c>
      <c r="B514" s="137" t="s">
        <v>5295</v>
      </c>
      <c r="C514" s="134">
        <v>2019</v>
      </c>
      <c r="D514" s="149" t="s">
        <v>4873</v>
      </c>
      <c r="E514" s="135" t="s">
        <v>1140</v>
      </c>
      <c r="F514" s="384" t="s">
        <v>741</v>
      </c>
      <c r="G514" s="138" t="s">
        <v>4773</v>
      </c>
      <c r="H514" s="138" t="s">
        <v>3205</v>
      </c>
      <c r="I514" s="138" t="s">
        <v>1566</v>
      </c>
      <c r="J514" s="135" t="s">
        <v>4774</v>
      </c>
      <c r="K514" s="164">
        <v>907225495</v>
      </c>
      <c r="L514" s="165">
        <v>653252238</v>
      </c>
      <c r="M514" s="165">
        <v>190278863</v>
      </c>
      <c r="N514" s="165">
        <v>18795007</v>
      </c>
      <c r="O514" s="165">
        <v>56473998</v>
      </c>
      <c r="P514" s="165">
        <v>10434509</v>
      </c>
      <c r="Q514" s="165">
        <v>759563</v>
      </c>
      <c r="R514" s="165">
        <v>57.083333333333336</v>
      </c>
      <c r="S514" s="165">
        <v>150157471</v>
      </c>
      <c r="T514" s="165">
        <v>2630495.8423357662</v>
      </c>
      <c r="U514" s="166">
        <v>63694394</v>
      </c>
      <c r="V514" s="168">
        <v>558045167</v>
      </c>
      <c r="W514" s="165">
        <v>325460956</v>
      </c>
      <c r="X514" s="165">
        <v>169819197</v>
      </c>
      <c r="Y514" s="165">
        <v>33176807</v>
      </c>
      <c r="Z514" s="165">
        <v>84634582</v>
      </c>
      <c r="AA514" s="165">
        <v>12019830</v>
      </c>
      <c r="AB514" s="165">
        <v>1516362</v>
      </c>
      <c r="AC514" s="165">
        <v>102.75</v>
      </c>
      <c r="AD514" s="165">
        <v>194112595</v>
      </c>
      <c r="AE514" s="165">
        <v>1889173.6739659368</v>
      </c>
      <c r="AF514" s="166">
        <v>62765014</v>
      </c>
      <c r="AG514" s="11">
        <v>43955124</v>
      </c>
      <c r="AH514" s="12">
        <v>45.666666666666664</v>
      </c>
      <c r="AI514" s="132">
        <v>0</v>
      </c>
      <c r="AJ514" s="132">
        <v>0</v>
      </c>
      <c r="AK514" s="13">
        <v>0.15</v>
      </c>
      <c r="AL514" s="13">
        <v>-0.28181841564896748</v>
      </c>
      <c r="AM514" s="14">
        <v>0</v>
      </c>
      <c r="AN514" s="14">
        <v>-1</v>
      </c>
      <c r="AO514" s="82">
        <v>989325.5124087591</v>
      </c>
      <c r="AP514" s="82">
        <v>823694.22871046234</v>
      </c>
      <c r="AQ514" s="82">
        <v>-165631.28369829676</v>
      </c>
      <c r="AR514" s="129">
        <v>-0.16741838921653418</v>
      </c>
    </row>
    <row r="515" spans="1:44" ht="28.8" x14ac:dyDescent="0.3">
      <c r="A515" s="136" t="s">
        <v>746</v>
      </c>
      <c r="B515" s="137" t="s">
        <v>5296</v>
      </c>
      <c r="C515" s="134">
        <v>2019</v>
      </c>
      <c r="D515" s="149" t="s">
        <v>4873</v>
      </c>
      <c r="E515" s="135" t="s">
        <v>1140</v>
      </c>
      <c r="F515" s="384" t="s">
        <v>741</v>
      </c>
      <c r="G515" s="138" t="s">
        <v>4773</v>
      </c>
      <c r="H515" s="138" t="s">
        <v>3025</v>
      </c>
      <c r="I515" s="138" t="s">
        <v>1566</v>
      </c>
      <c r="J515" s="135" t="s">
        <v>4774</v>
      </c>
      <c r="K515" s="164">
        <v>1431347006</v>
      </c>
      <c r="L515" s="165">
        <v>1163076757</v>
      </c>
      <c r="M515" s="165">
        <v>198713774</v>
      </c>
      <c r="N515" s="165">
        <v>156865</v>
      </c>
      <c r="O515" s="165">
        <v>104844753</v>
      </c>
      <c r="P515" s="165">
        <v>28956378</v>
      </c>
      <c r="Q515" s="165">
        <v>0</v>
      </c>
      <c r="R515" s="165">
        <v>254.66666666666666</v>
      </c>
      <c r="S515" s="165">
        <v>203514471</v>
      </c>
      <c r="T515" s="165">
        <v>799140.59293193719</v>
      </c>
      <c r="U515" s="166">
        <v>69556475</v>
      </c>
      <c r="V515" s="168">
        <v>1448264973</v>
      </c>
      <c r="W515" s="165">
        <v>1110220532</v>
      </c>
      <c r="X515" s="165">
        <v>208253464</v>
      </c>
      <c r="Y515" s="165">
        <v>387879</v>
      </c>
      <c r="Z515" s="165">
        <v>119336900</v>
      </c>
      <c r="AA515" s="165">
        <v>34155502</v>
      </c>
      <c r="AB515" s="165">
        <v>0</v>
      </c>
      <c r="AC515" s="165">
        <v>243.33333333333334</v>
      </c>
      <c r="AD515" s="165">
        <v>283671258</v>
      </c>
      <c r="AE515" s="165">
        <v>1165772.2931506848</v>
      </c>
      <c r="AF515" s="166">
        <v>129790977</v>
      </c>
      <c r="AG515" s="11">
        <v>80156787</v>
      </c>
      <c r="AH515" s="12">
        <v>-11.333333333333314</v>
      </c>
      <c r="AI515" s="132">
        <v>1</v>
      </c>
      <c r="AJ515" s="132">
        <v>1</v>
      </c>
      <c r="AK515" s="13">
        <v>0.15</v>
      </c>
      <c r="AL515" s="13">
        <v>0.45878247781157011</v>
      </c>
      <c r="AM515" s="14">
        <v>1</v>
      </c>
      <c r="AN515" s="14">
        <v>0</v>
      </c>
      <c r="AO515" s="82">
        <v>411694.05628272251</v>
      </c>
      <c r="AP515" s="82">
        <v>490425.61643835617</v>
      </c>
      <c r="AQ515" s="82">
        <v>78731.560155633662</v>
      </c>
      <c r="AR515" s="129">
        <v>0.19123802968281467</v>
      </c>
    </row>
    <row r="516" spans="1:44" ht="28.8" x14ac:dyDescent="0.3">
      <c r="A516" s="136" t="s">
        <v>747</v>
      </c>
      <c r="B516" s="137" t="s">
        <v>5297</v>
      </c>
      <c r="C516" s="134">
        <v>2019</v>
      </c>
      <c r="D516" s="149" t="s">
        <v>4873</v>
      </c>
      <c r="E516" s="135" t="s">
        <v>1140</v>
      </c>
      <c r="F516" s="384" t="s">
        <v>741</v>
      </c>
      <c r="G516" s="138" t="s">
        <v>4773</v>
      </c>
      <c r="H516" s="138" t="s">
        <v>2717</v>
      </c>
      <c r="I516" s="138" t="s">
        <v>1566</v>
      </c>
      <c r="J516" s="135" t="s">
        <v>4778</v>
      </c>
      <c r="K516" s="164">
        <v>1585147065</v>
      </c>
      <c r="L516" s="165">
        <v>814354068</v>
      </c>
      <c r="M516" s="165">
        <v>675479937</v>
      </c>
      <c r="N516" s="165">
        <v>26776415</v>
      </c>
      <c r="O516" s="165">
        <v>413649235</v>
      </c>
      <c r="P516" s="165">
        <v>111402360</v>
      </c>
      <c r="Q516" s="165">
        <v>856640</v>
      </c>
      <c r="R516" s="165">
        <v>877.08333333333337</v>
      </c>
      <c r="S516" s="165">
        <v>647997710</v>
      </c>
      <c r="T516" s="165">
        <v>738809.74061757722</v>
      </c>
      <c r="U516" s="166">
        <v>95313060</v>
      </c>
      <c r="V516" s="168">
        <v>1388808265</v>
      </c>
      <c r="W516" s="165">
        <v>658758502</v>
      </c>
      <c r="X516" s="165">
        <v>618002921</v>
      </c>
      <c r="Y516" s="165">
        <v>21223012</v>
      </c>
      <c r="Z516" s="165">
        <v>277416374.16000003</v>
      </c>
      <c r="AA516" s="165">
        <v>81879947.329999998</v>
      </c>
      <c r="AB516" s="165">
        <v>0</v>
      </c>
      <c r="AC516" s="165">
        <v>561.5</v>
      </c>
      <c r="AD516" s="165">
        <v>492566175.49000001</v>
      </c>
      <c r="AE516" s="165">
        <v>877232.72571682988</v>
      </c>
      <c r="AF516" s="166">
        <v>112046842</v>
      </c>
      <c r="AG516" s="11">
        <v>-155431534.50999999</v>
      </c>
      <c r="AH516" s="12">
        <v>-315.58333333333337</v>
      </c>
      <c r="AI516" s="132">
        <v>1</v>
      </c>
      <c r="AJ516" s="132">
        <v>1</v>
      </c>
      <c r="AK516" s="13">
        <v>0.15</v>
      </c>
      <c r="AL516" s="13">
        <v>0.18735945468179671</v>
      </c>
      <c r="AM516" s="14">
        <v>1</v>
      </c>
      <c r="AN516" s="14">
        <v>0</v>
      </c>
      <c r="AO516" s="82">
        <v>471619.0802850356</v>
      </c>
      <c r="AP516" s="82">
        <v>494062.99939447915</v>
      </c>
      <c r="AQ516" s="82">
        <v>22443.919109443552</v>
      </c>
      <c r="AR516" s="129">
        <v>4.7589082052996945E-2</v>
      </c>
    </row>
    <row r="517" spans="1:44" ht="28.8" x14ac:dyDescent="0.3">
      <c r="A517" s="136" t="s">
        <v>748</v>
      </c>
      <c r="B517" s="137" t="s">
        <v>5298</v>
      </c>
      <c r="C517" s="134">
        <v>2019</v>
      </c>
      <c r="D517" s="149" t="s">
        <v>4873</v>
      </c>
      <c r="E517" s="135" t="s">
        <v>1140</v>
      </c>
      <c r="F517" s="384" t="s">
        <v>741</v>
      </c>
      <c r="G517" s="138" t="s">
        <v>4773</v>
      </c>
      <c r="H517" s="138" t="s">
        <v>2931</v>
      </c>
      <c r="I517" s="138" t="s">
        <v>1566</v>
      </c>
      <c r="J517" s="135" t="s">
        <v>4778</v>
      </c>
      <c r="K517" s="164">
        <v>810216736</v>
      </c>
      <c r="L517" s="165">
        <v>376892601</v>
      </c>
      <c r="M517" s="165">
        <v>360650344</v>
      </c>
      <c r="N517" s="165">
        <v>8419794</v>
      </c>
      <c r="O517" s="165">
        <v>39304661</v>
      </c>
      <c r="P517" s="165">
        <v>11296240</v>
      </c>
      <c r="Q517" s="165">
        <v>1277492</v>
      </c>
      <c r="R517" s="165">
        <v>86.75</v>
      </c>
      <c r="S517" s="165">
        <v>132971978</v>
      </c>
      <c r="T517" s="165">
        <v>1532818.1902017291</v>
      </c>
      <c r="U517" s="166">
        <v>72673791</v>
      </c>
      <c r="V517" s="168">
        <v>822415826</v>
      </c>
      <c r="W517" s="165">
        <v>387278741</v>
      </c>
      <c r="X517" s="165">
        <v>227697741</v>
      </c>
      <c r="Y517" s="165">
        <v>14573367</v>
      </c>
      <c r="Z517" s="165">
        <v>47387962</v>
      </c>
      <c r="AA517" s="165">
        <v>8338673</v>
      </c>
      <c r="AB517" s="165">
        <v>802817</v>
      </c>
      <c r="AC517" s="165">
        <v>85.583333333333329</v>
      </c>
      <c r="AD517" s="165">
        <v>278542163</v>
      </c>
      <c r="AE517" s="165">
        <v>3254630.9211295038</v>
      </c>
      <c r="AF517" s="166">
        <v>207439344</v>
      </c>
      <c r="AG517" s="11">
        <v>145570185</v>
      </c>
      <c r="AH517" s="12">
        <v>-1.1666666666666714</v>
      </c>
      <c r="AI517" s="132">
        <v>1</v>
      </c>
      <c r="AJ517" s="132">
        <v>0</v>
      </c>
      <c r="AK517" s="13">
        <v>0.15</v>
      </c>
      <c r="AL517" s="13">
        <v>1.1232987325130841</v>
      </c>
      <c r="AM517" s="14">
        <v>1</v>
      </c>
      <c r="AN517" s="14">
        <v>0</v>
      </c>
      <c r="AO517" s="82">
        <v>453079.66570605186</v>
      </c>
      <c r="AP517" s="82">
        <v>553705.49561830575</v>
      </c>
      <c r="AQ517" s="82">
        <v>100625.82991225389</v>
      </c>
      <c r="AR517" s="129">
        <v>0.22209301703144124</v>
      </c>
    </row>
    <row r="518" spans="1:44" ht="28.8" x14ac:dyDescent="0.3">
      <c r="A518" s="136" t="s">
        <v>749</v>
      </c>
      <c r="B518" s="137" t="s">
        <v>5299</v>
      </c>
      <c r="C518" s="134">
        <v>2020</v>
      </c>
      <c r="D518" s="149" t="s">
        <v>4801</v>
      </c>
      <c r="E518" s="135" t="s">
        <v>1131</v>
      </c>
      <c r="F518" s="384" t="s">
        <v>750</v>
      </c>
      <c r="G518" s="138" t="s">
        <v>4773</v>
      </c>
      <c r="H518" s="138" t="s">
        <v>1391</v>
      </c>
      <c r="I518" s="138" t="s">
        <v>1217</v>
      </c>
      <c r="J518" s="135" t="s">
        <v>4774</v>
      </c>
      <c r="K518" s="164">
        <v>32489725870</v>
      </c>
      <c r="L518" s="165">
        <v>25835469751</v>
      </c>
      <c r="M518" s="165">
        <v>2039960731</v>
      </c>
      <c r="N518" s="165">
        <v>4400846530</v>
      </c>
      <c r="O518" s="165">
        <v>3258890147.3449993</v>
      </c>
      <c r="P518" s="165">
        <v>925388963.89999986</v>
      </c>
      <c r="Q518" s="165">
        <v>196478671</v>
      </c>
      <c r="R518" s="165">
        <v>6516.166666666667</v>
      </c>
      <c r="S518" s="165">
        <v>13395899700.244999</v>
      </c>
      <c r="T518" s="165">
        <v>2055794.5162408878</v>
      </c>
      <c r="U518" s="166">
        <v>4614295388</v>
      </c>
      <c r="V518" s="168">
        <v>39651455483</v>
      </c>
      <c r="W518" s="165">
        <v>32110257874</v>
      </c>
      <c r="X518" s="165">
        <v>2859743920</v>
      </c>
      <c r="Y518" s="165">
        <v>4502898167</v>
      </c>
      <c r="Z518" s="165">
        <v>3702124856.1499996</v>
      </c>
      <c r="AA518" s="165">
        <v>1058404158.89</v>
      </c>
      <c r="AB518" s="165">
        <v>219715969</v>
      </c>
      <c r="AC518" s="165">
        <v>6624.833333333333</v>
      </c>
      <c r="AD518" s="165">
        <v>14164596840.039999</v>
      </c>
      <c r="AE518" s="165">
        <v>2138106.142047347</v>
      </c>
      <c r="AF518" s="166">
        <v>4681453689</v>
      </c>
      <c r="AG518" s="11">
        <v>768697139.79500008</v>
      </c>
      <c r="AH518" s="12">
        <v>108.66666666666606</v>
      </c>
      <c r="AI518" s="132">
        <v>0</v>
      </c>
      <c r="AJ518" s="132">
        <v>0</v>
      </c>
      <c r="AK518" s="13">
        <v>0.1</v>
      </c>
      <c r="AL518" s="13">
        <v>4.0038836177070936E-2</v>
      </c>
      <c r="AM518" s="14">
        <v>0</v>
      </c>
      <c r="AN518" s="14">
        <v>-1</v>
      </c>
      <c r="AO518" s="82">
        <v>500123.81727677304</v>
      </c>
      <c r="AP518" s="82">
        <v>558825.3575410702</v>
      </c>
      <c r="AQ518" s="82">
        <v>58701.54026429716</v>
      </c>
      <c r="AR518" s="129">
        <v>0.11737401466687447</v>
      </c>
    </row>
    <row r="519" spans="1:44" ht="28.8" x14ac:dyDescent="0.3">
      <c r="A519" s="136" t="s">
        <v>751</v>
      </c>
      <c r="B519" s="137" t="s">
        <v>5300</v>
      </c>
      <c r="C519" s="134">
        <v>2020</v>
      </c>
      <c r="D519" s="149" t="s">
        <v>4801</v>
      </c>
      <c r="E519" s="135" t="s">
        <v>1131</v>
      </c>
      <c r="F519" s="384" t="s">
        <v>750</v>
      </c>
      <c r="G519" s="138" t="s">
        <v>4773</v>
      </c>
      <c r="H519" s="138" t="s">
        <v>1796</v>
      </c>
      <c r="I519" s="138" t="s">
        <v>1566</v>
      </c>
      <c r="J519" s="135" t="s">
        <v>4798</v>
      </c>
      <c r="K519" s="164">
        <v>2035354828</v>
      </c>
      <c r="L519" s="165">
        <v>1593489545</v>
      </c>
      <c r="M519" s="165">
        <v>273887829</v>
      </c>
      <c r="N519" s="165">
        <v>35352171</v>
      </c>
      <c r="O519" s="165">
        <v>330731721.00000006</v>
      </c>
      <c r="P519" s="165">
        <v>98300255.430000007</v>
      </c>
      <c r="Q519" s="165">
        <v>3583004</v>
      </c>
      <c r="R519" s="165">
        <v>1033.1666666666667</v>
      </c>
      <c r="S519" s="165">
        <v>635944605.43000007</v>
      </c>
      <c r="T519" s="165">
        <v>615529.54227778676</v>
      </c>
      <c r="U519" s="166">
        <v>167977454</v>
      </c>
      <c r="V519" s="168">
        <v>2457625072</v>
      </c>
      <c r="W519" s="165">
        <v>2067998017</v>
      </c>
      <c r="X519" s="165">
        <v>289508758</v>
      </c>
      <c r="Y519" s="165">
        <v>28798625</v>
      </c>
      <c r="Z519" s="165">
        <v>373830469.49000001</v>
      </c>
      <c r="AA519" s="165">
        <v>111297334.70999999</v>
      </c>
      <c r="AB519" s="165">
        <v>3398603</v>
      </c>
      <c r="AC519" s="165">
        <v>1019.1666666666666</v>
      </c>
      <c r="AD519" s="165">
        <v>617443329.20000005</v>
      </c>
      <c r="AE519" s="165">
        <v>605831.5576778414</v>
      </c>
      <c r="AF519" s="166">
        <v>100118297</v>
      </c>
      <c r="AG519" s="11">
        <v>-18501276.230000019</v>
      </c>
      <c r="AH519" s="12">
        <v>-14.000000000000114</v>
      </c>
      <c r="AI519" s="132">
        <v>0</v>
      </c>
      <c r="AJ519" s="132">
        <v>0</v>
      </c>
      <c r="AK519" s="13">
        <v>0.1</v>
      </c>
      <c r="AL519" s="13">
        <v>-1.5755507038703542E-2</v>
      </c>
      <c r="AM519" s="14">
        <v>0</v>
      </c>
      <c r="AN519" s="14">
        <v>-1</v>
      </c>
      <c r="AO519" s="82">
        <v>320114.58719148254</v>
      </c>
      <c r="AP519" s="82">
        <v>366800.13359607523</v>
      </c>
      <c r="AQ519" s="82">
        <v>46685.546404592693</v>
      </c>
      <c r="AR519" s="129">
        <v>0.14584010936267289</v>
      </c>
    </row>
    <row r="520" spans="1:44" ht="28.8" x14ac:dyDescent="0.3">
      <c r="A520" s="136" t="s">
        <v>752</v>
      </c>
      <c r="B520" s="137" t="s">
        <v>5301</v>
      </c>
      <c r="C520" s="134">
        <v>2019</v>
      </c>
      <c r="D520" s="149" t="s">
        <v>4801</v>
      </c>
      <c r="E520" s="135" t="s">
        <v>1131</v>
      </c>
      <c r="F520" s="384" t="s">
        <v>750</v>
      </c>
      <c r="G520" s="138" t="s">
        <v>4773</v>
      </c>
      <c r="H520" s="138" t="s">
        <v>1718</v>
      </c>
      <c r="I520" s="138" t="s">
        <v>1566</v>
      </c>
      <c r="J520" s="135" t="s">
        <v>4778</v>
      </c>
      <c r="K520" s="164">
        <v>1674926537</v>
      </c>
      <c r="L520" s="165">
        <v>1375552372</v>
      </c>
      <c r="M520" s="165">
        <v>210982150</v>
      </c>
      <c r="N520" s="165">
        <v>15009358</v>
      </c>
      <c r="O520" s="165">
        <v>77583769</v>
      </c>
      <c r="P520" s="165">
        <v>22911568</v>
      </c>
      <c r="Q520" s="165">
        <v>320691</v>
      </c>
      <c r="R520" s="165">
        <v>209.16666666666666</v>
      </c>
      <c r="S520" s="165">
        <v>204217401</v>
      </c>
      <c r="T520" s="165">
        <v>976338.17211155384</v>
      </c>
      <c r="U520" s="166">
        <v>88392015</v>
      </c>
      <c r="V520" s="168">
        <v>1933978525</v>
      </c>
      <c r="W520" s="165">
        <v>1670460162</v>
      </c>
      <c r="X520" s="165">
        <v>237580859</v>
      </c>
      <c r="Y520" s="165">
        <v>15170999</v>
      </c>
      <c r="Z520" s="165">
        <v>101561584.95999999</v>
      </c>
      <c r="AA520" s="165">
        <v>19783007.16</v>
      </c>
      <c r="AB520" s="165">
        <v>314791</v>
      </c>
      <c r="AC520" s="165">
        <v>211.41666666666666</v>
      </c>
      <c r="AD520" s="165">
        <v>162767886.11999997</v>
      </c>
      <c r="AE520" s="165">
        <v>769891.45977138344</v>
      </c>
      <c r="AF520" s="166">
        <v>25937504</v>
      </c>
      <c r="AG520" s="11">
        <v>-41449514.880000025</v>
      </c>
      <c r="AH520" s="12">
        <v>2.25</v>
      </c>
      <c r="AI520" s="132">
        <v>0</v>
      </c>
      <c r="AJ520" s="132">
        <v>0</v>
      </c>
      <c r="AK520" s="13">
        <v>0.15</v>
      </c>
      <c r="AL520" s="13">
        <v>-0.21145000404931424</v>
      </c>
      <c r="AM520" s="14">
        <v>0</v>
      </c>
      <c r="AN520" s="14">
        <v>-1</v>
      </c>
      <c r="AO520" s="82">
        <v>370918.41752988048</v>
      </c>
      <c r="AP520" s="82">
        <v>480385.89653921954</v>
      </c>
      <c r="AQ520" s="82">
        <v>109467.47900933906</v>
      </c>
      <c r="AR520" s="129">
        <v>0.29512548807453221</v>
      </c>
    </row>
    <row r="521" spans="1:44" ht="43.2" x14ac:dyDescent="0.3">
      <c r="A521" s="136" t="s">
        <v>753</v>
      </c>
      <c r="B521" s="137" t="s">
        <v>5302</v>
      </c>
      <c r="C521" s="134">
        <v>2019</v>
      </c>
      <c r="D521" s="149" t="s">
        <v>1163</v>
      </c>
      <c r="E521" s="135" t="s">
        <v>1152</v>
      </c>
      <c r="F521" s="384" t="s">
        <v>754</v>
      </c>
      <c r="G521" s="138" t="s">
        <v>4773</v>
      </c>
      <c r="H521" s="138" t="s">
        <v>2566</v>
      </c>
      <c r="I521" s="138" t="s">
        <v>1566</v>
      </c>
      <c r="J521" s="135" t="s">
        <v>4774</v>
      </c>
      <c r="K521" s="164">
        <v>2100543188</v>
      </c>
      <c r="L521" s="165">
        <v>1402758984</v>
      </c>
      <c r="M521" s="165">
        <v>425399773</v>
      </c>
      <c r="N521" s="165">
        <v>159277860</v>
      </c>
      <c r="O521" s="165">
        <v>118122351</v>
      </c>
      <c r="P521" s="165">
        <v>30220655</v>
      </c>
      <c r="Q521" s="165">
        <v>1454368</v>
      </c>
      <c r="R521" s="165">
        <v>266.83333333333331</v>
      </c>
      <c r="S521" s="165">
        <v>581459665</v>
      </c>
      <c r="T521" s="165">
        <v>2179111.798875703</v>
      </c>
      <c r="U521" s="166">
        <v>272384431</v>
      </c>
      <c r="V521" s="168">
        <v>214002810</v>
      </c>
      <c r="W521" s="165">
        <v>127903768</v>
      </c>
      <c r="X521" s="165">
        <v>301400910</v>
      </c>
      <c r="Y521" s="165">
        <v>92962318</v>
      </c>
      <c r="Z521" s="165">
        <v>119256387</v>
      </c>
      <c r="AA521" s="165">
        <v>10746890</v>
      </c>
      <c r="AB521" s="165">
        <v>14822936</v>
      </c>
      <c r="AC521" s="165">
        <v>193.75</v>
      </c>
      <c r="AD521" s="165">
        <v>22486663</v>
      </c>
      <c r="AE521" s="165">
        <v>116060.19612903227</v>
      </c>
      <c r="AF521" s="166">
        <v>-215301868</v>
      </c>
      <c r="AG521" s="11">
        <v>-558973002</v>
      </c>
      <c r="AH521" s="12">
        <v>-73.083333333333314</v>
      </c>
      <c r="AI521" s="132">
        <v>0</v>
      </c>
      <c r="AJ521" s="132">
        <v>0</v>
      </c>
      <c r="AK521" s="13">
        <v>0.15</v>
      </c>
      <c r="AL521" s="13">
        <v>-0.94673967622955368</v>
      </c>
      <c r="AM521" s="14">
        <v>0</v>
      </c>
      <c r="AN521" s="14">
        <v>-1</v>
      </c>
      <c r="AO521" s="82">
        <v>442682.1399125547</v>
      </c>
      <c r="AP521" s="82">
        <v>615516.83612903231</v>
      </c>
      <c r="AQ521" s="82">
        <v>172834.69621647761</v>
      </c>
      <c r="AR521" s="129">
        <v>0.39042617859084738</v>
      </c>
    </row>
    <row r="522" spans="1:44" ht="43.2" x14ac:dyDescent="0.3">
      <c r="A522" s="136" t="s">
        <v>755</v>
      </c>
      <c r="B522" s="137" t="s">
        <v>5303</v>
      </c>
      <c r="C522" s="134">
        <v>2018</v>
      </c>
      <c r="D522" s="149" t="s">
        <v>1143</v>
      </c>
      <c r="E522" s="135" t="s">
        <v>1140</v>
      </c>
      <c r="F522" s="384" t="s">
        <v>756</v>
      </c>
      <c r="G522" s="138" t="s">
        <v>4773</v>
      </c>
      <c r="H522" s="138" t="s">
        <v>3293</v>
      </c>
      <c r="I522" s="138" t="s">
        <v>1566</v>
      </c>
      <c r="J522" s="135" t="s">
        <v>4778</v>
      </c>
      <c r="K522" s="164">
        <v>807291000</v>
      </c>
      <c r="L522" s="165">
        <v>717646789.99999988</v>
      </c>
      <c r="M522" s="165">
        <v>14663690</v>
      </c>
      <c r="N522" s="165">
        <v>4140359.9999999995</v>
      </c>
      <c r="O522" s="165">
        <v>124028210</v>
      </c>
      <c r="P522" s="165">
        <v>31984190</v>
      </c>
      <c r="Q522" s="165">
        <v>0</v>
      </c>
      <c r="R522" s="165">
        <v>273.08333333333331</v>
      </c>
      <c r="S522" s="165">
        <v>235133280.00000012</v>
      </c>
      <c r="T522" s="165">
        <v>861031.23588648206</v>
      </c>
      <c r="U522" s="166">
        <v>74980520.000000119</v>
      </c>
      <c r="V522" s="168">
        <v>675689914</v>
      </c>
      <c r="W522" s="165">
        <v>540019838</v>
      </c>
      <c r="X522" s="165">
        <v>71920930</v>
      </c>
      <c r="Y522" s="165">
        <v>5892870</v>
      </c>
      <c r="Z522" s="165">
        <v>254353544</v>
      </c>
      <c r="AA522" s="165">
        <v>36867436</v>
      </c>
      <c r="AB522" s="165">
        <v>0</v>
      </c>
      <c r="AC522" s="165">
        <v>237.25</v>
      </c>
      <c r="AD522" s="165">
        <v>360862996</v>
      </c>
      <c r="AE522" s="165">
        <v>1521024.2191780822</v>
      </c>
      <c r="AF522" s="166">
        <v>63749146</v>
      </c>
      <c r="AG522" s="11">
        <v>125729715.99999988</v>
      </c>
      <c r="AH522" s="12">
        <v>-35.833333333333314</v>
      </c>
      <c r="AI522" s="132">
        <v>1</v>
      </c>
      <c r="AJ522" s="132">
        <v>1</v>
      </c>
      <c r="AK522" s="13">
        <v>0.3</v>
      </c>
      <c r="AL522" s="13">
        <v>0.7665145575902681</v>
      </c>
      <c r="AM522" s="14">
        <v>1</v>
      </c>
      <c r="AN522" s="14">
        <v>0</v>
      </c>
      <c r="AO522" s="82">
        <v>454177.14983216359</v>
      </c>
      <c r="AP522" s="82">
        <v>1072090.8071654374</v>
      </c>
      <c r="AQ522" s="82">
        <v>617913.65733327379</v>
      </c>
      <c r="AR522" s="129">
        <v>1.3605124290414374</v>
      </c>
    </row>
    <row r="523" spans="1:44" ht="43.2" x14ac:dyDescent="0.3">
      <c r="A523" s="136" t="s">
        <v>757</v>
      </c>
      <c r="B523" s="137" t="s">
        <v>5304</v>
      </c>
      <c r="C523" s="134">
        <v>2018</v>
      </c>
      <c r="D523" s="149" t="s">
        <v>1143</v>
      </c>
      <c r="E523" s="135" t="s">
        <v>1140</v>
      </c>
      <c r="F523" s="384" t="s">
        <v>756</v>
      </c>
      <c r="G523" s="138" t="s">
        <v>4773</v>
      </c>
      <c r="H523" s="138" t="s">
        <v>3060</v>
      </c>
      <c r="I523" s="138" t="s">
        <v>1566</v>
      </c>
      <c r="J523" s="135" t="s">
        <v>4774</v>
      </c>
      <c r="K523" s="164">
        <v>1232817029</v>
      </c>
      <c r="L523" s="165">
        <v>671962220</v>
      </c>
      <c r="M523" s="165">
        <v>368335358</v>
      </c>
      <c r="N523" s="165">
        <v>70862390</v>
      </c>
      <c r="O523" s="165">
        <v>258737650</v>
      </c>
      <c r="P523" s="165">
        <v>61659302.530000001</v>
      </c>
      <c r="Q523" s="165">
        <v>3553090</v>
      </c>
      <c r="R523" s="165">
        <v>346</v>
      </c>
      <c r="S523" s="165">
        <v>587331883.52999997</v>
      </c>
      <c r="T523" s="165">
        <v>1697490.9928612716</v>
      </c>
      <c r="U523" s="166">
        <v>192519451</v>
      </c>
      <c r="V523" s="168">
        <v>1047106349</v>
      </c>
      <c r="W523" s="165">
        <v>496242662</v>
      </c>
      <c r="X523" s="165">
        <v>342437890</v>
      </c>
      <c r="Y523" s="165">
        <v>56011250</v>
      </c>
      <c r="Z523" s="165">
        <v>223948236.73000002</v>
      </c>
      <c r="AA523" s="165">
        <v>65199843.040000007</v>
      </c>
      <c r="AB523" s="165">
        <v>1267041</v>
      </c>
      <c r="AC523" s="165">
        <v>345.25</v>
      </c>
      <c r="AD523" s="165">
        <v>554852167.76999998</v>
      </c>
      <c r="AE523" s="165">
        <v>1607102.585865315</v>
      </c>
      <c r="AF523" s="166">
        <v>208425797</v>
      </c>
      <c r="AG523" s="11">
        <v>-32479715.75999999</v>
      </c>
      <c r="AH523" s="12">
        <v>-0.75</v>
      </c>
      <c r="AI523" s="132">
        <v>0</v>
      </c>
      <c r="AJ523" s="132">
        <v>1</v>
      </c>
      <c r="AK523" s="13">
        <v>0.3</v>
      </c>
      <c r="AL523" s="13">
        <v>-5.3248235503152719E-2</v>
      </c>
      <c r="AM523" s="14">
        <v>0</v>
      </c>
      <c r="AN523" s="14">
        <v>-1</v>
      </c>
      <c r="AO523" s="82">
        <v>747796.67630057805</v>
      </c>
      <c r="AP523" s="82">
        <v>648655.28379435197</v>
      </c>
      <c r="AQ523" s="82">
        <v>-99141.392506226082</v>
      </c>
      <c r="AR523" s="129">
        <v>-0.13257800635954686</v>
      </c>
    </row>
    <row r="524" spans="1:44" ht="43.2" x14ac:dyDescent="0.3">
      <c r="A524" s="136" t="s">
        <v>758</v>
      </c>
      <c r="B524" s="137" t="s">
        <v>5305</v>
      </c>
      <c r="C524" s="134">
        <v>2020</v>
      </c>
      <c r="D524" s="149" t="s">
        <v>1143</v>
      </c>
      <c r="E524" s="135" t="s">
        <v>1140</v>
      </c>
      <c r="F524" s="384" t="s">
        <v>756</v>
      </c>
      <c r="G524" s="138" t="s">
        <v>4773</v>
      </c>
      <c r="H524" s="138" t="s">
        <v>3622</v>
      </c>
      <c r="I524" s="138" t="s">
        <v>3557</v>
      </c>
      <c r="J524" s="135" t="s">
        <v>4798</v>
      </c>
      <c r="K524" s="164">
        <v>4015441120</v>
      </c>
      <c r="L524" s="165">
        <v>2843179921</v>
      </c>
      <c r="M524" s="165">
        <v>247056625</v>
      </c>
      <c r="N524" s="165">
        <v>20013372</v>
      </c>
      <c r="O524" s="165">
        <v>252403308</v>
      </c>
      <c r="P524" s="165">
        <v>68095906</v>
      </c>
      <c r="Q524" s="165">
        <v>258694</v>
      </c>
      <c r="R524" s="165">
        <v>412</v>
      </c>
      <c r="S524" s="165">
        <v>1265975854</v>
      </c>
      <c r="T524" s="165">
        <v>3072756.9271844658</v>
      </c>
      <c r="U524" s="166">
        <v>925204574</v>
      </c>
      <c r="V524" s="168">
        <v>3079315441</v>
      </c>
      <c r="W524" s="165">
        <v>2244593323</v>
      </c>
      <c r="X524" s="165">
        <v>262892910</v>
      </c>
      <c r="Y524" s="165">
        <v>18717045</v>
      </c>
      <c r="Z524" s="165">
        <v>354411133</v>
      </c>
      <c r="AA524" s="165">
        <v>93338776</v>
      </c>
      <c r="AB524" s="165">
        <v>300935</v>
      </c>
      <c r="AC524" s="165">
        <v>470.75</v>
      </c>
      <c r="AD524" s="165">
        <v>1038597097</v>
      </c>
      <c r="AE524" s="165">
        <v>2206260.4291024962</v>
      </c>
      <c r="AF524" s="166">
        <v>571829208</v>
      </c>
      <c r="AG524" s="11">
        <v>-227378757</v>
      </c>
      <c r="AH524" s="12">
        <v>58.75</v>
      </c>
      <c r="AI524" s="132">
        <v>0</v>
      </c>
      <c r="AJ524" s="132">
        <v>0</v>
      </c>
      <c r="AK524" s="13">
        <v>0.1</v>
      </c>
      <c r="AL524" s="13">
        <v>-0.28199318063209122</v>
      </c>
      <c r="AM524" s="14">
        <v>0</v>
      </c>
      <c r="AN524" s="14">
        <v>-1</v>
      </c>
      <c r="AO524" s="82">
        <v>612629.38834951457</v>
      </c>
      <c r="AP524" s="82">
        <v>752864.86032926186</v>
      </c>
      <c r="AQ524" s="82">
        <v>140235.47197974729</v>
      </c>
      <c r="AR524" s="129">
        <v>0.22890751675748988</v>
      </c>
    </row>
    <row r="525" spans="1:44" ht="43.2" x14ac:dyDescent="0.3">
      <c r="A525" s="136" t="s">
        <v>759</v>
      </c>
      <c r="B525" s="137" t="s">
        <v>5306</v>
      </c>
      <c r="C525" s="134">
        <v>2019</v>
      </c>
      <c r="D525" s="149" t="s">
        <v>1143</v>
      </c>
      <c r="E525" s="135" t="s">
        <v>1140</v>
      </c>
      <c r="F525" s="384" t="s">
        <v>756</v>
      </c>
      <c r="G525" s="138" t="s">
        <v>4773</v>
      </c>
      <c r="H525" s="138" t="s">
        <v>4288</v>
      </c>
      <c r="I525" s="138" t="s">
        <v>4255</v>
      </c>
      <c r="J525" s="135" t="s">
        <v>4780</v>
      </c>
      <c r="K525" s="164">
        <v>736790859</v>
      </c>
      <c r="L525" s="165">
        <v>558178235</v>
      </c>
      <c r="M525" s="165">
        <v>496037682</v>
      </c>
      <c r="N525" s="165">
        <v>8854279</v>
      </c>
      <c r="O525" s="165">
        <v>377426062</v>
      </c>
      <c r="P525" s="165">
        <v>118185786</v>
      </c>
      <c r="Q525" s="165">
        <v>494144</v>
      </c>
      <c r="R525" s="165">
        <v>1277.5833333333333</v>
      </c>
      <c r="S525" s="165">
        <v>187535213</v>
      </c>
      <c r="T525" s="165">
        <v>146789.02589524494</v>
      </c>
      <c r="U525" s="166">
        <v>-317425058</v>
      </c>
      <c r="V525" s="168">
        <v>808830566</v>
      </c>
      <c r="W525" s="165">
        <v>459484019</v>
      </c>
      <c r="X525" s="165">
        <v>689518722</v>
      </c>
      <c r="Y525" s="165">
        <v>7568689</v>
      </c>
      <c r="Z525" s="165">
        <v>406009104</v>
      </c>
      <c r="AA525" s="165">
        <v>129114198.7</v>
      </c>
      <c r="AB525" s="165">
        <v>357367</v>
      </c>
      <c r="AC525" s="165">
        <v>1079.6666666666667</v>
      </c>
      <c r="AD525" s="165">
        <v>202877183.69999999</v>
      </c>
      <c r="AE525" s="165">
        <v>187907.24022846555</v>
      </c>
      <c r="AF525" s="166">
        <v>-340172175</v>
      </c>
      <c r="AG525" s="11">
        <v>15341970.699999988</v>
      </c>
      <c r="AH525" s="12">
        <v>-197.91666666666652</v>
      </c>
      <c r="AI525" s="132">
        <v>1</v>
      </c>
      <c r="AJ525" s="132">
        <v>0</v>
      </c>
      <c r="AK525" s="13">
        <v>0.15</v>
      </c>
      <c r="AL525" s="13">
        <v>0.28011773086858049</v>
      </c>
      <c r="AM525" s="14">
        <v>1</v>
      </c>
      <c r="AN525" s="14">
        <v>0</v>
      </c>
      <c r="AO525" s="82">
        <v>295421.87358945928</v>
      </c>
      <c r="AP525" s="82">
        <v>376050.42050015432</v>
      </c>
      <c r="AQ525" s="82">
        <v>80628.546910695033</v>
      </c>
      <c r="AR525" s="129">
        <v>0.27292680102199407</v>
      </c>
    </row>
    <row r="526" spans="1:44" ht="43.2" x14ac:dyDescent="0.3">
      <c r="A526" s="136" t="s">
        <v>760</v>
      </c>
      <c r="B526" s="137" t="s">
        <v>5307</v>
      </c>
      <c r="C526" s="134">
        <v>2019</v>
      </c>
      <c r="D526" s="149" t="s">
        <v>1143</v>
      </c>
      <c r="E526" s="135" t="s">
        <v>1140</v>
      </c>
      <c r="F526" s="384" t="s">
        <v>756</v>
      </c>
      <c r="G526" s="138" t="s">
        <v>4773</v>
      </c>
      <c r="H526" s="138" t="s">
        <v>3237</v>
      </c>
      <c r="I526" s="138" t="s">
        <v>1566</v>
      </c>
      <c r="J526" s="135" t="s">
        <v>4798</v>
      </c>
      <c r="K526" s="164">
        <v>1221441793</v>
      </c>
      <c r="L526" s="165">
        <v>635117753</v>
      </c>
      <c r="M526" s="165">
        <v>644884579</v>
      </c>
      <c r="N526" s="165">
        <v>16219437</v>
      </c>
      <c r="O526" s="165">
        <v>314046756</v>
      </c>
      <c r="P526" s="165">
        <v>94670781</v>
      </c>
      <c r="Q526" s="165">
        <v>1848904</v>
      </c>
      <c r="R526" s="165">
        <v>958.66666666666663</v>
      </c>
      <c r="S526" s="165">
        <v>368225339</v>
      </c>
      <c r="T526" s="165">
        <v>384101.53581363003</v>
      </c>
      <c r="U526" s="166">
        <v>-58560539</v>
      </c>
      <c r="V526" s="168">
        <v>642217793</v>
      </c>
      <c r="W526" s="165">
        <v>290589580</v>
      </c>
      <c r="X526" s="165">
        <v>542471970</v>
      </c>
      <c r="Y526" s="165">
        <v>14327745</v>
      </c>
      <c r="Z526" s="165">
        <v>241976815</v>
      </c>
      <c r="AA526" s="165">
        <v>72978633</v>
      </c>
      <c r="AB526" s="165">
        <v>0</v>
      </c>
      <c r="AC526" s="165">
        <v>756.66666666666663</v>
      </c>
      <c r="AD526" s="165">
        <v>138439436</v>
      </c>
      <c r="AE526" s="165">
        <v>182959.60704845816</v>
      </c>
      <c r="AF526" s="166">
        <v>-190843757</v>
      </c>
      <c r="AG526" s="11">
        <v>-229785903</v>
      </c>
      <c r="AH526" s="12">
        <v>-202</v>
      </c>
      <c r="AI526" s="132">
        <v>0</v>
      </c>
      <c r="AJ526" s="132">
        <v>0</v>
      </c>
      <c r="AK526" s="13">
        <v>0.15</v>
      </c>
      <c r="AL526" s="13">
        <v>-0.52366863720463086</v>
      </c>
      <c r="AM526" s="14">
        <v>0</v>
      </c>
      <c r="AN526" s="14">
        <v>-1</v>
      </c>
      <c r="AO526" s="82">
        <v>327587.01947148819</v>
      </c>
      <c r="AP526" s="82">
        <v>319793.14757709252</v>
      </c>
      <c r="AQ526" s="82">
        <v>-7793.8718943956774</v>
      </c>
      <c r="AR526" s="129">
        <v>-2.3791760451833288E-2</v>
      </c>
    </row>
    <row r="527" spans="1:44" ht="43.2" x14ac:dyDescent="0.3">
      <c r="A527" s="136" t="s">
        <v>761</v>
      </c>
      <c r="B527" s="137" t="s">
        <v>5308</v>
      </c>
      <c r="C527" s="134">
        <v>2019</v>
      </c>
      <c r="D527" s="149" t="s">
        <v>1143</v>
      </c>
      <c r="E527" s="135" t="s">
        <v>1140</v>
      </c>
      <c r="F527" s="384" t="s">
        <v>756</v>
      </c>
      <c r="G527" s="138" t="s">
        <v>4773</v>
      </c>
      <c r="H527" s="138" t="s">
        <v>4326</v>
      </c>
      <c r="I527" s="138" t="s">
        <v>4255</v>
      </c>
      <c r="J527" s="135" t="s">
        <v>4798</v>
      </c>
      <c r="K527" s="164">
        <v>1368058338</v>
      </c>
      <c r="L527" s="165">
        <v>1002359435</v>
      </c>
      <c r="M527" s="165">
        <v>351917326</v>
      </c>
      <c r="N527" s="165">
        <v>50840873</v>
      </c>
      <c r="O527" s="165">
        <v>254299473</v>
      </c>
      <c r="P527" s="165">
        <v>75453293</v>
      </c>
      <c r="Q527" s="165">
        <v>51843</v>
      </c>
      <c r="R527" s="165">
        <v>670.41666666666663</v>
      </c>
      <c r="S527" s="165">
        <v>394427059</v>
      </c>
      <c r="T527" s="165">
        <v>588331.22535736486</v>
      </c>
      <c r="U527" s="166">
        <v>13781577</v>
      </c>
      <c r="V527" s="168">
        <v>1139018697</v>
      </c>
      <c r="W527" s="165">
        <v>762585522</v>
      </c>
      <c r="X527" s="165">
        <v>341754384</v>
      </c>
      <c r="Y527" s="165">
        <v>55198152</v>
      </c>
      <c r="Z527" s="165">
        <v>221813254</v>
      </c>
      <c r="AA527" s="165">
        <v>64758363</v>
      </c>
      <c r="AB527" s="165">
        <v>0</v>
      </c>
      <c r="AC527" s="165">
        <v>520.33333333333337</v>
      </c>
      <c r="AD527" s="165">
        <v>376448560</v>
      </c>
      <c r="AE527" s="165">
        <v>723475.77194106334</v>
      </c>
      <c r="AF527" s="166">
        <v>34678791</v>
      </c>
      <c r="AG527" s="11">
        <v>-17978499</v>
      </c>
      <c r="AH527" s="12">
        <v>-150.08333333333326</v>
      </c>
      <c r="AI527" s="132">
        <v>1</v>
      </c>
      <c r="AJ527" s="132">
        <v>1</v>
      </c>
      <c r="AK527" s="13">
        <v>0.15</v>
      </c>
      <c r="AL527" s="13">
        <v>0.22970825465104072</v>
      </c>
      <c r="AM527" s="14">
        <v>1</v>
      </c>
      <c r="AN527" s="14">
        <v>0</v>
      </c>
      <c r="AO527" s="82">
        <v>379315.55947793665</v>
      </c>
      <c r="AP527" s="82">
        <v>426290.68673926964</v>
      </c>
      <c r="AQ527" s="82">
        <v>46975.127261332993</v>
      </c>
      <c r="AR527" s="129">
        <v>0.12384181478341216</v>
      </c>
    </row>
    <row r="528" spans="1:44" ht="43.2" x14ac:dyDescent="0.3">
      <c r="A528" s="136" t="s">
        <v>762</v>
      </c>
      <c r="B528" s="137" t="s">
        <v>5309</v>
      </c>
      <c r="C528" s="134">
        <v>2019</v>
      </c>
      <c r="D528" s="149" t="s">
        <v>1143</v>
      </c>
      <c r="E528" s="135" t="s">
        <v>1140</v>
      </c>
      <c r="F528" s="384" t="s">
        <v>756</v>
      </c>
      <c r="G528" s="138" t="s">
        <v>4773</v>
      </c>
      <c r="H528" s="138" t="s">
        <v>3563</v>
      </c>
      <c r="I528" s="138" t="s">
        <v>3557</v>
      </c>
      <c r="J528" s="135" t="s">
        <v>4774</v>
      </c>
      <c r="K528" s="164">
        <v>878510220</v>
      </c>
      <c r="L528" s="165">
        <v>696809864</v>
      </c>
      <c r="M528" s="165">
        <v>181582175</v>
      </c>
      <c r="N528" s="165">
        <v>11772427</v>
      </c>
      <c r="O528" s="165">
        <v>248264879</v>
      </c>
      <c r="P528" s="165">
        <v>66300162</v>
      </c>
      <c r="Q528" s="165">
        <v>22470</v>
      </c>
      <c r="R528" s="165">
        <v>461.08333333333331</v>
      </c>
      <c r="S528" s="165">
        <v>326478119</v>
      </c>
      <c r="T528" s="165">
        <v>708067.49105367798</v>
      </c>
      <c r="U528" s="166">
        <v>118181</v>
      </c>
      <c r="V528" s="168">
        <v>411961585</v>
      </c>
      <c r="W528" s="165">
        <v>300139043</v>
      </c>
      <c r="X528" s="165">
        <v>128897639</v>
      </c>
      <c r="Y528" s="165">
        <v>8495636</v>
      </c>
      <c r="Z528" s="165">
        <v>144066061</v>
      </c>
      <c r="AA528" s="165">
        <v>43610115</v>
      </c>
      <c r="AB528" s="165">
        <v>653</v>
      </c>
      <c r="AC528" s="165">
        <v>277.91666666666669</v>
      </c>
      <c r="AD528" s="165">
        <v>179097368</v>
      </c>
      <c r="AE528" s="165">
        <v>644428.31064467761</v>
      </c>
      <c r="AF528" s="166">
        <v>-17075097</v>
      </c>
      <c r="AG528" s="11">
        <v>-147380751</v>
      </c>
      <c r="AH528" s="12">
        <v>-183.16666666666663</v>
      </c>
      <c r="AI528" s="132">
        <v>0</v>
      </c>
      <c r="AJ528" s="132">
        <v>0</v>
      </c>
      <c r="AK528" s="13">
        <v>0.15</v>
      </c>
      <c r="AL528" s="13">
        <v>-8.9877279918613273E-2</v>
      </c>
      <c r="AM528" s="14">
        <v>0</v>
      </c>
      <c r="AN528" s="14">
        <v>-1</v>
      </c>
      <c r="AO528" s="82">
        <v>538438.19772275444</v>
      </c>
      <c r="AP528" s="82">
        <v>518378.63028485753</v>
      </c>
      <c r="AQ528" s="82">
        <v>-20059.567437896912</v>
      </c>
      <c r="AR528" s="129">
        <v>-3.7255097284583316E-2</v>
      </c>
    </row>
    <row r="529" spans="1:44" ht="43.2" x14ac:dyDescent="0.3">
      <c r="A529" s="136" t="s">
        <v>763</v>
      </c>
      <c r="B529" s="137" t="s">
        <v>5310</v>
      </c>
      <c r="C529" s="134">
        <v>2018</v>
      </c>
      <c r="D529" s="149" t="s">
        <v>1143</v>
      </c>
      <c r="E529" s="135" t="s">
        <v>1140</v>
      </c>
      <c r="F529" s="384" t="s">
        <v>756</v>
      </c>
      <c r="G529" s="138" t="s">
        <v>4773</v>
      </c>
      <c r="H529" s="138" t="s">
        <v>2978</v>
      </c>
      <c r="I529" s="138" t="s">
        <v>1566</v>
      </c>
      <c r="J529" s="135" t="s">
        <v>4778</v>
      </c>
      <c r="K529" s="164">
        <v>5609691000</v>
      </c>
      <c r="L529" s="165">
        <v>4606188200</v>
      </c>
      <c r="M529" s="165">
        <v>603609900</v>
      </c>
      <c r="N529" s="165">
        <v>86410660</v>
      </c>
      <c r="O529" s="165">
        <v>241711340</v>
      </c>
      <c r="P529" s="165">
        <v>65947285.319999993</v>
      </c>
      <c r="Q529" s="165">
        <v>7304400</v>
      </c>
      <c r="R529" s="165">
        <v>572.58333333333326</v>
      </c>
      <c r="S529" s="165">
        <v>801266585.31999993</v>
      </c>
      <c r="T529" s="165">
        <v>1399388.593194586</v>
      </c>
      <c r="U529" s="166">
        <v>399892900</v>
      </c>
      <c r="V529" s="168">
        <v>7848462971</v>
      </c>
      <c r="W529" s="165">
        <v>6214654032</v>
      </c>
      <c r="X529" s="165">
        <v>744502123</v>
      </c>
      <c r="Y529" s="165">
        <v>134125405</v>
      </c>
      <c r="Z529" s="165">
        <v>460547390.99999994</v>
      </c>
      <c r="AA529" s="165">
        <v>86684914.099999994</v>
      </c>
      <c r="AB529" s="165">
        <v>3876131</v>
      </c>
      <c r="AC529" s="165">
        <v>512.83333333333337</v>
      </c>
      <c r="AD529" s="165">
        <v>1574540657.0999999</v>
      </c>
      <c r="AE529" s="165">
        <v>3070277.5244068895</v>
      </c>
      <c r="AF529" s="166">
        <v>889306816</v>
      </c>
      <c r="AG529" s="11">
        <v>773274071.77999997</v>
      </c>
      <c r="AH529" s="12">
        <v>-59.749999999999886</v>
      </c>
      <c r="AI529" s="132">
        <v>1</v>
      </c>
      <c r="AJ529" s="132">
        <v>1</v>
      </c>
      <c r="AK529" s="13">
        <v>0.3</v>
      </c>
      <c r="AL529" s="13">
        <v>1.194013544157881</v>
      </c>
      <c r="AM529" s="14">
        <v>1</v>
      </c>
      <c r="AN529" s="14">
        <v>0</v>
      </c>
      <c r="AO529" s="82">
        <v>422141.76684616512</v>
      </c>
      <c r="AP529" s="82">
        <v>898044.96132596664</v>
      </c>
      <c r="AQ529" s="82">
        <v>475903.19447980152</v>
      </c>
      <c r="AR529" s="129">
        <v>1.1273539646059896</v>
      </c>
    </row>
    <row r="530" spans="1:44" ht="43.2" x14ac:dyDescent="0.3">
      <c r="A530" s="136" t="s">
        <v>764</v>
      </c>
      <c r="B530" s="137" t="s">
        <v>5311</v>
      </c>
      <c r="C530" s="134">
        <v>2018</v>
      </c>
      <c r="D530" s="149" t="s">
        <v>1143</v>
      </c>
      <c r="E530" s="135" t="s">
        <v>1140</v>
      </c>
      <c r="F530" s="384" t="s">
        <v>756</v>
      </c>
      <c r="G530" s="138" t="s">
        <v>4773</v>
      </c>
      <c r="H530" s="138" t="s">
        <v>3361</v>
      </c>
      <c r="I530" s="138" t="s">
        <v>1566</v>
      </c>
      <c r="J530" s="135" t="s">
        <v>4774</v>
      </c>
      <c r="K530" s="164">
        <v>1747079402</v>
      </c>
      <c r="L530" s="165">
        <v>1278678167</v>
      </c>
      <c r="M530" s="165">
        <v>225583150</v>
      </c>
      <c r="N530" s="165">
        <v>25684370</v>
      </c>
      <c r="O530" s="165">
        <v>111119570</v>
      </c>
      <c r="P530" s="165">
        <v>32901682.890000001</v>
      </c>
      <c r="Q530" s="165">
        <v>67</v>
      </c>
      <c r="R530" s="165">
        <v>267.41666666666669</v>
      </c>
      <c r="S530" s="165">
        <v>412523774.88999999</v>
      </c>
      <c r="T530" s="165">
        <v>1542625.5215581176</v>
      </c>
      <c r="U530" s="166">
        <v>242818085</v>
      </c>
      <c r="V530" s="168">
        <v>1827976941</v>
      </c>
      <c r="W530" s="165">
        <v>1351043840</v>
      </c>
      <c r="X530" s="165">
        <v>231747795</v>
      </c>
      <c r="Y530" s="165">
        <v>47699023</v>
      </c>
      <c r="Z530" s="165">
        <v>157512864</v>
      </c>
      <c r="AA530" s="165">
        <v>46328130</v>
      </c>
      <c r="AB530" s="165">
        <v>78829</v>
      </c>
      <c r="AC530" s="165">
        <v>288.5</v>
      </c>
      <c r="AD530" s="165">
        <v>496804152</v>
      </c>
      <c r="AE530" s="165">
        <v>1722024.7902946274</v>
      </c>
      <c r="AF530" s="166">
        <v>245185306</v>
      </c>
      <c r="AG530" s="11">
        <v>84280377.110000014</v>
      </c>
      <c r="AH530" s="12">
        <v>21.083333333333314</v>
      </c>
      <c r="AI530" s="132">
        <v>0</v>
      </c>
      <c r="AJ530" s="132">
        <v>1</v>
      </c>
      <c r="AK530" s="13">
        <v>0.3</v>
      </c>
      <c r="AL530" s="13">
        <v>0.11629476348867862</v>
      </c>
      <c r="AM530" s="14">
        <v>0</v>
      </c>
      <c r="AN530" s="14">
        <v>-1</v>
      </c>
      <c r="AO530" s="82">
        <v>415529.71019009035</v>
      </c>
      <c r="AP530" s="82">
        <v>545971.79896013869</v>
      </c>
      <c r="AQ530" s="82">
        <v>130442.08877004834</v>
      </c>
      <c r="AR530" s="129">
        <v>0.31391759860053248</v>
      </c>
    </row>
    <row r="531" spans="1:44" ht="43.2" x14ac:dyDescent="0.3">
      <c r="A531" s="136" t="s">
        <v>765</v>
      </c>
      <c r="B531" s="137" t="s">
        <v>5312</v>
      </c>
      <c r="C531" s="134">
        <v>2019</v>
      </c>
      <c r="D531" s="149" t="s">
        <v>1143</v>
      </c>
      <c r="E531" s="135" t="s">
        <v>1140</v>
      </c>
      <c r="F531" s="384" t="s">
        <v>756</v>
      </c>
      <c r="G531" s="138" t="s">
        <v>4773</v>
      </c>
      <c r="H531" s="138" t="s">
        <v>1646</v>
      </c>
      <c r="I531" s="138" t="s">
        <v>1566</v>
      </c>
      <c r="J531" s="135" t="s">
        <v>4774</v>
      </c>
      <c r="K531" s="164">
        <v>2048505576</v>
      </c>
      <c r="L531" s="165">
        <v>1840209759</v>
      </c>
      <c r="M531" s="165">
        <v>114429114</v>
      </c>
      <c r="N531" s="165">
        <v>11999727</v>
      </c>
      <c r="O531" s="165">
        <v>87686211.090000004</v>
      </c>
      <c r="P531" s="165">
        <v>25871301</v>
      </c>
      <c r="Q531" s="165">
        <v>223279</v>
      </c>
      <c r="R531" s="165">
        <v>394.16666666666669</v>
      </c>
      <c r="S531" s="165">
        <v>219647221.09</v>
      </c>
      <c r="T531" s="165">
        <v>557244.53553488373</v>
      </c>
      <c r="U531" s="166">
        <v>93866703</v>
      </c>
      <c r="V531" s="168">
        <v>3542291306</v>
      </c>
      <c r="W531" s="165">
        <v>3302714105</v>
      </c>
      <c r="X531" s="165">
        <v>89840536</v>
      </c>
      <c r="Y531" s="165">
        <v>17927490</v>
      </c>
      <c r="Z531" s="165">
        <v>110508966</v>
      </c>
      <c r="AA531" s="165">
        <v>31174996</v>
      </c>
      <c r="AB531" s="165">
        <v>113918</v>
      </c>
      <c r="AC531" s="165">
        <v>382.08333333333331</v>
      </c>
      <c r="AD531" s="165">
        <v>309462035</v>
      </c>
      <c r="AE531" s="165">
        <v>809933.35223555076</v>
      </c>
      <c r="AF531" s="166">
        <v>149736665</v>
      </c>
      <c r="AG531" s="11">
        <v>89814813.909999996</v>
      </c>
      <c r="AH531" s="12">
        <v>-12.083333333333371</v>
      </c>
      <c r="AI531" s="132">
        <v>1</v>
      </c>
      <c r="AJ531" s="132">
        <v>0</v>
      </c>
      <c r="AK531" s="13">
        <v>0.15</v>
      </c>
      <c r="AL531" s="13">
        <v>0.45346125778100932</v>
      </c>
      <c r="AM531" s="14">
        <v>1</v>
      </c>
      <c r="AN531" s="14">
        <v>0</v>
      </c>
      <c r="AO531" s="82">
        <v>222459.73215221986</v>
      </c>
      <c r="AP531" s="82">
        <v>289227.3919302072</v>
      </c>
      <c r="AQ531" s="82">
        <v>66767.659777987341</v>
      </c>
      <c r="AR531" s="129">
        <v>0.30013368771073146</v>
      </c>
    </row>
    <row r="532" spans="1:44" ht="28.8" x14ac:dyDescent="0.3">
      <c r="A532" s="136" t="s">
        <v>766</v>
      </c>
      <c r="B532" s="137" t="s">
        <v>5313</v>
      </c>
      <c r="C532" s="134">
        <v>2020</v>
      </c>
      <c r="D532" s="149" t="s">
        <v>4913</v>
      </c>
      <c r="E532" s="135" t="s">
        <v>1108</v>
      </c>
      <c r="F532" s="384" t="s">
        <v>146</v>
      </c>
      <c r="G532" s="138" t="s">
        <v>4773</v>
      </c>
      <c r="H532" s="138" t="s">
        <v>3328</v>
      </c>
      <c r="I532" s="138" t="s">
        <v>1566</v>
      </c>
      <c r="J532" s="135" t="s">
        <v>4778</v>
      </c>
      <c r="K532" s="164">
        <v>573133333</v>
      </c>
      <c r="L532" s="165">
        <v>568550000</v>
      </c>
      <c r="M532" s="165">
        <v>272189</v>
      </c>
      <c r="N532" s="165">
        <v>0</v>
      </c>
      <c r="O532" s="165">
        <v>252762237.13</v>
      </c>
      <c r="P532" s="165">
        <v>59896578.969999999</v>
      </c>
      <c r="Q532" s="165">
        <v>1719939</v>
      </c>
      <c r="R532" s="165">
        <v>310</v>
      </c>
      <c r="S532" s="165">
        <v>318689899.10000002</v>
      </c>
      <c r="T532" s="165">
        <v>1028031.9325806452</v>
      </c>
      <c r="U532" s="166">
        <v>4311144</v>
      </c>
      <c r="V532" s="168">
        <v>1564485642</v>
      </c>
      <c r="W532" s="165">
        <v>1172748438</v>
      </c>
      <c r="X532" s="165">
        <v>236758014</v>
      </c>
      <c r="Y532" s="165">
        <v>39789983</v>
      </c>
      <c r="Z532" s="165">
        <v>225808825.26999998</v>
      </c>
      <c r="AA532" s="165">
        <v>61449152.089999996</v>
      </c>
      <c r="AB532" s="165">
        <v>1569153</v>
      </c>
      <c r="AC532" s="165">
        <v>306.33333333333331</v>
      </c>
      <c r="AD532" s="165">
        <v>483596303.35999995</v>
      </c>
      <c r="AE532" s="165">
        <v>1578660.4026985853</v>
      </c>
      <c r="AF532" s="166">
        <v>154979190</v>
      </c>
      <c r="AG532" s="11">
        <v>164906404.25999993</v>
      </c>
      <c r="AH532" s="12">
        <v>-3.6666666666666856</v>
      </c>
      <c r="AI532" s="132">
        <v>1</v>
      </c>
      <c r="AJ532" s="132">
        <v>1</v>
      </c>
      <c r="AK532" s="13">
        <v>0.1</v>
      </c>
      <c r="AL532" s="13">
        <v>0.535614171050115</v>
      </c>
      <c r="AM532" s="14">
        <v>1</v>
      </c>
      <c r="AN532" s="14">
        <v>0</v>
      </c>
      <c r="AO532" s="82">
        <v>815362.05525806453</v>
      </c>
      <c r="AP532" s="82">
        <v>737134.35887921648</v>
      </c>
      <c r="AQ532" s="82">
        <v>-78227.69637884805</v>
      </c>
      <c r="AR532" s="129">
        <v>-9.5942282173149152E-2</v>
      </c>
    </row>
    <row r="533" spans="1:44" ht="28.8" x14ac:dyDescent="0.3">
      <c r="A533" s="136" t="s">
        <v>767</v>
      </c>
      <c r="B533" s="137" t="s">
        <v>5314</v>
      </c>
      <c r="C533" s="134">
        <v>2020</v>
      </c>
      <c r="D533" s="149" t="s">
        <v>4913</v>
      </c>
      <c r="E533" s="135" t="s">
        <v>1108</v>
      </c>
      <c r="F533" s="384" t="s">
        <v>146</v>
      </c>
      <c r="G533" s="138" t="s">
        <v>4773</v>
      </c>
      <c r="H533" s="138" t="s">
        <v>4653</v>
      </c>
      <c r="I533" s="138" t="s">
        <v>4612</v>
      </c>
      <c r="J533" s="135" t="s">
        <v>4780</v>
      </c>
      <c r="K533" s="164">
        <v>1210539279</v>
      </c>
      <c r="L533" s="165">
        <v>692240978</v>
      </c>
      <c r="M533" s="165">
        <v>387796815</v>
      </c>
      <c r="N533" s="165">
        <v>99899270</v>
      </c>
      <c r="O533" s="165">
        <v>321806049.13</v>
      </c>
      <c r="P533" s="165">
        <v>97118084.950000003</v>
      </c>
      <c r="Q533" s="165">
        <v>35665366</v>
      </c>
      <c r="R533" s="165">
        <v>830.41666666666663</v>
      </c>
      <c r="S533" s="165">
        <v>684990256.08000004</v>
      </c>
      <c r="T533" s="165">
        <v>824875.37109483196</v>
      </c>
      <c r="U533" s="166">
        <v>130501486</v>
      </c>
      <c r="V533" s="168">
        <v>1222353354</v>
      </c>
      <c r="W533" s="165">
        <v>745185675</v>
      </c>
      <c r="X533" s="165">
        <v>421715066</v>
      </c>
      <c r="Y533" s="165">
        <v>150793105</v>
      </c>
      <c r="Z533" s="165">
        <v>350125464.86000001</v>
      </c>
      <c r="AA533" s="165">
        <v>103706080.93000001</v>
      </c>
      <c r="AB533" s="165">
        <v>41068411</v>
      </c>
      <c r="AC533" s="165">
        <v>810</v>
      </c>
      <c r="AD533" s="165">
        <v>701145674.78999996</v>
      </c>
      <c r="AE533" s="165">
        <v>865611.94418518513</v>
      </c>
      <c r="AF533" s="166">
        <v>55452613</v>
      </c>
      <c r="AG533" s="11">
        <v>16155418.709999919</v>
      </c>
      <c r="AH533" s="12">
        <v>-20.416666666666629</v>
      </c>
      <c r="AI533" s="132">
        <v>0</v>
      </c>
      <c r="AJ533" s="132">
        <v>0</v>
      </c>
      <c r="AK533" s="13">
        <v>0.1</v>
      </c>
      <c r="AL533" s="13">
        <v>4.9385121051680692E-2</v>
      </c>
      <c r="AM533" s="14">
        <v>0</v>
      </c>
      <c r="AN533" s="14">
        <v>-1</v>
      </c>
      <c r="AO533" s="82">
        <v>387523.59152634221</v>
      </c>
      <c r="AP533" s="82">
        <v>432253.66032098769</v>
      </c>
      <c r="AQ533" s="82">
        <v>44730.068794645485</v>
      </c>
      <c r="AR533" s="129">
        <v>0.1154254083434425</v>
      </c>
    </row>
    <row r="534" spans="1:44" ht="28.8" x14ac:dyDescent="0.3">
      <c r="A534" s="136" t="s">
        <v>768</v>
      </c>
      <c r="B534" s="137" t="s">
        <v>5315</v>
      </c>
      <c r="C534" s="134">
        <v>2019</v>
      </c>
      <c r="D534" s="149" t="s">
        <v>4913</v>
      </c>
      <c r="E534" s="135" t="s">
        <v>1108</v>
      </c>
      <c r="F534" s="384" t="s">
        <v>292</v>
      </c>
      <c r="G534" s="138" t="s">
        <v>4773</v>
      </c>
      <c r="H534" s="138" t="s">
        <v>2182</v>
      </c>
      <c r="I534" s="138" t="s">
        <v>1566</v>
      </c>
      <c r="J534" s="135" t="s">
        <v>4778</v>
      </c>
      <c r="K534" s="164">
        <v>3871032695</v>
      </c>
      <c r="L534" s="165">
        <v>2382009941</v>
      </c>
      <c r="M534" s="165">
        <v>1268921459</v>
      </c>
      <c r="N534" s="165">
        <v>84077332</v>
      </c>
      <c r="O534" s="165">
        <v>460623329</v>
      </c>
      <c r="P534" s="165">
        <v>132138644</v>
      </c>
      <c r="Q534" s="165">
        <v>3520209</v>
      </c>
      <c r="R534" s="165">
        <v>999.33333333333337</v>
      </c>
      <c r="S534" s="165">
        <v>900460809</v>
      </c>
      <c r="T534" s="165">
        <v>901061.5166777852</v>
      </c>
      <c r="U534" s="166">
        <v>220101295</v>
      </c>
      <c r="V534" s="168">
        <v>6509225568</v>
      </c>
      <c r="W534" s="165">
        <v>3735714707</v>
      </c>
      <c r="X534" s="165">
        <v>1292327520</v>
      </c>
      <c r="Y534" s="165">
        <v>76612315</v>
      </c>
      <c r="Z534" s="165">
        <v>568320630.61000001</v>
      </c>
      <c r="AA534" s="165">
        <v>164147446.86000001</v>
      </c>
      <c r="AB534" s="165">
        <v>2817133</v>
      </c>
      <c r="AC534" s="165">
        <v>985.33333333333337</v>
      </c>
      <c r="AD534" s="165">
        <v>2293080866.4700003</v>
      </c>
      <c r="AE534" s="165">
        <v>2327213.3286231398</v>
      </c>
      <c r="AF534" s="166">
        <v>1481183341</v>
      </c>
      <c r="AG534" s="11">
        <v>1392620057.4700003</v>
      </c>
      <c r="AH534" s="12">
        <v>-14</v>
      </c>
      <c r="AI534" s="132">
        <v>1</v>
      </c>
      <c r="AJ534" s="132">
        <v>1</v>
      </c>
      <c r="AK534" s="13">
        <v>0.15</v>
      </c>
      <c r="AL534" s="13">
        <v>1.5827463256892824</v>
      </c>
      <c r="AM534" s="14">
        <v>1</v>
      </c>
      <c r="AN534" s="14">
        <v>0</v>
      </c>
      <c r="AO534" s="82">
        <v>460930.61607738491</v>
      </c>
      <c r="AP534" s="82">
        <v>576780.07166102843</v>
      </c>
      <c r="AQ534" s="82">
        <v>115849.45558364352</v>
      </c>
      <c r="AR534" s="129">
        <v>0.25133816575159695</v>
      </c>
    </row>
    <row r="535" spans="1:44" ht="28.8" x14ac:dyDescent="0.3">
      <c r="A535" s="136" t="s">
        <v>769</v>
      </c>
      <c r="B535" s="137" t="s">
        <v>5316</v>
      </c>
      <c r="C535" s="134">
        <v>2018</v>
      </c>
      <c r="D535" s="149" t="s">
        <v>4758</v>
      </c>
      <c r="E535" s="135" t="s">
        <v>1140</v>
      </c>
      <c r="F535" s="384" t="s">
        <v>146</v>
      </c>
      <c r="G535" s="138" t="s">
        <v>4773</v>
      </c>
      <c r="H535" s="138" t="s">
        <v>3336</v>
      </c>
      <c r="I535" s="138" t="s">
        <v>1566</v>
      </c>
      <c r="J535" s="135" t="s">
        <v>4774</v>
      </c>
      <c r="K535" s="164">
        <v>1129581000</v>
      </c>
      <c r="L535" s="165">
        <v>960618710</v>
      </c>
      <c r="M535" s="165">
        <v>219558650</v>
      </c>
      <c r="N535" s="165">
        <v>7693530</v>
      </c>
      <c r="O535" s="165">
        <v>153171640</v>
      </c>
      <c r="P535" s="165">
        <v>46343055.219999999</v>
      </c>
      <c r="Q535" s="165">
        <v>576908</v>
      </c>
      <c r="R535" s="165">
        <v>312</v>
      </c>
      <c r="S535" s="165">
        <v>157188773.22</v>
      </c>
      <c r="T535" s="165">
        <v>503810.17057692306</v>
      </c>
      <c r="U535" s="166">
        <v>-50596360</v>
      </c>
      <c r="V535" s="168">
        <v>1374402131</v>
      </c>
      <c r="W535" s="165">
        <v>1264024953</v>
      </c>
      <c r="X535" s="165">
        <v>135312680</v>
      </c>
      <c r="Y535" s="165">
        <v>15248879</v>
      </c>
      <c r="Z535" s="165">
        <v>167625138</v>
      </c>
      <c r="AA535" s="165">
        <v>50370959</v>
      </c>
      <c r="AB535" s="165">
        <v>0</v>
      </c>
      <c r="AC535" s="165">
        <v>230.91666666666666</v>
      </c>
      <c r="AD535" s="165">
        <v>208309474</v>
      </c>
      <c r="AE535" s="165">
        <v>902098.04691447131</v>
      </c>
      <c r="AF535" s="166">
        <v>-24935502</v>
      </c>
      <c r="AG535" s="11">
        <v>51120700.780000001</v>
      </c>
      <c r="AH535" s="12">
        <v>-81.083333333333343</v>
      </c>
      <c r="AI535" s="132">
        <v>1</v>
      </c>
      <c r="AJ535" s="132">
        <v>1</v>
      </c>
      <c r="AK535" s="13">
        <v>0.3</v>
      </c>
      <c r="AL535" s="13">
        <v>0.79055148886732485</v>
      </c>
      <c r="AM535" s="14">
        <v>1</v>
      </c>
      <c r="AN535" s="14">
        <v>0</v>
      </c>
      <c r="AO535" s="82">
        <v>490934.74358974356</v>
      </c>
      <c r="AP535" s="82">
        <v>725911.82100324798</v>
      </c>
      <c r="AQ535" s="82">
        <v>234977.07741350442</v>
      </c>
      <c r="AR535" s="129">
        <v>0.47863199841049808</v>
      </c>
    </row>
    <row r="536" spans="1:44" ht="28.8" x14ac:dyDescent="0.3">
      <c r="A536" s="136" t="s">
        <v>770</v>
      </c>
      <c r="B536" s="137" t="s">
        <v>5317</v>
      </c>
      <c r="C536" s="134">
        <v>2018</v>
      </c>
      <c r="D536" s="149" t="s">
        <v>4758</v>
      </c>
      <c r="E536" s="135" t="s">
        <v>1140</v>
      </c>
      <c r="F536" s="384" t="s">
        <v>146</v>
      </c>
      <c r="G536" s="138" t="s">
        <v>4773</v>
      </c>
      <c r="H536" s="138" t="s">
        <v>3355</v>
      </c>
      <c r="I536" s="138" t="s">
        <v>1566</v>
      </c>
      <c r="J536" s="135" t="s">
        <v>4774</v>
      </c>
      <c r="K536" s="164">
        <v>2494536000</v>
      </c>
      <c r="L536" s="165">
        <v>1656348500</v>
      </c>
      <c r="M536" s="165">
        <v>680133530</v>
      </c>
      <c r="N536" s="165">
        <v>35715010</v>
      </c>
      <c r="O536" s="165">
        <v>258937120</v>
      </c>
      <c r="P536" s="165">
        <v>85434695.749999985</v>
      </c>
      <c r="Q536" s="165">
        <v>4315140</v>
      </c>
      <c r="R536" s="165">
        <v>867.75</v>
      </c>
      <c r="S536" s="165">
        <v>542455935.75</v>
      </c>
      <c r="T536" s="165">
        <v>625129.28349178913</v>
      </c>
      <c r="U536" s="166">
        <v>158053970</v>
      </c>
      <c r="V536" s="168">
        <v>4511782437</v>
      </c>
      <c r="W536" s="165">
        <v>3344331368</v>
      </c>
      <c r="X536" s="165">
        <v>1029732800</v>
      </c>
      <c r="Y536" s="165">
        <v>54228771</v>
      </c>
      <c r="Z536" s="165">
        <v>902168531.38</v>
      </c>
      <c r="AA536" s="165">
        <v>251731362.63999999</v>
      </c>
      <c r="AB536" s="165">
        <v>4024974</v>
      </c>
      <c r="AC536" s="165">
        <v>1139.4166666666667</v>
      </c>
      <c r="AD536" s="165">
        <v>1349871908.02</v>
      </c>
      <c r="AE536" s="165">
        <v>1184704.3733079792</v>
      </c>
      <c r="AF536" s="166">
        <v>137718269</v>
      </c>
      <c r="AG536" s="11">
        <v>807415972.26999998</v>
      </c>
      <c r="AH536" s="12">
        <v>271.66666666666674</v>
      </c>
      <c r="AI536" s="132">
        <v>1</v>
      </c>
      <c r="AJ536" s="132">
        <v>1</v>
      </c>
      <c r="AK536" s="13">
        <v>0.3</v>
      </c>
      <c r="AL536" s="13">
        <v>0.89513498711818462</v>
      </c>
      <c r="AM536" s="14">
        <v>1</v>
      </c>
      <c r="AN536" s="14">
        <v>0</v>
      </c>
      <c r="AO536" s="82">
        <v>298400.59925093636</v>
      </c>
      <c r="AP536" s="82">
        <v>791781.0558443648</v>
      </c>
      <c r="AQ536" s="82">
        <v>493380.45659342845</v>
      </c>
      <c r="AR536" s="129">
        <v>1.6534164402884666</v>
      </c>
    </row>
    <row r="537" spans="1:44" ht="28.8" x14ac:dyDescent="0.3">
      <c r="A537" s="136" t="s">
        <v>771</v>
      </c>
      <c r="B537" s="137" t="s">
        <v>5318</v>
      </c>
      <c r="C537" s="134">
        <v>2018</v>
      </c>
      <c r="D537" s="149" t="s">
        <v>4758</v>
      </c>
      <c r="E537" s="135" t="s">
        <v>1140</v>
      </c>
      <c r="F537" s="384" t="s">
        <v>146</v>
      </c>
      <c r="G537" s="138" t="s">
        <v>4773</v>
      </c>
      <c r="H537" s="138" t="s">
        <v>2715</v>
      </c>
      <c r="I537" s="138" t="s">
        <v>1566</v>
      </c>
      <c r="J537" s="135" t="s">
        <v>4774</v>
      </c>
      <c r="K537" s="164">
        <v>870720245</v>
      </c>
      <c r="L537" s="165">
        <v>297466370</v>
      </c>
      <c r="M537" s="165">
        <v>475843760</v>
      </c>
      <c r="N537" s="165">
        <v>46187460</v>
      </c>
      <c r="O537" s="165">
        <v>212087490</v>
      </c>
      <c r="P537" s="165">
        <v>63657783.240000002</v>
      </c>
      <c r="Q537" s="165">
        <v>12222990</v>
      </c>
      <c r="R537" s="165">
        <v>435.91666666666669</v>
      </c>
      <c r="S537" s="165">
        <v>431565838.24000001</v>
      </c>
      <c r="T537" s="165">
        <v>990019.12805964437</v>
      </c>
      <c r="U537" s="166">
        <v>97410115</v>
      </c>
      <c r="V537" s="168">
        <v>393783787</v>
      </c>
      <c r="W537" s="165">
        <v>348505829</v>
      </c>
      <c r="X537" s="165">
        <v>144818296</v>
      </c>
      <c r="Y537" s="165">
        <v>26605908</v>
      </c>
      <c r="Z537" s="165">
        <v>154183598</v>
      </c>
      <c r="AA537" s="165">
        <v>47036137.699999996</v>
      </c>
      <c r="AB537" s="165">
        <v>19192257</v>
      </c>
      <c r="AC537" s="165">
        <v>292.41666666666669</v>
      </c>
      <c r="AD537" s="165">
        <v>147477562.69999999</v>
      </c>
      <c r="AE537" s="165">
        <v>504340.48230265023</v>
      </c>
      <c r="AF537" s="166">
        <v>-99540338</v>
      </c>
      <c r="AG537" s="11">
        <v>-284088275.54000002</v>
      </c>
      <c r="AH537" s="12">
        <v>-143.5</v>
      </c>
      <c r="AI537" s="132">
        <v>0</v>
      </c>
      <c r="AJ537" s="132">
        <v>0</v>
      </c>
      <c r="AK537" s="13">
        <v>0.3</v>
      </c>
      <c r="AL537" s="13">
        <v>-0.49057501545449933</v>
      </c>
      <c r="AM537" s="14">
        <v>0</v>
      </c>
      <c r="AN537" s="14">
        <v>-1</v>
      </c>
      <c r="AO537" s="82">
        <v>486532.18887402024</v>
      </c>
      <c r="AP537" s="82">
        <v>527273.63237389561</v>
      </c>
      <c r="AQ537" s="82">
        <v>40741.443499875371</v>
      </c>
      <c r="AR537" s="129">
        <v>8.3738433821127334E-2</v>
      </c>
    </row>
    <row r="538" spans="1:44" ht="43.2" x14ac:dyDescent="0.3">
      <c r="A538" s="136" t="s">
        <v>772</v>
      </c>
      <c r="B538" s="137" t="s">
        <v>5319</v>
      </c>
      <c r="C538" s="134">
        <v>2018</v>
      </c>
      <c r="D538" s="149" t="s">
        <v>4758</v>
      </c>
      <c r="E538" s="135" t="s">
        <v>1140</v>
      </c>
      <c r="F538" s="384" t="s">
        <v>146</v>
      </c>
      <c r="G538" s="138" t="s">
        <v>4773</v>
      </c>
      <c r="H538" s="138" t="s">
        <v>2407</v>
      </c>
      <c r="I538" s="138" t="s">
        <v>1566</v>
      </c>
      <c r="J538" s="135" t="s">
        <v>4778</v>
      </c>
      <c r="K538" s="164">
        <v>2445183000</v>
      </c>
      <c r="L538" s="165">
        <v>1695250490</v>
      </c>
      <c r="M538" s="165">
        <v>534977344</v>
      </c>
      <c r="N538" s="165">
        <v>47044510</v>
      </c>
      <c r="O538" s="165">
        <v>881773630</v>
      </c>
      <c r="P538" s="165">
        <v>233236890.94</v>
      </c>
      <c r="Q538" s="165">
        <v>7979380</v>
      </c>
      <c r="R538" s="165">
        <v>1516.75</v>
      </c>
      <c r="S538" s="165">
        <v>1384989576.9400001</v>
      </c>
      <c r="T538" s="165">
        <v>913129.76887423766</v>
      </c>
      <c r="U538" s="166">
        <v>214955166</v>
      </c>
      <c r="V538" s="168">
        <v>2610585800</v>
      </c>
      <c r="W538" s="165">
        <v>1943404690</v>
      </c>
      <c r="X538" s="165">
        <v>526201558</v>
      </c>
      <c r="Y538" s="165">
        <v>53014046</v>
      </c>
      <c r="Z538" s="165">
        <v>559900343</v>
      </c>
      <c r="AA538" s="165">
        <v>173756742</v>
      </c>
      <c r="AB538" s="165">
        <v>2065839</v>
      </c>
      <c r="AC538" s="165">
        <v>1276.1666666666667</v>
      </c>
      <c r="AD538" s="165">
        <v>929716522</v>
      </c>
      <c r="AE538" s="165">
        <v>728522.80684341118</v>
      </c>
      <c r="AF538" s="166">
        <v>140979552</v>
      </c>
      <c r="AG538" s="11">
        <v>-455273054.94000006</v>
      </c>
      <c r="AH538" s="12">
        <v>-240.58333333333326</v>
      </c>
      <c r="AI538" s="132">
        <v>0</v>
      </c>
      <c r="AJ538" s="132">
        <v>0</v>
      </c>
      <c r="AK538" s="13">
        <v>0.3</v>
      </c>
      <c r="AL538" s="13">
        <v>-0.20216946820165549</v>
      </c>
      <c r="AM538" s="14">
        <v>0</v>
      </c>
      <c r="AN538" s="14">
        <v>-1</v>
      </c>
      <c r="AO538" s="82">
        <v>581357.26388659969</v>
      </c>
      <c r="AP538" s="82">
        <v>438736.0660833224</v>
      </c>
      <c r="AQ538" s="82">
        <v>-142621.19780327729</v>
      </c>
      <c r="AR538" s="129">
        <v>-0.24532453047855474</v>
      </c>
    </row>
    <row r="539" spans="1:44" ht="28.8" x14ac:dyDescent="0.3">
      <c r="A539" s="136" t="s">
        <v>773</v>
      </c>
      <c r="B539" s="137" t="s">
        <v>1112</v>
      </c>
      <c r="C539" s="134">
        <v>2020</v>
      </c>
      <c r="D539" s="149" t="s">
        <v>1111</v>
      </c>
      <c r="E539" s="135" t="s">
        <v>1108</v>
      </c>
      <c r="F539" s="384" t="s">
        <v>320</v>
      </c>
      <c r="G539" s="138" t="s">
        <v>4787</v>
      </c>
      <c r="H539" s="138" t="s">
        <v>1570</v>
      </c>
      <c r="I539" s="138" t="s">
        <v>1566</v>
      </c>
      <c r="J539" s="135" t="s">
        <v>4774</v>
      </c>
      <c r="K539" s="164">
        <v>12885077024</v>
      </c>
      <c r="L539" s="165">
        <v>11612772045</v>
      </c>
      <c r="M539" s="165">
        <v>0</v>
      </c>
      <c r="N539" s="165">
        <v>191102297</v>
      </c>
      <c r="O539" s="165">
        <v>1703368664.3800001</v>
      </c>
      <c r="P539" s="165">
        <v>532178270.32999998</v>
      </c>
      <c r="Q539" s="165">
        <v>24968370</v>
      </c>
      <c r="R539" s="165">
        <v>3216.4166666666665</v>
      </c>
      <c r="S539" s="165">
        <v>3723922580.71</v>
      </c>
      <c r="T539" s="165">
        <v>1157786.1224582223</v>
      </c>
      <c r="U539" s="166">
        <v>1272304979</v>
      </c>
      <c r="V539" s="168">
        <v>13968896875</v>
      </c>
      <c r="W539" s="165">
        <v>13261153182</v>
      </c>
      <c r="X539" s="165">
        <v>0</v>
      </c>
      <c r="Y539" s="165">
        <v>234667107</v>
      </c>
      <c r="Z539" s="165">
        <v>2142104542.4499998</v>
      </c>
      <c r="AA539" s="165">
        <v>639770544.75999999</v>
      </c>
      <c r="AB539" s="165">
        <v>21349951</v>
      </c>
      <c r="AC539" s="165">
        <v>3812</v>
      </c>
      <c r="AD539" s="165">
        <v>3745635838.21</v>
      </c>
      <c r="AE539" s="165">
        <v>982590.72355981113</v>
      </c>
      <c r="AF539" s="166">
        <v>707743693</v>
      </c>
      <c r="AG539" s="11">
        <v>21713257.5</v>
      </c>
      <c r="AH539" s="12">
        <v>595.58333333333348</v>
      </c>
      <c r="AI539" s="132">
        <v>0</v>
      </c>
      <c r="AJ539" s="132">
        <v>0</v>
      </c>
      <c r="AK539" s="13">
        <v>0.1</v>
      </c>
      <c r="AL539" s="13">
        <v>-0.15131931275873312</v>
      </c>
      <c r="AM539" s="14">
        <v>0</v>
      </c>
      <c r="AN539" s="14">
        <v>-1</v>
      </c>
      <c r="AO539" s="82">
        <v>529585.82202140067</v>
      </c>
      <c r="AP539" s="82">
        <v>561937.18322402937</v>
      </c>
      <c r="AQ539" s="82">
        <v>32351.361202628701</v>
      </c>
      <c r="AR539" s="129">
        <v>6.1088042499221951E-2</v>
      </c>
    </row>
    <row r="540" spans="1:44" ht="28.8" x14ac:dyDescent="0.3">
      <c r="A540" s="136" t="s">
        <v>774</v>
      </c>
      <c r="B540" s="137" t="s">
        <v>1133</v>
      </c>
      <c r="C540" s="134">
        <v>2020</v>
      </c>
      <c r="D540" s="149" t="s">
        <v>1132</v>
      </c>
      <c r="E540" s="135" t="s">
        <v>1131</v>
      </c>
      <c r="F540" s="384" t="s">
        <v>775</v>
      </c>
      <c r="G540" s="138" t="s">
        <v>4787</v>
      </c>
      <c r="H540" s="138" t="s">
        <v>1616</v>
      </c>
      <c r="I540" s="138" t="s">
        <v>1566</v>
      </c>
      <c r="J540" s="135" t="s">
        <v>4774</v>
      </c>
      <c r="K540" s="164">
        <v>1714239554</v>
      </c>
      <c r="L540" s="165">
        <v>1471409389</v>
      </c>
      <c r="M540" s="165">
        <v>167817443</v>
      </c>
      <c r="N540" s="165">
        <v>26780036</v>
      </c>
      <c r="O540" s="165">
        <v>179208424.34</v>
      </c>
      <c r="P540" s="165">
        <v>48827978.590000004</v>
      </c>
      <c r="Q540" s="165">
        <v>0</v>
      </c>
      <c r="R540" s="165">
        <v>513.16666666666663</v>
      </c>
      <c r="S540" s="165">
        <v>329829160.93000007</v>
      </c>
      <c r="T540" s="165">
        <v>642733.01902565791</v>
      </c>
      <c r="U540" s="166">
        <v>75012722</v>
      </c>
      <c r="V540" s="168">
        <v>2182983148</v>
      </c>
      <c r="W540" s="165">
        <v>1874428398</v>
      </c>
      <c r="X540" s="165">
        <v>203794042</v>
      </c>
      <c r="Y540" s="165">
        <v>30836509</v>
      </c>
      <c r="Z540" s="165">
        <v>217527291.05000001</v>
      </c>
      <c r="AA540" s="165">
        <v>64747594.980000004</v>
      </c>
      <c r="AB540" s="165">
        <v>0</v>
      </c>
      <c r="AC540" s="165">
        <v>509.33333333333331</v>
      </c>
      <c r="AD540" s="165">
        <v>417872103.03000003</v>
      </c>
      <c r="AE540" s="165">
        <v>820429.52165575931</v>
      </c>
      <c r="AF540" s="166">
        <v>104760708</v>
      </c>
      <c r="AG540" s="11">
        <v>88042942.099999964</v>
      </c>
      <c r="AH540" s="12">
        <v>-3.8333333333333144</v>
      </c>
      <c r="AI540" s="132">
        <v>1</v>
      </c>
      <c r="AJ540" s="132">
        <v>1</v>
      </c>
      <c r="AK540" s="13">
        <v>0.1</v>
      </c>
      <c r="AL540" s="13">
        <v>0.27647015863600721</v>
      </c>
      <c r="AM540" s="14">
        <v>1</v>
      </c>
      <c r="AN540" s="122">
        <v>0</v>
      </c>
      <c r="AO540" s="82">
        <v>349220.70348814555</v>
      </c>
      <c r="AP540" s="82">
        <v>427082.37771596864</v>
      </c>
      <c r="AQ540" s="82">
        <v>77861.674227823096</v>
      </c>
      <c r="AR540" s="129">
        <v>0.22295835685030085</v>
      </c>
    </row>
    <row r="541" spans="1:44" ht="28.8" x14ac:dyDescent="0.3">
      <c r="A541" s="136" t="s">
        <v>776</v>
      </c>
      <c r="B541" s="137" t="s">
        <v>1188</v>
      </c>
      <c r="C541" s="134">
        <v>2020</v>
      </c>
      <c r="D541" s="149" t="s">
        <v>1187</v>
      </c>
      <c r="E541" s="135" t="s">
        <v>1175</v>
      </c>
      <c r="F541" s="384" t="s">
        <v>633</v>
      </c>
      <c r="G541" s="138" t="s">
        <v>4787</v>
      </c>
      <c r="H541" s="138" t="s">
        <v>1255</v>
      </c>
      <c r="I541" s="138" t="s">
        <v>1217</v>
      </c>
      <c r="J541" s="135" t="s">
        <v>4774</v>
      </c>
      <c r="K541" s="164">
        <v>2773332377</v>
      </c>
      <c r="L541" s="165">
        <v>2186176473</v>
      </c>
      <c r="M541" s="165">
        <v>81096991</v>
      </c>
      <c r="N541" s="165">
        <v>1744917548</v>
      </c>
      <c r="O541" s="165">
        <v>391922630.70999998</v>
      </c>
      <c r="P541" s="165">
        <v>107146625.61999999</v>
      </c>
      <c r="Q541" s="165">
        <v>0</v>
      </c>
      <c r="R541" s="165">
        <v>973</v>
      </c>
      <c r="S541" s="165">
        <v>2750045717.3299999</v>
      </c>
      <c r="T541" s="165">
        <v>2826357.3662178828</v>
      </c>
      <c r="U541" s="166">
        <v>506058913</v>
      </c>
      <c r="V541" s="168">
        <v>4391982098</v>
      </c>
      <c r="W541" s="165">
        <v>3610818570</v>
      </c>
      <c r="X541" s="165">
        <v>118798449</v>
      </c>
      <c r="Y541" s="165">
        <v>1758568454</v>
      </c>
      <c r="Z541" s="165">
        <v>601960756.76999998</v>
      </c>
      <c r="AA541" s="165">
        <v>172420107.02000001</v>
      </c>
      <c r="AB541" s="165">
        <v>0</v>
      </c>
      <c r="AC541" s="165">
        <v>1271</v>
      </c>
      <c r="AD541" s="165">
        <v>3195314396.79</v>
      </c>
      <c r="AE541" s="165">
        <v>2514016.0478284815</v>
      </c>
      <c r="AF541" s="166">
        <v>662365079</v>
      </c>
      <c r="AG541" s="124">
        <v>445268679.46000004</v>
      </c>
      <c r="AH541" s="125">
        <v>298</v>
      </c>
      <c r="AI541" s="133">
        <v>0</v>
      </c>
      <c r="AJ541" s="133">
        <v>0</v>
      </c>
      <c r="AK541" s="126">
        <v>0.1</v>
      </c>
      <c r="AL541" s="126">
        <v>-0.11051020062618633</v>
      </c>
      <c r="AM541" s="14">
        <v>0</v>
      </c>
      <c r="AN541" s="122">
        <v>-1</v>
      </c>
      <c r="AO541" s="82">
        <v>402798.1816135663</v>
      </c>
      <c r="AP541" s="82">
        <v>473611.92507474427</v>
      </c>
      <c r="AQ541" s="82">
        <v>70813.743461177975</v>
      </c>
      <c r="AR541" s="129">
        <v>0.17580452617116027</v>
      </c>
    </row>
    <row r="542" spans="1:44" ht="28.8" x14ac:dyDescent="0.3">
      <c r="A542" s="136" t="s">
        <v>777</v>
      </c>
      <c r="B542" s="137" t="s">
        <v>5320</v>
      </c>
      <c r="C542" s="134">
        <v>2020</v>
      </c>
      <c r="D542" s="149" t="s">
        <v>1118</v>
      </c>
      <c r="E542" s="135" t="s">
        <v>1117</v>
      </c>
      <c r="F542" s="384" t="s">
        <v>778</v>
      </c>
      <c r="G542" s="138" t="s">
        <v>4787</v>
      </c>
      <c r="H542" s="138" t="s">
        <v>3900</v>
      </c>
      <c r="I542" s="138" t="s">
        <v>3673</v>
      </c>
      <c r="J542" s="135" t="s">
        <v>4778</v>
      </c>
      <c r="K542" s="164">
        <v>3483947832</v>
      </c>
      <c r="L542" s="165">
        <v>3323051405</v>
      </c>
      <c r="M542" s="165">
        <v>92709259</v>
      </c>
      <c r="N542" s="165">
        <v>1203484</v>
      </c>
      <c r="O542" s="165">
        <v>43911062.469999999</v>
      </c>
      <c r="P542" s="165">
        <v>10151012</v>
      </c>
      <c r="Q542" s="165">
        <v>0</v>
      </c>
      <c r="R542" s="165">
        <v>31.333333333333332</v>
      </c>
      <c r="S542" s="165">
        <v>123452726.47</v>
      </c>
      <c r="T542" s="165">
        <v>3939980.6320212767</v>
      </c>
      <c r="U542" s="166">
        <v>68187168</v>
      </c>
      <c r="V542" s="168">
        <v>4157669829</v>
      </c>
      <c r="W542" s="165">
        <v>3858211035</v>
      </c>
      <c r="X542" s="165">
        <v>125108495</v>
      </c>
      <c r="Y542" s="165">
        <v>779672</v>
      </c>
      <c r="Z542" s="165">
        <v>63206912.700000003</v>
      </c>
      <c r="AA542" s="165">
        <v>14113242.470000001</v>
      </c>
      <c r="AB542" s="165">
        <v>0</v>
      </c>
      <c r="AC542" s="165">
        <v>33.833333333333336</v>
      </c>
      <c r="AD542" s="165">
        <v>252450126.16999999</v>
      </c>
      <c r="AE542" s="165">
        <v>7461580.0838423632</v>
      </c>
      <c r="AF542" s="166">
        <v>174350299</v>
      </c>
      <c r="AG542" s="124">
        <v>128997399.69999999</v>
      </c>
      <c r="AH542" s="125">
        <v>2.5000000000000036</v>
      </c>
      <c r="AI542" s="133">
        <v>1</v>
      </c>
      <c r="AJ542" s="133">
        <v>1</v>
      </c>
      <c r="AK542" s="126">
        <v>0.1</v>
      </c>
      <c r="AL542" s="126">
        <v>0.89381136119950932</v>
      </c>
      <c r="AM542" s="14">
        <v>1</v>
      </c>
      <c r="AN542" s="122">
        <v>0</v>
      </c>
      <c r="AO542" s="82">
        <v>1401416.8873404255</v>
      </c>
      <c r="AP542" s="82">
        <v>1868184.6118226601</v>
      </c>
      <c r="AQ542" s="82">
        <v>466767.72448223457</v>
      </c>
      <c r="AR542" s="130">
        <v>0.33306843145586384</v>
      </c>
    </row>
    <row r="543" spans="1:44" ht="28.8" x14ac:dyDescent="0.3">
      <c r="A543" s="136" t="s">
        <v>779</v>
      </c>
      <c r="B543" s="137" t="s">
        <v>5321</v>
      </c>
      <c r="C543" s="134">
        <v>2019</v>
      </c>
      <c r="D543" s="149" t="s">
        <v>4865</v>
      </c>
      <c r="E543" s="135" t="s">
        <v>1108</v>
      </c>
      <c r="F543" s="384" t="s">
        <v>780</v>
      </c>
      <c r="G543" s="138" t="s">
        <v>4773</v>
      </c>
      <c r="H543" s="138" t="s">
        <v>2605</v>
      </c>
      <c r="I543" s="138" t="s">
        <v>1566</v>
      </c>
      <c r="J543" s="135" t="s">
        <v>4798</v>
      </c>
      <c r="K543" s="164">
        <v>4976123761</v>
      </c>
      <c r="L543" s="165">
        <v>2717511617</v>
      </c>
      <c r="M543" s="165">
        <v>1769025303</v>
      </c>
      <c r="N543" s="165">
        <v>133518204</v>
      </c>
      <c r="O543" s="165">
        <v>337908117</v>
      </c>
      <c r="P543" s="165">
        <v>82501936</v>
      </c>
      <c r="Q543" s="165">
        <v>775834</v>
      </c>
      <c r="R543" s="165">
        <v>328.25</v>
      </c>
      <c r="S543" s="165">
        <v>1044290932</v>
      </c>
      <c r="T543" s="165">
        <v>3181388.9779131757</v>
      </c>
      <c r="U543" s="166">
        <v>489586841</v>
      </c>
      <c r="V543" s="168">
        <v>5326587135</v>
      </c>
      <c r="W543" s="165">
        <v>2848230262</v>
      </c>
      <c r="X543" s="165">
        <v>1722497990</v>
      </c>
      <c r="Y543" s="165">
        <v>369549908</v>
      </c>
      <c r="Z543" s="165">
        <v>377694031</v>
      </c>
      <c r="AA543" s="165">
        <v>99872098</v>
      </c>
      <c r="AB543" s="165">
        <v>942473</v>
      </c>
      <c r="AC543" s="165">
        <v>364.66666666666669</v>
      </c>
      <c r="AD543" s="165">
        <v>1603917393</v>
      </c>
      <c r="AE543" s="165">
        <v>4398310.9497257769</v>
      </c>
      <c r="AF543" s="166">
        <v>755858883</v>
      </c>
      <c r="AG543" s="124">
        <v>559626461</v>
      </c>
      <c r="AH543" s="125">
        <v>36.416666666666686</v>
      </c>
      <c r="AI543" s="133">
        <v>1</v>
      </c>
      <c r="AJ543" s="133">
        <v>1</v>
      </c>
      <c r="AK543" s="126">
        <v>0.15</v>
      </c>
      <c r="AL543" s="126">
        <v>0.38251278848649317</v>
      </c>
      <c r="AM543" s="14">
        <v>1</v>
      </c>
      <c r="AN543" s="122">
        <v>0</v>
      </c>
      <c r="AO543" s="131">
        <v>1029423.052551409</v>
      </c>
      <c r="AP543" s="131">
        <v>1035724.0338208409</v>
      </c>
      <c r="AQ543" s="131">
        <v>6300.9812694318825</v>
      </c>
      <c r="AR543" s="130">
        <v>6.1208861155916949E-3</v>
      </c>
    </row>
    <row r="544" spans="1:44" ht="28.8" x14ac:dyDescent="0.3">
      <c r="A544" s="136" t="s">
        <v>781</v>
      </c>
      <c r="B544" s="137" t="s">
        <v>5322</v>
      </c>
      <c r="C544" s="134">
        <v>2019</v>
      </c>
      <c r="D544" s="149" t="s">
        <v>4865</v>
      </c>
      <c r="E544" s="135" t="s">
        <v>1108</v>
      </c>
      <c r="F544" s="384" t="s">
        <v>780</v>
      </c>
      <c r="G544" s="138" t="s">
        <v>4773</v>
      </c>
      <c r="H544" s="138" t="s">
        <v>2839</v>
      </c>
      <c r="I544" s="138" t="s">
        <v>1566</v>
      </c>
      <c r="J544" s="135" t="s">
        <v>4778</v>
      </c>
      <c r="K544" s="164">
        <v>1605999432</v>
      </c>
      <c r="L544" s="165">
        <v>1011350135</v>
      </c>
      <c r="M544" s="165">
        <v>823790248</v>
      </c>
      <c r="N544" s="165">
        <v>25215313</v>
      </c>
      <c r="O544" s="165">
        <v>780120436</v>
      </c>
      <c r="P544" s="165">
        <v>194182120</v>
      </c>
      <c r="Q544" s="165">
        <v>0</v>
      </c>
      <c r="R544" s="165">
        <v>935.08333333333337</v>
      </c>
      <c r="S544" s="165">
        <v>770376918</v>
      </c>
      <c r="T544" s="165">
        <v>823859.10489261209</v>
      </c>
      <c r="U544" s="166">
        <v>-229140951</v>
      </c>
      <c r="V544" s="168">
        <v>2718519397</v>
      </c>
      <c r="W544" s="165">
        <v>1424639020</v>
      </c>
      <c r="X544" s="165">
        <v>959263665</v>
      </c>
      <c r="Y544" s="165">
        <v>20224738</v>
      </c>
      <c r="Z544" s="165">
        <v>894131853</v>
      </c>
      <c r="AA544" s="165">
        <v>246073075</v>
      </c>
      <c r="AB544" s="165">
        <v>0</v>
      </c>
      <c r="AC544" s="165">
        <v>985.41666666666663</v>
      </c>
      <c r="AD544" s="165">
        <v>1495046378</v>
      </c>
      <c r="AE544" s="165">
        <v>1517171.8000845667</v>
      </c>
      <c r="AF544" s="166">
        <v>334616712</v>
      </c>
      <c r="AG544" s="124">
        <v>724669460</v>
      </c>
      <c r="AH544" s="125">
        <v>50.333333333333258</v>
      </c>
      <c r="AI544" s="133">
        <v>1</v>
      </c>
      <c r="AJ544" s="133">
        <v>0</v>
      </c>
      <c r="AK544" s="126">
        <v>0.15</v>
      </c>
      <c r="AL544" s="126">
        <v>0.84154280750191401</v>
      </c>
      <c r="AM544" s="14">
        <v>1</v>
      </c>
      <c r="AN544" s="122">
        <v>0</v>
      </c>
      <c r="AO544" s="131">
        <v>834279.05106496741</v>
      </c>
      <c r="AP544" s="131">
        <v>907364.24828752642</v>
      </c>
      <c r="AQ544" s="131">
        <v>73085.197222559014</v>
      </c>
      <c r="AR544" s="130">
        <v>8.7602819619244654E-2</v>
      </c>
    </row>
    <row r="545" spans="1:44" ht="28.8" x14ac:dyDescent="0.3">
      <c r="A545" s="136" t="s">
        <v>782</v>
      </c>
      <c r="B545" s="137" t="s">
        <v>5323</v>
      </c>
      <c r="C545" s="134">
        <v>2020</v>
      </c>
      <c r="D545" s="149" t="s">
        <v>4865</v>
      </c>
      <c r="E545" s="135" t="s">
        <v>1108</v>
      </c>
      <c r="F545" s="384" t="s">
        <v>780</v>
      </c>
      <c r="G545" s="138" t="s">
        <v>4773</v>
      </c>
      <c r="H545" s="138" t="s">
        <v>2914</v>
      </c>
      <c r="I545" s="138" t="s">
        <v>1566</v>
      </c>
      <c r="J545" s="135" t="s">
        <v>4778</v>
      </c>
      <c r="K545" s="164">
        <v>3671429578</v>
      </c>
      <c r="L545" s="165">
        <v>2669733160</v>
      </c>
      <c r="M545" s="165">
        <v>882570477</v>
      </c>
      <c r="N545" s="165">
        <v>100078875</v>
      </c>
      <c r="O545" s="165">
        <v>780882792</v>
      </c>
      <c r="P545" s="165">
        <v>197702549</v>
      </c>
      <c r="Q545" s="165">
        <v>4060192</v>
      </c>
      <c r="R545" s="165">
        <v>967.33333333333337</v>
      </c>
      <c r="S545" s="165">
        <v>1201850349</v>
      </c>
      <c r="T545" s="165">
        <v>1242436.6116471398</v>
      </c>
      <c r="U545" s="166">
        <v>119125941</v>
      </c>
      <c r="V545" s="168">
        <v>3710574446</v>
      </c>
      <c r="W545" s="165">
        <v>2338197691</v>
      </c>
      <c r="X545" s="165">
        <v>1096400207</v>
      </c>
      <c r="Y545" s="165">
        <v>97173344</v>
      </c>
      <c r="Z545" s="165">
        <v>933588360.89999998</v>
      </c>
      <c r="AA545" s="165">
        <v>258624949.14000002</v>
      </c>
      <c r="AB545" s="165">
        <v>3870129</v>
      </c>
      <c r="AC545" s="165">
        <v>950.91666666666663</v>
      </c>
      <c r="AD545" s="165">
        <v>1569233331.0400002</v>
      </c>
      <c r="AE545" s="165">
        <v>1650232.2296450797</v>
      </c>
      <c r="AF545" s="166">
        <v>275976548</v>
      </c>
      <c r="AG545" s="124">
        <v>367382982.0400002</v>
      </c>
      <c r="AH545" s="125">
        <v>-16.416666666666742</v>
      </c>
      <c r="AI545" s="133">
        <v>1</v>
      </c>
      <c r="AJ545" s="133">
        <v>1</v>
      </c>
      <c r="AK545" s="126">
        <v>0.1</v>
      </c>
      <c r="AL545" s="126">
        <v>0.3282224756722194</v>
      </c>
      <c r="AM545" s="14">
        <v>1</v>
      </c>
      <c r="AN545" s="122">
        <v>0</v>
      </c>
      <c r="AO545" s="131">
        <v>807253.05858028948</v>
      </c>
      <c r="AP545" s="131">
        <v>981777.2614845325</v>
      </c>
      <c r="AQ545" s="131">
        <v>174524.20290424302</v>
      </c>
      <c r="AR545" s="130">
        <v>0.21619515844409132</v>
      </c>
    </row>
    <row r="546" spans="1:44" ht="28.8" x14ac:dyDescent="0.3">
      <c r="A546" s="136" t="s">
        <v>783</v>
      </c>
      <c r="B546" s="137" t="s">
        <v>5324</v>
      </c>
      <c r="C546" s="134">
        <v>2020</v>
      </c>
      <c r="D546" s="149" t="s">
        <v>4865</v>
      </c>
      <c r="E546" s="135" t="s">
        <v>1108</v>
      </c>
      <c r="F546" s="384" t="s">
        <v>780</v>
      </c>
      <c r="G546" s="138" t="s">
        <v>4773</v>
      </c>
      <c r="H546" s="138" t="s">
        <v>1570</v>
      </c>
      <c r="I546" s="138" t="s">
        <v>1566</v>
      </c>
      <c r="J546" s="135" t="s">
        <v>4774</v>
      </c>
      <c r="K546" s="164">
        <v>642995667</v>
      </c>
      <c r="L546" s="165">
        <v>547836096</v>
      </c>
      <c r="M546" s="165">
        <v>86994140</v>
      </c>
      <c r="N546" s="165">
        <v>18805649</v>
      </c>
      <c r="O546" s="165">
        <v>102871173</v>
      </c>
      <c r="P546" s="165">
        <v>19041379</v>
      </c>
      <c r="Q546" s="165">
        <v>849950</v>
      </c>
      <c r="R546" s="165">
        <v>192.91666666666666</v>
      </c>
      <c r="S546" s="165">
        <v>149733582</v>
      </c>
      <c r="T546" s="165">
        <v>776156.79654427653</v>
      </c>
      <c r="U546" s="166">
        <v>8165431</v>
      </c>
      <c r="V546" s="168">
        <v>837631339</v>
      </c>
      <c r="W546" s="165">
        <v>730013236</v>
      </c>
      <c r="X546" s="165">
        <v>96834043</v>
      </c>
      <c r="Y546" s="165">
        <v>12456297</v>
      </c>
      <c r="Z546" s="165">
        <v>107986088</v>
      </c>
      <c r="AA546" s="165">
        <v>20445260</v>
      </c>
      <c r="AB546" s="165">
        <v>55058</v>
      </c>
      <c r="AC546" s="165">
        <v>189.66666666666666</v>
      </c>
      <c r="AD546" s="165">
        <v>151726763</v>
      </c>
      <c r="AE546" s="165">
        <v>799965.35852372588</v>
      </c>
      <c r="AF546" s="166">
        <v>10784060</v>
      </c>
      <c r="AG546" s="124">
        <v>1993181</v>
      </c>
      <c r="AH546" s="125">
        <v>-3.25</v>
      </c>
      <c r="AI546" s="133">
        <v>0</v>
      </c>
      <c r="AJ546" s="133">
        <v>0</v>
      </c>
      <c r="AK546" s="126">
        <v>0.1</v>
      </c>
      <c r="AL546" s="126">
        <v>3.0674935786170865E-2</v>
      </c>
      <c r="AM546" s="14">
        <v>0</v>
      </c>
      <c r="AN546" s="122">
        <v>-1</v>
      </c>
      <c r="AO546" s="131">
        <v>533241.50151187903</v>
      </c>
      <c r="AP546" s="131">
        <v>569346.6854130053</v>
      </c>
      <c r="AQ546" s="131">
        <v>36105.183901126264</v>
      </c>
      <c r="AR546" s="130">
        <v>6.7708878245145376E-2</v>
      </c>
    </row>
    <row r="547" spans="1:44" ht="28.8" x14ac:dyDescent="0.3">
      <c r="A547" s="136" t="s">
        <v>784</v>
      </c>
      <c r="B547" s="137" t="s">
        <v>5325</v>
      </c>
      <c r="C547" s="134">
        <v>2020</v>
      </c>
      <c r="D547" s="149" t="s">
        <v>4777</v>
      </c>
      <c r="E547" s="135" t="s">
        <v>1152</v>
      </c>
      <c r="F547" s="384" t="s">
        <v>785</v>
      </c>
      <c r="G547" s="138" t="s">
        <v>4773</v>
      </c>
      <c r="H547" s="138" t="s">
        <v>4653</v>
      </c>
      <c r="I547" s="138" t="s">
        <v>4612</v>
      </c>
      <c r="J547" s="135" t="s">
        <v>4780</v>
      </c>
      <c r="K547" s="164">
        <v>749512583</v>
      </c>
      <c r="L547" s="165">
        <v>890307019</v>
      </c>
      <c r="M547" s="165">
        <v>221904577</v>
      </c>
      <c r="N547" s="165">
        <v>78373603</v>
      </c>
      <c r="O547" s="165">
        <v>347687660</v>
      </c>
      <c r="P547" s="165">
        <v>91246944</v>
      </c>
      <c r="Q547" s="165">
        <v>32277900</v>
      </c>
      <c r="R547" s="165">
        <v>720.66666666666663</v>
      </c>
      <c r="S547" s="165">
        <v>186887094</v>
      </c>
      <c r="T547" s="165">
        <v>259325.29232192415</v>
      </c>
      <c r="U547" s="166">
        <v>-362699013</v>
      </c>
      <c r="V547" s="168">
        <v>878439499</v>
      </c>
      <c r="W547" s="165">
        <v>1057432913</v>
      </c>
      <c r="X547" s="165">
        <v>244802857</v>
      </c>
      <c r="Y547" s="165">
        <v>128416875</v>
      </c>
      <c r="Z547" s="165">
        <v>351754041</v>
      </c>
      <c r="AA547" s="165">
        <v>110286996</v>
      </c>
      <c r="AB547" s="165">
        <v>33956853</v>
      </c>
      <c r="AC547" s="165">
        <v>707.25</v>
      </c>
      <c r="AD547" s="165">
        <v>200618494</v>
      </c>
      <c r="AE547" s="165">
        <v>283659.94202898553</v>
      </c>
      <c r="AF547" s="166">
        <v>-423796271</v>
      </c>
      <c r="AG547" s="124">
        <v>13731400</v>
      </c>
      <c r="AH547" s="125">
        <v>-13.416666666666629</v>
      </c>
      <c r="AI547" s="133">
        <v>0</v>
      </c>
      <c r="AJ547" s="133">
        <v>1</v>
      </c>
      <c r="AK547" s="126">
        <v>0.1</v>
      </c>
      <c r="AL547" s="126">
        <v>9.3838321746405828E-2</v>
      </c>
      <c r="AM547" s="14">
        <v>0</v>
      </c>
      <c r="AN547" s="122">
        <v>-1</v>
      </c>
      <c r="AO547" s="131">
        <v>482452.81221091584</v>
      </c>
      <c r="AP547" s="131">
        <v>497354.60021208908</v>
      </c>
      <c r="AQ547" s="131">
        <v>14901.788001173234</v>
      </c>
      <c r="AR547" s="130">
        <v>3.0887555474873096E-2</v>
      </c>
    </row>
    <row r="548" spans="1:44" ht="28.8" x14ac:dyDescent="0.3">
      <c r="A548" s="136" t="s">
        <v>786</v>
      </c>
      <c r="B548" s="137" t="s">
        <v>5326</v>
      </c>
      <c r="C548" s="134">
        <v>2019</v>
      </c>
      <c r="D548" s="149" t="s">
        <v>4865</v>
      </c>
      <c r="E548" s="135" t="s">
        <v>1108</v>
      </c>
      <c r="F548" s="384" t="s">
        <v>635</v>
      </c>
      <c r="G548" s="138" t="s">
        <v>4773</v>
      </c>
      <c r="H548" s="138" t="s">
        <v>3060</v>
      </c>
      <c r="I548" s="138" t="s">
        <v>1566</v>
      </c>
      <c r="J548" s="135" t="s">
        <v>4778</v>
      </c>
      <c r="K548" s="164">
        <v>951269576</v>
      </c>
      <c r="L548" s="165">
        <v>551274909</v>
      </c>
      <c r="M548" s="165">
        <v>324853268</v>
      </c>
      <c r="N548" s="165">
        <v>7643985</v>
      </c>
      <c r="O548" s="165">
        <v>316746572</v>
      </c>
      <c r="P548" s="165">
        <v>85675900</v>
      </c>
      <c r="Q548" s="165">
        <v>0</v>
      </c>
      <c r="R548" s="165">
        <v>478.75</v>
      </c>
      <c r="S548" s="165">
        <v>485207856</v>
      </c>
      <c r="T548" s="165">
        <v>1013488.9942558747</v>
      </c>
      <c r="U548" s="166">
        <v>75141399</v>
      </c>
      <c r="V548" s="168">
        <v>908677484</v>
      </c>
      <c r="W548" s="165">
        <v>591099873</v>
      </c>
      <c r="X548" s="165">
        <v>243339600</v>
      </c>
      <c r="Y548" s="165">
        <v>28729705</v>
      </c>
      <c r="Z548" s="165">
        <v>330722222</v>
      </c>
      <c r="AA548" s="165">
        <v>95116800</v>
      </c>
      <c r="AB548" s="165">
        <v>0</v>
      </c>
      <c r="AC548" s="165">
        <v>413.33333333333331</v>
      </c>
      <c r="AD548" s="165">
        <v>528806738</v>
      </c>
      <c r="AE548" s="165">
        <v>1279371.1403225807</v>
      </c>
      <c r="AF548" s="166">
        <v>74238011</v>
      </c>
      <c r="AG548" s="124">
        <v>43598882</v>
      </c>
      <c r="AH548" s="125">
        <v>-65.416666666666686</v>
      </c>
      <c r="AI548" s="133">
        <v>1</v>
      </c>
      <c r="AJ548" s="133">
        <v>1</v>
      </c>
      <c r="AK548" s="126">
        <v>0.15</v>
      </c>
      <c r="AL548" s="126">
        <v>0.26234340246754906</v>
      </c>
      <c r="AM548" s="14">
        <v>1</v>
      </c>
      <c r="AN548" s="122">
        <v>0</v>
      </c>
      <c r="AO548" s="131">
        <v>661611.63864229759</v>
      </c>
      <c r="AP548" s="131">
        <v>800134.40806451614</v>
      </c>
      <c r="AQ548" s="131">
        <v>138522.76942221855</v>
      </c>
      <c r="AR548" s="130">
        <v>0.20937172403206672</v>
      </c>
    </row>
    <row r="549" spans="1:44" ht="28.8" x14ac:dyDescent="0.3">
      <c r="A549" s="136" t="s">
        <v>787</v>
      </c>
      <c r="B549" s="137" t="s">
        <v>5327</v>
      </c>
      <c r="C549" s="134">
        <v>2019</v>
      </c>
      <c r="D549" s="149" t="s">
        <v>4865</v>
      </c>
      <c r="E549" s="135" t="s">
        <v>1108</v>
      </c>
      <c r="F549" s="384" t="s">
        <v>635</v>
      </c>
      <c r="G549" s="138" t="s">
        <v>4773</v>
      </c>
      <c r="H549" s="138" t="s">
        <v>1722</v>
      </c>
      <c r="I549" s="138" t="s">
        <v>1566</v>
      </c>
      <c r="J549" s="135" t="s">
        <v>4798</v>
      </c>
      <c r="K549" s="164">
        <v>11898912344</v>
      </c>
      <c r="L549" s="165">
        <v>10084846385</v>
      </c>
      <c r="M549" s="165">
        <v>1088975387</v>
      </c>
      <c r="N549" s="165">
        <v>32637712</v>
      </c>
      <c r="O549" s="165">
        <v>412520906</v>
      </c>
      <c r="P549" s="165">
        <v>106385467</v>
      </c>
      <c r="Q549" s="165">
        <v>4943960</v>
      </c>
      <c r="R549" s="165">
        <v>457.33333333333331</v>
      </c>
      <c r="S549" s="165">
        <v>1281578617</v>
      </c>
      <c r="T549" s="165">
        <v>2802285.6056851312</v>
      </c>
      <c r="U549" s="166">
        <v>725090572</v>
      </c>
      <c r="V549" s="168">
        <v>8939845667</v>
      </c>
      <c r="W549" s="165">
        <v>7666708116</v>
      </c>
      <c r="X549" s="165">
        <v>911307427</v>
      </c>
      <c r="Y549" s="165">
        <v>40153398</v>
      </c>
      <c r="Z549" s="165">
        <v>244730926.68999994</v>
      </c>
      <c r="AA549" s="165">
        <v>101946564.28</v>
      </c>
      <c r="AB549" s="165">
        <v>5726383</v>
      </c>
      <c r="AC549" s="165">
        <v>389</v>
      </c>
      <c r="AD549" s="165">
        <v>754387395.96999991</v>
      </c>
      <c r="AE549" s="165">
        <v>1939299.2184318763</v>
      </c>
      <c r="AF549" s="166">
        <v>361830124</v>
      </c>
      <c r="AG549" s="124">
        <v>-527191221.03000009</v>
      </c>
      <c r="AH549" s="125">
        <v>-68.333333333333314</v>
      </c>
      <c r="AI549" s="133">
        <v>0</v>
      </c>
      <c r="AJ549" s="133">
        <v>0</v>
      </c>
      <c r="AK549" s="126">
        <v>0.15</v>
      </c>
      <c r="AL549" s="126">
        <v>-0.30795804214974354</v>
      </c>
      <c r="AM549" s="14">
        <v>0</v>
      </c>
      <c r="AN549" s="122">
        <v>-1</v>
      </c>
      <c r="AO549" s="131">
        <v>902013.64285714284</v>
      </c>
      <c r="AP549" s="131">
        <v>629128.34624678642</v>
      </c>
      <c r="AQ549" s="131">
        <v>-272885.29661035642</v>
      </c>
      <c r="AR549" s="130">
        <v>-0.30252901247256947</v>
      </c>
    </row>
    <row r="550" spans="1:44" ht="28.8" x14ac:dyDescent="0.3">
      <c r="A550" s="136" t="s">
        <v>788</v>
      </c>
      <c r="B550" s="137" t="s">
        <v>5328</v>
      </c>
      <c r="C550" s="134">
        <v>2019</v>
      </c>
      <c r="D550" s="149" t="s">
        <v>4766</v>
      </c>
      <c r="E550" s="135" t="s">
        <v>1175</v>
      </c>
      <c r="F550" s="384" t="s">
        <v>734</v>
      </c>
      <c r="G550" s="138" t="s">
        <v>4773</v>
      </c>
      <c r="H550" s="138" t="s">
        <v>3311</v>
      </c>
      <c r="I550" s="138" t="s">
        <v>1566</v>
      </c>
      <c r="J550" s="135" t="s">
        <v>4774</v>
      </c>
      <c r="K550" s="164">
        <v>458932557</v>
      </c>
      <c r="L550" s="165">
        <v>380679782</v>
      </c>
      <c r="M550" s="165">
        <v>61445912</v>
      </c>
      <c r="N550" s="165">
        <v>5614805</v>
      </c>
      <c r="O550" s="165">
        <v>142601793</v>
      </c>
      <c r="P550" s="165">
        <v>42234691</v>
      </c>
      <c r="Q550" s="165">
        <v>20877</v>
      </c>
      <c r="R550" s="165">
        <v>201.41666666666666</v>
      </c>
      <c r="S550" s="165">
        <v>207279029</v>
      </c>
      <c r="T550" s="165">
        <v>1029105.646669425</v>
      </c>
      <c r="U550" s="166">
        <v>16806863</v>
      </c>
      <c r="V550" s="168">
        <v>447101855</v>
      </c>
      <c r="W550" s="165">
        <v>353176526</v>
      </c>
      <c r="X550" s="165">
        <v>71230485</v>
      </c>
      <c r="Y550" s="165">
        <v>1523254</v>
      </c>
      <c r="Z550" s="165">
        <v>143986663.78</v>
      </c>
      <c r="AA550" s="165">
        <v>26308822.279999997</v>
      </c>
      <c r="AB550" s="165">
        <v>17563</v>
      </c>
      <c r="AC550" s="165">
        <v>179.08333333333334</v>
      </c>
      <c r="AD550" s="165">
        <v>194531147.06</v>
      </c>
      <c r="AE550" s="165">
        <v>1086260.4768357375</v>
      </c>
      <c r="AF550" s="166">
        <v>22694844</v>
      </c>
      <c r="AG550" s="124">
        <v>-12747881.939999998</v>
      </c>
      <c r="AH550" s="125">
        <v>-22.333333333333314</v>
      </c>
      <c r="AI550" s="133">
        <v>0</v>
      </c>
      <c r="AJ550" s="133">
        <v>1</v>
      </c>
      <c r="AK550" s="126">
        <v>0.15</v>
      </c>
      <c r="AL550" s="126">
        <v>5.5538350217006371E-2</v>
      </c>
      <c r="AM550" s="14">
        <v>0</v>
      </c>
      <c r="AN550" s="122">
        <v>-1</v>
      </c>
      <c r="AO550" s="131">
        <v>707994.00744724867</v>
      </c>
      <c r="AP550" s="131">
        <v>804020.4585202419</v>
      </c>
      <c r="AQ550" s="131">
        <v>96026.451072993223</v>
      </c>
      <c r="AR550" s="130">
        <v>0.13563172860632999</v>
      </c>
    </row>
    <row r="551" spans="1:44" ht="28.8" x14ac:dyDescent="0.3">
      <c r="A551" s="136" t="s">
        <v>789</v>
      </c>
      <c r="B551" s="137" t="s">
        <v>5329</v>
      </c>
      <c r="C551" s="134">
        <v>2019</v>
      </c>
      <c r="D551" s="149" t="s">
        <v>4766</v>
      </c>
      <c r="E551" s="135" t="s">
        <v>1175</v>
      </c>
      <c r="F551" s="384" t="s">
        <v>633</v>
      </c>
      <c r="G551" s="138" t="s">
        <v>4773</v>
      </c>
      <c r="H551" s="138" t="s">
        <v>4960</v>
      </c>
      <c r="I551" s="138" t="s">
        <v>4612</v>
      </c>
      <c r="J551" s="135" t="s">
        <v>4798</v>
      </c>
      <c r="K551" s="164">
        <v>5509920227</v>
      </c>
      <c r="L551" s="165">
        <v>4970268831</v>
      </c>
      <c r="M551" s="165">
        <v>824678212</v>
      </c>
      <c r="N551" s="165">
        <v>150404140</v>
      </c>
      <c r="O551" s="165">
        <v>507041792</v>
      </c>
      <c r="P551" s="165">
        <v>149530508</v>
      </c>
      <c r="Q551" s="165">
        <v>35087736</v>
      </c>
      <c r="R551" s="165">
        <v>847.66666666666663</v>
      </c>
      <c r="S551" s="165">
        <v>557037360</v>
      </c>
      <c r="T551" s="165">
        <v>657141.98977585533</v>
      </c>
      <c r="U551" s="166">
        <v>-285026816</v>
      </c>
      <c r="V551" s="168">
        <v>6874280224</v>
      </c>
      <c r="W551" s="165">
        <v>5735113646</v>
      </c>
      <c r="X551" s="165">
        <v>895029551</v>
      </c>
      <c r="Y551" s="165">
        <v>170098337</v>
      </c>
      <c r="Z551" s="165">
        <v>537189736.50999999</v>
      </c>
      <c r="AA551" s="165">
        <v>157168739.19</v>
      </c>
      <c r="AB551" s="165">
        <v>38881448</v>
      </c>
      <c r="AC551" s="165">
        <v>819.75</v>
      </c>
      <c r="AD551" s="165">
        <v>1147475287.7</v>
      </c>
      <c r="AE551" s="165">
        <v>1399786.8712412321</v>
      </c>
      <c r="AF551" s="166">
        <v>244137027</v>
      </c>
      <c r="AG551" s="124">
        <v>590437927.70000005</v>
      </c>
      <c r="AH551" s="125">
        <v>-27.916666666666629</v>
      </c>
      <c r="AI551" s="133">
        <v>1</v>
      </c>
      <c r="AJ551" s="133">
        <v>1</v>
      </c>
      <c r="AK551" s="126">
        <v>0.15</v>
      </c>
      <c r="AL551" s="126">
        <v>1.1301132651712003</v>
      </c>
      <c r="AM551" s="14">
        <v>1</v>
      </c>
      <c r="AN551" s="122">
        <v>0</v>
      </c>
      <c r="AO551" s="131">
        <v>598161.76799056237</v>
      </c>
      <c r="AP551" s="131">
        <v>655309.22416590422</v>
      </c>
      <c r="AQ551" s="131">
        <v>57147.456175341853</v>
      </c>
      <c r="AR551" s="130">
        <v>9.5538463394811091E-2</v>
      </c>
    </row>
    <row r="552" spans="1:44" ht="28.8" x14ac:dyDescent="0.3">
      <c r="A552" s="136" t="s">
        <v>790</v>
      </c>
      <c r="B552" s="137" t="s">
        <v>5330</v>
      </c>
      <c r="C552" s="134">
        <v>2019</v>
      </c>
      <c r="D552" s="149" t="s">
        <v>4766</v>
      </c>
      <c r="E552" s="135" t="s">
        <v>1175</v>
      </c>
      <c r="F552" s="384" t="s">
        <v>734</v>
      </c>
      <c r="G552" s="138" t="s">
        <v>4773</v>
      </c>
      <c r="H552" s="138" t="s">
        <v>2908</v>
      </c>
      <c r="I552" s="138" t="s">
        <v>1566</v>
      </c>
      <c r="J552" s="135" t="s">
        <v>4798</v>
      </c>
      <c r="K552" s="164">
        <v>611040905</v>
      </c>
      <c r="L552" s="165">
        <v>293351982</v>
      </c>
      <c r="M552" s="165">
        <v>348515913</v>
      </c>
      <c r="N552" s="165">
        <v>7275650</v>
      </c>
      <c r="O552" s="165">
        <v>249237672</v>
      </c>
      <c r="P552" s="165">
        <v>68112609</v>
      </c>
      <c r="Q552" s="165">
        <v>536577</v>
      </c>
      <c r="R552" s="165">
        <v>537.91666666666663</v>
      </c>
      <c r="S552" s="165">
        <v>294335518</v>
      </c>
      <c r="T552" s="165">
        <v>547176.79566227738</v>
      </c>
      <c r="U552" s="166">
        <v>-30826990</v>
      </c>
      <c r="V552" s="168">
        <v>645380225</v>
      </c>
      <c r="W552" s="165">
        <v>345746780</v>
      </c>
      <c r="X552" s="165">
        <v>361362384</v>
      </c>
      <c r="Y552" s="165">
        <v>8045713</v>
      </c>
      <c r="Z552" s="165">
        <v>292409643.03000003</v>
      </c>
      <c r="AA552" s="165">
        <v>80634764.829999998</v>
      </c>
      <c r="AB552" s="165">
        <v>587230</v>
      </c>
      <c r="AC552" s="165">
        <v>527.58333333333337</v>
      </c>
      <c r="AD552" s="165">
        <v>319948411.86000001</v>
      </c>
      <c r="AE552" s="165">
        <v>606441.46932869998</v>
      </c>
      <c r="AF552" s="166">
        <v>-61728939</v>
      </c>
      <c r="AG552" s="124">
        <v>25612893.860000014</v>
      </c>
      <c r="AH552" s="125">
        <v>-10.333333333333258</v>
      </c>
      <c r="AI552" s="133">
        <v>0</v>
      </c>
      <c r="AJ552" s="133">
        <v>1</v>
      </c>
      <c r="AK552" s="126">
        <v>0.15</v>
      </c>
      <c r="AL552" s="126">
        <v>0.10830991006928636</v>
      </c>
      <c r="AM552" s="14">
        <v>0</v>
      </c>
      <c r="AN552" s="122">
        <v>-1</v>
      </c>
      <c r="AO552" s="131">
        <v>463338.81704105349</v>
      </c>
      <c r="AP552" s="131">
        <v>554243.51861633232</v>
      </c>
      <c r="AQ552" s="131">
        <v>90904.701575278828</v>
      </c>
      <c r="AR552" s="130">
        <v>0.19619487561134852</v>
      </c>
    </row>
    <row r="553" spans="1:44" ht="28.8" x14ac:dyDescent="0.3">
      <c r="A553" s="136" t="s">
        <v>791</v>
      </c>
      <c r="B553" s="137" t="s">
        <v>5331</v>
      </c>
      <c r="C553" s="134">
        <v>2019</v>
      </c>
      <c r="D553" s="149" t="s">
        <v>4766</v>
      </c>
      <c r="E553" s="135" t="s">
        <v>1175</v>
      </c>
      <c r="F553" s="384" t="s">
        <v>635</v>
      </c>
      <c r="G553" s="138" t="s">
        <v>4773</v>
      </c>
      <c r="H553" s="138" t="s">
        <v>1714</v>
      </c>
      <c r="I553" s="138" t="s">
        <v>1566</v>
      </c>
      <c r="J553" s="135" t="s">
        <v>4774</v>
      </c>
      <c r="K553" s="164">
        <v>749708105</v>
      </c>
      <c r="L553" s="165">
        <v>465490822</v>
      </c>
      <c r="M553" s="165">
        <v>262374057</v>
      </c>
      <c r="N553" s="165">
        <v>25932175</v>
      </c>
      <c r="O553" s="165">
        <v>71136052</v>
      </c>
      <c r="P553" s="165">
        <v>21345524</v>
      </c>
      <c r="Q553" s="165">
        <v>314471</v>
      </c>
      <c r="R553" s="165">
        <v>288.66666666666669</v>
      </c>
      <c r="S553" s="165">
        <v>140571448</v>
      </c>
      <c r="T553" s="165">
        <v>486968.06466512696</v>
      </c>
      <c r="U553" s="166">
        <v>21843226</v>
      </c>
      <c r="V553" s="168">
        <v>955722132</v>
      </c>
      <c r="W553" s="165">
        <v>656864631</v>
      </c>
      <c r="X553" s="165">
        <v>277944547</v>
      </c>
      <c r="Y553" s="165">
        <v>18226849</v>
      </c>
      <c r="Z553" s="165">
        <v>105612291.18000001</v>
      </c>
      <c r="AA553" s="165">
        <v>31523430.940000005</v>
      </c>
      <c r="AB553" s="165">
        <v>289029</v>
      </c>
      <c r="AC553" s="165">
        <v>334.16666666666669</v>
      </c>
      <c r="AD553" s="165">
        <v>176564554.12</v>
      </c>
      <c r="AE553" s="165">
        <v>528372.73053366586</v>
      </c>
      <c r="AF553" s="166">
        <v>20912954</v>
      </c>
      <c r="AG553" s="124">
        <v>35993106.120000005</v>
      </c>
      <c r="AH553" s="125">
        <v>45.5</v>
      </c>
      <c r="AI553" s="133">
        <v>0</v>
      </c>
      <c r="AJ553" s="133">
        <v>1</v>
      </c>
      <c r="AK553" s="126">
        <v>0.15</v>
      </c>
      <c r="AL553" s="126">
        <v>8.5025432674167511E-2</v>
      </c>
      <c r="AM553" s="14">
        <v>0</v>
      </c>
      <c r="AN553" s="122">
        <v>-1</v>
      </c>
      <c r="AO553" s="131">
        <v>246429.74133949191</v>
      </c>
      <c r="AP553" s="131">
        <v>316046.75664837903</v>
      </c>
      <c r="AQ553" s="131">
        <v>69617.015308887116</v>
      </c>
      <c r="AR553" s="130">
        <v>0.28250248906839448</v>
      </c>
    </row>
    <row r="554" spans="1:44" ht="28.8" x14ac:dyDescent="0.3">
      <c r="A554" s="136" t="s">
        <v>792</v>
      </c>
      <c r="B554" s="137" t="s">
        <v>5332</v>
      </c>
      <c r="C554" s="134">
        <v>2019</v>
      </c>
      <c r="D554" s="149" t="s">
        <v>4766</v>
      </c>
      <c r="E554" s="135" t="s">
        <v>1175</v>
      </c>
      <c r="F554" s="384" t="s">
        <v>146</v>
      </c>
      <c r="G554" s="138" t="s">
        <v>4773</v>
      </c>
      <c r="H554" s="138" t="s">
        <v>4960</v>
      </c>
      <c r="I554" s="138" t="s">
        <v>4612</v>
      </c>
      <c r="J554" s="135" t="s">
        <v>4774</v>
      </c>
      <c r="K554" s="164">
        <v>869502826</v>
      </c>
      <c r="L554" s="165">
        <v>536465008</v>
      </c>
      <c r="M554" s="165">
        <v>308623691</v>
      </c>
      <c r="N554" s="165">
        <v>6310687</v>
      </c>
      <c r="O554" s="165">
        <v>414039919</v>
      </c>
      <c r="P554" s="165">
        <v>123523549</v>
      </c>
      <c r="Q554" s="165">
        <v>196079</v>
      </c>
      <c r="R554" s="165">
        <v>952.66666666666663</v>
      </c>
      <c r="S554" s="165">
        <v>568484361</v>
      </c>
      <c r="T554" s="165">
        <v>596729.56018194545</v>
      </c>
      <c r="U554" s="166">
        <v>24414127</v>
      </c>
      <c r="V554" s="168">
        <v>913441899</v>
      </c>
      <c r="W554" s="165">
        <v>529046203</v>
      </c>
      <c r="X554" s="165">
        <v>329495194</v>
      </c>
      <c r="Y554" s="165">
        <v>6299441</v>
      </c>
      <c r="Z554" s="165">
        <v>422157788.48000002</v>
      </c>
      <c r="AA554" s="165">
        <v>125579183.77000001</v>
      </c>
      <c r="AB554" s="165">
        <v>182045</v>
      </c>
      <c r="AC554" s="165">
        <v>872.91666666666663</v>
      </c>
      <c r="AD554" s="165">
        <v>609118960.25</v>
      </c>
      <c r="AE554" s="165">
        <v>697797.37689737475</v>
      </c>
      <c r="AF554" s="166">
        <v>54900502</v>
      </c>
      <c r="AG554" s="124">
        <v>40634599.25</v>
      </c>
      <c r="AH554" s="125">
        <v>-79.75</v>
      </c>
      <c r="AI554" s="133">
        <v>1</v>
      </c>
      <c r="AJ554" s="133">
        <v>1</v>
      </c>
      <c r="AK554" s="126">
        <v>0.15</v>
      </c>
      <c r="AL554" s="126">
        <v>0.16936955494545969</v>
      </c>
      <c r="AM554" s="14">
        <v>1</v>
      </c>
      <c r="AN554" s="122">
        <v>0</v>
      </c>
      <c r="AO554" s="131">
        <v>434611.53149055288</v>
      </c>
      <c r="AP554" s="131">
        <v>483617.51424916473</v>
      </c>
      <c r="AQ554" s="131">
        <v>49005.982758611848</v>
      </c>
      <c r="AR554" s="130">
        <v>0.11275812813926023</v>
      </c>
    </row>
    <row r="555" spans="1:44" ht="28.8" x14ac:dyDescent="0.3">
      <c r="A555" s="136" t="s">
        <v>793</v>
      </c>
      <c r="B555" s="137" t="s">
        <v>5333</v>
      </c>
      <c r="C555" s="134">
        <v>2019</v>
      </c>
      <c r="D555" s="149" t="s">
        <v>4766</v>
      </c>
      <c r="E555" s="135" t="s">
        <v>1175</v>
      </c>
      <c r="F555" s="384" t="s">
        <v>635</v>
      </c>
      <c r="G555" s="138" t="s">
        <v>4773</v>
      </c>
      <c r="H555" s="138" t="s">
        <v>1597</v>
      </c>
      <c r="I555" s="138" t="s">
        <v>1566</v>
      </c>
      <c r="J555" s="135" t="s">
        <v>4778</v>
      </c>
      <c r="K555" s="164">
        <v>7785141609</v>
      </c>
      <c r="L555" s="165">
        <v>6241151692</v>
      </c>
      <c r="M555" s="165">
        <v>1162561964</v>
      </c>
      <c r="N555" s="165">
        <v>36740459</v>
      </c>
      <c r="O555" s="165">
        <v>530509055</v>
      </c>
      <c r="P555" s="165">
        <v>158820768</v>
      </c>
      <c r="Q555" s="165">
        <v>1669115</v>
      </c>
      <c r="R555" s="165">
        <v>1326.0833333333333</v>
      </c>
      <c r="S555" s="165">
        <v>1109167350</v>
      </c>
      <c r="T555" s="165">
        <v>836423.56563815754</v>
      </c>
      <c r="U555" s="166">
        <v>381427953</v>
      </c>
      <c r="V555" s="168">
        <v>11353657767</v>
      </c>
      <c r="W555" s="165">
        <v>9814748230</v>
      </c>
      <c r="X555" s="165">
        <v>1433589541</v>
      </c>
      <c r="Y555" s="165">
        <v>77165248</v>
      </c>
      <c r="Z555" s="165">
        <v>654842684.20000005</v>
      </c>
      <c r="AA555" s="165">
        <v>195493077.53999999</v>
      </c>
      <c r="AB555" s="165">
        <v>7418142</v>
      </c>
      <c r="AC555" s="165">
        <v>1269.8333333333333</v>
      </c>
      <c r="AD555" s="165">
        <v>1040239147.74</v>
      </c>
      <c r="AE555" s="165">
        <v>819193.44880430505</v>
      </c>
      <c r="AF555" s="166">
        <v>105319996</v>
      </c>
      <c r="AG555" s="124">
        <v>-68928202.25999999</v>
      </c>
      <c r="AH555" s="125">
        <v>-56.25</v>
      </c>
      <c r="AI555" s="133">
        <v>0</v>
      </c>
      <c r="AJ555" s="133">
        <v>0</v>
      </c>
      <c r="AK555" s="126">
        <v>0.15</v>
      </c>
      <c r="AL555" s="126">
        <v>-2.0599754260870462E-2</v>
      </c>
      <c r="AM555" s="14">
        <v>0</v>
      </c>
      <c r="AN555" s="122">
        <v>-1</v>
      </c>
      <c r="AO555" s="131">
        <v>400057.10174071515</v>
      </c>
      <c r="AP555" s="131">
        <v>515691.83688148059</v>
      </c>
      <c r="AQ555" s="131">
        <v>115634.73514076544</v>
      </c>
      <c r="AR555" s="130">
        <v>0.2890455753381691</v>
      </c>
    </row>
    <row r="556" spans="1:44" ht="28.8" x14ac:dyDescent="0.3">
      <c r="A556" s="136" t="s">
        <v>794</v>
      </c>
      <c r="B556" s="137" t="s">
        <v>5334</v>
      </c>
      <c r="C556" s="134">
        <v>2020</v>
      </c>
      <c r="D556" s="149" t="s">
        <v>5057</v>
      </c>
      <c r="E556" s="135" t="s">
        <v>1152</v>
      </c>
      <c r="F556" s="384" t="s">
        <v>795</v>
      </c>
      <c r="G556" s="138" t="s">
        <v>4773</v>
      </c>
      <c r="H556" s="138" t="s">
        <v>1277</v>
      </c>
      <c r="I556" s="138" t="s">
        <v>1217</v>
      </c>
      <c r="J556" s="135" t="s">
        <v>4774</v>
      </c>
      <c r="K556" s="164">
        <v>624158650</v>
      </c>
      <c r="L556" s="165">
        <v>710130242</v>
      </c>
      <c r="M556" s="165">
        <v>132668224</v>
      </c>
      <c r="N556" s="165">
        <v>160922376</v>
      </c>
      <c r="O556" s="165">
        <v>235459474</v>
      </c>
      <c r="P556" s="165">
        <v>50780578</v>
      </c>
      <c r="Q556" s="165">
        <v>0</v>
      </c>
      <c r="R556" s="165">
        <v>538.33333333333337</v>
      </c>
      <c r="S556" s="165">
        <v>228522612</v>
      </c>
      <c r="T556" s="165">
        <v>424500.20804953558</v>
      </c>
      <c r="U556" s="166">
        <v>-218639816</v>
      </c>
      <c r="V556" s="168">
        <v>1052133741</v>
      </c>
      <c r="W556" s="165">
        <v>831512001</v>
      </c>
      <c r="X556" s="165">
        <v>188532818</v>
      </c>
      <c r="Y556" s="165">
        <v>202164371</v>
      </c>
      <c r="Z556" s="165">
        <v>284281468</v>
      </c>
      <c r="AA556" s="165">
        <v>68690052</v>
      </c>
      <c r="AB556" s="165">
        <v>0</v>
      </c>
      <c r="AC556" s="165">
        <v>647.16666666666663</v>
      </c>
      <c r="AD556" s="165">
        <v>587224813</v>
      </c>
      <c r="AE556" s="165">
        <v>907378.02678341488</v>
      </c>
      <c r="AF556" s="166">
        <v>32088922</v>
      </c>
      <c r="AG556" s="124">
        <v>358702201</v>
      </c>
      <c r="AH556" s="125">
        <v>108.83333333333326</v>
      </c>
      <c r="AI556" s="133">
        <v>1</v>
      </c>
      <c r="AJ556" s="133">
        <v>1</v>
      </c>
      <c r="AK556" s="126">
        <v>0.1</v>
      </c>
      <c r="AL556" s="126">
        <v>1.13752080358217</v>
      </c>
      <c r="AM556" s="14">
        <v>1</v>
      </c>
      <c r="AN556" s="122">
        <v>0</v>
      </c>
      <c r="AO556" s="131">
        <v>437386.01981424144</v>
      </c>
      <c r="AP556" s="131">
        <v>439270.87509657483</v>
      </c>
      <c r="AQ556" s="131">
        <v>1884.8552823333885</v>
      </c>
      <c r="AR556" s="130">
        <v>4.3093633471273929E-3</v>
      </c>
    </row>
    <row r="557" spans="1:44" ht="28.8" x14ac:dyDescent="0.3">
      <c r="A557" s="136" t="s">
        <v>796</v>
      </c>
      <c r="B557" s="137" t="s">
        <v>5335</v>
      </c>
      <c r="C557" s="134">
        <v>2020</v>
      </c>
      <c r="D557" s="149" t="s">
        <v>1155</v>
      </c>
      <c r="E557" s="135" t="s">
        <v>1152</v>
      </c>
      <c r="F557" s="384" t="s">
        <v>797</v>
      </c>
      <c r="G557" s="138" t="s">
        <v>4773</v>
      </c>
      <c r="H557" s="138" t="s">
        <v>2611</v>
      </c>
      <c r="I557" s="138" t="s">
        <v>1566</v>
      </c>
      <c r="J557" s="135" t="s">
        <v>4774</v>
      </c>
      <c r="K557" s="164">
        <v>998298721</v>
      </c>
      <c r="L557" s="165">
        <v>553205329</v>
      </c>
      <c r="M557" s="165">
        <v>363887876</v>
      </c>
      <c r="N557" s="165">
        <v>10595588</v>
      </c>
      <c r="O557" s="165">
        <v>122791819</v>
      </c>
      <c r="P557" s="165">
        <v>28675689</v>
      </c>
      <c r="Q557" s="165">
        <v>192761</v>
      </c>
      <c r="R557" s="165">
        <v>229.5</v>
      </c>
      <c r="S557" s="165">
        <v>243461373</v>
      </c>
      <c r="T557" s="165">
        <v>1060833.8692810459</v>
      </c>
      <c r="U557" s="166">
        <v>81205516</v>
      </c>
      <c r="V557" s="168">
        <v>1942082058</v>
      </c>
      <c r="W557" s="165">
        <v>1377282726</v>
      </c>
      <c r="X557" s="165">
        <v>516382174</v>
      </c>
      <c r="Y557" s="165">
        <v>13343278</v>
      </c>
      <c r="Z557" s="165">
        <v>132859952</v>
      </c>
      <c r="AA557" s="165">
        <v>25458249</v>
      </c>
      <c r="AB557" s="165">
        <v>163324</v>
      </c>
      <c r="AC557" s="165">
        <v>220.5</v>
      </c>
      <c r="AD557" s="165">
        <v>220241961</v>
      </c>
      <c r="AE557" s="165">
        <v>998829.75510204083</v>
      </c>
      <c r="AF557" s="166">
        <v>48417158</v>
      </c>
      <c r="AG557" s="124">
        <v>-23219412</v>
      </c>
      <c r="AH557" s="125">
        <v>-9</v>
      </c>
      <c r="AI557" s="133">
        <v>0</v>
      </c>
      <c r="AJ557" s="133">
        <v>0</v>
      </c>
      <c r="AK557" s="126">
        <v>0.1</v>
      </c>
      <c r="AL557" s="126">
        <v>-5.8448463754272928E-2</v>
      </c>
      <c r="AM557" s="14">
        <v>0</v>
      </c>
      <c r="AN557" s="122">
        <v>-1</v>
      </c>
      <c r="AO557" s="131">
        <v>535040.60566448804</v>
      </c>
      <c r="AP557" s="131">
        <v>602539.46485260769</v>
      </c>
      <c r="AQ557" s="131">
        <v>67498.859188119648</v>
      </c>
      <c r="AR557" s="130">
        <v>0.12615651685780027</v>
      </c>
    </row>
    <row r="558" spans="1:44" ht="28.8" x14ac:dyDescent="0.3">
      <c r="A558" s="136" t="s">
        <v>798</v>
      </c>
      <c r="B558" s="137" t="s">
        <v>1177</v>
      </c>
      <c r="C558" s="134">
        <v>2020</v>
      </c>
      <c r="D558" s="149" t="s">
        <v>1176</v>
      </c>
      <c r="E558" s="135" t="s">
        <v>1175</v>
      </c>
      <c r="F558" s="384" t="s">
        <v>799</v>
      </c>
      <c r="G558" s="138" t="s">
        <v>4787</v>
      </c>
      <c r="H558" s="138" t="s">
        <v>2315</v>
      </c>
      <c r="I558" s="138" t="s">
        <v>1566</v>
      </c>
      <c r="J558" s="135" t="s">
        <v>4778</v>
      </c>
      <c r="K558" s="164">
        <v>45971707377</v>
      </c>
      <c r="L558" s="165">
        <v>21869801902</v>
      </c>
      <c r="M558" s="165">
        <v>14557869359</v>
      </c>
      <c r="N558" s="165">
        <v>1218044685</v>
      </c>
      <c r="O558" s="165">
        <v>4194835143.98</v>
      </c>
      <c r="P558" s="165">
        <v>1176360535.72</v>
      </c>
      <c r="Q558" s="165">
        <v>53703960</v>
      </c>
      <c r="R558" s="165">
        <v>5908.583333333333</v>
      </c>
      <c r="S558" s="165">
        <v>16186980440.699999</v>
      </c>
      <c r="T558" s="165">
        <v>2739570.4735822179</v>
      </c>
      <c r="U558" s="166">
        <v>9544036116</v>
      </c>
      <c r="V558" s="168">
        <v>65385301356</v>
      </c>
      <c r="W558" s="165">
        <v>28829816832</v>
      </c>
      <c r="X558" s="165">
        <v>14995088558</v>
      </c>
      <c r="Y558" s="165">
        <v>1072648117</v>
      </c>
      <c r="Z558" s="165">
        <v>4555435249.5799999</v>
      </c>
      <c r="AA558" s="165">
        <v>1280439830.9399998</v>
      </c>
      <c r="AB558" s="165">
        <v>53125129</v>
      </c>
      <c r="AC558" s="165">
        <v>5857.416666666667</v>
      </c>
      <c r="AD558" s="165">
        <v>28522044292.52</v>
      </c>
      <c r="AE558" s="165">
        <v>4869389.6841645204</v>
      </c>
      <c r="AF558" s="166">
        <v>21560395966</v>
      </c>
      <c r="AG558" s="124">
        <v>12335063851.820002</v>
      </c>
      <c r="AH558" s="125">
        <v>-51.16666666666606</v>
      </c>
      <c r="AI558" s="133">
        <v>1</v>
      </c>
      <c r="AJ558" s="133">
        <v>1</v>
      </c>
      <c r="AK558" s="126">
        <v>0.1</v>
      </c>
      <c r="AL558" s="126">
        <v>0.77742815281550293</v>
      </c>
      <c r="AM558" s="14">
        <v>1</v>
      </c>
      <c r="AN558" s="122">
        <v>0</v>
      </c>
      <c r="AO558" s="131">
        <v>709956.16162588331</v>
      </c>
      <c r="AP558" s="131">
        <v>777720.8808627238</v>
      </c>
      <c r="AQ558" s="131">
        <v>67764.719236840494</v>
      </c>
      <c r="AR558" s="130">
        <v>9.5449159961723984E-2</v>
      </c>
    </row>
    <row r="559" spans="1:44" ht="28.8" x14ac:dyDescent="0.3">
      <c r="A559" s="136" t="s">
        <v>800</v>
      </c>
      <c r="B559" s="137" t="s">
        <v>5336</v>
      </c>
      <c r="C559" s="134">
        <v>2019</v>
      </c>
      <c r="D559" s="149" t="s">
        <v>1181</v>
      </c>
      <c r="E559" s="135" t="s">
        <v>1175</v>
      </c>
      <c r="F559" s="384" t="s">
        <v>272</v>
      </c>
      <c r="G559" s="138" t="s">
        <v>4773</v>
      </c>
      <c r="H559" s="138" t="s">
        <v>1796</v>
      </c>
      <c r="I559" s="138" t="s">
        <v>1566</v>
      </c>
      <c r="J559" s="135" t="s">
        <v>4778</v>
      </c>
      <c r="K559" s="164">
        <v>545798236</v>
      </c>
      <c r="L559" s="165">
        <v>426645990</v>
      </c>
      <c r="M559" s="165">
        <v>94300885</v>
      </c>
      <c r="N559" s="165">
        <v>5047473</v>
      </c>
      <c r="O559" s="165">
        <v>148185211</v>
      </c>
      <c r="P559" s="165">
        <v>39679400</v>
      </c>
      <c r="Q559" s="165">
        <v>228774</v>
      </c>
      <c r="R559" s="165">
        <v>371.08333333333331</v>
      </c>
      <c r="S559" s="165">
        <v>217992219</v>
      </c>
      <c r="T559" s="165">
        <v>587448.15360431175</v>
      </c>
      <c r="U559" s="166">
        <v>24851361</v>
      </c>
      <c r="V559" s="168">
        <v>590222346</v>
      </c>
      <c r="W559" s="165">
        <v>483480242</v>
      </c>
      <c r="X559" s="165">
        <v>99608096</v>
      </c>
      <c r="Y559" s="165">
        <v>4634342</v>
      </c>
      <c r="Z559" s="165">
        <v>147274569.38999999</v>
      </c>
      <c r="AA559" s="165">
        <v>43398328.479999997</v>
      </c>
      <c r="AB559" s="165">
        <v>197218</v>
      </c>
      <c r="AC559" s="165">
        <v>311.41666666666669</v>
      </c>
      <c r="AD559" s="165">
        <v>202638465.86999997</v>
      </c>
      <c r="AE559" s="165">
        <v>650698.84678619204</v>
      </c>
      <c r="AF559" s="166">
        <v>7134008</v>
      </c>
      <c r="AG559" s="124">
        <v>-15353753.130000025</v>
      </c>
      <c r="AH559" s="125">
        <v>-59.666666666666629</v>
      </c>
      <c r="AI559" s="133">
        <v>0</v>
      </c>
      <c r="AJ559" s="133">
        <v>1</v>
      </c>
      <c r="AK559" s="126">
        <v>0.15</v>
      </c>
      <c r="AL559" s="126">
        <v>0.10767026843134997</v>
      </c>
      <c r="AM559" s="14">
        <v>0</v>
      </c>
      <c r="AN559" s="122">
        <v>-1</v>
      </c>
      <c r="AO559" s="131">
        <v>399331.35683808668</v>
      </c>
      <c r="AP559" s="131">
        <v>472918.07136205502</v>
      </c>
      <c r="AQ559" s="131">
        <v>73586.714523968345</v>
      </c>
      <c r="AR559" s="130">
        <v>0.18427482155829034</v>
      </c>
    </row>
    <row r="560" spans="1:44" ht="57.6" x14ac:dyDescent="0.3">
      <c r="A560" s="136" t="s">
        <v>801</v>
      </c>
      <c r="B560" s="137" t="s">
        <v>5337</v>
      </c>
      <c r="C560" s="134">
        <v>2019</v>
      </c>
      <c r="D560" s="149" t="s">
        <v>1128</v>
      </c>
      <c r="E560" s="135" t="s">
        <v>1117</v>
      </c>
      <c r="F560" s="384" t="s">
        <v>222</v>
      </c>
      <c r="G560" s="138" t="s">
        <v>4773</v>
      </c>
      <c r="H560" s="138" t="s">
        <v>2717</v>
      </c>
      <c r="I560" s="138" t="s">
        <v>1566</v>
      </c>
      <c r="J560" s="135" t="s">
        <v>4778</v>
      </c>
      <c r="K560" s="164">
        <v>3312122137</v>
      </c>
      <c r="L560" s="165">
        <v>2876264913</v>
      </c>
      <c r="M560" s="165">
        <v>331558528</v>
      </c>
      <c r="N560" s="165">
        <v>50367505</v>
      </c>
      <c r="O560" s="165">
        <v>470644615.39999998</v>
      </c>
      <c r="P560" s="165">
        <v>147153225.04000002</v>
      </c>
      <c r="Q560" s="165">
        <v>6529181</v>
      </c>
      <c r="R560" s="165">
        <v>1291.4166666666667</v>
      </c>
      <c r="S560" s="165">
        <v>778993222.44000006</v>
      </c>
      <c r="T560" s="165">
        <v>603208.27703942696</v>
      </c>
      <c r="U560" s="166">
        <v>104298696</v>
      </c>
      <c r="V560" s="168">
        <v>6257259758</v>
      </c>
      <c r="W560" s="165">
        <v>4511880462</v>
      </c>
      <c r="X560" s="165">
        <v>700732293</v>
      </c>
      <c r="Y560" s="165">
        <v>54073709</v>
      </c>
      <c r="Z560" s="165">
        <v>729442778.41999996</v>
      </c>
      <c r="AA560" s="165">
        <v>217217195.94000003</v>
      </c>
      <c r="AB560" s="165">
        <v>6136842</v>
      </c>
      <c r="AC560" s="165">
        <v>1290.3333333333333</v>
      </c>
      <c r="AD560" s="165">
        <v>2051517528.3600001</v>
      </c>
      <c r="AE560" s="165">
        <v>1589912.8352053736</v>
      </c>
      <c r="AF560" s="166">
        <v>1044647003</v>
      </c>
      <c r="AG560" s="124">
        <v>1272524305.9200001</v>
      </c>
      <c r="AH560" s="125">
        <v>-1.0833333333334849</v>
      </c>
      <c r="AI560" s="133">
        <v>1</v>
      </c>
      <c r="AJ560" s="133">
        <v>1</v>
      </c>
      <c r="AK560" s="126">
        <v>0.15</v>
      </c>
      <c r="AL560" s="126">
        <v>1.6357609680026277</v>
      </c>
      <c r="AM560" s="14">
        <v>1</v>
      </c>
      <c r="AN560" s="122">
        <v>0</v>
      </c>
      <c r="AO560" s="131">
        <v>364440.56170871778</v>
      </c>
      <c r="AP560" s="131">
        <v>565313.44233014726</v>
      </c>
      <c r="AQ560" s="131">
        <v>200872.88062142947</v>
      </c>
      <c r="AR560" s="130">
        <v>0.55118145927449991</v>
      </c>
    </row>
    <row r="561" spans="1:44" ht="43.2" x14ac:dyDescent="0.3">
      <c r="A561" s="136" t="s">
        <v>802</v>
      </c>
      <c r="B561" s="137" t="s">
        <v>5338</v>
      </c>
      <c r="C561" s="134">
        <v>2018</v>
      </c>
      <c r="D561" s="149" t="s">
        <v>1128</v>
      </c>
      <c r="E561" s="135" t="s">
        <v>1117</v>
      </c>
      <c r="F561" s="384" t="s">
        <v>220</v>
      </c>
      <c r="G561" s="138" t="s">
        <v>4773</v>
      </c>
      <c r="H561" s="138" t="s">
        <v>1221</v>
      </c>
      <c r="I561" s="138" t="s">
        <v>1217</v>
      </c>
      <c r="J561" s="135" t="s">
        <v>4778</v>
      </c>
      <c r="K561" s="164">
        <v>1418486332</v>
      </c>
      <c r="L561" s="165">
        <v>1188174025</v>
      </c>
      <c r="M561" s="165">
        <v>13566772</v>
      </c>
      <c r="N561" s="165">
        <v>181864815</v>
      </c>
      <c r="O561" s="165">
        <v>133940261.99999999</v>
      </c>
      <c r="P561" s="165">
        <v>40029037.999999993</v>
      </c>
      <c r="Q561" s="165">
        <v>12925995</v>
      </c>
      <c r="R561" s="165">
        <v>326.83333333333337</v>
      </c>
      <c r="S561" s="165">
        <v>585505645</v>
      </c>
      <c r="T561" s="165">
        <v>1791450.2141764404</v>
      </c>
      <c r="U561" s="166">
        <v>216745535</v>
      </c>
      <c r="V561" s="168">
        <v>1631367232</v>
      </c>
      <c r="W561" s="165">
        <v>1277947004</v>
      </c>
      <c r="X561" s="165">
        <v>117277611</v>
      </c>
      <c r="Y561" s="165">
        <v>140016371</v>
      </c>
      <c r="Z561" s="165">
        <v>115777397.44</v>
      </c>
      <c r="AA561" s="165">
        <v>33900630.68</v>
      </c>
      <c r="AB561" s="165">
        <v>5376860</v>
      </c>
      <c r="AC561" s="165">
        <v>262.58333333333331</v>
      </c>
      <c r="AD561" s="165">
        <v>531213876.12</v>
      </c>
      <c r="AE561" s="165">
        <v>2023029.6773849572</v>
      </c>
      <c r="AF561" s="166">
        <v>236142617</v>
      </c>
      <c r="AG561" s="124">
        <v>-54291768.879999995</v>
      </c>
      <c r="AH561" s="125">
        <v>-64.250000000000057</v>
      </c>
      <c r="AI561" s="133">
        <v>0</v>
      </c>
      <c r="AJ561" s="133">
        <v>1</v>
      </c>
      <c r="AK561" s="126">
        <v>0.3</v>
      </c>
      <c r="AL561" s="126">
        <v>0.12926927508635577</v>
      </c>
      <c r="AM561" s="14">
        <v>0</v>
      </c>
      <c r="AN561" s="122">
        <v>-1</v>
      </c>
      <c r="AO561" s="131">
        <v>409812.12238653738</v>
      </c>
      <c r="AP561" s="131">
        <v>440916.77857188194</v>
      </c>
      <c r="AQ561" s="131">
        <v>31104.65618534456</v>
      </c>
      <c r="AR561" s="130">
        <v>7.5899795262782455E-2</v>
      </c>
    </row>
    <row r="562" spans="1:44" ht="28.8" x14ac:dyDescent="0.3">
      <c r="A562" s="136" t="s">
        <v>803</v>
      </c>
      <c r="B562" s="137" t="s">
        <v>5339</v>
      </c>
      <c r="C562" s="134">
        <v>2019</v>
      </c>
      <c r="D562" s="149" t="s">
        <v>1128</v>
      </c>
      <c r="E562" s="135" t="s">
        <v>1117</v>
      </c>
      <c r="F562" s="384" t="s">
        <v>218</v>
      </c>
      <c r="G562" s="138" t="s">
        <v>4773</v>
      </c>
      <c r="H562" s="138" t="s">
        <v>1348</v>
      </c>
      <c r="I562" s="138" t="s">
        <v>1217</v>
      </c>
      <c r="J562" s="135" t="s">
        <v>4774</v>
      </c>
      <c r="K562" s="164">
        <v>578468103</v>
      </c>
      <c r="L562" s="165">
        <v>404600613</v>
      </c>
      <c r="M562" s="165">
        <v>15801511</v>
      </c>
      <c r="N562" s="165">
        <v>77764106</v>
      </c>
      <c r="O562" s="165">
        <v>81856407.099999994</v>
      </c>
      <c r="P562" s="165">
        <v>23936048.719999999</v>
      </c>
      <c r="Q562" s="165">
        <v>5964527</v>
      </c>
      <c r="R562" s="165">
        <v>266.41666666666669</v>
      </c>
      <c r="S562" s="165">
        <v>347587067.82000005</v>
      </c>
      <c r="T562" s="165">
        <v>1304674.6367969974</v>
      </c>
      <c r="U562" s="166">
        <v>158065979</v>
      </c>
      <c r="V562" s="168">
        <v>875159433</v>
      </c>
      <c r="W562" s="165">
        <v>609061000</v>
      </c>
      <c r="X562" s="165">
        <v>20296839</v>
      </c>
      <c r="Y562" s="165">
        <v>104561448</v>
      </c>
      <c r="Z562" s="165">
        <v>114050222.08</v>
      </c>
      <c r="AA562" s="165">
        <v>33458003.469999999</v>
      </c>
      <c r="AB562" s="165">
        <v>6619442</v>
      </c>
      <c r="AC562" s="165">
        <v>259.33333333333331</v>
      </c>
      <c r="AD562" s="165">
        <v>504490709.54999995</v>
      </c>
      <c r="AE562" s="165">
        <v>1945336.926285347</v>
      </c>
      <c r="AF562" s="166">
        <v>245801594</v>
      </c>
      <c r="AG562" s="124">
        <v>156903641.7299999</v>
      </c>
      <c r="AH562" s="125">
        <v>-7.0833333333333712</v>
      </c>
      <c r="AI562" s="133">
        <v>1</v>
      </c>
      <c r="AJ562" s="133">
        <v>1</v>
      </c>
      <c r="AK562" s="126">
        <v>0.15</v>
      </c>
      <c r="AL562" s="126">
        <v>0.49105138580757579</v>
      </c>
      <c r="AM562" s="14">
        <v>1</v>
      </c>
      <c r="AN562" s="122">
        <v>0</v>
      </c>
      <c r="AO562" s="131">
        <v>307249.573099781</v>
      </c>
      <c r="AP562" s="131">
        <v>439782.34735218511</v>
      </c>
      <c r="AQ562" s="131">
        <v>132532.77425240411</v>
      </c>
      <c r="AR562" s="130">
        <v>0.43135218355328142</v>
      </c>
    </row>
    <row r="563" spans="1:44" ht="43.2" x14ac:dyDescent="0.3">
      <c r="A563" s="136" t="s">
        <v>804</v>
      </c>
      <c r="B563" s="137" t="s">
        <v>5340</v>
      </c>
      <c r="C563" s="134">
        <v>2019</v>
      </c>
      <c r="D563" s="149" t="s">
        <v>1128</v>
      </c>
      <c r="E563" s="135" t="s">
        <v>1117</v>
      </c>
      <c r="F563" s="384" t="s">
        <v>220</v>
      </c>
      <c r="G563" s="138" t="s">
        <v>4773</v>
      </c>
      <c r="H563" s="138" t="s">
        <v>4332</v>
      </c>
      <c r="I563" s="138" t="s">
        <v>4255</v>
      </c>
      <c r="J563" s="135" t="s">
        <v>4774</v>
      </c>
      <c r="K563" s="164">
        <v>1783847905</v>
      </c>
      <c r="L563" s="165">
        <v>1553470423</v>
      </c>
      <c r="M563" s="165">
        <v>67212255</v>
      </c>
      <c r="N563" s="165">
        <v>159513891</v>
      </c>
      <c r="O563" s="165">
        <v>59525070.32</v>
      </c>
      <c r="P563" s="165">
        <v>17734481.41</v>
      </c>
      <c r="Q563" s="165">
        <v>532389</v>
      </c>
      <c r="R563" s="165">
        <v>249.58333333333334</v>
      </c>
      <c r="S563" s="165">
        <v>400471058.73000002</v>
      </c>
      <c r="T563" s="165">
        <v>1604558.4990851418</v>
      </c>
      <c r="U563" s="166">
        <v>163165227</v>
      </c>
      <c r="V563" s="168">
        <v>1804122811</v>
      </c>
      <c r="W563" s="165">
        <v>1559085419</v>
      </c>
      <c r="X563" s="165">
        <v>83479951</v>
      </c>
      <c r="Y563" s="165">
        <v>139736081</v>
      </c>
      <c r="Z563" s="165">
        <v>68052174.870000005</v>
      </c>
      <c r="AA563" s="165">
        <v>14931336.470000001</v>
      </c>
      <c r="AB563" s="165">
        <v>474241</v>
      </c>
      <c r="AC563" s="165">
        <v>224.91666666666666</v>
      </c>
      <c r="AD563" s="165">
        <v>384751274.34000003</v>
      </c>
      <c r="AE563" s="165">
        <v>1710639.2338199336</v>
      </c>
      <c r="AF563" s="166">
        <v>161557441</v>
      </c>
      <c r="AG563" s="124">
        <v>-15719784.389999986</v>
      </c>
      <c r="AH563" s="125">
        <v>-24.666666666666686</v>
      </c>
      <c r="AI563" s="133">
        <v>0</v>
      </c>
      <c r="AJ563" s="133">
        <v>1</v>
      </c>
      <c r="AK563" s="126">
        <v>0.15</v>
      </c>
      <c r="AL563" s="126">
        <v>6.6112098748658976E-2</v>
      </c>
      <c r="AM563" s="14">
        <v>0</v>
      </c>
      <c r="AN563" s="122">
        <v>-1</v>
      </c>
      <c r="AO563" s="131">
        <v>238497.77757595992</v>
      </c>
      <c r="AP563" s="131">
        <v>302566.17207854765</v>
      </c>
      <c r="AQ563" s="131">
        <v>64068.394502587733</v>
      </c>
      <c r="AR563" s="130">
        <v>0.2686330881309047</v>
      </c>
    </row>
    <row r="564" spans="1:44" ht="28.8" x14ac:dyDescent="0.3">
      <c r="A564" s="136" t="s">
        <v>805</v>
      </c>
      <c r="B564" s="137" t="s">
        <v>5341</v>
      </c>
      <c r="C564" s="134">
        <v>2019</v>
      </c>
      <c r="D564" s="149" t="s">
        <v>1128</v>
      </c>
      <c r="E564" s="135" t="s">
        <v>1117</v>
      </c>
      <c r="F564" s="384" t="s">
        <v>460</v>
      </c>
      <c r="G564" s="138" t="s">
        <v>4773</v>
      </c>
      <c r="H564" s="138" t="s">
        <v>3677</v>
      </c>
      <c r="I564" s="138" t="s">
        <v>3673</v>
      </c>
      <c r="J564" s="135" t="s">
        <v>4774</v>
      </c>
      <c r="K564" s="164">
        <v>3974225933</v>
      </c>
      <c r="L564" s="165">
        <v>3508662661</v>
      </c>
      <c r="M564" s="165">
        <v>316740581</v>
      </c>
      <c r="N564" s="165">
        <v>105039014</v>
      </c>
      <c r="O564" s="165">
        <v>55534233.549999997</v>
      </c>
      <c r="P564" s="165">
        <v>16275217.640000001</v>
      </c>
      <c r="Q564" s="165">
        <v>15057944</v>
      </c>
      <c r="R564" s="165">
        <v>140.5</v>
      </c>
      <c r="S564" s="165">
        <v>340729100.19</v>
      </c>
      <c r="T564" s="165">
        <v>2425118.1508185053</v>
      </c>
      <c r="U564" s="166">
        <v>148822691</v>
      </c>
      <c r="V564" s="168">
        <v>5033977503</v>
      </c>
      <c r="W564" s="165">
        <v>4827135160</v>
      </c>
      <c r="X564" s="165">
        <v>18416678</v>
      </c>
      <c r="Y564" s="165">
        <v>99848276</v>
      </c>
      <c r="Z564" s="165">
        <v>70287513.939999998</v>
      </c>
      <c r="AA564" s="165">
        <v>20603765.449999999</v>
      </c>
      <c r="AB564" s="165">
        <v>13923317</v>
      </c>
      <c r="AC564" s="165">
        <v>148.91666666666666</v>
      </c>
      <c r="AD564" s="165">
        <v>393088537.38999999</v>
      </c>
      <c r="AE564" s="165">
        <v>2639654.4200783437</v>
      </c>
      <c r="AF564" s="166">
        <v>188425665</v>
      </c>
      <c r="AG564" s="124">
        <v>52359437.199999988</v>
      </c>
      <c r="AH564" s="125">
        <v>8.4166666666666572</v>
      </c>
      <c r="AI564" s="133">
        <v>0</v>
      </c>
      <c r="AJ564" s="133">
        <v>1</v>
      </c>
      <c r="AK564" s="126">
        <v>0.15</v>
      </c>
      <c r="AL564" s="126">
        <v>8.8464254824038191E-2</v>
      </c>
      <c r="AM564" s="14">
        <v>0</v>
      </c>
      <c r="AN564" s="122">
        <v>-1</v>
      </c>
      <c r="AO564" s="131">
        <v>395261.44875444839</v>
      </c>
      <c r="AP564" s="131">
        <v>471992.25925013993</v>
      </c>
      <c r="AQ564" s="131">
        <v>76730.810495691549</v>
      </c>
      <c r="AR564" s="130">
        <v>0.19412672482349702</v>
      </c>
    </row>
    <row r="565" spans="1:44" ht="28.8" x14ac:dyDescent="0.3">
      <c r="A565" s="136" t="s">
        <v>806</v>
      </c>
      <c r="B565" s="137" t="s">
        <v>5342</v>
      </c>
      <c r="C565" s="134">
        <v>2019</v>
      </c>
      <c r="D565" s="149" t="s">
        <v>1128</v>
      </c>
      <c r="E565" s="135" t="s">
        <v>1117</v>
      </c>
      <c r="F565" s="384" t="s">
        <v>218</v>
      </c>
      <c r="G565" s="138" t="s">
        <v>4773</v>
      </c>
      <c r="H565" s="138" t="s">
        <v>1702</v>
      </c>
      <c r="I565" s="138" t="s">
        <v>1566</v>
      </c>
      <c r="J565" s="135" t="s">
        <v>4778</v>
      </c>
      <c r="K565" s="164">
        <v>2329544178</v>
      </c>
      <c r="L565" s="165">
        <v>1587921472</v>
      </c>
      <c r="M565" s="165">
        <v>439524438</v>
      </c>
      <c r="N565" s="165">
        <v>35737641</v>
      </c>
      <c r="O565" s="165">
        <v>179062266.09999999</v>
      </c>
      <c r="P565" s="165">
        <v>53570310.119999997</v>
      </c>
      <c r="Q565" s="165">
        <v>2361450</v>
      </c>
      <c r="R565" s="165">
        <v>376.25</v>
      </c>
      <c r="S565" s="165">
        <v>572829935.22000003</v>
      </c>
      <c r="T565" s="165">
        <v>1522471.5886245847</v>
      </c>
      <c r="U565" s="166">
        <v>302098268</v>
      </c>
      <c r="V565" s="168">
        <v>2722566171</v>
      </c>
      <c r="W565" s="165">
        <v>1932169640</v>
      </c>
      <c r="X565" s="165">
        <v>547037892</v>
      </c>
      <c r="Y565" s="165">
        <v>40807526</v>
      </c>
      <c r="Z565" s="165">
        <v>194526382.25</v>
      </c>
      <c r="AA565" s="165">
        <v>57716084.379999995</v>
      </c>
      <c r="AB565" s="165">
        <v>2440824</v>
      </c>
      <c r="AC565" s="165">
        <v>364.83333333333331</v>
      </c>
      <c r="AD565" s="165">
        <v>538849455.63</v>
      </c>
      <c r="AE565" s="165">
        <v>1476974.2959250801</v>
      </c>
      <c r="AF565" s="166">
        <v>243358639</v>
      </c>
      <c r="AG565" s="124">
        <v>-33980479.590000033</v>
      </c>
      <c r="AH565" s="125">
        <v>-11.416666666666686</v>
      </c>
      <c r="AI565" s="133">
        <v>0</v>
      </c>
      <c r="AJ565" s="133">
        <v>0</v>
      </c>
      <c r="AK565" s="126">
        <v>0.15</v>
      </c>
      <c r="AL565" s="126">
        <v>-2.9883835139413062E-2</v>
      </c>
      <c r="AM565" s="14">
        <v>0</v>
      </c>
      <c r="AN565" s="122">
        <v>-1</v>
      </c>
      <c r="AO565" s="131">
        <v>475912.99960132886</v>
      </c>
      <c r="AP565" s="131">
        <v>533192.45934216538</v>
      </c>
      <c r="AQ565" s="131">
        <v>57279.459740836523</v>
      </c>
      <c r="AR565" s="130">
        <v>0.12035699757900997</v>
      </c>
    </row>
    <row r="566" spans="1:44" ht="28.8" x14ac:dyDescent="0.3">
      <c r="A566" s="136" t="s">
        <v>807</v>
      </c>
      <c r="B566" s="137" t="s">
        <v>5343</v>
      </c>
      <c r="C566" s="134">
        <v>2019</v>
      </c>
      <c r="D566" s="149" t="s">
        <v>1128</v>
      </c>
      <c r="E566" s="135" t="s">
        <v>1117</v>
      </c>
      <c r="F566" s="384" t="s">
        <v>218</v>
      </c>
      <c r="G566" s="138" t="s">
        <v>4773</v>
      </c>
      <c r="H566" s="138" t="s">
        <v>1348</v>
      </c>
      <c r="I566" s="138" t="s">
        <v>1217</v>
      </c>
      <c r="J566" s="135" t="s">
        <v>4774</v>
      </c>
      <c r="K566" s="164">
        <v>552202811</v>
      </c>
      <c r="L566" s="165">
        <v>406586790</v>
      </c>
      <c r="M566" s="165">
        <v>61785901</v>
      </c>
      <c r="N566" s="165">
        <v>0</v>
      </c>
      <c r="O566" s="165">
        <v>87276428.460000008</v>
      </c>
      <c r="P566" s="165">
        <v>25643566.329999998</v>
      </c>
      <c r="Q566" s="165">
        <v>4518608</v>
      </c>
      <c r="R566" s="165">
        <v>232.5</v>
      </c>
      <c r="S566" s="165">
        <v>201268722.79000002</v>
      </c>
      <c r="T566" s="165">
        <v>865671.92597849469</v>
      </c>
      <c r="U566" s="166">
        <v>83830120</v>
      </c>
      <c r="V566" s="168">
        <v>732132460</v>
      </c>
      <c r="W566" s="165">
        <v>496732404</v>
      </c>
      <c r="X566" s="165">
        <v>30782835</v>
      </c>
      <c r="Y566" s="165">
        <v>91818567</v>
      </c>
      <c r="Z566" s="165">
        <v>106154326</v>
      </c>
      <c r="AA566" s="165">
        <v>24953340</v>
      </c>
      <c r="AB566" s="165">
        <v>4680273</v>
      </c>
      <c r="AC566" s="165">
        <v>228.33333333333334</v>
      </c>
      <c r="AD566" s="165">
        <v>432223727</v>
      </c>
      <c r="AE566" s="165">
        <v>1892950.6291970802</v>
      </c>
      <c r="AF566" s="166">
        <v>204617221</v>
      </c>
      <c r="AG566" s="124">
        <v>230955004.20999998</v>
      </c>
      <c r="AH566" s="125">
        <v>-4.1666666666666572</v>
      </c>
      <c r="AI566" s="133">
        <v>1</v>
      </c>
      <c r="AJ566" s="133">
        <v>1</v>
      </c>
      <c r="AK566" s="126">
        <v>0.15</v>
      </c>
      <c r="AL566" s="126">
        <v>1.1866836204334357</v>
      </c>
      <c r="AM566" s="14">
        <v>1</v>
      </c>
      <c r="AN566" s="122">
        <v>0</v>
      </c>
      <c r="AO566" s="131">
        <v>375382.48800000001</v>
      </c>
      <c r="AP566" s="131">
        <v>464909.45693430654</v>
      </c>
      <c r="AQ566" s="131">
        <v>89526.968934306526</v>
      </c>
      <c r="AR566" s="130">
        <v>0.23849532622391934</v>
      </c>
    </row>
    <row r="567" spans="1:44" ht="28.8" x14ac:dyDescent="0.3">
      <c r="A567" s="136" t="s">
        <v>808</v>
      </c>
      <c r="B567" s="137" t="s">
        <v>5344</v>
      </c>
      <c r="C567" s="134">
        <v>2019</v>
      </c>
      <c r="D567" s="149" t="s">
        <v>1128</v>
      </c>
      <c r="E567" s="135" t="s">
        <v>1117</v>
      </c>
      <c r="F567" s="384" t="s">
        <v>460</v>
      </c>
      <c r="G567" s="138" t="s">
        <v>4773</v>
      </c>
      <c r="H567" s="138" t="s">
        <v>2734</v>
      </c>
      <c r="I567" s="138" t="s">
        <v>1566</v>
      </c>
      <c r="J567" s="135" t="s">
        <v>4778</v>
      </c>
      <c r="K567" s="164">
        <v>2268879118</v>
      </c>
      <c r="L567" s="165">
        <v>1932653532</v>
      </c>
      <c r="M567" s="165">
        <v>195525343</v>
      </c>
      <c r="N567" s="165">
        <v>49060833</v>
      </c>
      <c r="O567" s="165">
        <v>401266306</v>
      </c>
      <c r="P567" s="165">
        <v>120611819.53</v>
      </c>
      <c r="Q567" s="165">
        <v>1815523</v>
      </c>
      <c r="R567" s="165">
        <v>750.83333333333337</v>
      </c>
      <c r="S567" s="165">
        <v>713454724.52999997</v>
      </c>
      <c r="T567" s="165">
        <v>950217.16918534948</v>
      </c>
      <c r="U567" s="166">
        <v>140700243</v>
      </c>
      <c r="V567" s="168">
        <v>2097105193</v>
      </c>
      <c r="W567" s="165">
        <v>1610315828</v>
      </c>
      <c r="X567" s="165">
        <v>260335455</v>
      </c>
      <c r="Y567" s="165">
        <v>47651752</v>
      </c>
      <c r="Z567" s="165">
        <v>469521981</v>
      </c>
      <c r="AA567" s="165">
        <v>139901264</v>
      </c>
      <c r="AB567" s="165">
        <v>2509869</v>
      </c>
      <c r="AC567" s="165">
        <v>768.33333333333337</v>
      </c>
      <c r="AD567" s="165">
        <v>886038776</v>
      </c>
      <c r="AE567" s="165">
        <v>1153195.8039045553</v>
      </c>
      <c r="AF567" s="166">
        <v>226453910</v>
      </c>
      <c r="AG567" s="124">
        <v>172584051.47000003</v>
      </c>
      <c r="AH567" s="125">
        <v>17.5</v>
      </c>
      <c r="AI567" s="133">
        <v>1</v>
      </c>
      <c r="AJ567" s="133">
        <v>1</v>
      </c>
      <c r="AK567" s="126">
        <v>0.15</v>
      </c>
      <c r="AL567" s="126">
        <v>0.21361288388421773</v>
      </c>
      <c r="AM567" s="14">
        <v>1</v>
      </c>
      <c r="AN567" s="122">
        <v>0</v>
      </c>
      <c r="AO567" s="131">
        <v>534427.93251942284</v>
      </c>
      <c r="AP567" s="131">
        <v>611091.51540130144</v>
      </c>
      <c r="AQ567" s="131">
        <v>76663.582881878596</v>
      </c>
      <c r="AR567" s="130">
        <v>0.14344980532822804</v>
      </c>
    </row>
    <row r="568" spans="1:44" ht="28.8" x14ac:dyDescent="0.3">
      <c r="A568" s="136" t="s">
        <v>809</v>
      </c>
      <c r="B568" s="137" t="s">
        <v>5345</v>
      </c>
      <c r="C568" s="134">
        <v>2018</v>
      </c>
      <c r="D568" s="149" t="s">
        <v>1128</v>
      </c>
      <c r="E568" s="135" t="s">
        <v>1117</v>
      </c>
      <c r="F568" s="384" t="s">
        <v>460</v>
      </c>
      <c r="G568" s="138" t="s">
        <v>4773</v>
      </c>
      <c r="H568" s="138" t="s">
        <v>2341</v>
      </c>
      <c r="I568" s="138" t="s">
        <v>1566</v>
      </c>
      <c r="J568" s="135" t="s">
        <v>4774</v>
      </c>
      <c r="K568" s="164">
        <v>1108521526</v>
      </c>
      <c r="L568" s="165">
        <v>797488023</v>
      </c>
      <c r="M568" s="165">
        <v>253665914</v>
      </c>
      <c r="N568" s="165">
        <v>31619951</v>
      </c>
      <c r="O568" s="165">
        <v>89545327</v>
      </c>
      <c r="P568" s="165">
        <v>26738153.000000004</v>
      </c>
      <c r="Q568" s="165">
        <v>6236684</v>
      </c>
      <c r="R568" s="165">
        <v>240.66666666666663</v>
      </c>
      <c r="S568" s="165">
        <v>211507704</v>
      </c>
      <c r="T568" s="165">
        <v>878840.87534626049</v>
      </c>
      <c r="U568" s="166">
        <v>57367589</v>
      </c>
      <c r="V568" s="168">
        <v>1265397902</v>
      </c>
      <c r="W568" s="165">
        <v>955673354</v>
      </c>
      <c r="X568" s="165">
        <v>245867506</v>
      </c>
      <c r="Y568" s="165">
        <v>51656192</v>
      </c>
      <c r="Z568" s="165">
        <v>107546200.76000001</v>
      </c>
      <c r="AA568" s="165">
        <v>18516851.989999998</v>
      </c>
      <c r="AB568" s="165">
        <v>3695368</v>
      </c>
      <c r="AC568" s="165">
        <v>211.08333333333334</v>
      </c>
      <c r="AD568" s="165">
        <v>245271654.75</v>
      </c>
      <c r="AE568" s="165">
        <v>1161965.9917094354</v>
      </c>
      <c r="AF568" s="166">
        <v>63857042</v>
      </c>
      <c r="AG568" s="124">
        <v>33763950.75</v>
      </c>
      <c r="AH568" s="125">
        <v>-29.583333333333286</v>
      </c>
      <c r="AI568" s="133">
        <v>1</v>
      </c>
      <c r="AJ568" s="133">
        <v>0</v>
      </c>
      <c r="AK568" s="126">
        <v>0.3</v>
      </c>
      <c r="AL568" s="126">
        <v>0.32215741944093446</v>
      </c>
      <c r="AM568" s="14">
        <v>1</v>
      </c>
      <c r="AN568" s="122">
        <v>0</v>
      </c>
      <c r="AO568" s="131">
        <v>372071.9958448754</v>
      </c>
      <c r="AP568" s="131">
        <v>509496.41102250299</v>
      </c>
      <c r="AQ568" s="131">
        <v>137424.41517762758</v>
      </c>
      <c r="AR568" s="130">
        <v>0.36934898813218586</v>
      </c>
    </row>
    <row r="569" spans="1:44" ht="28.8" x14ac:dyDescent="0.3">
      <c r="A569" s="136" t="s">
        <v>810</v>
      </c>
      <c r="B569" s="137" t="s">
        <v>5346</v>
      </c>
      <c r="C569" s="134">
        <v>2018</v>
      </c>
      <c r="D569" s="149" t="s">
        <v>1128</v>
      </c>
      <c r="E569" s="135" t="s">
        <v>1117</v>
      </c>
      <c r="F569" s="384" t="s">
        <v>811</v>
      </c>
      <c r="G569" s="138" t="s">
        <v>4773</v>
      </c>
      <c r="H569" s="138" t="s">
        <v>2769</v>
      </c>
      <c r="I569" s="138" t="s">
        <v>1566</v>
      </c>
      <c r="J569" s="135" t="s">
        <v>4774</v>
      </c>
      <c r="K569" s="164">
        <v>1619253740</v>
      </c>
      <c r="L569" s="165">
        <v>1246160612.0000002</v>
      </c>
      <c r="M569" s="165">
        <v>272356560</v>
      </c>
      <c r="N569" s="165">
        <v>46739128</v>
      </c>
      <c r="O569" s="165">
        <v>162286937</v>
      </c>
      <c r="P569" s="165">
        <v>46848795.310000002</v>
      </c>
      <c r="Q569" s="165">
        <v>4892476</v>
      </c>
      <c r="R569" s="165">
        <v>384.75</v>
      </c>
      <c r="S569" s="165">
        <v>361503904.30999976</v>
      </c>
      <c r="T569" s="165">
        <v>939581.2977517863</v>
      </c>
      <c r="U569" s="166">
        <v>100736567.99999976</v>
      </c>
      <c r="V569" s="168">
        <v>2664510894</v>
      </c>
      <c r="W569" s="165">
        <v>1850614486</v>
      </c>
      <c r="X569" s="165">
        <v>478149876</v>
      </c>
      <c r="Y569" s="165">
        <v>83183312</v>
      </c>
      <c r="Z569" s="165">
        <v>212932884.66999999</v>
      </c>
      <c r="AA569" s="165">
        <v>60160305.979999997</v>
      </c>
      <c r="AB569" s="165">
        <v>3943617</v>
      </c>
      <c r="AC569" s="165">
        <v>347.25</v>
      </c>
      <c r="AD569" s="165">
        <v>695966651.64999998</v>
      </c>
      <c r="AE569" s="165">
        <v>2004223.6188624909</v>
      </c>
      <c r="AF569" s="166">
        <v>335746532</v>
      </c>
      <c r="AG569" s="124">
        <v>334462747.34000021</v>
      </c>
      <c r="AH569" s="125">
        <v>-37.5</v>
      </c>
      <c r="AI569" s="133">
        <v>1</v>
      </c>
      <c r="AJ569" s="133">
        <v>1</v>
      </c>
      <c r="AK569" s="126">
        <v>0.3</v>
      </c>
      <c r="AL569" s="126">
        <v>1.1331029257393692</v>
      </c>
      <c r="AM569" s="14">
        <v>1</v>
      </c>
      <c r="AN569" s="122">
        <v>0</v>
      </c>
      <c r="AO569" s="131">
        <v>421798.40675763483</v>
      </c>
      <c r="AP569" s="131">
        <v>613197.65203743696</v>
      </c>
      <c r="AQ569" s="131">
        <v>191399.24527980213</v>
      </c>
      <c r="AR569" s="130">
        <v>0.45376948374719683</v>
      </c>
    </row>
    <row r="570" spans="1:44" ht="43.2" x14ac:dyDescent="0.3">
      <c r="A570" s="136" t="s">
        <v>812</v>
      </c>
      <c r="B570" s="137" t="s">
        <v>5347</v>
      </c>
      <c r="C570" s="134">
        <v>2019</v>
      </c>
      <c r="D570" s="149" t="s">
        <v>1128</v>
      </c>
      <c r="E570" s="135" t="s">
        <v>1117</v>
      </c>
      <c r="F570" s="384" t="s">
        <v>220</v>
      </c>
      <c r="G570" s="138" t="s">
        <v>4773</v>
      </c>
      <c r="H570" s="138" t="s">
        <v>2276</v>
      </c>
      <c r="I570" s="138" t="s">
        <v>1566</v>
      </c>
      <c r="J570" s="135" t="s">
        <v>4774</v>
      </c>
      <c r="K570" s="164">
        <v>3086171879</v>
      </c>
      <c r="L570" s="165">
        <v>2574415342</v>
      </c>
      <c r="M570" s="165">
        <v>426194220</v>
      </c>
      <c r="N570" s="165">
        <v>6091</v>
      </c>
      <c r="O570" s="165">
        <v>184574044.69</v>
      </c>
      <c r="P570" s="165">
        <v>54906969.490000002</v>
      </c>
      <c r="Q570" s="165">
        <v>0</v>
      </c>
      <c r="R570" s="165">
        <v>422.41666666666669</v>
      </c>
      <c r="S570" s="165">
        <v>325049422.18000001</v>
      </c>
      <c r="T570" s="165">
        <v>769499.51985796017</v>
      </c>
      <c r="U570" s="166">
        <v>85562317</v>
      </c>
      <c r="V570" s="168">
        <v>4954779237</v>
      </c>
      <c r="W570" s="165">
        <v>3927353750</v>
      </c>
      <c r="X570" s="165">
        <v>567084079</v>
      </c>
      <c r="Y570" s="165">
        <v>75713</v>
      </c>
      <c r="Z570" s="165">
        <v>210160080</v>
      </c>
      <c r="AA570" s="165">
        <v>62172514.240000002</v>
      </c>
      <c r="AB570" s="165">
        <v>10982611.57</v>
      </c>
      <c r="AC570" s="165">
        <v>396.91666666666669</v>
      </c>
      <c r="AD570" s="165">
        <v>743732326.81000006</v>
      </c>
      <c r="AE570" s="165">
        <v>1873774.4954272518</v>
      </c>
      <c r="AF570" s="166">
        <v>460341408</v>
      </c>
      <c r="AG570" s="124">
        <v>418682904.63000005</v>
      </c>
      <c r="AH570" s="125">
        <v>-25.5</v>
      </c>
      <c r="AI570" s="133">
        <v>1</v>
      </c>
      <c r="AJ570" s="133">
        <v>1</v>
      </c>
      <c r="AK570" s="126">
        <v>0.15</v>
      </c>
      <c r="AL570" s="126">
        <v>1.4350560998400623</v>
      </c>
      <c r="AM570" s="14">
        <v>1</v>
      </c>
      <c r="AN570" s="122">
        <v>0</v>
      </c>
      <c r="AO570" s="131">
        <v>436947.8272400868</v>
      </c>
      <c r="AP570" s="131">
        <v>529481.62082720967</v>
      </c>
      <c r="AQ570" s="131">
        <v>92533.793587122869</v>
      </c>
      <c r="AR570" s="130">
        <v>0.21177309467722538</v>
      </c>
    </row>
    <row r="571" spans="1:44" ht="28.8" x14ac:dyDescent="0.3">
      <c r="A571" s="136" t="s">
        <v>813</v>
      </c>
      <c r="B571" s="137" t="s">
        <v>5348</v>
      </c>
      <c r="C571" s="134">
        <v>2020</v>
      </c>
      <c r="D571" s="149" t="s">
        <v>1167</v>
      </c>
      <c r="E571" s="135" t="s">
        <v>1152</v>
      </c>
      <c r="F571" s="384" t="s">
        <v>814</v>
      </c>
      <c r="G571" s="138" t="s">
        <v>4773</v>
      </c>
      <c r="H571" s="138" t="s">
        <v>1454</v>
      </c>
      <c r="I571" s="138" t="s">
        <v>1217</v>
      </c>
      <c r="J571" s="135" t="s">
        <v>4774</v>
      </c>
      <c r="K571" s="164">
        <v>2852048953</v>
      </c>
      <c r="L571" s="165">
        <v>1176484444</v>
      </c>
      <c r="M571" s="165">
        <v>721301319</v>
      </c>
      <c r="N571" s="165">
        <v>260278961</v>
      </c>
      <c r="O571" s="165">
        <v>263929654</v>
      </c>
      <c r="P571" s="165">
        <v>68994909</v>
      </c>
      <c r="Q571" s="165">
        <v>7585197</v>
      </c>
      <c r="R571" s="165">
        <v>512.16666666666663</v>
      </c>
      <c r="S571" s="165">
        <v>1555051911</v>
      </c>
      <c r="T571" s="165">
        <v>3036222.4100227794</v>
      </c>
      <c r="U571" s="166">
        <v>954263190</v>
      </c>
      <c r="V571" s="168">
        <v>3175188681</v>
      </c>
      <c r="W571" s="165">
        <v>1637442139</v>
      </c>
      <c r="X571" s="165">
        <v>184526874</v>
      </c>
      <c r="Y571" s="165">
        <v>892534</v>
      </c>
      <c r="Z571" s="165">
        <v>299816665</v>
      </c>
      <c r="AA571" s="165">
        <v>75030770</v>
      </c>
      <c r="AB571" s="165">
        <v>8296390</v>
      </c>
      <c r="AC571" s="165">
        <v>481.16666666666669</v>
      </c>
      <c r="AD571" s="165">
        <v>1737256027</v>
      </c>
      <c r="AE571" s="165">
        <v>3610507.8496709387</v>
      </c>
      <c r="AF571" s="166">
        <v>1353219668</v>
      </c>
      <c r="AG571" s="124">
        <v>182204116</v>
      </c>
      <c r="AH571" s="125">
        <v>-30.999999999999943</v>
      </c>
      <c r="AI571" s="133">
        <v>1</v>
      </c>
      <c r="AJ571" s="133">
        <v>1</v>
      </c>
      <c r="AK571" s="126">
        <v>0.1</v>
      </c>
      <c r="AL571" s="126">
        <v>0.18914472079138633</v>
      </c>
      <c r="AM571" s="14">
        <v>1</v>
      </c>
      <c r="AN571" s="122">
        <v>0</v>
      </c>
      <c r="AO571" s="131">
        <v>515319.8581191019</v>
      </c>
      <c r="AP571" s="131">
        <v>623103.56425355037</v>
      </c>
      <c r="AQ571" s="131">
        <v>107783.70613444847</v>
      </c>
      <c r="AR571" s="130">
        <v>0.20915884462099887</v>
      </c>
    </row>
    <row r="572" spans="1:44" ht="28.8" x14ac:dyDescent="0.3">
      <c r="A572" s="136" t="s">
        <v>815</v>
      </c>
      <c r="B572" s="137" t="s">
        <v>5349</v>
      </c>
      <c r="C572" s="134">
        <v>2020</v>
      </c>
      <c r="D572" s="149" t="s">
        <v>1167</v>
      </c>
      <c r="E572" s="135" t="s">
        <v>1152</v>
      </c>
      <c r="F572" s="384" t="s">
        <v>814</v>
      </c>
      <c r="G572" s="138" t="s">
        <v>4773</v>
      </c>
      <c r="H572" s="138" t="s">
        <v>1223</v>
      </c>
      <c r="I572" s="138" t="s">
        <v>1217</v>
      </c>
      <c r="J572" s="135" t="s">
        <v>4774</v>
      </c>
      <c r="K572" s="164">
        <v>905197527</v>
      </c>
      <c r="L572" s="165">
        <v>282341679</v>
      </c>
      <c r="M572" s="165">
        <v>466382563</v>
      </c>
      <c r="N572" s="165">
        <v>190635206</v>
      </c>
      <c r="O572" s="165">
        <v>60775553</v>
      </c>
      <c r="P572" s="165">
        <v>16974193</v>
      </c>
      <c r="Q572" s="165">
        <v>3723</v>
      </c>
      <c r="R572" s="165">
        <v>126.25</v>
      </c>
      <c r="S572" s="165">
        <v>424861960</v>
      </c>
      <c r="T572" s="165">
        <v>3365243.2475247523</v>
      </c>
      <c r="U572" s="166">
        <v>156473285</v>
      </c>
      <c r="V572" s="168">
        <v>865155052</v>
      </c>
      <c r="W572" s="165">
        <v>533206647</v>
      </c>
      <c r="X572" s="165">
        <v>67182612</v>
      </c>
      <c r="Y572" s="165">
        <v>22092</v>
      </c>
      <c r="Z572" s="165">
        <v>62160606</v>
      </c>
      <c r="AA572" s="165">
        <v>16237634</v>
      </c>
      <c r="AB572" s="165">
        <v>3331</v>
      </c>
      <c r="AC572" s="165">
        <v>116.25</v>
      </c>
      <c r="AD572" s="165">
        <v>343189456</v>
      </c>
      <c r="AE572" s="165">
        <v>2952167.3634408601</v>
      </c>
      <c r="AF572" s="166">
        <v>264765793</v>
      </c>
      <c r="AG572" s="124">
        <v>-81672504</v>
      </c>
      <c r="AH572" s="125">
        <v>-10</v>
      </c>
      <c r="AI572" s="133">
        <v>0</v>
      </c>
      <c r="AJ572" s="133">
        <v>0</v>
      </c>
      <c r="AK572" s="126">
        <v>0.1</v>
      </c>
      <c r="AL572" s="126">
        <v>-0.12274770627650766</v>
      </c>
      <c r="AM572" s="14">
        <v>0</v>
      </c>
      <c r="AN572" s="122">
        <v>-1</v>
      </c>
      <c r="AO572" s="131">
        <v>481390.51881188119</v>
      </c>
      <c r="AP572" s="131">
        <v>534714.8903225807</v>
      </c>
      <c r="AQ572" s="131">
        <v>53324.371510699508</v>
      </c>
      <c r="AR572" s="130">
        <v>0.11077154498661357</v>
      </c>
    </row>
    <row r="573" spans="1:44" ht="28.8" x14ac:dyDescent="0.3">
      <c r="A573" s="136" t="s">
        <v>816</v>
      </c>
      <c r="B573" s="137" t="s">
        <v>5350</v>
      </c>
      <c r="C573" s="134">
        <v>2019</v>
      </c>
      <c r="D573" s="149" t="s">
        <v>1167</v>
      </c>
      <c r="E573" s="135" t="s">
        <v>1152</v>
      </c>
      <c r="F573" s="384" t="s">
        <v>814</v>
      </c>
      <c r="G573" s="138" t="s">
        <v>4773</v>
      </c>
      <c r="H573" s="138" t="s">
        <v>1401</v>
      </c>
      <c r="I573" s="138" t="s">
        <v>1217</v>
      </c>
      <c r="J573" s="135" t="s">
        <v>4774</v>
      </c>
      <c r="K573" s="164">
        <v>1605238236</v>
      </c>
      <c r="L573" s="165">
        <v>1367187193</v>
      </c>
      <c r="M573" s="165">
        <v>47761723</v>
      </c>
      <c r="N573" s="165">
        <v>62876132</v>
      </c>
      <c r="O573" s="165">
        <v>97602720</v>
      </c>
      <c r="P573" s="165">
        <v>29043646</v>
      </c>
      <c r="Q573" s="165">
        <v>10513635</v>
      </c>
      <c r="R573" s="165">
        <v>304.41666666666669</v>
      </c>
      <c r="S573" s="165">
        <v>390325453</v>
      </c>
      <c r="T573" s="165">
        <v>1282207.8937859293</v>
      </c>
      <c r="U573" s="166">
        <v>190289320</v>
      </c>
      <c r="V573" s="168">
        <v>1704103036</v>
      </c>
      <c r="W573" s="165">
        <v>1713556362</v>
      </c>
      <c r="X573" s="165">
        <v>58019831</v>
      </c>
      <c r="Y573" s="165">
        <v>81853474</v>
      </c>
      <c r="Z573" s="165">
        <v>105961393</v>
      </c>
      <c r="AA573" s="165">
        <v>31491129</v>
      </c>
      <c r="AB573" s="165">
        <v>10219821</v>
      </c>
      <c r="AC573" s="165">
        <v>263.16666666666669</v>
      </c>
      <c r="AD573" s="165">
        <v>162052660</v>
      </c>
      <c r="AE573" s="165">
        <v>615779.58201393287</v>
      </c>
      <c r="AF573" s="166">
        <v>-67473157</v>
      </c>
      <c r="AG573" s="124">
        <v>-228272793</v>
      </c>
      <c r="AH573" s="125">
        <v>-41.25</v>
      </c>
      <c r="AI573" s="133">
        <v>0</v>
      </c>
      <c r="AJ573" s="133">
        <v>0</v>
      </c>
      <c r="AK573" s="126">
        <v>0.15</v>
      </c>
      <c r="AL573" s="126">
        <v>-0.51975059208222474</v>
      </c>
      <c r="AM573" s="14">
        <v>0</v>
      </c>
      <c r="AN573" s="122">
        <v>-1</v>
      </c>
      <c r="AO573" s="131">
        <v>320622.12975636462</v>
      </c>
      <c r="AP573" s="131">
        <v>402639.87207093096</v>
      </c>
      <c r="AQ573" s="131">
        <v>82017.742314566334</v>
      </c>
      <c r="AR573" s="130">
        <v>0.25580811398417902</v>
      </c>
    </row>
    <row r="574" spans="1:44" ht="28.8" x14ac:dyDescent="0.3">
      <c r="A574" s="136" t="s">
        <v>817</v>
      </c>
      <c r="B574" s="137" t="s">
        <v>5351</v>
      </c>
      <c r="C574" s="134">
        <v>2019</v>
      </c>
      <c r="D574" s="149" t="s">
        <v>1167</v>
      </c>
      <c r="E574" s="135" t="s">
        <v>1152</v>
      </c>
      <c r="F574" s="384" t="s">
        <v>814</v>
      </c>
      <c r="G574" s="138" t="s">
        <v>4773</v>
      </c>
      <c r="H574" s="138" t="s">
        <v>3054</v>
      </c>
      <c r="I574" s="138" t="s">
        <v>1566</v>
      </c>
      <c r="J574" s="135" t="s">
        <v>4778</v>
      </c>
      <c r="K574" s="164">
        <v>993471536</v>
      </c>
      <c r="L574" s="165">
        <v>685468790</v>
      </c>
      <c r="M574" s="165">
        <v>244081098</v>
      </c>
      <c r="N574" s="165">
        <v>30046120</v>
      </c>
      <c r="O574" s="165">
        <v>167242322</v>
      </c>
      <c r="P574" s="165">
        <v>48921778</v>
      </c>
      <c r="Q574" s="165">
        <v>3635758</v>
      </c>
      <c r="R574" s="165">
        <v>513.5</v>
      </c>
      <c r="S574" s="165">
        <v>313767626</v>
      </c>
      <c r="T574" s="165">
        <v>611037.24634858815</v>
      </c>
      <c r="U574" s="166">
        <v>63921648</v>
      </c>
      <c r="V574" s="168">
        <v>1236648572</v>
      </c>
      <c r="W574" s="165">
        <v>886048959</v>
      </c>
      <c r="X574" s="165">
        <v>257339218</v>
      </c>
      <c r="Y574" s="165">
        <v>27344840</v>
      </c>
      <c r="Z574" s="165">
        <v>208259226</v>
      </c>
      <c r="AA574" s="165">
        <v>61744439</v>
      </c>
      <c r="AB574" s="165">
        <v>3389604</v>
      </c>
      <c r="AC574" s="165">
        <v>459.25</v>
      </c>
      <c r="AD574" s="165">
        <v>393998504</v>
      </c>
      <c r="AE574" s="165">
        <v>857917.26510615135</v>
      </c>
      <c r="AF574" s="166">
        <v>93260395</v>
      </c>
      <c r="AG574" s="124">
        <v>80230878</v>
      </c>
      <c r="AH574" s="125">
        <v>-54.25</v>
      </c>
      <c r="AI574" s="133">
        <v>1</v>
      </c>
      <c r="AJ574" s="133">
        <v>1</v>
      </c>
      <c r="AK574" s="126">
        <v>0.15</v>
      </c>
      <c r="AL574" s="126">
        <v>0.40403432032989817</v>
      </c>
      <c r="AM574" s="14">
        <v>1</v>
      </c>
      <c r="AN574" s="122">
        <v>0</v>
      </c>
      <c r="AO574" s="131">
        <v>325690.98734177212</v>
      </c>
      <c r="AP574" s="131">
        <v>453476.81219379423</v>
      </c>
      <c r="AQ574" s="131">
        <v>127785.82485202211</v>
      </c>
      <c r="AR574" s="130">
        <v>0.39235296590484658</v>
      </c>
    </row>
    <row r="575" spans="1:44" ht="28.8" x14ac:dyDescent="0.3">
      <c r="A575" s="136" t="s">
        <v>818</v>
      </c>
      <c r="B575" s="137" t="s">
        <v>5352</v>
      </c>
      <c r="C575" s="134">
        <v>2020</v>
      </c>
      <c r="D575" s="149" t="s">
        <v>1167</v>
      </c>
      <c r="E575" s="135" t="s">
        <v>1152</v>
      </c>
      <c r="F575" s="384" t="s">
        <v>814</v>
      </c>
      <c r="G575" s="138" t="s">
        <v>4773</v>
      </c>
      <c r="H575" s="138" t="s">
        <v>2717</v>
      </c>
      <c r="I575" s="138" t="s">
        <v>1566</v>
      </c>
      <c r="J575" s="135" t="s">
        <v>4774</v>
      </c>
      <c r="K575" s="164">
        <v>512249267</v>
      </c>
      <c r="L575" s="165">
        <v>472006943</v>
      </c>
      <c r="M575" s="165">
        <v>16599814</v>
      </c>
      <c r="N575" s="165">
        <v>10546718</v>
      </c>
      <c r="O575" s="165">
        <v>29448675</v>
      </c>
      <c r="P575" s="165">
        <v>12735482</v>
      </c>
      <c r="Q575" s="165">
        <v>681763</v>
      </c>
      <c r="R575" s="165">
        <v>111.91666666666667</v>
      </c>
      <c r="S575" s="165">
        <v>77055148</v>
      </c>
      <c r="T575" s="165">
        <v>688504.67311988084</v>
      </c>
      <c r="U575" s="166">
        <v>23642510</v>
      </c>
      <c r="V575" s="168">
        <v>576863183</v>
      </c>
      <c r="W575" s="165">
        <v>517992252</v>
      </c>
      <c r="X575" s="165">
        <v>32125125</v>
      </c>
      <c r="Y575" s="165">
        <v>23310915</v>
      </c>
      <c r="Z575" s="165">
        <v>37348694</v>
      </c>
      <c r="AA575" s="165">
        <v>8701983</v>
      </c>
      <c r="AB575" s="165">
        <v>742471</v>
      </c>
      <c r="AC575" s="165">
        <v>135.91666666666666</v>
      </c>
      <c r="AD575" s="165">
        <v>96849869</v>
      </c>
      <c r="AE575" s="165">
        <v>712568.01226241572</v>
      </c>
      <c r="AF575" s="166">
        <v>26745806</v>
      </c>
      <c r="AG575" s="124">
        <v>19794721</v>
      </c>
      <c r="AH575" s="125">
        <v>23.999999999999986</v>
      </c>
      <c r="AI575" s="133">
        <v>0</v>
      </c>
      <c r="AJ575" s="133">
        <v>0</v>
      </c>
      <c r="AK575" s="126">
        <v>0.1</v>
      </c>
      <c r="AL575" s="126">
        <v>3.4950147832693679E-2</v>
      </c>
      <c r="AM575" s="14">
        <v>0</v>
      </c>
      <c r="AN575" s="122">
        <v>-1</v>
      </c>
      <c r="AO575" s="131">
        <v>263130.37974683545</v>
      </c>
      <c r="AP575" s="131">
        <v>274791.12691600248</v>
      </c>
      <c r="AQ575" s="131">
        <v>11660.747169167036</v>
      </c>
      <c r="AR575" s="130">
        <v>4.4315472734034467E-2</v>
      </c>
    </row>
    <row r="576" spans="1:44" ht="28.8" x14ac:dyDescent="0.3">
      <c r="A576" s="136" t="s">
        <v>819</v>
      </c>
      <c r="B576" s="137" t="s">
        <v>5353</v>
      </c>
      <c r="C576" s="134">
        <v>2019</v>
      </c>
      <c r="D576" s="149" t="s">
        <v>1167</v>
      </c>
      <c r="E576" s="135" t="s">
        <v>1152</v>
      </c>
      <c r="F576" s="384" t="s">
        <v>814</v>
      </c>
      <c r="G576" s="138" t="s">
        <v>4773</v>
      </c>
      <c r="H576" s="138" t="s">
        <v>2435</v>
      </c>
      <c r="I576" s="138" t="s">
        <v>1566</v>
      </c>
      <c r="J576" s="135" t="s">
        <v>4774</v>
      </c>
      <c r="K576" s="164">
        <v>498795880</v>
      </c>
      <c r="L576" s="165">
        <v>433330666</v>
      </c>
      <c r="M576" s="165">
        <v>46175769</v>
      </c>
      <c r="N576" s="165">
        <v>11995936</v>
      </c>
      <c r="O576" s="165">
        <v>20201961</v>
      </c>
      <c r="P576" s="165">
        <v>5022831</v>
      </c>
      <c r="Q576" s="165">
        <v>0</v>
      </c>
      <c r="R576" s="165">
        <v>44.583333333333336</v>
      </c>
      <c r="S576" s="165">
        <v>56510173</v>
      </c>
      <c r="T576" s="165">
        <v>1267517.8990654205</v>
      </c>
      <c r="U576" s="166">
        <v>19289445</v>
      </c>
      <c r="V576" s="168">
        <v>566530520</v>
      </c>
      <c r="W576" s="165">
        <v>492749536</v>
      </c>
      <c r="X576" s="165">
        <v>54534321</v>
      </c>
      <c r="Y576" s="165">
        <v>6908008</v>
      </c>
      <c r="Z576" s="165">
        <v>22025488</v>
      </c>
      <c r="AA576" s="165">
        <v>4391996</v>
      </c>
      <c r="AB576" s="165">
        <v>0</v>
      </c>
      <c r="AC576" s="165">
        <v>51.416666666666664</v>
      </c>
      <c r="AD576" s="165">
        <v>52572155</v>
      </c>
      <c r="AE576" s="165">
        <v>1022473.0307941653</v>
      </c>
      <c r="AF576" s="166">
        <v>19246663</v>
      </c>
      <c r="AG576" s="124">
        <v>-3938018</v>
      </c>
      <c r="AH576" s="125">
        <v>6.8333333333333286</v>
      </c>
      <c r="AI576" s="133">
        <v>0</v>
      </c>
      <c r="AJ576" s="133">
        <v>0</v>
      </c>
      <c r="AK576" s="126">
        <v>0.15</v>
      </c>
      <c r="AL576" s="126">
        <v>-0.19332655578276248</v>
      </c>
      <c r="AM576" s="14">
        <v>0</v>
      </c>
      <c r="AN576" s="122">
        <v>-1</v>
      </c>
      <c r="AO576" s="131">
        <v>453128.09719626163</v>
      </c>
      <c r="AP576" s="131">
        <v>428372.53808752028</v>
      </c>
      <c r="AQ576" s="131">
        <v>-24755.559108741349</v>
      </c>
      <c r="AR576" s="130">
        <v>-5.4632584608892754E-2</v>
      </c>
    </row>
    <row r="577" spans="1:44" ht="28.8" x14ac:dyDescent="0.3">
      <c r="A577" s="136" t="s">
        <v>820</v>
      </c>
      <c r="B577" s="137" t="s">
        <v>5354</v>
      </c>
      <c r="C577" s="134">
        <v>2019</v>
      </c>
      <c r="D577" s="149" t="s">
        <v>1187</v>
      </c>
      <c r="E577" s="135" t="s">
        <v>1175</v>
      </c>
      <c r="F577" s="384" t="s">
        <v>821</v>
      </c>
      <c r="G577" s="138" t="s">
        <v>4773</v>
      </c>
      <c r="H577" s="138" t="s">
        <v>2912</v>
      </c>
      <c r="I577" s="138" t="s">
        <v>1566</v>
      </c>
      <c r="J577" s="135" t="s">
        <v>4798</v>
      </c>
      <c r="K577" s="164">
        <v>1043173525</v>
      </c>
      <c r="L577" s="165">
        <v>509547380</v>
      </c>
      <c r="M577" s="165">
        <v>459735740</v>
      </c>
      <c r="N577" s="165">
        <v>57670012</v>
      </c>
      <c r="O577" s="165">
        <v>436897999</v>
      </c>
      <c r="P577" s="165">
        <v>115670066</v>
      </c>
      <c r="Q577" s="165">
        <v>694392</v>
      </c>
      <c r="R577" s="165">
        <v>862.33333333333337</v>
      </c>
      <c r="S577" s="165">
        <v>684822874</v>
      </c>
      <c r="T577" s="191">
        <v>794150.99420177808</v>
      </c>
      <c r="U577" s="166">
        <v>73890405</v>
      </c>
      <c r="V577" s="168">
        <v>1078181587</v>
      </c>
      <c r="W577" s="165">
        <v>573762150</v>
      </c>
      <c r="X577" s="165">
        <v>484176327</v>
      </c>
      <c r="Y577" s="165">
        <v>68908273</v>
      </c>
      <c r="Z577" s="165">
        <v>502215141.88</v>
      </c>
      <c r="AA577" s="165">
        <v>145737889.62</v>
      </c>
      <c r="AB577" s="165">
        <v>679672</v>
      </c>
      <c r="AC577" s="165">
        <v>887.08333333333337</v>
      </c>
      <c r="AD577" s="165">
        <v>737784086.5</v>
      </c>
      <c r="AE577" s="165">
        <v>831696.48078910285</v>
      </c>
      <c r="AF577" s="166">
        <v>20243110</v>
      </c>
      <c r="AG577" s="124">
        <v>52961212.5</v>
      </c>
      <c r="AH577" s="125">
        <v>24.75</v>
      </c>
      <c r="AI577" s="133">
        <v>0</v>
      </c>
      <c r="AJ577" s="133">
        <v>0</v>
      </c>
      <c r="AK577" s="126">
        <v>0.15</v>
      </c>
      <c r="AL577" s="126">
        <v>4.7277520865396161E-2</v>
      </c>
      <c r="AM577" s="14">
        <v>0</v>
      </c>
      <c r="AN577" s="122">
        <v>-1</v>
      </c>
      <c r="AO577" s="131">
        <v>506646.30730575952</v>
      </c>
      <c r="AP577" s="131">
        <v>566142.01057397842</v>
      </c>
      <c r="AQ577" s="131">
        <v>59495.703268218902</v>
      </c>
      <c r="AR577" s="130">
        <v>0.11743044883639797</v>
      </c>
    </row>
    <row r="578" spans="1:44" ht="28.8" x14ac:dyDescent="0.3">
      <c r="A578" s="136" t="s">
        <v>822</v>
      </c>
      <c r="B578" s="137" t="s">
        <v>5355</v>
      </c>
      <c r="C578" s="134">
        <v>2019</v>
      </c>
      <c r="D578" s="149" t="s">
        <v>5030</v>
      </c>
      <c r="E578" s="135" t="s">
        <v>1175</v>
      </c>
      <c r="F578" s="384" t="s">
        <v>425</v>
      </c>
      <c r="G578" s="138" t="s">
        <v>4773</v>
      </c>
      <c r="H578" s="138" t="s">
        <v>2340</v>
      </c>
      <c r="I578" s="138" t="s">
        <v>1566</v>
      </c>
      <c r="J578" s="135" t="s">
        <v>4774</v>
      </c>
      <c r="K578" s="164">
        <v>1519001060</v>
      </c>
      <c r="L578" s="165">
        <v>1280325791</v>
      </c>
      <c r="M578" s="165">
        <v>171315061</v>
      </c>
      <c r="N578" s="165">
        <v>19660981</v>
      </c>
      <c r="O578" s="165">
        <v>142283514</v>
      </c>
      <c r="P578" s="165">
        <v>37236377</v>
      </c>
      <c r="Q578" s="165">
        <v>0</v>
      </c>
      <c r="R578" s="165">
        <v>225.16666666666666</v>
      </c>
      <c r="S578" s="165">
        <v>266541080</v>
      </c>
      <c r="T578" s="165">
        <v>1183750.1702442635</v>
      </c>
      <c r="U578" s="166">
        <v>67360208</v>
      </c>
      <c r="V578" s="168">
        <v>1998899146</v>
      </c>
      <c r="W578" s="165">
        <v>1660133212</v>
      </c>
      <c r="X578" s="165">
        <v>220851532</v>
      </c>
      <c r="Y578" s="165">
        <v>14867441</v>
      </c>
      <c r="Z578" s="165">
        <v>191791598.61000001</v>
      </c>
      <c r="AA578" s="165">
        <v>34184311.979999997</v>
      </c>
      <c r="AB578" s="165">
        <v>0</v>
      </c>
      <c r="AC578" s="165">
        <v>241.75</v>
      </c>
      <c r="AD578" s="165">
        <v>358757753.59000003</v>
      </c>
      <c r="AE578" s="165">
        <v>1484003.117228542</v>
      </c>
      <c r="AF578" s="166">
        <v>117914402</v>
      </c>
      <c r="AG578" s="124">
        <v>92216673.590000033</v>
      </c>
      <c r="AH578" s="125">
        <v>16.583333333333343</v>
      </c>
      <c r="AI578" s="133">
        <v>1</v>
      </c>
      <c r="AJ578" s="133">
        <v>0</v>
      </c>
      <c r="AK578" s="126">
        <v>0.15</v>
      </c>
      <c r="AL578" s="126">
        <v>0.25364553907519194</v>
      </c>
      <c r="AM578" s="14">
        <v>1</v>
      </c>
      <c r="AN578" s="122">
        <v>0</v>
      </c>
      <c r="AO578" s="131">
        <v>631903.09696521098</v>
      </c>
      <c r="AP578" s="131">
        <v>793346.84016546025</v>
      </c>
      <c r="AQ578" s="131">
        <v>161443.74320024927</v>
      </c>
      <c r="AR578" s="130">
        <v>0.25548813413892391</v>
      </c>
    </row>
    <row r="579" spans="1:44" ht="28.8" x14ac:dyDescent="0.3">
      <c r="A579" s="136" t="s">
        <v>823</v>
      </c>
      <c r="B579" s="137" t="s">
        <v>5356</v>
      </c>
      <c r="C579" s="134">
        <v>2020</v>
      </c>
      <c r="D579" s="149" t="s">
        <v>5030</v>
      </c>
      <c r="E579" s="135" t="s">
        <v>1175</v>
      </c>
      <c r="F579" s="384" t="s">
        <v>267</v>
      </c>
      <c r="G579" s="138" t="s">
        <v>4773</v>
      </c>
      <c r="H579" s="138" t="s">
        <v>1597</v>
      </c>
      <c r="I579" s="138" t="s">
        <v>1566</v>
      </c>
      <c r="J579" s="135" t="s">
        <v>4774</v>
      </c>
      <c r="K579" s="164">
        <v>1340982555</v>
      </c>
      <c r="L579" s="165">
        <v>1237825285</v>
      </c>
      <c r="M579" s="165">
        <v>86721409</v>
      </c>
      <c r="N579" s="165">
        <v>55619</v>
      </c>
      <c r="O579" s="165">
        <v>109195457.06</v>
      </c>
      <c r="P579" s="165">
        <v>27825729.890000001</v>
      </c>
      <c r="Q579" s="165">
        <v>0</v>
      </c>
      <c r="R579" s="165">
        <v>232.83333333333334</v>
      </c>
      <c r="S579" s="165">
        <v>153512666.94999999</v>
      </c>
      <c r="T579" s="165">
        <v>659324.26750178949</v>
      </c>
      <c r="U579" s="166">
        <v>16435861</v>
      </c>
      <c r="V579" s="168">
        <v>1450125498</v>
      </c>
      <c r="W579" s="165">
        <v>1354338319</v>
      </c>
      <c r="X579" s="165">
        <v>90165691</v>
      </c>
      <c r="Y579" s="165">
        <v>1825199</v>
      </c>
      <c r="Z579" s="165">
        <v>111759876.23999999</v>
      </c>
      <c r="AA579" s="165">
        <v>32861997.93</v>
      </c>
      <c r="AB579" s="165">
        <v>0</v>
      </c>
      <c r="AC579" s="165">
        <v>322.16666666666669</v>
      </c>
      <c r="AD579" s="165">
        <v>152068561.16999999</v>
      </c>
      <c r="AE579" s="165">
        <v>472018.29644076555</v>
      </c>
      <c r="AF579" s="166">
        <v>5621488</v>
      </c>
      <c r="AG579" s="124">
        <v>-1444105.7800000012</v>
      </c>
      <c r="AH579" s="125">
        <v>89.333333333333343</v>
      </c>
      <c r="AI579" s="133">
        <v>0</v>
      </c>
      <c r="AJ579" s="133">
        <v>0</v>
      </c>
      <c r="AK579" s="126">
        <v>0.1</v>
      </c>
      <c r="AL579" s="126">
        <v>-0.28408778278403135</v>
      </c>
      <c r="AM579" s="14">
        <v>0</v>
      </c>
      <c r="AN579" s="122">
        <v>-1</v>
      </c>
      <c r="AO579" s="131">
        <v>468985.49918396561</v>
      </c>
      <c r="AP579" s="131">
        <v>346900.80571132951</v>
      </c>
      <c r="AQ579" s="131">
        <v>-122084.69347263611</v>
      </c>
      <c r="AR579" s="130">
        <v>-0.26031656348663956</v>
      </c>
    </row>
    <row r="580" spans="1:44" ht="28.8" x14ac:dyDescent="0.3">
      <c r="A580" s="136" t="s">
        <v>824</v>
      </c>
      <c r="B580" s="137" t="s">
        <v>5357</v>
      </c>
      <c r="C580" s="134">
        <v>2019</v>
      </c>
      <c r="D580" s="149" t="s">
        <v>1178</v>
      </c>
      <c r="E580" s="135" t="s">
        <v>1175</v>
      </c>
      <c r="F580" s="384" t="s">
        <v>431</v>
      </c>
      <c r="G580" s="138" t="s">
        <v>4773</v>
      </c>
      <c r="H580" s="138" t="s">
        <v>3451</v>
      </c>
      <c r="I580" s="138" t="s">
        <v>1566</v>
      </c>
      <c r="J580" s="135" t="s">
        <v>4774</v>
      </c>
      <c r="K580" s="164">
        <v>374970559</v>
      </c>
      <c r="L580" s="165">
        <v>203677903</v>
      </c>
      <c r="M580" s="165">
        <v>186641902</v>
      </c>
      <c r="N580" s="165">
        <v>25137183</v>
      </c>
      <c r="O580" s="165">
        <v>83155017</v>
      </c>
      <c r="P580" s="165">
        <v>25960808</v>
      </c>
      <c r="Q580" s="165">
        <v>5294496</v>
      </c>
      <c r="R580" s="165">
        <v>387.58333333333331</v>
      </c>
      <c r="S580" s="165">
        <v>124198258</v>
      </c>
      <c r="T580" s="165">
        <v>320442.72113523976</v>
      </c>
      <c r="U580" s="166">
        <v>-15349246</v>
      </c>
      <c r="V580" s="168">
        <v>489733349</v>
      </c>
      <c r="W580" s="165">
        <v>307139586</v>
      </c>
      <c r="X580" s="165">
        <v>211120158</v>
      </c>
      <c r="Y580" s="165">
        <v>19885256</v>
      </c>
      <c r="Z580" s="165">
        <v>93682111.709999993</v>
      </c>
      <c r="AA580" s="165">
        <v>28691219.120000001</v>
      </c>
      <c r="AB580" s="165">
        <v>4825429</v>
      </c>
      <c r="AC580" s="165">
        <v>336.08333333333331</v>
      </c>
      <c r="AD580" s="165">
        <v>118557620.83</v>
      </c>
      <c r="AE580" s="165">
        <v>352762.57127696503</v>
      </c>
      <c r="AF580" s="166">
        <v>-28526395</v>
      </c>
      <c r="AG580" s="124">
        <v>-5640637.1700000018</v>
      </c>
      <c r="AH580" s="125">
        <v>-51.5</v>
      </c>
      <c r="AI580" s="133">
        <v>0</v>
      </c>
      <c r="AJ580" s="133">
        <v>0</v>
      </c>
      <c r="AK580" s="126">
        <v>0.15</v>
      </c>
      <c r="AL580" s="126">
        <v>0.10085999145182645</v>
      </c>
      <c r="AM580" s="14">
        <v>0</v>
      </c>
      <c r="AN580" s="122">
        <v>-1</v>
      </c>
      <c r="AO580" s="131">
        <v>214547.45302085573</v>
      </c>
      <c r="AP580" s="131">
        <v>278746.67506074882</v>
      </c>
      <c r="AQ580" s="131">
        <v>64199.222039893095</v>
      </c>
      <c r="AR580" s="130">
        <v>0.2992308747363801</v>
      </c>
    </row>
    <row r="581" spans="1:44" ht="28.8" x14ac:dyDescent="0.3">
      <c r="A581" s="136" t="s">
        <v>825</v>
      </c>
      <c r="B581" s="137" t="s">
        <v>5358</v>
      </c>
      <c r="C581" s="134">
        <v>2019</v>
      </c>
      <c r="D581" s="149" t="s">
        <v>1178</v>
      </c>
      <c r="E581" s="135" t="s">
        <v>1175</v>
      </c>
      <c r="F581" s="384" t="s">
        <v>431</v>
      </c>
      <c r="G581" s="138" t="s">
        <v>4773</v>
      </c>
      <c r="H581" s="138" t="s">
        <v>1740</v>
      </c>
      <c r="I581" s="138" t="s">
        <v>1566</v>
      </c>
      <c r="J581" s="135" t="s">
        <v>4778</v>
      </c>
      <c r="K581" s="164">
        <v>378082014</v>
      </c>
      <c r="L581" s="165">
        <v>170713593</v>
      </c>
      <c r="M581" s="165">
        <v>196825891</v>
      </c>
      <c r="N581" s="165">
        <v>14135676</v>
      </c>
      <c r="O581" s="165">
        <v>125118519.92999999</v>
      </c>
      <c r="P581" s="165">
        <v>37213745</v>
      </c>
      <c r="Q581" s="165">
        <v>143320</v>
      </c>
      <c r="R581" s="165">
        <v>483.25</v>
      </c>
      <c r="S581" s="165">
        <v>187153790.93000001</v>
      </c>
      <c r="T581" s="165">
        <v>387281.51252974651</v>
      </c>
      <c r="U581" s="166">
        <v>10542530</v>
      </c>
      <c r="V581" s="168">
        <v>279557131</v>
      </c>
      <c r="W581" s="165">
        <v>139678383</v>
      </c>
      <c r="X581" s="165">
        <v>153688497</v>
      </c>
      <c r="Y581" s="165">
        <v>9520505</v>
      </c>
      <c r="Z581" s="165">
        <v>87217132.260000005</v>
      </c>
      <c r="AA581" s="165">
        <v>25985469.260000002</v>
      </c>
      <c r="AB581" s="165">
        <v>122027</v>
      </c>
      <c r="AC581" s="165">
        <v>297</v>
      </c>
      <c r="AD581" s="165">
        <v>109035384.52000001</v>
      </c>
      <c r="AE581" s="165">
        <v>367122.50680134684</v>
      </c>
      <c r="AF581" s="166">
        <v>-13809749</v>
      </c>
      <c r="AG581" s="124">
        <v>-78118406.409999996</v>
      </c>
      <c r="AH581" s="125">
        <v>-186.25</v>
      </c>
      <c r="AI581" s="133">
        <v>0</v>
      </c>
      <c r="AJ581" s="133">
        <v>0</v>
      </c>
      <c r="AK581" s="126">
        <v>0.15</v>
      </c>
      <c r="AL581" s="126">
        <v>-5.2052575399223144E-2</v>
      </c>
      <c r="AM581" s="14">
        <v>0</v>
      </c>
      <c r="AN581" s="122">
        <v>-1</v>
      </c>
      <c r="AO581" s="131">
        <v>258910.54305225037</v>
      </c>
      <c r="AP581" s="131">
        <v>293660.37797979801</v>
      </c>
      <c r="AQ581" s="131">
        <v>34749.834927547636</v>
      </c>
      <c r="AR581" s="130">
        <v>0.1342156040379352</v>
      </c>
    </row>
    <row r="582" spans="1:44" ht="28.8" x14ac:dyDescent="0.3">
      <c r="A582" s="136" t="s">
        <v>826</v>
      </c>
      <c r="B582" s="137" t="s">
        <v>5359</v>
      </c>
      <c r="C582" s="134">
        <v>2020</v>
      </c>
      <c r="D582" s="149" t="s">
        <v>1178</v>
      </c>
      <c r="E582" s="135" t="s">
        <v>1175</v>
      </c>
      <c r="F582" s="384" t="s">
        <v>431</v>
      </c>
      <c r="G582" s="138" t="s">
        <v>4773</v>
      </c>
      <c r="H582" s="138" t="s">
        <v>4653</v>
      </c>
      <c r="I582" s="138" t="s">
        <v>4612</v>
      </c>
      <c r="J582" s="135" t="s">
        <v>4780</v>
      </c>
      <c r="K582" s="164">
        <v>1161741885</v>
      </c>
      <c r="L582" s="165">
        <v>271171157</v>
      </c>
      <c r="M582" s="165">
        <v>845710950</v>
      </c>
      <c r="N582" s="165">
        <v>114653046</v>
      </c>
      <c r="O582" s="165">
        <v>378008874</v>
      </c>
      <c r="P582" s="165">
        <v>112599269</v>
      </c>
      <c r="Q582" s="165">
        <v>8211654</v>
      </c>
      <c r="R582" s="165">
        <v>802.83333333333337</v>
      </c>
      <c r="S582" s="165">
        <v>658332621</v>
      </c>
      <c r="T582" s="165">
        <v>820011.56861116877</v>
      </c>
      <c r="U582" s="166">
        <v>44859778</v>
      </c>
      <c r="V582" s="168">
        <v>1162434752</v>
      </c>
      <c r="W582" s="165">
        <v>313966459</v>
      </c>
      <c r="X582" s="165">
        <v>861941057</v>
      </c>
      <c r="Y582" s="165">
        <v>123706881</v>
      </c>
      <c r="Z582" s="165">
        <v>401946824.19999999</v>
      </c>
      <c r="AA582" s="165">
        <v>119735696.98</v>
      </c>
      <c r="AB582" s="165">
        <v>8492847</v>
      </c>
      <c r="AC582" s="165">
        <v>888.58333333333337</v>
      </c>
      <c r="AD582" s="165">
        <v>640409485.17999995</v>
      </c>
      <c r="AE582" s="165">
        <v>720708.41434493102</v>
      </c>
      <c r="AF582" s="166">
        <v>-13472764</v>
      </c>
      <c r="AG582" s="124">
        <v>-17923135.820000052</v>
      </c>
      <c r="AH582" s="125">
        <v>85.75</v>
      </c>
      <c r="AI582" s="133">
        <v>0</v>
      </c>
      <c r="AJ582" s="133">
        <v>0</v>
      </c>
      <c r="AK582" s="126">
        <v>0.1</v>
      </c>
      <c r="AL582" s="126">
        <v>-0.12109970594683184</v>
      </c>
      <c r="AM582" s="14">
        <v>0</v>
      </c>
      <c r="AN582" s="122">
        <v>-1</v>
      </c>
      <c r="AO582" s="131">
        <v>470843.5216940004</v>
      </c>
      <c r="AP582" s="131">
        <v>452345.67104942322</v>
      </c>
      <c r="AQ582" s="131">
        <v>-18497.850644577178</v>
      </c>
      <c r="AR582" s="130">
        <v>-3.9286620272539041E-2</v>
      </c>
    </row>
    <row r="583" spans="1:44" ht="28.8" x14ac:dyDescent="0.3">
      <c r="A583" s="136" t="s">
        <v>827</v>
      </c>
      <c r="B583" s="137" t="s">
        <v>5360</v>
      </c>
      <c r="C583" s="134">
        <v>2019</v>
      </c>
      <c r="D583" s="149" t="s">
        <v>1178</v>
      </c>
      <c r="E583" s="135" t="s">
        <v>1175</v>
      </c>
      <c r="F583" s="384" t="s">
        <v>476</v>
      </c>
      <c r="G583" s="138" t="s">
        <v>4773</v>
      </c>
      <c r="H583" s="138" t="s">
        <v>2813</v>
      </c>
      <c r="I583" s="138" t="s">
        <v>1566</v>
      </c>
      <c r="J583" s="135" t="s">
        <v>4778</v>
      </c>
      <c r="K583" s="164">
        <v>482978309</v>
      </c>
      <c r="L583" s="165">
        <v>316607086</v>
      </c>
      <c r="M583" s="165">
        <v>157488463</v>
      </c>
      <c r="N583" s="165">
        <v>42221806</v>
      </c>
      <c r="O583" s="165">
        <v>213836398</v>
      </c>
      <c r="P583" s="165">
        <v>60627699</v>
      </c>
      <c r="Q583" s="165">
        <v>213582</v>
      </c>
      <c r="R583" s="165">
        <v>449</v>
      </c>
      <c r="S583" s="165">
        <v>325782245</v>
      </c>
      <c r="T583" s="165">
        <v>725572.92873051227</v>
      </c>
      <c r="U583" s="166">
        <v>8882760</v>
      </c>
      <c r="V583" s="168">
        <v>261771541</v>
      </c>
      <c r="W583" s="165">
        <v>105804680</v>
      </c>
      <c r="X583" s="165">
        <v>134723981</v>
      </c>
      <c r="Y583" s="165">
        <v>28706184</v>
      </c>
      <c r="Z583" s="165">
        <v>129088709.95999999</v>
      </c>
      <c r="AA583" s="165">
        <v>37832581.730000004</v>
      </c>
      <c r="AB583" s="165">
        <v>553291</v>
      </c>
      <c r="AC583" s="165">
        <v>341.08333333333331</v>
      </c>
      <c r="AD583" s="165">
        <v>217423646.69</v>
      </c>
      <c r="AE583" s="165">
        <v>637450.22239921824</v>
      </c>
      <c r="AF583" s="166">
        <v>21242880</v>
      </c>
      <c r="AG583" s="124">
        <v>-108358598.31</v>
      </c>
      <c r="AH583" s="125">
        <v>-107.91666666666669</v>
      </c>
      <c r="AI583" s="133">
        <v>0</v>
      </c>
      <c r="AJ583" s="133">
        <v>1</v>
      </c>
      <c r="AK583" s="126">
        <v>0.15</v>
      </c>
      <c r="AL583" s="126">
        <v>-0.12145258781911838</v>
      </c>
      <c r="AM583" s="14">
        <v>0</v>
      </c>
      <c r="AN583" s="122">
        <v>-1</v>
      </c>
      <c r="AO583" s="131">
        <v>476250.32962138084</v>
      </c>
      <c r="AP583" s="131">
        <v>378466.77730759833</v>
      </c>
      <c r="AQ583" s="131">
        <v>-97783.552313782508</v>
      </c>
      <c r="AR583" s="130">
        <v>-0.20531965277907627</v>
      </c>
    </row>
    <row r="584" spans="1:44" ht="28.8" x14ac:dyDescent="0.3">
      <c r="A584" s="136" t="s">
        <v>828</v>
      </c>
      <c r="B584" s="137" t="s">
        <v>5361</v>
      </c>
      <c r="C584" s="134">
        <v>2019</v>
      </c>
      <c r="D584" s="149" t="s">
        <v>1165</v>
      </c>
      <c r="E584" s="135" t="s">
        <v>1152</v>
      </c>
      <c r="F584" s="384" t="s">
        <v>829</v>
      </c>
      <c r="G584" s="138" t="s">
        <v>4773</v>
      </c>
      <c r="H584" s="138" t="s">
        <v>2315</v>
      </c>
      <c r="I584" s="138" t="s">
        <v>1566</v>
      </c>
      <c r="J584" s="135" t="s">
        <v>4774</v>
      </c>
      <c r="K584" s="164">
        <v>15474319081</v>
      </c>
      <c r="L584" s="165">
        <v>10809694302</v>
      </c>
      <c r="M584" s="165">
        <v>3431506716</v>
      </c>
      <c r="N584" s="165">
        <v>802585325</v>
      </c>
      <c r="O584" s="165">
        <v>550924310</v>
      </c>
      <c r="P584" s="165">
        <v>141521629</v>
      </c>
      <c r="Q584" s="165">
        <v>91901797</v>
      </c>
      <c r="R584" s="165">
        <v>906.75</v>
      </c>
      <c r="S584" s="165">
        <v>2820051124</v>
      </c>
      <c r="T584" s="165">
        <v>3110064.6528811692</v>
      </c>
      <c r="U584" s="166">
        <v>1233118063</v>
      </c>
      <c r="V584" s="168">
        <v>23802894590</v>
      </c>
      <c r="W584" s="165">
        <v>14836551073</v>
      </c>
      <c r="X584" s="165">
        <v>3895410286</v>
      </c>
      <c r="Y584" s="165">
        <v>669231285</v>
      </c>
      <c r="Z584" s="165">
        <v>564066835</v>
      </c>
      <c r="AA584" s="165">
        <v>164881510</v>
      </c>
      <c r="AB584" s="165">
        <v>93409770</v>
      </c>
      <c r="AC584" s="165">
        <v>874.41666666666663</v>
      </c>
      <c r="AD584" s="165">
        <v>6562522631</v>
      </c>
      <c r="AE584" s="165">
        <v>7505029.2168112081</v>
      </c>
      <c r="AF584" s="166">
        <v>5070933231</v>
      </c>
      <c r="AG584" s="124">
        <v>3742471507</v>
      </c>
      <c r="AH584" s="125">
        <v>-32.333333333333371</v>
      </c>
      <c r="AI584" s="133">
        <v>1</v>
      </c>
      <c r="AJ584" s="133">
        <v>1</v>
      </c>
      <c r="AK584" s="126">
        <v>0.15</v>
      </c>
      <c r="AL584" s="126">
        <v>1.4131425113622638</v>
      </c>
      <c r="AM584" s="14">
        <v>1</v>
      </c>
      <c r="AN584" s="122">
        <v>0</v>
      </c>
      <c r="AO584" s="131">
        <v>607581.26275158534</v>
      </c>
      <c r="AP584" s="131">
        <v>645077.86333746312</v>
      </c>
      <c r="AQ584" s="131">
        <v>37496.600585877779</v>
      </c>
      <c r="AR584" s="130">
        <v>6.1714544020111672E-2</v>
      </c>
    </row>
    <row r="585" spans="1:44" ht="28.8" x14ac:dyDescent="0.3">
      <c r="A585" s="136" t="s">
        <v>830</v>
      </c>
      <c r="B585" s="137" t="s">
        <v>5362</v>
      </c>
      <c r="C585" s="134">
        <v>2018</v>
      </c>
      <c r="D585" s="149" t="s">
        <v>1165</v>
      </c>
      <c r="E585" s="135" t="s">
        <v>1152</v>
      </c>
      <c r="F585" s="384" t="s">
        <v>829</v>
      </c>
      <c r="G585" s="138" t="s">
        <v>4773</v>
      </c>
      <c r="H585" s="138" t="s">
        <v>3564</v>
      </c>
      <c r="I585" s="138" t="s">
        <v>3557</v>
      </c>
      <c r="J585" s="135" t="s">
        <v>4774</v>
      </c>
      <c r="K585" s="164">
        <v>2129657621</v>
      </c>
      <c r="L585" s="165">
        <v>1751490035</v>
      </c>
      <c r="M585" s="165">
        <v>305410493</v>
      </c>
      <c r="N585" s="165">
        <v>48151165</v>
      </c>
      <c r="O585" s="165">
        <v>273292814</v>
      </c>
      <c r="P585" s="165">
        <v>62959537</v>
      </c>
      <c r="Q585" s="165">
        <v>9983700</v>
      </c>
      <c r="R585" s="165">
        <v>788.08333333333337</v>
      </c>
      <c r="S585" s="165">
        <v>467144309</v>
      </c>
      <c r="T585" s="165">
        <v>592760.04102781008</v>
      </c>
      <c r="U585" s="166">
        <v>72757093</v>
      </c>
      <c r="V585" s="168">
        <v>3452140985</v>
      </c>
      <c r="W585" s="165">
        <v>2129982183</v>
      </c>
      <c r="X585" s="165">
        <v>130324312</v>
      </c>
      <c r="Y585" s="165">
        <v>65267181</v>
      </c>
      <c r="Z585" s="165">
        <v>417082745</v>
      </c>
      <c r="AA585" s="165">
        <v>123318238</v>
      </c>
      <c r="AB585" s="165">
        <v>5524636</v>
      </c>
      <c r="AC585" s="165">
        <v>786.66666666666663</v>
      </c>
      <c r="AD585" s="165">
        <v>1803027290</v>
      </c>
      <c r="AE585" s="165">
        <v>2291983.8432203392</v>
      </c>
      <c r="AF585" s="166">
        <v>1191834490</v>
      </c>
      <c r="AG585" s="124">
        <v>1335882981</v>
      </c>
      <c r="AH585" s="125">
        <v>-1.4166666666667425</v>
      </c>
      <c r="AI585" s="133">
        <v>1</v>
      </c>
      <c r="AJ585" s="133">
        <v>1</v>
      </c>
      <c r="AK585" s="126">
        <v>0.3</v>
      </c>
      <c r="AL585" s="126">
        <v>2.8666301459862233</v>
      </c>
      <c r="AM585" s="14">
        <v>1</v>
      </c>
      <c r="AN585" s="122">
        <v>0</v>
      </c>
      <c r="AO585" s="131">
        <v>346781.61869514646</v>
      </c>
      <c r="AP585" s="131">
        <v>530189.93008474575</v>
      </c>
      <c r="AQ585" s="131">
        <v>183408.31138959929</v>
      </c>
      <c r="AR585" s="130">
        <v>0.52888706177599443</v>
      </c>
    </row>
    <row r="586" spans="1:44" ht="43.2" x14ac:dyDescent="0.3">
      <c r="A586" s="136" t="s">
        <v>831</v>
      </c>
      <c r="B586" s="137" t="s">
        <v>5363</v>
      </c>
      <c r="C586" s="134">
        <v>2019</v>
      </c>
      <c r="D586" s="149" t="s">
        <v>1165</v>
      </c>
      <c r="E586" s="135" t="s">
        <v>1152</v>
      </c>
      <c r="F586" s="384" t="s">
        <v>829</v>
      </c>
      <c r="G586" s="138" t="s">
        <v>4773</v>
      </c>
      <c r="H586" s="138" t="s">
        <v>2566</v>
      </c>
      <c r="I586" s="138" t="s">
        <v>1566</v>
      </c>
      <c r="J586" s="135" t="s">
        <v>4774</v>
      </c>
      <c r="K586" s="164">
        <v>1510134440</v>
      </c>
      <c r="L586" s="165">
        <v>857255514</v>
      </c>
      <c r="M586" s="165">
        <v>465328252</v>
      </c>
      <c r="N586" s="165">
        <v>66546639</v>
      </c>
      <c r="O586" s="165">
        <v>154738553</v>
      </c>
      <c r="P586" s="165">
        <v>39683781</v>
      </c>
      <c r="Q586" s="165">
        <v>4963700</v>
      </c>
      <c r="R586" s="165">
        <v>622.58333333333337</v>
      </c>
      <c r="S586" s="165">
        <v>453483347</v>
      </c>
      <c r="T586" s="165">
        <v>728389.79574354168</v>
      </c>
      <c r="U586" s="166">
        <v>187550674</v>
      </c>
      <c r="V586" s="168">
        <v>2014060765</v>
      </c>
      <c r="W586" s="165">
        <v>1160770149</v>
      </c>
      <c r="X586" s="165">
        <v>630552949</v>
      </c>
      <c r="Y586" s="165">
        <v>93043787</v>
      </c>
      <c r="Z586" s="165">
        <v>125126290</v>
      </c>
      <c r="AA586" s="165">
        <v>36109677</v>
      </c>
      <c r="AB586" s="165">
        <v>3827669</v>
      </c>
      <c r="AC586" s="165">
        <v>509</v>
      </c>
      <c r="AD586" s="165">
        <v>480845090</v>
      </c>
      <c r="AE586" s="165">
        <v>944685.83497053047</v>
      </c>
      <c r="AF586" s="166">
        <v>222737667</v>
      </c>
      <c r="AG586" s="124">
        <v>27361743</v>
      </c>
      <c r="AH586" s="125">
        <v>-113.58333333333337</v>
      </c>
      <c r="AI586" s="133">
        <v>1</v>
      </c>
      <c r="AJ586" s="133">
        <v>0</v>
      </c>
      <c r="AK586" s="126">
        <v>0.15</v>
      </c>
      <c r="AL586" s="126">
        <v>0.29695093204215639</v>
      </c>
      <c r="AM586" s="14">
        <v>1</v>
      </c>
      <c r="AN586" s="122">
        <v>0</v>
      </c>
      <c r="AO586" s="131">
        <v>248542.71663766564</v>
      </c>
      <c r="AP586" s="131">
        <v>245827.68172888015</v>
      </c>
      <c r="AQ586" s="131">
        <v>-2715.0349087854847</v>
      </c>
      <c r="AR586" s="130">
        <v>-1.0923816016477961E-2</v>
      </c>
    </row>
    <row r="587" spans="1:44" ht="28.8" x14ac:dyDescent="0.3">
      <c r="A587" s="136" t="s">
        <v>832</v>
      </c>
      <c r="B587" s="137" t="s">
        <v>5364</v>
      </c>
      <c r="C587" s="134">
        <v>2020</v>
      </c>
      <c r="D587" s="149" t="s">
        <v>1165</v>
      </c>
      <c r="E587" s="135" t="s">
        <v>1152</v>
      </c>
      <c r="F587" s="384" t="s">
        <v>829</v>
      </c>
      <c r="G587" s="138" t="s">
        <v>4796</v>
      </c>
      <c r="H587" s="138" t="s">
        <v>4567</v>
      </c>
      <c r="I587" s="138" t="s">
        <v>4255</v>
      </c>
      <c r="J587" s="135" t="s">
        <v>4774</v>
      </c>
      <c r="K587" s="164">
        <v>2459531617</v>
      </c>
      <c r="L587" s="165">
        <v>1195202383</v>
      </c>
      <c r="M587" s="165">
        <v>398369654</v>
      </c>
      <c r="N587" s="165">
        <v>137327505</v>
      </c>
      <c r="O587" s="165">
        <v>294561392</v>
      </c>
      <c r="P587" s="165">
        <v>77938828</v>
      </c>
      <c r="Q587" s="165">
        <v>30303752</v>
      </c>
      <c r="R587" s="165">
        <v>332.5</v>
      </c>
      <c r="S587" s="165">
        <v>1406091057</v>
      </c>
      <c r="T587" s="165">
        <v>4228845.2842105264</v>
      </c>
      <c r="U587" s="166">
        <v>865959580</v>
      </c>
      <c r="V587" s="168">
        <v>2707098390</v>
      </c>
      <c r="W587" s="165">
        <v>1310305603</v>
      </c>
      <c r="X587" s="165">
        <v>420581790</v>
      </c>
      <c r="Y587" s="165">
        <v>140303759</v>
      </c>
      <c r="Z587" s="165">
        <v>314703108</v>
      </c>
      <c r="AA587" s="165">
        <v>88481497.219999999</v>
      </c>
      <c r="AB587" s="165">
        <v>29444105</v>
      </c>
      <c r="AC587" s="165">
        <v>323.83333333333331</v>
      </c>
      <c r="AD587" s="165">
        <v>1549143466.22</v>
      </c>
      <c r="AE587" s="165">
        <v>4783767.7804014413</v>
      </c>
      <c r="AF587" s="166">
        <v>976210997</v>
      </c>
      <c r="AG587" s="124">
        <v>143052409.22000003</v>
      </c>
      <c r="AH587" s="125">
        <v>-8.6666666666666856</v>
      </c>
      <c r="AI587" s="133">
        <v>1</v>
      </c>
      <c r="AJ587" s="133">
        <v>1</v>
      </c>
      <c r="AK587" s="126">
        <v>0.05</v>
      </c>
      <c r="AL587" s="126">
        <v>0.13122317400082317</v>
      </c>
      <c r="AM587" s="14">
        <v>1</v>
      </c>
      <c r="AN587" s="122">
        <v>0</v>
      </c>
      <c r="AO587" s="131">
        <v>885898.92330827063</v>
      </c>
      <c r="AP587" s="131">
        <v>971805.78898610407</v>
      </c>
      <c r="AQ587" s="131">
        <v>85906.865677833441</v>
      </c>
      <c r="AR587" s="130">
        <v>9.697140770532342E-2</v>
      </c>
    </row>
    <row r="588" spans="1:44" ht="28.8" x14ac:dyDescent="0.3">
      <c r="A588" s="136" t="s">
        <v>833</v>
      </c>
      <c r="B588" s="137" t="s">
        <v>5365</v>
      </c>
      <c r="C588" s="134">
        <v>2019</v>
      </c>
      <c r="D588" s="149" t="s">
        <v>1165</v>
      </c>
      <c r="E588" s="135" t="s">
        <v>1152</v>
      </c>
      <c r="F588" s="384" t="s">
        <v>829</v>
      </c>
      <c r="G588" s="138" t="s">
        <v>4773</v>
      </c>
      <c r="H588" s="138" t="s">
        <v>4573</v>
      </c>
      <c r="I588" s="138" t="s">
        <v>4255</v>
      </c>
      <c r="J588" s="135" t="s">
        <v>4774</v>
      </c>
      <c r="K588" s="164">
        <v>1664432855</v>
      </c>
      <c r="L588" s="165">
        <v>429438487</v>
      </c>
      <c r="M588" s="165">
        <v>122763190</v>
      </c>
      <c r="N588" s="165">
        <v>162298324</v>
      </c>
      <c r="O588" s="165">
        <v>128844070</v>
      </c>
      <c r="P588" s="165">
        <v>34067068</v>
      </c>
      <c r="Q588" s="165">
        <v>49317244</v>
      </c>
      <c r="R588" s="165">
        <v>157.83333333333334</v>
      </c>
      <c r="S588" s="165">
        <v>1486757884</v>
      </c>
      <c r="T588" s="165">
        <v>9419796.5195353739</v>
      </c>
      <c r="U588" s="166">
        <v>1112231178</v>
      </c>
      <c r="V588" s="168">
        <v>1622902032</v>
      </c>
      <c r="W588" s="165">
        <v>200798224</v>
      </c>
      <c r="X588" s="165">
        <v>561625426</v>
      </c>
      <c r="Y588" s="165">
        <v>143744903</v>
      </c>
      <c r="Z588" s="165">
        <v>155793809</v>
      </c>
      <c r="AA588" s="165">
        <v>44032398</v>
      </c>
      <c r="AB588" s="165">
        <v>42771675</v>
      </c>
      <c r="AC588" s="165">
        <v>168.08333333333334</v>
      </c>
      <c r="AD588" s="165">
        <v>1246821167</v>
      </c>
      <c r="AE588" s="165">
        <v>7417875.0639563706</v>
      </c>
      <c r="AF588" s="166">
        <v>860478382</v>
      </c>
      <c r="AG588" s="124">
        <v>-239936717</v>
      </c>
      <c r="AH588" s="125">
        <v>10.25</v>
      </c>
      <c r="AI588" s="133">
        <v>0</v>
      </c>
      <c r="AJ588" s="133">
        <v>0</v>
      </c>
      <c r="AK588" s="126">
        <v>0.15</v>
      </c>
      <c r="AL588" s="126">
        <v>-0.21252279237131544</v>
      </c>
      <c r="AM588" s="14">
        <v>0</v>
      </c>
      <c r="AN588" s="122">
        <v>-1</v>
      </c>
      <c r="AO588" s="131">
        <v>816329.90496304119</v>
      </c>
      <c r="AP588" s="131">
        <v>926884.33713435789</v>
      </c>
      <c r="AQ588" s="131">
        <v>110554.4321713167</v>
      </c>
      <c r="AR588" s="130">
        <v>0.13542861960486663</v>
      </c>
    </row>
    <row r="589" spans="1:44" ht="28.8" x14ac:dyDescent="0.3">
      <c r="A589" s="136" t="s">
        <v>834</v>
      </c>
      <c r="B589" s="137" t="s">
        <v>5366</v>
      </c>
      <c r="C589" s="134">
        <v>2019</v>
      </c>
      <c r="D589" s="149" t="s">
        <v>1165</v>
      </c>
      <c r="E589" s="135" t="s">
        <v>1152</v>
      </c>
      <c r="F589" s="384" t="s">
        <v>829</v>
      </c>
      <c r="G589" s="138" t="s">
        <v>4773</v>
      </c>
      <c r="H589" s="138" t="s">
        <v>1221</v>
      </c>
      <c r="I589" s="138" t="s">
        <v>1217</v>
      </c>
      <c r="J589" s="135" t="s">
        <v>4798</v>
      </c>
      <c r="K589" s="164">
        <v>1506530421</v>
      </c>
      <c r="L589" s="165">
        <v>1126817423</v>
      </c>
      <c r="M589" s="165">
        <v>0</v>
      </c>
      <c r="N589" s="165">
        <v>0</v>
      </c>
      <c r="O589" s="165">
        <v>299726437</v>
      </c>
      <c r="P589" s="165">
        <v>59837241</v>
      </c>
      <c r="Q589" s="165">
        <v>9144</v>
      </c>
      <c r="R589" s="165">
        <v>633.33333333333337</v>
      </c>
      <c r="S589" s="165">
        <v>739285820</v>
      </c>
      <c r="T589" s="165">
        <v>1167293.3999999999</v>
      </c>
      <c r="U589" s="166">
        <v>379712998</v>
      </c>
      <c r="V589" s="168">
        <v>1971490366</v>
      </c>
      <c r="W589" s="165">
        <v>1526249958</v>
      </c>
      <c r="X589" s="165">
        <v>0</v>
      </c>
      <c r="Y589" s="165">
        <v>0</v>
      </c>
      <c r="Z589" s="165">
        <v>332115864</v>
      </c>
      <c r="AA589" s="165">
        <v>76275712</v>
      </c>
      <c r="AB589" s="165">
        <v>3429</v>
      </c>
      <c r="AC589" s="165">
        <v>590.16666666666663</v>
      </c>
      <c r="AD589" s="165">
        <v>853635413</v>
      </c>
      <c r="AE589" s="165">
        <v>1446431.0866986727</v>
      </c>
      <c r="AF589" s="166">
        <v>445240408</v>
      </c>
      <c r="AG589" s="124">
        <v>114349593</v>
      </c>
      <c r="AH589" s="125">
        <v>-43.166666666666742</v>
      </c>
      <c r="AI589" s="133">
        <v>1</v>
      </c>
      <c r="AJ589" s="133">
        <v>0</v>
      </c>
      <c r="AK589" s="126">
        <v>0.15</v>
      </c>
      <c r="AL589" s="126">
        <v>0.23913241520940676</v>
      </c>
      <c r="AM589" s="14">
        <v>1</v>
      </c>
      <c r="AN589" s="122">
        <v>0</v>
      </c>
      <c r="AO589" s="131">
        <v>473252.26894736837</v>
      </c>
      <c r="AP589" s="131">
        <v>562749.27534594748</v>
      </c>
      <c r="AQ589" s="131">
        <v>89497.006398579106</v>
      </c>
      <c r="AR589" s="130">
        <v>0.18911057013554911</v>
      </c>
    </row>
    <row r="590" spans="1:44" ht="28.8" x14ac:dyDescent="0.3">
      <c r="A590" s="136" t="s">
        <v>835</v>
      </c>
      <c r="B590" s="137" t="s">
        <v>5367</v>
      </c>
      <c r="C590" s="134">
        <v>2020</v>
      </c>
      <c r="D590" s="149" t="s">
        <v>1165</v>
      </c>
      <c r="E590" s="135" t="s">
        <v>1152</v>
      </c>
      <c r="F590" s="384" t="s">
        <v>829</v>
      </c>
      <c r="G590" s="138" t="s">
        <v>4796</v>
      </c>
      <c r="H590" s="138" t="s">
        <v>1223</v>
      </c>
      <c r="I590" s="138" t="s">
        <v>1217</v>
      </c>
      <c r="J590" s="135" t="s">
        <v>4798</v>
      </c>
      <c r="K590" s="164">
        <v>1428477019</v>
      </c>
      <c r="L590" s="165">
        <v>867379649</v>
      </c>
      <c r="M590" s="165">
        <v>39061544</v>
      </c>
      <c r="N590" s="165">
        <v>129445811</v>
      </c>
      <c r="O590" s="165">
        <v>177312787</v>
      </c>
      <c r="P590" s="165">
        <v>40805180</v>
      </c>
      <c r="Q590" s="165">
        <v>5381785</v>
      </c>
      <c r="R590" s="165">
        <v>355.33333333333331</v>
      </c>
      <c r="S590" s="165">
        <v>874981389</v>
      </c>
      <c r="T590" s="165">
        <v>2462424.1716697938</v>
      </c>
      <c r="U590" s="166">
        <v>522035826</v>
      </c>
      <c r="V590" s="168">
        <v>1784279416</v>
      </c>
      <c r="W590" s="165">
        <v>485794918</v>
      </c>
      <c r="X590" s="165">
        <v>617873584</v>
      </c>
      <c r="Y590" s="165">
        <v>140673993</v>
      </c>
      <c r="Z590" s="165">
        <v>200477534</v>
      </c>
      <c r="AA590" s="165">
        <v>47816018</v>
      </c>
      <c r="AB590" s="165">
        <v>7978287</v>
      </c>
      <c r="AC590" s="165">
        <v>339.66666666666669</v>
      </c>
      <c r="AD590" s="165">
        <v>1077556746</v>
      </c>
      <c r="AE590" s="165">
        <v>3172394.73797841</v>
      </c>
      <c r="AF590" s="166">
        <v>680610914</v>
      </c>
      <c r="AG590" s="124">
        <v>202575357</v>
      </c>
      <c r="AH590" s="125">
        <v>-15.666666666666629</v>
      </c>
      <c r="AI590" s="133">
        <v>1</v>
      </c>
      <c r="AJ590" s="133">
        <v>1</v>
      </c>
      <c r="AK590" s="126">
        <v>0.05</v>
      </c>
      <c r="AL590" s="126">
        <v>0.28832180038258826</v>
      </c>
      <c r="AM590" s="14">
        <v>1</v>
      </c>
      <c r="AN590" s="122">
        <v>0</v>
      </c>
      <c r="AO590" s="131">
        <v>499004.09099437151</v>
      </c>
      <c r="AP590" s="131">
        <v>590218.45142296364</v>
      </c>
      <c r="AQ590" s="131">
        <v>91214.360428592132</v>
      </c>
      <c r="AR590" s="130">
        <v>0.18279281087020394</v>
      </c>
    </row>
    <row r="591" spans="1:44" ht="43.2" x14ac:dyDescent="0.3">
      <c r="A591" s="136" t="s">
        <v>836</v>
      </c>
      <c r="B591" s="137" t="s">
        <v>5368</v>
      </c>
      <c r="C591" s="134">
        <v>2020</v>
      </c>
      <c r="D591" s="149" t="s">
        <v>1165</v>
      </c>
      <c r="E591" s="135" t="s">
        <v>1152</v>
      </c>
      <c r="F591" s="384" t="s">
        <v>829</v>
      </c>
      <c r="G591" s="138" t="s">
        <v>4773</v>
      </c>
      <c r="H591" s="138" t="s">
        <v>1573</v>
      </c>
      <c r="I591" s="138" t="s">
        <v>1566</v>
      </c>
      <c r="J591" s="135" t="s">
        <v>4774</v>
      </c>
      <c r="K591" s="164">
        <v>4464183847</v>
      </c>
      <c r="L591" s="165">
        <v>4036062774</v>
      </c>
      <c r="M591" s="165">
        <v>412739483</v>
      </c>
      <c r="N591" s="165">
        <v>25010891</v>
      </c>
      <c r="O591" s="165">
        <v>261895286</v>
      </c>
      <c r="P591" s="165">
        <v>69239030</v>
      </c>
      <c r="Q591" s="165">
        <v>4628295</v>
      </c>
      <c r="R591" s="165">
        <v>725.41666666666663</v>
      </c>
      <c r="S591" s="165">
        <v>376155092</v>
      </c>
      <c r="T591" s="165">
        <v>518536.60011487652</v>
      </c>
      <c r="U591" s="166">
        <v>15381590</v>
      </c>
      <c r="V591" s="168">
        <v>4932992303</v>
      </c>
      <c r="W591" s="165">
        <v>4661288494</v>
      </c>
      <c r="X591" s="165">
        <v>470740077</v>
      </c>
      <c r="Y591" s="165">
        <v>17859931</v>
      </c>
      <c r="Z591" s="165">
        <v>261912572</v>
      </c>
      <c r="AA591" s="165">
        <v>79912387</v>
      </c>
      <c r="AB591" s="165">
        <v>3838686</v>
      </c>
      <c r="AC591" s="165">
        <v>676.66666666666663</v>
      </c>
      <c r="AD591" s="165">
        <v>164487308</v>
      </c>
      <c r="AE591" s="165">
        <v>243084.69162561579</v>
      </c>
      <c r="AF591" s="166">
        <v>-199036268</v>
      </c>
      <c r="AG591" s="124">
        <v>-211667784</v>
      </c>
      <c r="AH591" s="125">
        <v>-48.75</v>
      </c>
      <c r="AI591" s="133">
        <v>0</v>
      </c>
      <c r="AJ591" s="133">
        <v>0</v>
      </c>
      <c r="AK591" s="126">
        <v>0.1</v>
      </c>
      <c r="AL591" s="126">
        <v>-0.53121015951429462</v>
      </c>
      <c r="AM591" s="14">
        <v>0</v>
      </c>
      <c r="AN591" s="122">
        <v>-1</v>
      </c>
      <c r="AO591" s="131">
        <v>361027.39023549686</v>
      </c>
      <c r="AP591" s="131">
        <v>387062.91428571433</v>
      </c>
      <c r="AQ591" s="131">
        <v>26035.524050217471</v>
      </c>
      <c r="AR591" s="130">
        <v>7.2115093631080374E-2</v>
      </c>
    </row>
    <row r="592" spans="1:44" ht="28.8" x14ac:dyDescent="0.3">
      <c r="A592" s="136" t="s">
        <v>837</v>
      </c>
      <c r="B592" s="137" t="s">
        <v>5369</v>
      </c>
      <c r="C592" s="134">
        <v>2019</v>
      </c>
      <c r="D592" s="149" t="s">
        <v>1165</v>
      </c>
      <c r="E592" s="135" t="s">
        <v>1152</v>
      </c>
      <c r="F592" s="384" t="s">
        <v>829</v>
      </c>
      <c r="G592" s="138" t="s">
        <v>4773</v>
      </c>
      <c r="H592" s="138" t="s">
        <v>1704</v>
      </c>
      <c r="I592" s="138" t="s">
        <v>1566</v>
      </c>
      <c r="J592" s="135" t="s">
        <v>4774</v>
      </c>
      <c r="K592" s="164">
        <v>1027424476</v>
      </c>
      <c r="L592" s="165">
        <v>702906835</v>
      </c>
      <c r="M592" s="165">
        <v>300689143</v>
      </c>
      <c r="N592" s="165">
        <v>49883790</v>
      </c>
      <c r="O592" s="165">
        <v>126464313</v>
      </c>
      <c r="P592" s="165">
        <v>34323986</v>
      </c>
      <c r="Q592" s="165">
        <v>4554800</v>
      </c>
      <c r="R592" s="165">
        <v>358.5</v>
      </c>
      <c r="S592" s="165">
        <v>239055387</v>
      </c>
      <c r="T592" s="165">
        <v>666821.16317991633</v>
      </c>
      <c r="U592" s="166">
        <v>23828498</v>
      </c>
      <c r="V592" s="168">
        <v>1310153215</v>
      </c>
      <c r="W592" s="165">
        <v>944470136</v>
      </c>
      <c r="X592" s="165">
        <v>329462169</v>
      </c>
      <c r="Y592" s="165">
        <v>40073678</v>
      </c>
      <c r="Z592" s="165">
        <v>122119979</v>
      </c>
      <c r="AA592" s="165">
        <v>36089307</v>
      </c>
      <c r="AB592" s="165">
        <v>4154988</v>
      </c>
      <c r="AC592" s="165">
        <v>302.58333333333331</v>
      </c>
      <c r="AD592" s="165">
        <v>238658862</v>
      </c>
      <c r="AE592" s="165">
        <v>788737.63260809705</v>
      </c>
      <c r="AF592" s="166">
        <v>36220910</v>
      </c>
      <c r="AG592" s="124">
        <v>-396525</v>
      </c>
      <c r="AH592" s="125">
        <v>-55.916666666666686</v>
      </c>
      <c r="AI592" s="133">
        <v>1</v>
      </c>
      <c r="AJ592" s="133">
        <v>1</v>
      </c>
      <c r="AK592" s="126">
        <v>0.15</v>
      </c>
      <c r="AL592" s="126">
        <v>0.18283233543458643</v>
      </c>
      <c r="AM592" s="14">
        <v>1</v>
      </c>
      <c r="AN592" s="122">
        <v>0</v>
      </c>
      <c r="AO592" s="131">
        <v>352759.58995815902</v>
      </c>
      <c r="AP592" s="131">
        <v>403591.22776094743</v>
      </c>
      <c r="AQ592" s="131">
        <v>50831.637802788406</v>
      </c>
      <c r="AR592" s="130">
        <v>0.14409711103479173</v>
      </c>
    </row>
    <row r="593" spans="1:44" ht="28.8" x14ac:dyDescent="0.3">
      <c r="A593" s="136" t="s">
        <v>838</v>
      </c>
      <c r="B593" s="137" t="s">
        <v>5370</v>
      </c>
      <c r="C593" s="134">
        <v>2020</v>
      </c>
      <c r="D593" s="149" t="s">
        <v>1165</v>
      </c>
      <c r="E593" s="135" t="s">
        <v>1152</v>
      </c>
      <c r="F593" s="384" t="s">
        <v>829</v>
      </c>
      <c r="G593" s="138" t="s">
        <v>4773</v>
      </c>
      <c r="H593" s="138" t="s">
        <v>1870</v>
      </c>
      <c r="I593" s="138" t="s">
        <v>1566</v>
      </c>
      <c r="J593" s="135" t="s">
        <v>4774</v>
      </c>
      <c r="K593" s="164">
        <v>1340643683</v>
      </c>
      <c r="L593" s="165">
        <v>1180722438</v>
      </c>
      <c r="M593" s="165">
        <v>132406029</v>
      </c>
      <c r="N593" s="165">
        <v>3559203</v>
      </c>
      <c r="O593" s="165">
        <v>55109380</v>
      </c>
      <c r="P593" s="165">
        <v>15345861</v>
      </c>
      <c r="Q593" s="165">
        <v>179513</v>
      </c>
      <c r="R593" s="165">
        <v>163.83333333333334</v>
      </c>
      <c r="S593" s="165">
        <v>101709173</v>
      </c>
      <c r="T593" s="165">
        <v>620808.7873855544</v>
      </c>
      <c r="U593" s="166">
        <v>27515216</v>
      </c>
      <c r="V593" s="168">
        <v>2585249057</v>
      </c>
      <c r="W593" s="165">
        <v>2387520337</v>
      </c>
      <c r="X593" s="165">
        <v>130143779</v>
      </c>
      <c r="Y593" s="165">
        <v>7197897</v>
      </c>
      <c r="Z593" s="165">
        <v>64827817</v>
      </c>
      <c r="AA593" s="165">
        <v>19358010</v>
      </c>
      <c r="AB593" s="165">
        <v>179169</v>
      </c>
      <c r="AC593" s="165">
        <v>159.91666666666666</v>
      </c>
      <c r="AD593" s="165">
        <v>159147834</v>
      </c>
      <c r="AE593" s="165">
        <v>995192.29181865556</v>
      </c>
      <c r="AF593" s="166">
        <v>67584941</v>
      </c>
      <c r="AG593" s="124">
        <v>57438661</v>
      </c>
      <c r="AH593" s="125">
        <v>-3.9166666666666856</v>
      </c>
      <c r="AI593" s="133">
        <v>1</v>
      </c>
      <c r="AJ593" s="133">
        <v>1</v>
      </c>
      <c r="AK593" s="126">
        <v>0.1</v>
      </c>
      <c r="AL593" s="126">
        <v>0.60305766611326495</v>
      </c>
      <c r="AM593" s="14">
        <v>1</v>
      </c>
      <c r="AN593" s="122">
        <v>0</v>
      </c>
      <c r="AO593" s="131">
        <v>336374.64903357066</v>
      </c>
      <c r="AP593" s="131">
        <v>405384.99426784785</v>
      </c>
      <c r="AQ593" s="131">
        <v>69010.345234277193</v>
      </c>
      <c r="AR593" s="130">
        <v>0.20515917424975116</v>
      </c>
    </row>
    <row r="594" spans="1:44" ht="28.8" x14ac:dyDescent="0.3">
      <c r="A594" s="136" t="s">
        <v>839</v>
      </c>
      <c r="B594" s="137" t="s">
        <v>5371</v>
      </c>
      <c r="C594" s="134">
        <v>2020</v>
      </c>
      <c r="D594" s="149" t="s">
        <v>4873</v>
      </c>
      <c r="E594" s="135" t="s">
        <v>1140</v>
      </c>
      <c r="F594" s="384" t="s">
        <v>840</v>
      </c>
      <c r="G594" s="138" t="s">
        <v>4773</v>
      </c>
      <c r="H594" s="138" t="s">
        <v>2264</v>
      </c>
      <c r="I594" s="138" t="s">
        <v>1566</v>
      </c>
      <c r="J594" s="135" t="s">
        <v>4774</v>
      </c>
      <c r="K594" s="164">
        <v>428492531</v>
      </c>
      <c r="L594" s="165">
        <v>348240234</v>
      </c>
      <c r="M594" s="165">
        <v>71244824</v>
      </c>
      <c r="N594" s="165">
        <v>7079680</v>
      </c>
      <c r="O594" s="165">
        <v>20598101</v>
      </c>
      <c r="P594" s="165">
        <v>4601944</v>
      </c>
      <c r="Q594" s="165">
        <v>0</v>
      </c>
      <c r="R594" s="165">
        <v>50.833333333333336</v>
      </c>
      <c r="S594" s="165">
        <v>41287198</v>
      </c>
      <c r="T594" s="165">
        <v>812207.17377049173</v>
      </c>
      <c r="U594" s="166">
        <v>9007473</v>
      </c>
      <c r="V594" s="168">
        <v>705932585</v>
      </c>
      <c r="W594" s="165">
        <v>602510051</v>
      </c>
      <c r="X594" s="165">
        <v>92945079</v>
      </c>
      <c r="Y594" s="165">
        <v>7965206</v>
      </c>
      <c r="Z594" s="165">
        <v>24680950</v>
      </c>
      <c r="AA594" s="165">
        <v>4830245</v>
      </c>
      <c r="AB594" s="165">
        <v>0</v>
      </c>
      <c r="AC594" s="165">
        <v>53</v>
      </c>
      <c r="AD594" s="165">
        <v>47953856</v>
      </c>
      <c r="AE594" s="165">
        <v>904789.73584905663</v>
      </c>
      <c r="AF594" s="166">
        <v>10477455</v>
      </c>
      <c r="AG594" s="124">
        <v>6666658</v>
      </c>
      <c r="AH594" s="125">
        <v>2.1666666666666643</v>
      </c>
      <c r="AI594" s="133">
        <v>1</v>
      </c>
      <c r="AJ594" s="133">
        <v>1</v>
      </c>
      <c r="AK594" s="126">
        <v>0.1</v>
      </c>
      <c r="AL594" s="126">
        <v>0.11398886074842207</v>
      </c>
      <c r="AM594" s="14">
        <v>1</v>
      </c>
      <c r="AN594" s="122">
        <v>0</v>
      </c>
      <c r="AO594" s="131">
        <v>405208.54426229506</v>
      </c>
      <c r="AP594" s="131">
        <v>465678.30188679247</v>
      </c>
      <c r="AQ594" s="131">
        <v>60469.757624497404</v>
      </c>
      <c r="AR594" s="130">
        <v>0.14923120077486529</v>
      </c>
    </row>
    <row r="595" spans="1:44" ht="28.8" x14ac:dyDescent="0.3">
      <c r="A595" s="136" t="s">
        <v>841</v>
      </c>
      <c r="B595" s="137" t="s">
        <v>5372</v>
      </c>
      <c r="C595" s="134">
        <v>2019</v>
      </c>
      <c r="D595" s="149" t="s">
        <v>4873</v>
      </c>
      <c r="E595" s="135" t="s">
        <v>1140</v>
      </c>
      <c r="F595" s="384" t="s">
        <v>840</v>
      </c>
      <c r="G595" s="138" t="s">
        <v>4773</v>
      </c>
      <c r="H595" s="138" t="s">
        <v>4960</v>
      </c>
      <c r="I595" s="138" t="s">
        <v>4612</v>
      </c>
      <c r="J595" s="135" t="s">
        <v>4774</v>
      </c>
      <c r="K595" s="164">
        <v>820856126</v>
      </c>
      <c r="L595" s="165">
        <v>715441492</v>
      </c>
      <c r="M595" s="165">
        <v>40231577</v>
      </c>
      <c r="N595" s="165">
        <v>15723551</v>
      </c>
      <c r="O595" s="165">
        <v>127680145</v>
      </c>
      <c r="P595" s="165">
        <v>36664833</v>
      </c>
      <c r="Q595" s="165">
        <v>2362124</v>
      </c>
      <c r="R595" s="165">
        <v>315.66666666666669</v>
      </c>
      <c r="S595" s="165">
        <v>247613710</v>
      </c>
      <c r="T595" s="165">
        <v>784415.13199577609</v>
      </c>
      <c r="U595" s="166">
        <v>65183057</v>
      </c>
      <c r="V595" s="168">
        <v>940564130</v>
      </c>
      <c r="W595" s="165">
        <v>758885640</v>
      </c>
      <c r="X595" s="165">
        <v>84514442</v>
      </c>
      <c r="Y595" s="165">
        <v>16484827</v>
      </c>
      <c r="Z595" s="165">
        <v>156994039</v>
      </c>
      <c r="AA595" s="165">
        <v>46069966.210000001</v>
      </c>
      <c r="AB595" s="165">
        <v>1919588</v>
      </c>
      <c r="AC595" s="165">
        <v>314.41666666666669</v>
      </c>
      <c r="AD595" s="165">
        <v>318632468.20999998</v>
      </c>
      <c r="AE595" s="165">
        <v>1013408.3271985156</v>
      </c>
      <c r="AF595" s="166">
        <v>97164048</v>
      </c>
      <c r="AG595" s="124">
        <v>71018758.209999979</v>
      </c>
      <c r="AH595" s="125">
        <v>-1.25</v>
      </c>
      <c r="AI595" s="133">
        <v>1</v>
      </c>
      <c r="AJ595" s="133">
        <v>1</v>
      </c>
      <c r="AK595" s="126">
        <v>0.15</v>
      </c>
      <c r="AL595" s="126">
        <v>0.29192858633412633</v>
      </c>
      <c r="AM595" s="14">
        <v>1</v>
      </c>
      <c r="AN595" s="122">
        <v>0</v>
      </c>
      <c r="AO595" s="131">
        <v>404477.75607180566</v>
      </c>
      <c r="AP595" s="131">
        <v>499318.43837794854</v>
      </c>
      <c r="AQ595" s="131">
        <v>94840.682306142873</v>
      </c>
      <c r="AR595" s="130">
        <v>0.23447688008164813</v>
      </c>
    </row>
    <row r="596" spans="1:44" ht="28.8" x14ac:dyDescent="0.3">
      <c r="A596" s="136" t="s">
        <v>842</v>
      </c>
      <c r="B596" s="137" t="s">
        <v>5373</v>
      </c>
      <c r="C596" s="134">
        <v>2020</v>
      </c>
      <c r="D596" s="149" t="s">
        <v>1134</v>
      </c>
      <c r="E596" s="135" t="s">
        <v>1131</v>
      </c>
      <c r="F596" s="384" t="s">
        <v>843</v>
      </c>
      <c r="G596" s="138" t="s">
        <v>4796</v>
      </c>
      <c r="H596" s="138" t="s">
        <v>2363</v>
      </c>
      <c r="I596" s="138" t="s">
        <v>1566</v>
      </c>
      <c r="J596" s="135" t="s">
        <v>4778</v>
      </c>
      <c r="K596" s="164">
        <v>5014963607</v>
      </c>
      <c r="L596" s="165">
        <v>2049007756</v>
      </c>
      <c r="M596" s="165">
        <v>2140878278</v>
      </c>
      <c r="N596" s="165">
        <v>126299167</v>
      </c>
      <c r="O596" s="165">
        <v>1643088096.0999999</v>
      </c>
      <c r="P596" s="165">
        <v>494314549.38</v>
      </c>
      <c r="Q596" s="165">
        <v>5505342</v>
      </c>
      <c r="R596" s="165">
        <v>2693.1666666666665</v>
      </c>
      <c r="S596" s="165">
        <v>3094284727.48</v>
      </c>
      <c r="T596" s="165">
        <v>1148939.189608268</v>
      </c>
      <c r="U596" s="166">
        <v>825077573</v>
      </c>
      <c r="V596" s="168">
        <v>5563729825</v>
      </c>
      <c r="W596" s="165">
        <v>2421872674</v>
      </c>
      <c r="X596" s="165">
        <v>2228338310</v>
      </c>
      <c r="Y596" s="165">
        <v>134555982</v>
      </c>
      <c r="Z596" s="165">
        <v>1794255011.5</v>
      </c>
      <c r="AA596" s="165">
        <v>539340947.43000007</v>
      </c>
      <c r="AB596" s="165">
        <v>7101671</v>
      </c>
      <c r="AC596" s="165">
        <v>2676.3333333333335</v>
      </c>
      <c r="AD596" s="165">
        <v>3388772452.9300003</v>
      </c>
      <c r="AE596" s="165">
        <v>1266199.6959509279</v>
      </c>
      <c r="AF596" s="166">
        <v>913518841</v>
      </c>
      <c r="AG596" s="124">
        <v>294487725.45000029</v>
      </c>
      <c r="AH596" s="125">
        <v>-16.83333333333303</v>
      </c>
      <c r="AI596" s="133">
        <v>1</v>
      </c>
      <c r="AJ596" s="133">
        <v>1</v>
      </c>
      <c r="AK596" s="126">
        <v>0.05</v>
      </c>
      <c r="AL596" s="126">
        <v>0.10205980527133041</v>
      </c>
      <c r="AM596" s="14">
        <v>1</v>
      </c>
      <c r="AN596" s="122">
        <v>0</v>
      </c>
      <c r="AO596" s="131">
        <v>610095.21484002727</v>
      </c>
      <c r="AP596" s="131">
        <v>670415.37358326069</v>
      </c>
      <c r="AQ596" s="131">
        <v>60320.15874323342</v>
      </c>
      <c r="AR596" s="130">
        <v>9.8870073516393653E-2</v>
      </c>
    </row>
    <row r="597" spans="1:44" ht="28.8" x14ac:dyDescent="0.3">
      <c r="A597" s="136" t="s">
        <v>844</v>
      </c>
      <c r="B597" s="137" t="s">
        <v>5374</v>
      </c>
      <c r="C597" s="134">
        <v>2019</v>
      </c>
      <c r="D597" s="149" t="s">
        <v>4801</v>
      </c>
      <c r="E597" s="135" t="s">
        <v>1131</v>
      </c>
      <c r="F597" s="384" t="s">
        <v>843</v>
      </c>
      <c r="G597" s="138" t="s">
        <v>4773</v>
      </c>
      <c r="H597" s="138" t="s">
        <v>1255</v>
      </c>
      <c r="I597" s="138" t="s">
        <v>1217</v>
      </c>
      <c r="J597" s="135" t="s">
        <v>4778</v>
      </c>
      <c r="K597" s="164">
        <v>502173882</v>
      </c>
      <c r="L597" s="165">
        <v>388376081</v>
      </c>
      <c r="M597" s="165">
        <v>3854002</v>
      </c>
      <c r="N597" s="165">
        <v>25818965</v>
      </c>
      <c r="O597" s="165">
        <v>140616996</v>
      </c>
      <c r="P597" s="165">
        <v>41657692</v>
      </c>
      <c r="Q597" s="165">
        <v>3435571</v>
      </c>
      <c r="R597" s="165">
        <v>351.16666666666669</v>
      </c>
      <c r="S597" s="165">
        <v>321473023</v>
      </c>
      <c r="T597" s="165">
        <v>915442.87517797807</v>
      </c>
      <c r="U597" s="166">
        <v>109943799</v>
      </c>
      <c r="V597" s="168">
        <v>651708735</v>
      </c>
      <c r="W597" s="165">
        <v>499955896</v>
      </c>
      <c r="X597" s="165">
        <v>5018479</v>
      </c>
      <c r="Y597" s="165">
        <v>40345662</v>
      </c>
      <c r="Z597" s="165">
        <v>170291628.80999997</v>
      </c>
      <c r="AA597" s="165">
        <v>50476310.620000005</v>
      </c>
      <c r="AB597" s="165">
        <v>2853861</v>
      </c>
      <c r="AC597" s="165">
        <v>360.83333333333331</v>
      </c>
      <c r="AD597" s="165">
        <v>410701822.42999995</v>
      </c>
      <c r="AE597" s="165">
        <v>1138203.6649330254</v>
      </c>
      <c r="AF597" s="166">
        <v>146734360</v>
      </c>
      <c r="AG597" s="124">
        <v>89228799.429999948</v>
      </c>
      <c r="AH597" s="125">
        <v>9.6666666666666288</v>
      </c>
      <c r="AI597" s="133">
        <v>1</v>
      </c>
      <c r="AJ597" s="133">
        <v>1</v>
      </c>
      <c r="AK597" s="126">
        <v>0.15</v>
      </c>
      <c r="AL597" s="126">
        <v>0.24333662412667389</v>
      </c>
      <c r="AM597" s="14">
        <v>1</v>
      </c>
      <c r="AN597" s="122">
        <v>0</v>
      </c>
      <c r="AO597" s="131">
        <v>400428.08542952064</v>
      </c>
      <c r="AP597" s="131">
        <v>471939.84889607388</v>
      </c>
      <c r="AQ597" s="131">
        <v>71511.763466553239</v>
      </c>
      <c r="AR597" s="130">
        <v>0.17858828106386659</v>
      </c>
    </row>
    <row r="598" spans="1:44" ht="28.8" x14ac:dyDescent="0.3">
      <c r="A598" s="136" t="s">
        <v>845</v>
      </c>
      <c r="B598" s="137" t="s">
        <v>1138</v>
      </c>
      <c r="C598" s="134">
        <v>2020</v>
      </c>
      <c r="D598" s="149" t="s">
        <v>1137</v>
      </c>
      <c r="E598" s="135" t="s">
        <v>1131</v>
      </c>
      <c r="F598" s="384" t="s">
        <v>846</v>
      </c>
      <c r="G598" s="138" t="s">
        <v>4787</v>
      </c>
      <c r="H598" s="138" t="s">
        <v>1401</v>
      </c>
      <c r="I598" s="138" t="s">
        <v>1217</v>
      </c>
      <c r="J598" s="135" t="s">
        <v>4774</v>
      </c>
      <c r="K598" s="164">
        <v>7790020020</v>
      </c>
      <c r="L598" s="165">
        <v>7307705506</v>
      </c>
      <c r="M598" s="165">
        <v>187758059</v>
      </c>
      <c r="N598" s="165">
        <v>381976548</v>
      </c>
      <c r="O598" s="165">
        <v>546719727.61000001</v>
      </c>
      <c r="P598" s="165">
        <v>139845437.24000001</v>
      </c>
      <c r="Q598" s="165">
        <v>37270683</v>
      </c>
      <c r="R598" s="165">
        <v>982.58333333333337</v>
      </c>
      <c r="S598" s="165">
        <v>1400368850.8500001</v>
      </c>
      <c r="T598" s="165">
        <v>1425190.9261470614</v>
      </c>
      <c r="U598" s="166">
        <v>294556455</v>
      </c>
      <c r="V598" s="168">
        <v>8251631022</v>
      </c>
      <c r="W598" s="165">
        <v>9967112167</v>
      </c>
      <c r="X598" s="165">
        <v>0</v>
      </c>
      <c r="Y598" s="165">
        <v>0</v>
      </c>
      <c r="Z598" s="165">
        <v>449551903.20999998</v>
      </c>
      <c r="AA598" s="165">
        <v>140956572.14000002</v>
      </c>
      <c r="AB598" s="165">
        <v>2444387</v>
      </c>
      <c r="AC598" s="165">
        <v>794.75</v>
      </c>
      <c r="AD598" s="165">
        <v>-1122528282.6499999</v>
      </c>
      <c r="AE598" s="165">
        <v>-1412429.4213903742</v>
      </c>
      <c r="AF598" s="166">
        <v>-1715481145</v>
      </c>
      <c r="AG598" s="124">
        <v>-2522897133.5</v>
      </c>
      <c r="AH598" s="125">
        <v>-187.83333333333337</v>
      </c>
      <c r="AI598" s="133">
        <v>0</v>
      </c>
      <c r="AJ598" s="133">
        <v>0</v>
      </c>
      <c r="AK598" s="126">
        <v>0.1</v>
      </c>
      <c r="AL598" s="126">
        <v>-1.9910457541292379</v>
      </c>
      <c r="AM598" s="14">
        <v>0</v>
      </c>
      <c r="AN598" s="122">
        <v>-1</v>
      </c>
      <c r="AO598" s="131">
        <v>556410.54459503014</v>
      </c>
      <c r="AP598" s="131">
        <v>565651.97006605845</v>
      </c>
      <c r="AQ598" s="131">
        <v>9241.425471028313</v>
      </c>
      <c r="AR598" s="130">
        <v>1.6609004916961823E-2</v>
      </c>
    </row>
    <row r="599" spans="1:44" ht="28.8" x14ac:dyDescent="0.3">
      <c r="A599" s="136" t="s">
        <v>847</v>
      </c>
      <c r="B599" s="137" t="s">
        <v>1135</v>
      </c>
      <c r="C599" s="134">
        <v>2020</v>
      </c>
      <c r="D599" s="149" t="s">
        <v>1134</v>
      </c>
      <c r="E599" s="135" t="s">
        <v>1131</v>
      </c>
      <c r="F599" s="384" t="s">
        <v>204</v>
      </c>
      <c r="G599" s="138" t="s">
        <v>4787</v>
      </c>
      <c r="H599" s="138" t="s">
        <v>1616</v>
      </c>
      <c r="I599" s="138" t="s">
        <v>1566</v>
      </c>
      <c r="J599" s="135" t="s">
        <v>4774</v>
      </c>
      <c r="K599" s="164">
        <v>1607756803</v>
      </c>
      <c r="L599" s="165">
        <v>1244540236</v>
      </c>
      <c r="M599" s="165">
        <v>296483023</v>
      </c>
      <c r="N599" s="165">
        <v>31715448</v>
      </c>
      <c r="O599" s="165">
        <v>108123685.66</v>
      </c>
      <c r="P599" s="165">
        <v>23625937.34</v>
      </c>
      <c r="Q599" s="165">
        <v>0</v>
      </c>
      <c r="R599" s="165">
        <v>270.58333333333331</v>
      </c>
      <c r="S599" s="165">
        <v>230198615</v>
      </c>
      <c r="T599" s="165">
        <v>850749.42408376967</v>
      </c>
      <c r="U599" s="166">
        <v>66733544</v>
      </c>
      <c r="V599" s="168">
        <v>2164226410</v>
      </c>
      <c r="W599" s="165">
        <v>1665856803</v>
      </c>
      <c r="X599" s="165">
        <v>406908066</v>
      </c>
      <c r="Y599" s="165">
        <v>27532234</v>
      </c>
      <c r="Z599" s="165">
        <v>177838070.24000001</v>
      </c>
      <c r="AA599" s="165">
        <v>34303455.609999999</v>
      </c>
      <c r="AB599" s="165">
        <v>0</v>
      </c>
      <c r="AC599" s="165">
        <v>370.58333333333331</v>
      </c>
      <c r="AD599" s="165">
        <v>331135300.85000002</v>
      </c>
      <c r="AE599" s="165">
        <v>893551.52017090179</v>
      </c>
      <c r="AF599" s="166">
        <v>91461541</v>
      </c>
      <c r="AG599" s="124">
        <v>100936685.85000002</v>
      </c>
      <c r="AH599" s="125">
        <v>100</v>
      </c>
      <c r="AI599" s="133">
        <v>0</v>
      </c>
      <c r="AJ599" s="133">
        <v>1</v>
      </c>
      <c r="AK599" s="126">
        <v>0.1</v>
      </c>
      <c r="AL599" s="126">
        <v>5.0311053988141285E-2</v>
      </c>
      <c r="AM599" s="14">
        <v>0</v>
      </c>
      <c r="AN599" s="122">
        <v>-1</v>
      </c>
      <c r="AO599" s="131">
        <v>399594.7729966123</v>
      </c>
      <c r="AP599" s="131">
        <v>479886.85470654379</v>
      </c>
      <c r="AQ599" s="131">
        <v>80292.081709931488</v>
      </c>
      <c r="AR599" s="130">
        <v>0.20093376374223038</v>
      </c>
    </row>
    <row r="600" spans="1:44" ht="28.8" x14ac:dyDescent="0.3">
      <c r="A600" s="136" t="s">
        <v>848</v>
      </c>
      <c r="B600" s="137" t="s">
        <v>1166</v>
      </c>
      <c r="C600" s="134">
        <v>2020</v>
      </c>
      <c r="D600" s="149" t="s">
        <v>1165</v>
      </c>
      <c r="E600" s="135" t="s">
        <v>1152</v>
      </c>
      <c r="F600" s="384" t="s">
        <v>623</v>
      </c>
      <c r="G600" s="138" t="s">
        <v>4787</v>
      </c>
      <c r="H600" s="138" t="s">
        <v>1740</v>
      </c>
      <c r="I600" s="138" t="s">
        <v>1566</v>
      </c>
      <c r="J600" s="135" t="s">
        <v>4778</v>
      </c>
      <c r="K600" s="164">
        <v>1426224781</v>
      </c>
      <c r="L600" s="165">
        <v>799659644</v>
      </c>
      <c r="M600" s="165">
        <v>584880107</v>
      </c>
      <c r="N600" s="165">
        <v>49296631</v>
      </c>
      <c r="O600" s="165">
        <v>326076998</v>
      </c>
      <c r="P600" s="165">
        <v>85761876</v>
      </c>
      <c r="Q600" s="165">
        <v>487779</v>
      </c>
      <c r="R600" s="165">
        <v>842.08333333333337</v>
      </c>
      <c r="S600" s="165">
        <v>503308314</v>
      </c>
      <c r="T600" s="165">
        <v>597694.18782780797</v>
      </c>
      <c r="U600" s="166">
        <v>41685030</v>
      </c>
      <c r="V600" s="168">
        <v>1643399236</v>
      </c>
      <c r="W600" s="165">
        <v>918610751</v>
      </c>
      <c r="X600" s="165">
        <v>699440649</v>
      </c>
      <c r="Y600" s="165">
        <v>51116911</v>
      </c>
      <c r="Z600" s="165">
        <v>366781759</v>
      </c>
      <c r="AA600" s="165">
        <v>109365620</v>
      </c>
      <c r="AB600" s="165">
        <v>1157772</v>
      </c>
      <c r="AC600" s="165">
        <v>794.75</v>
      </c>
      <c r="AD600" s="165">
        <v>553769898</v>
      </c>
      <c r="AE600" s="165">
        <v>696785.02422145323</v>
      </c>
      <c r="AF600" s="166">
        <v>25347836</v>
      </c>
      <c r="AG600" s="124">
        <v>50461584</v>
      </c>
      <c r="AH600" s="125">
        <v>-47.333333333333371</v>
      </c>
      <c r="AI600" s="133">
        <v>1</v>
      </c>
      <c r="AJ600" s="133">
        <v>1</v>
      </c>
      <c r="AK600" s="126">
        <v>0.1</v>
      </c>
      <c r="AL600" s="126">
        <v>0.16578851134557637</v>
      </c>
      <c r="AM600" s="14">
        <v>1</v>
      </c>
      <c r="AN600" s="122">
        <v>0</v>
      </c>
      <c r="AO600" s="131">
        <v>387226.51914893615</v>
      </c>
      <c r="AP600" s="131">
        <v>461505.83076439134</v>
      </c>
      <c r="AQ600" s="131">
        <v>74279.311615455197</v>
      </c>
      <c r="AR600" s="130">
        <v>0.19182392719049712</v>
      </c>
    </row>
    <row r="601" spans="1:44" ht="28.8" x14ac:dyDescent="0.3">
      <c r="A601" s="136" t="s">
        <v>849</v>
      </c>
      <c r="B601" s="137" t="s">
        <v>5375</v>
      </c>
      <c r="C601" s="134">
        <v>2019</v>
      </c>
      <c r="D601" s="149" t="s">
        <v>1167</v>
      </c>
      <c r="E601" s="135" t="s">
        <v>1152</v>
      </c>
      <c r="F601" s="384" t="s">
        <v>850</v>
      </c>
      <c r="G601" s="138" t="s">
        <v>4773</v>
      </c>
      <c r="H601" s="138" t="s">
        <v>2475</v>
      </c>
      <c r="I601" s="138" t="s">
        <v>1566</v>
      </c>
      <c r="J601" s="135" t="s">
        <v>4774</v>
      </c>
      <c r="K601" s="164">
        <v>3302273533</v>
      </c>
      <c r="L601" s="165">
        <v>2258515145</v>
      </c>
      <c r="M601" s="165">
        <v>755518249</v>
      </c>
      <c r="N601" s="165">
        <v>192401783</v>
      </c>
      <c r="O601" s="165">
        <v>367850066</v>
      </c>
      <c r="P601" s="165">
        <v>113611570</v>
      </c>
      <c r="Q601" s="165">
        <v>28411025</v>
      </c>
      <c r="R601" s="165">
        <v>792.33333333333337</v>
      </c>
      <c r="S601" s="165">
        <v>990514583</v>
      </c>
      <c r="T601" s="165">
        <v>1250123.5797223391</v>
      </c>
      <c r="U601" s="166">
        <v>288240139</v>
      </c>
      <c r="V601" s="168">
        <v>3933272313</v>
      </c>
      <c r="W601" s="165">
        <v>2838417033</v>
      </c>
      <c r="X601" s="165">
        <v>890175607</v>
      </c>
      <c r="Y601" s="165">
        <v>213321980</v>
      </c>
      <c r="Z601" s="165">
        <v>397492596</v>
      </c>
      <c r="AA601" s="165">
        <v>123990730</v>
      </c>
      <c r="AB601" s="165">
        <v>22314147</v>
      </c>
      <c r="AC601" s="165">
        <v>674.58333333333337</v>
      </c>
      <c r="AD601" s="165">
        <v>961799126</v>
      </c>
      <c r="AE601" s="165">
        <v>1425767.6975911055</v>
      </c>
      <c r="AF601" s="166">
        <v>204679673</v>
      </c>
      <c r="AG601" s="124">
        <v>-28715457</v>
      </c>
      <c r="AH601" s="125">
        <v>-117.75</v>
      </c>
      <c r="AI601" s="133">
        <v>0</v>
      </c>
      <c r="AJ601" s="133">
        <v>1</v>
      </c>
      <c r="AK601" s="126">
        <v>0.15</v>
      </c>
      <c r="AL601" s="126">
        <v>0.14050140546904966</v>
      </c>
      <c r="AM601" s="14">
        <v>0</v>
      </c>
      <c r="AN601" s="122">
        <v>-1</v>
      </c>
      <c r="AO601" s="131">
        <v>464261.75767774502</v>
      </c>
      <c r="AP601" s="131">
        <v>589241.64941321802</v>
      </c>
      <c r="AQ601" s="131">
        <v>124979.89173547301</v>
      </c>
      <c r="AR601" s="130">
        <v>0.26920134960205888</v>
      </c>
    </row>
    <row r="602" spans="1:44" ht="28.8" x14ac:dyDescent="0.3">
      <c r="A602" s="136" t="s">
        <v>851</v>
      </c>
      <c r="B602" s="137" t="s">
        <v>5376</v>
      </c>
      <c r="C602" s="134">
        <v>2019</v>
      </c>
      <c r="D602" s="149" t="s">
        <v>1167</v>
      </c>
      <c r="E602" s="135" t="s">
        <v>1152</v>
      </c>
      <c r="F602" s="384" t="s">
        <v>850</v>
      </c>
      <c r="G602" s="138" t="s">
        <v>4773</v>
      </c>
      <c r="H602" s="138" t="s">
        <v>3237</v>
      </c>
      <c r="I602" s="138" t="s">
        <v>1566</v>
      </c>
      <c r="J602" s="135" t="s">
        <v>4778</v>
      </c>
      <c r="K602" s="164">
        <v>1017172246</v>
      </c>
      <c r="L602" s="165">
        <v>876846369</v>
      </c>
      <c r="M602" s="165">
        <v>253712757</v>
      </c>
      <c r="N602" s="165">
        <v>117043020</v>
      </c>
      <c r="O602" s="165">
        <v>206557216</v>
      </c>
      <c r="P602" s="165">
        <v>61965575</v>
      </c>
      <c r="Q602" s="165">
        <v>2357800</v>
      </c>
      <c r="R602" s="165">
        <v>707.83333333333337</v>
      </c>
      <c r="S602" s="165">
        <v>274536731</v>
      </c>
      <c r="T602" s="165">
        <v>387855.04732752527</v>
      </c>
      <c r="U602" s="166">
        <v>-113386880</v>
      </c>
      <c r="V602" s="168">
        <v>2157911124</v>
      </c>
      <c r="W602" s="165">
        <v>1795933600</v>
      </c>
      <c r="X602" s="165">
        <v>369984064</v>
      </c>
      <c r="Y602" s="165">
        <v>127786284</v>
      </c>
      <c r="Z602" s="165">
        <v>234089183</v>
      </c>
      <c r="AA602" s="165">
        <v>70366024</v>
      </c>
      <c r="AB602" s="165">
        <v>2229630</v>
      </c>
      <c r="AC602" s="165">
        <v>623.16666666666663</v>
      </c>
      <c r="AD602" s="165">
        <v>426464581</v>
      </c>
      <c r="AE602" s="165">
        <v>684350.75849157537</v>
      </c>
      <c r="AF602" s="166">
        <v>-8006540</v>
      </c>
      <c r="AG602" s="124">
        <v>151927850</v>
      </c>
      <c r="AH602" s="125">
        <v>-84.666666666666742</v>
      </c>
      <c r="AI602" s="133">
        <v>1</v>
      </c>
      <c r="AJ602" s="133">
        <v>0</v>
      </c>
      <c r="AK602" s="126">
        <v>0.15</v>
      </c>
      <c r="AL602" s="126">
        <v>0.76444978607343139</v>
      </c>
      <c r="AM602" s="14">
        <v>1</v>
      </c>
      <c r="AN602" s="122">
        <v>0</v>
      </c>
      <c r="AO602" s="131">
        <v>291816.17518248176</v>
      </c>
      <c r="AP602" s="131">
        <v>375644.58357849694</v>
      </c>
      <c r="AQ602" s="131">
        <v>83828.408396015177</v>
      </c>
      <c r="AR602" s="130">
        <v>0.28726443400059876</v>
      </c>
    </row>
    <row r="603" spans="1:44" ht="28.8" x14ac:dyDescent="0.3">
      <c r="A603" s="136" t="s">
        <v>852</v>
      </c>
      <c r="B603" s="137" t="s">
        <v>5377</v>
      </c>
      <c r="C603" s="134">
        <v>2019</v>
      </c>
      <c r="D603" s="149" t="s">
        <v>1167</v>
      </c>
      <c r="E603" s="135" t="s">
        <v>1152</v>
      </c>
      <c r="F603" s="384" t="s">
        <v>850</v>
      </c>
      <c r="G603" s="138" t="s">
        <v>4773</v>
      </c>
      <c r="H603" s="138" t="s">
        <v>1636</v>
      </c>
      <c r="I603" s="138" t="s">
        <v>1566</v>
      </c>
      <c r="J603" s="135" t="s">
        <v>4774</v>
      </c>
      <c r="K603" s="164">
        <v>695993113</v>
      </c>
      <c r="L603" s="165">
        <v>549363237</v>
      </c>
      <c r="M603" s="165">
        <v>78047350</v>
      </c>
      <c r="N603" s="165">
        <v>34016998</v>
      </c>
      <c r="O603" s="165">
        <v>48080797</v>
      </c>
      <c r="P603" s="165">
        <v>13493410</v>
      </c>
      <c r="Q603" s="165">
        <v>6937853</v>
      </c>
      <c r="R603" s="165">
        <v>119.58333333333333</v>
      </c>
      <c r="S603" s="165">
        <v>171111584</v>
      </c>
      <c r="T603" s="165">
        <v>1430898.2634146342</v>
      </c>
      <c r="U603" s="166">
        <v>68582526</v>
      </c>
      <c r="V603" s="168">
        <v>1213238898</v>
      </c>
      <c r="W603" s="165">
        <v>1009294355</v>
      </c>
      <c r="X603" s="165">
        <v>96051915</v>
      </c>
      <c r="Y603" s="165">
        <v>32978117</v>
      </c>
      <c r="Z603" s="165">
        <v>61454029</v>
      </c>
      <c r="AA603" s="165">
        <v>12330677</v>
      </c>
      <c r="AB603" s="165">
        <v>6381861</v>
      </c>
      <c r="AC603" s="165">
        <v>138.16666666666666</v>
      </c>
      <c r="AD603" s="165">
        <v>221037312</v>
      </c>
      <c r="AE603" s="165">
        <v>1599787.5416164054</v>
      </c>
      <c r="AF603" s="166">
        <v>107892628</v>
      </c>
      <c r="AG603" s="124">
        <v>49925728</v>
      </c>
      <c r="AH603" s="125">
        <v>18.583333333333329</v>
      </c>
      <c r="AI603" s="133">
        <v>0</v>
      </c>
      <c r="AJ603" s="133">
        <v>0</v>
      </c>
      <c r="AK603" s="126">
        <v>0.15</v>
      </c>
      <c r="AL603" s="126">
        <v>0.1180302504526074</v>
      </c>
      <c r="AM603" s="14">
        <v>0</v>
      </c>
      <c r="AN603" s="122">
        <v>-1</v>
      </c>
      <c r="AO603" s="131">
        <v>402069.38257839723</v>
      </c>
      <c r="AP603" s="131">
        <v>444781.87454764778</v>
      </c>
      <c r="AQ603" s="131">
        <v>42712.49196925055</v>
      </c>
      <c r="AR603" s="130">
        <v>0.10623164513384031</v>
      </c>
    </row>
    <row r="604" spans="1:44" ht="28.8" x14ac:dyDescent="0.3">
      <c r="A604" s="136" t="s">
        <v>853</v>
      </c>
      <c r="B604" s="137" t="s">
        <v>5378</v>
      </c>
      <c r="C604" s="134">
        <v>2020</v>
      </c>
      <c r="D604" s="149" t="s">
        <v>1167</v>
      </c>
      <c r="E604" s="135" t="s">
        <v>1152</v>
      </c>
      <c r="F604" s="384" t="s">
        <v>850</v>
      </c>
      <c r="G604" s="138" t="s">
        <v>4773</v>
      </c>
      <c r="H604" s="138" t="s">
        <v>1881</v>
      </c>
      <c r="I604" s="138" t="s">
        <v>1566</v>
      </c>
      <c r="J604" s="135" t="s">
        <v>4778</v>
      </c>
      <c r="K604" s="164">
        <v>3152900869</v>
      </c>
      <c r="L604" s="165">
        <v>2047520593</v>
      </c>
      <c r="M604" s="165">
        <v>875104661</v>
      </c>
      <c r="N604" s="165">
        <v>308822297</v>
      </c>
      <c r="O604" s="165">
        <v>163011751</v>
      </c>
      <c r="P604" s="165">
        <v>48645813</v>
      </c>
      <c r="Q604" s="165">
        <v>4520473</v>
      </c>
      <c r="R604" s="165">
        <v>522.83333333333337</v>
      </c>
      <c r="S604" s="165">
        <v>755275949</v>
      </c>
      <c r="T604" s="165">
        <v>1444582.624800765</v>
      </c>
      <c r="U604" s="166">
        <v>230275615</v>
      </c>
      <c r="V604" s="168">
        <v>4026464882</v>
      </c>
      <c r="W604" s="165">
        <v>2596765418</v>
      </c>
      <c r="X604" s="165">
        <v>1132367483</v>
      </c>
      <c r="Y604" s="165">
        <v>307580463</v>
      </c>
      <c r="Z604" s="165">
        <v>169063328</v>
      </c>
      <c r="AA604" s="165">
        <v>50462730</v>
      </c>
      <c r="AB604" s="165">
        <v>4575969</v>
      </c>
      <c r="AC604" s="165">
        <v>484.25</v>
      </c>
      <c r="AD604" s="165">
        <v>829014471</v>
      </c>
      <c r="AE604" s="165">
        <v>1711955.541559112</v>
      </c>
      <c r="AF604" s="166">
        <v>297331981</v>
      </c>
      <c r="AG604" s="124">
        <v>73738522</v>
      </c>
      <c r="AH604" s="125">
        <v>-38.583333333333371</v>
      </c>
      <c r="AI604" s="133">
        <v>1</v>
      </c>
      <c r="AJ604" s="133">
        <v>1</v>
      </c>
      <c r="AK604" s="126">
        <v>0.1</v>
      </c>
      <c r="AL604" s="126">
        <v>0.18508662384433228</v>
      </c>
      <c r="AM604" s="14">
        <v>1</v>
      </c>
      <c r="AN604" s="122">
        <v>0</v>
      </c>
      <c r="AO604" s="131">
        <v>311785.30634364038</v>
      </c>
      <c r="AP604" s="131">
        <v>349124.06401652039</v>
      </c>
      <c r="AQ604" s="131">
        <v>37338.75767288002</v>
      </c>
      <c r="AR604" s="130">
        <v>0.11975791326011476</v>
      </c>
    </row>
    <row r="605" spans="1:44" ht="28.8" x14ac:dyDescent="0.3">
      <c r="A605" s="136" t="s">
        <v>854</v>
      </c>
      <c r="B605" s="137" t="s">
        <v>5379</v>
      </c>
      <c r="C605" s="134">
        <v>2020</v>
      </c>
      <c r="D605" s="149" t="s">
        <v>1167</v>
      </c>
      <c r="E605" s="135" t="s">
        <v>1152</v>
      </c>
      <c r="F605" s="384" t="s">
        <v>850</v>
      </c>
      <c r="G605" s="138" t="s">
        <v>4773</v>
      </c>
      <c r="H605" s="138" t="s">
        <v>2717</v>
      </c>
      <c r="I605" s="138" t="s">
        <v>1566</v>
      </c>
      <c r="J605" s="135" t="s">
        <v>4774</v>
      </c>
      <c r="K605" s="164">
        <v>311124775</v>
      </c>
      <c r="L605" s="165">
        <v>254937739</v>
      </c>
      <c r="M605" s="165">
        <v>45195475</v>
      </c>
      <c r="N605" s="165">
        <v>2416280</v>
      </c>
      <c r="O605" s="165">
        <v>33001359</v>
      </c>
      <c r="P605" s="165">
        <v>7723675</v>
      </c>
      <c r="Q605" s="165">
        <v>130621</v>
      </c>
      <c r="R605" s="165">
        <v>101.66666666666667</v>
      </c>
      <c r="S605" s="165">
        <v>54263496</v>
      </c>
      <c r="T605" s="165">
        <v>533739.30491803272</v>
      </c>
      <c r="U605" s="166">
        <v>10991561</v>
      </c>
      <c r="V605" s="168">
        <v>578656535</v>
      </c>
      <c r="W605" s="165">
        <v>514881807</v>
      </c>
      <c r="X605" s="165">
        <v>50779557</v>
      </c>
      <c r="Y605" s="165">
        <v>4486516</v>
      </c>
      <c r="Z605" s="165">
        <v>38359692</v>
      </c>
      <c r="AA605" s="165">
        <v>7607957</v>
      </c>
      <c r="AB605" s="165">
        <v>0</v>
      </c>
      <c r="AC605" s="165">
        <v>87.916666666666671</v>
      </c>
      <c r="AD605" s="165">
        <v>63449336</v>
      </c>
      <c r="AE605" s="165">
        <v>721698.60853080568</v>
      </c>
      <c r="AF605" s="166">
        <v>12995171</v>
      </c>
      <c r="AG605" s="124">
        <v>9185840</v>
      </c>
      <c r="AH605" s="125">
        <v>-13.75</v>
      </c>
      <c r="AI605" s="133">
        <v>1</v>
      </c>
      <c r="AJ605" s="133">
        <v>1</v>
      </c>
      <c r="AK605" s="126">
        <v>0.1</v>
      </c>
      <c r="AL605" s="126">
        <v>0.35215564977133962</v>
      </c>
      <c r="AM605" s="14">
        <v>1</v>
      </c>
      <c r="AN605" s="122">
        <v>0</v>
      </c>
      <c r="AO605" s="131">
        <v>324603.53114754095</v>
      </c>
      <c r="AP605" s="131">
        <v>436318.77156398102</v>
      </c>
      <c r="AQ605" s="131">
        <v>111715.24041644007</v>
      </c>
      <c r="AR605" s="130">
        <v>0.3441590423292793</v>
      </c>
    </row>
    <row r="606" spans="1:44" ht="28.8" x14ac:dyDescent="0.3">
      <c r="A606" s="136" t="s">
        <v>855</v>
      </c>
      <c r="B606" s="137" t="s">
        <v>1168</v>
      </c>
      <c r="C606" s="134">
        <v>2020</v>
      </c>
      <c r="D606" s="149" t="s">
        <v>1167</v>
      </c>
      <c r="E606" s="135" t="s">
        <v>1152</v>
      </c>
      <c r="F606" s="384" t="s">
        <v>850</v>
      </c>
      <c r="G606" s="138" t="s">
        <v>4787</v>
      </c>
      <c r="H606" s="138" t="s">
        <v>1259</v>
      </c>
      <c r="I606" s="138" t="s">
        <v>1217</v>
      </c>
      <c r="J606" s="135" t="s">
        <v>4774</v>
      </c>
      <c r="K606" s="164">
        <v>3055681472</v>
      </c>
      <c r="L606" s="165">
        <v>2691796915</v>
      </c>
      <c r="M606" s="165">
        <v>100592633</v>
      </c>
      <c r="N606" s="165">
        <v>1009029924</v>
      </c>
      <c r="O606" s="165">
        <v>423172615</v>
      </c>
      <c r="P606" s="165">
        <v>121606636</v>
      </c>
      <c r="Q606" s="165">
        <v>3606215</v>
      </c>
      <c r="R606" s="165">
        <v>1250.8333333333333</v>
      </c>
      <c r="S606" s="165">
        <v>1820707314</v>
      </c>
      <c r="T606" s="165">
        <v>1455595.4542305132</v>
      </c>
      <c r="U606" s="166">
        <v>263291924</v>
      </c>
      <c r="V606" s="168">
        <v>4832586940</v>
      </c>
      <c r="W606" s="165">
        <v>5003381652</v>
      </c>
      <c r="X606" s="165">
        <v>126382456</v>
      </c>
      <c r="Y606" s="165">
        <v>1662881507</v>
      </c>
      <c r="Z606" s="165">
        <v>665339639</v>
      </c>
      <c r="AA606" s="165">
        <v>191281820</v>
      </c>
      <c r="AB606" s="165">
        <v>0</v>
      </c>
      <c r="AC606" s="165">
        <v>1423.9166666666667</v>
      </c>
      <c r="AD606" s="165">
        <v>2222325798</v>
      </c>
      <c r="AE606" s="165">
        <v>1560713.3830397378</v>
      </c>
      <c r="AF606" s="166">
        <v>-297177168</v>
      </c>
      <c r="AG606" s="124">
        <v>401618484</v>
      </c>
      <c r="AH606" s="125">
        <v>173.08333333333348</v>
      </c>
      <c r="AI606" s="133">
        <v>0</v>
      </c>
      <c r="AJ606" s="133">
        <v>1</v>
      </c>
      <c r="AK606" s="126">
        <v>0.1</v>
      </c>
      <c r="AL606" s="126">
        <v>7.2216445853825695E-2</v>
      </c>
      <c r="AM606" s="14">
        <v>0</v>
      </c>
      <c r="AN606" s="122">
        <v>-1</v>
      </c>
      <c r="AO606" s="131">
        <v>338312.55029980018</v>
      </c>
      <c r="AP606" s="131">
        <v>467260.23690524959</v>
      </c>
      <c r="AQ606" s="131">
        <v>128947.68660544942</v>
      </c>
      <c r="AR606" s="130">
        <v>0.38114958044323433</v>
      </c>
    </row>
    <row r="607" spans="1:44" ht="28.8" x14ac:dyDescent="0.3">
      <c r="A607" s="136" t="s">
        <v>856</v>
      </c>
      <c r="B607" s="137" t="s">
        <v>5380</v>
      </c>
      <c r="C607" s="134">
        <v>2019</v>
      </c>
      <c r="D607" s="149" t="s">
        <v>1167</v>
      </c>
      <c r="E607" s="135" t="s">
        <v>1152</v>
      </c>
      <c r="F607" s="384" t="s">
        <v>850</v>
      </c>
      <c r="G607" s="138" t="s">
        <v>4773</v>
      </c>
      <c r="H607" s="138" t="s">
        <v>2554</v>
      </c>
      <c r="I607" s="138" t="s">
        <v>1566</v>
      </c>
      <c r="J607" s="135" t="s">
        <v>4778</v>
      </c>
      <c r="K607" s="164">
        <v>2545119047</v>
      </c>
      <c r="L607" s="165">
        <v>391264337</v>
      </c>
      <c r="M607" s="165">
        <v>2043867884</v>
      </c>
      <c r="N607" s="165">
        <v>101343057</v>
      </c>
      <c r="O607" s="165">
        <v>181233307</v>
      </c>
      <c r="P607" s="165">
        <v>56144067</v>
      </c>
      <c r="Q607" s="165">
        <v>14203735</v>
      </c>
      <c r="R607" s="165">
        <v>385.75</v>
      </c>
      <c r="S607" s="165">
        <v>462910992</v>
      </c>
      <c r="T607" s="165">
        <v>1200028.495139339</v>
      </c>
      <c r="U607" s="166">
        <v>109986826</v>
      </c>
      <c r="V607" s="168">
        <v>2958393265</v>
      </c>
      <c r="W607" s="165">
        <v>1106829264</v>
      </c>
      <c r="X607" s="165">
        <v>1436773607</v>
      </c>
      <c r="Y607" s="165">
        <v>90641677</v>
      </c>
      <c r="Z607" s="165">
        <v>200303477</v>
      </c>
      <c r="AA607" s="165">
        <v>57634985</v>
      </c>
      <c r="AB607" s="165">
        <v>12028644</v>
      </c>
      <c r="AC607" s="165">
        <v>367.58333333333331</v>
      </c>
      <c r="AD607" s="165">
        <v>775399177</v>
      </c>
      <c r="AE607" s="165">
        <v>2109451.3996826117</v>
      </c>
      <c r="AF607" s="166">
        <v>414790394</v>
      </c>
      <c r="AG607" s="124">
        <v>312488185</v>
      </c>
      <c r="AH607" s="125">
        <v>-18.166666666666686</v>
      </c>
      <c r="AI607" s="133">
        <v>1</v>
      </c>
      <c r="AJ607" s="133">
        <v>1</v>
      </c>
      <c r="AK607" s="126">
        <v>0.15</v>
      </c>
      <c r="AL607" s="126">
        <v>0.75783441809923668</v>
      </c>
      <c r="AM607" s="14">
        <v>1</v>
      </c>
      <c r="AN607" s="122">
        <v>0</v>
      </c>
      <c r="AO607" s="131">
        <v>469820.62734931952</v>
      </c>
      <c r="AP607" s="131">
        <v>544919.91022443888</v>
      </c>
      <c r="AQ607" s="131">
        <v>75099.282875119359</v>
      </c>
      <c r="AR607" s="130">
        <v>0.15984671277381302</v>
      </c>
    </row>
    <row r="608" spans="1:44" ht="28.8" x14ac:dyDescent="0.3">
      <c r="A608" s="136" t="s">
        <v>857</v>
      </c>
      <c r="B608" s="137" t="s">
        <v>5381</v>
      </c>
      <c r="C608" s="134">
        <v>2019</v>
      </c>
      <c r="D608" s="149" t="s">
        <v>1167</v>
      </c>
      <c r="E608" s="135" t="s">
        <v>1152</v>
      </c>
      <c r="F608" s="384" t="s">
        <v>850</v>
      </c>
      <c r="G608" s="138" t="s">
        <v>4773</v>
      </c>
      <c r="H608" s="138" t="s">
        <v>2975</v>
      </c>
      <c r="I608" s="138" t="s">
        <v>1566</v>
      </c>
      <c r="J608" s="135" t="s">
        <v>4774</v>
      </c>
      <c r="K608" s="164">
        <v>565844821</v>
      </c>
      <c r="L608" s="165">
        <v>420109029</v>
      </c>
      <c r="M608" s="165">
        <v>122779292</v>
      </c>
      <c r="N608" s="165">
        <v>10587892</v>
      </c>
      <c r="O608" s="165">
        <v>114456405</v>
      </c>
      <c r="P608" s="165">
        <v>33488504</v>
      </c>
      <c r="Q608" s="165">
        <v>0</v>
      </c>
      <c r="R608" s="165">
        <v>351.91666666666669</v>
      </c>
      <c r="S608" s="165">
        <v>181489301</v>
      </c>
      <c r="T608" s="165">
        <v>515716.69713473832</v>
      </c>
      <c r="U608" s="166">
        <v>22956500</v>
      </c>
      <c r="V608" s="168">
        <v>777216029</v>
      </c>
      <c r="W608" s="165">
        <v>599599814</v>
      </c>
      <c r="X608" s="165">
        <v>147060149</v>
      </c>
      <c r="Y608" s="165">
        <v>12068893</v>
      </c>
      <c r="Z608" s="165">
        <v>140825430</v>
      </c>
      <c r="AA608" s="165">
        <v>41272895</v>
      </c>
      <c r="AB608" s="165">
        <v>0</v>
      </c>
      <c r="AC608" s="165">
        <v>356.66666666666669</v>
      </c>
      <c r="AD608" s="165">
        <v>224723284</v>
      </c>
      <c r="AE608" s="165">
        <v>630065.28224299056</v>
      </c>
      <c r="AF608" s="166">
        <v>30556066</v>
      </c>
      <c r="AG608" s="124">
        <v>43233983</v>
      </c>
      <c r="AH608" s="125">
        <v>4.75</v>
      </c>
      <c r="AI608" s="133">
        <v>1</v>
      </c>
      <c r="AJ608" s="133">
        <v>1</v>
      </c>
      <c r="AK608" s="126">
        <v>0.15</v>
      </c>
      <c r="AL608" s="126">
        <v>0.22172751047231931</v>
      </c>
      <c r="AM608" s="14">
        <v>1</v>
      </c>
      <c r="AN608" s="122">
        <v>0</v>
      </c>
      <c r="AO608" s="131">
        <v>325237.23892967083</v>
      </c>
      <c r="AP608" s="131">
        <v>394837.65420560748</v>
      </c>
      <c r="AQ608" s="131">
        <v>69600.415275936655</v>
      </c>
      <c r="AR608" s="130">
        <v>0.21399891200954091</v>
      </c>
    </row>
    <row r="609" spans="1:44" ht="43.2" x14ac:dyDescent="0.3">
      <c r="A609" s="136" t="s">
        <v>858</v>
      </c>
      <c r="B609" s="137" t="s">
        <v>5382</v>
      </c>
      <c r="C609" s="134">
        <v>2019</v>
      </c>
      <c r="D609" s="149" t="s">
        <v>1167</v>
      </c>
      <c r="E609" s="135" t="s">
        <v>1152</v>
      </c>
      <c r="F609" s="384" t="s">
        <v>850</v>
      </c>
      <c r="G609" s="138" t="s">
        <v>4773</v>
      </c>
      <c r="H609" s="138" t="s">
        <v>3569</v>
      </c>
      <c r="I609" s="138" t="s">
        <v>3557</v>
      </c>
      <c r="J609" s="135" t="s">
        <v>4805</v>
      </c>
      <c r="K609" s="164">
        <v>2419328135</v>
      </c>
      <c r="L609" s="165">
        <v>2207091439</v>
      </c>
      <c r="M609" s="165">
        <v>111709006</v>
      </c>
      <c r="N609" s="165">
        <v>79705101</v>
      </c>
      <c r="O609" s="165">
        <v>369741277</v>
      </c>
      <c r="P609" s="165">
        <v>114080815</v>
      </c>
      <c r="Q609" s="165">
        <v>18059</v>
      </c>
      <c r="R609" s="165">
        <v>1058.75</v>
      </c>
      <c r="S609" s="165">
        <v>664072942</v>
      </c>
      <c r="T609" s="165">
        <v>627223.55796930345</v>
      </c>
      <c r="U609" s="166">
        <v>100527690</v>
      </c>
      <c r="V609" s="168">
        <v>2986398077</v>
      </c>
      <c r="W609" s="165">
        <v>2782346228</v>
      </c>
      <c r="X609" s="165">
        <v>130563685</v>
      </c>
      <c r="Y609" s="165">
        <v>89071170</v>
      </c>
      <c r="Z609" s="165">
        <v>176907953</v>
      </c>
      <c r="AA609" s="165">
        <v>52981245</v>
      </c>
      <c r="AB609" s="165">
        <v>19963</v>
      </c>
      <c r="AC609" s="165">
        <v>332</v>
      </c>
      <c r="AD609" s="165">
        <v>392468495</v>
      </c>
      <c r="AE609" s="165">
        <v>1182134.0210843373</v>
      </c>
      <c r="AF609" s="166">
        <v>73488164</v>
      </c>
      <c r="AG609" s="124">
        <v>-271604447</v>
      </c>
      <c r="AH609" s="125">
        <v>-726.75</v>
      </c>
      <c r="AI609" s="133">
        <v>1</v>
      </c>
      <c r="AJ609" s="133">
        <v>1</v>
      </c>
      <c r="AK609" s="126">
        <v>0.15</v>
      </c>
      <c r="AL609" s="126">
        <v>0.88470920958389998</v>
      </c>
      <c r="AM609" s="14">
        <v>1</v>
      </c>
      <c r="AN609" s="122">
        <v>0</v>
      </c>
      <c r="AO609" s="131">
        <v>349224.34663518297</v>
      </c>
      <c r="AP609" s="131">
        <v>532855.28012048197</v>
      </c>
      <c r="AQ609" s="131">
        <v>183630.933485299</v>
      </c>
      <c r="AR609" s="130">
        <v>0.52582511859383319</v>
      </c>
    </row>
    <row r="610" spans="1:44" ht="28.8" x14ac:dyDescent="0.3">
      <c r="A610" s="136" t="s">
        <v>859</v>
      </c>
      <c r="B610" s="137" t="s">
        <v>5383</v>
      </c>
      <c r="C610" s="134">
        <v>2019</v>
      </c>
      <c r="D610" s="149" t="s">
        <v>1167</v>
      </c>
      <c r="E610" s="135" t="s">
        <v>1152</v>
      </c>
      <c r="F610" s="384" t="s">
        <v>850</v>
      </c>
      <c r="G610" s="138" t="s">
        <v>4773</v>
      </c>
      <c r="H610" s="138" t="s">
        <v>2717</v>
      </c>
      <c r="I610" s="138" t="s">
        <v>1566</v>
      </c>
      <c r="J610" s="135" t="s">
        <v>4774</v>
      </c>
      <c r="K610" s="164">
        <v>594094141</v>
      </c>
      <c r="L610" s="165">
        <v>428814330</v>
      </c>
      <c r="M610" s="165">
        <v>163351656</v>
      </c>
      <c r="N610" s="165">
        <v>8815471</v>
      </c>
      <c r="O610" s="165">
        <v>26275836</v>
      </c>
      <c r="P610" s="165">
        <v>8140316</v>
      </c>
      <c r="Q610" s="165">
        <v>506965</v>
      </c>
      <c r="R610" s="165">
        <v>151.83333333333334</v>
      </c>
      <c r="S610" s="165">
        <v>45666743</v>
      </c>
      <c r="T610" s="165">
        <v>300768.88913282106</v>
      </c>
      <c r="U610" s="166">
        <v>1928155</v>
      </c>
      <c r="V610" s="168">
        <v>590973536</v>
      </c>
      <c r="W610" s="165">
        <v>510368733</v>
      </c>
      <c r="X610" s="165">
        <v>80912067</v>
      </c>
      <c r="Y610" s="165">
        <v>1515033</v>
      </c>
      <c r="Z610" s="165">
        <v>45807160</v>
      </c>
      <c r="AA610" s="165">
        <v>11473512</v>
      </c>
      <c r="AB610" s="165">
        <v>0</v>
      </c>
      <c r="AC610" s="165">
        <v>205.58333333333334</v>
      </c>
      <c r="AD610" s="165">
        <v>58488441</v>
      </c>
      <c r="AE610" s="165">
        <v>284499.9156870693</v>
      </c>
      <c r="AF610" s="166">
        <v>-307264</v>
      </c>
      <c r="AG610" s="124">
        <v>12821698</v>
      </c>
      <c r="AH610" s="125">
        <v>53.75</v>
      </c>
      <c r="AI610" s="133">
        <v>0</v>
      </c>
      <c r="AJ610" s="133">
        <v>0</v>
      </c>
      <c r="AK610" s="126">
        <v>0.15</v>
      </c>
      <c r="AL610" s="126">
        <v>-5.4091265888569939E-2</v>
      </c>
      <c r="AM610" s="14">
        <v>0</v>
      </c>
      <c r="AN610" s="122">
        <v>-1</v>
      </c>
      <c r="AO610" s="131">
        <v>173057.09769484084</v>
      </c>
      <c r="AP610" s="131">
        <v>222815.5330360762</v>
      </c>
      <c r="AQ610" s="131">
        <v>49758.435341235367</v>
      </c>
      <c r="AR610" s="130">
        <v>0.28752611712567022</v>
      </c>
    </row>
    <row r="611" spans="1:44" ht="28.8" x14ac:dyDescent="0.3">
      <c r="A611" s="136" t="s">
        <v>860</v>
      </c>
      <c r="B611" s="137" t="s">
        <v>5384</v>
      </c>
      <c r="C611" s="134">
        <v>2020</v>
      </c>
      <c r="D611" s="149" t="s">
        <v>1167</v>
      </c>
      <c r="E611" s="135" t="s">
        <v>1152</v>
      </c>
      <c r="F611" s="384" t="s">
        <v>850</v>
      </c>
      <c r="G611" s="138" t="s">
        <v>4773</v>
      </c>
      <c r="H611" s="138" t="s">
        <v>3564</v>
      </c>
      <c r="I611" s="138" t="s">
        <v>3557</v>
      </c>
      <c r="J611" s="135" t="s">
        <v>4774</v>
      </c>
      <c r="K611" s="164">
        <v>501239266</v>
      </c>
      <c r="L611" s="165">
        <v>513282376</v>
      </c>
      <c r="M611" s="165">
        <v>69539695</v>
      </c>
      <c r="N611" s="165">
        <v>439561</v>
      </c>
      <c r="O611" s="165">
        <v>86142795</v>
      </c>
      <c r="P611" s="165">
        <v>18549467</v>
      </c>
      <c r="Q611" s="165">
        <v>0</v>
      </c>
      <c r="R611" s="165">
        <v>146.41666666666666</v>
      </c>
      <c r="S611" s="165">
        <v>23549018</v>
      </c>
      <c r="T611" s="165">
        <v>160835.63801935117</v>
      </c>
      <c r="U611" s="166">
        <v>-81582805</v>
      </c>
      <c r="V611" s="168">
        <v>556318432</v>
      </c>
      <c r="W611" s="165">
        <v>388361684</v>
      </c>
      <c r="X611" s="165">
        <v>74565925</v>
      </c>
      <c r="Y611" s="165">
        <v>795837</v>
      </c>
      <c r="Z611" s="165">
        <v>71975089</v>
      </c>
      <c r="AA611" s="165">
        <v>13348540</v>
      </c>
      <c r="AB611" s="165">
        <v>0</v>
      </c>
      <c r="AC611" s="165">
        <v>114.5</v>
      </c>
      <c r="AD611" s="165">
        <v>179510289</v>
      </c>
      <c r="AE611" s="165">
        <v>1567775.4497816593</v>
      </c>
      <c r="AF611" s="166">
        <v>93390823</v>
      </c>
      <c r="AG611" s="124">
        <v>155961271</v>
      </c>
      <c r="AH611" s="125">
        <v>-31.916666666666657</v>
      </c>
      <c r="AI611" s="133">
        <v>1</v>
      </c>
      <c r="AJ611" s="133">
        <v>1</v>
      </c>
      <c r="AK611" s="126">
        <v>0.1</v>
      </c>
      <c r="AL611" s="126">
        <v>8.7476868311028557</v>
      </c>
      <c r="AM611" s="14">
        <v>1</v>
      </c>
      <c r="AN611" s="122">
        <v>0</v>
      </c>
      <c r="AO611" s="131">
        <v>588340.09106431424</v>
      </c>
      <c r="AP611" s="131">
        <v>628603.39737991267</v>
      </c>
      <c r="AQ611" s="131">
        <v>40263.306315598427</v>
      </c>
      <c r="AR611" s="130">
        <v>6.8435428635777118E-2</v>
      </c>
    </row>
    <row r="612" spans="1:44" ht="28.8" x14ac:dyDescent="0.3">
      <c r="A612" s="136" t="s">
        <v>861</v>
      </c>
      <c r="B612" s="137" t="s">
        <v>1171</v>
      </c>
      <c r="C612" s="134">
        <v>2020</v>
      </c>
      <c r="D612" s="149" t="s">
        <v>1170</v>
      </c>
      <c r="E612" s="135" t="s">
        <v>1152</v>
      </c>
      <c r="F612" s="384" t="s">
        <v>850</v>
      </c>
      <c r="G612" s="138" t="s">
        <v>4787</v>
      </c>
      <c r="H612" s="138" t="s">
        <v>3563</v>
      </c>
      <c r="I612" s="138" t="s">
        <v>3557</v>
      </c>
      <c r="J612" s="135" t="s">
        <v>4774</v>
      </c>
      <c r="K612" s="164">
        <v>1656764468</v>
      </c>
      <c r="L612" s="165">
        <v>660946476</v>
      </c>
      <c r="M612" s="165">
        <v>864363247</v>
      </c>
      <c r="N612" s="165">
        <v>37364199</v>
      </c>
      <c r="O612" s="165">
        <v>166591287</v>
      </c>
      <c r="P612" s="165">
        <v>31311951</v>
      </c>
      <c r="Q612" s="165">
        <v>0</v>
      </c>
      <c r="R612" s="165">
        <v>158.66666666666666</v>
      </c>
      <c r="S612" s="165">
        <v>366722182</v>
      </c>
      <c r="T612" s="165">
        <v>2311274.2563025211</v>
      </c>
      <c r="U612" s="166">
        <v>131454745</v>
      </c>
      <c r="V612" s="168">
        <v>1677141904</v>
      </c>
      <c r="W612" s="165">
        <v>756195034</v>
      </c>
      <c r="X612" s="165">
        <v>827614718</v>
      </c>
      <c r="Y612" s="165">
        <v>33938973</v>
      </c>
      <c r="Z612" s="165">
        <v>165165920</v>
      </c>
      <c r="AA612" s="165">
        <v>26831736</v>
      </c>
      <c r="AB612" s="165">
        <v>62996</v>
      </c>
      <c r="AC612" s="165">
        <v>138.41666666666666</v>
      </c>
      <c r="AD612" s="165">
        <v>319331777</v>
      </c>
      <c r="AE612" s="165">
        <v>2307032.705599037</v>
      </c>
      <c r="AF612" s="166">
        <v>93332152</v>
      </c>
      <c r="AG612" s="124">
        <v>-47390405</v>
      </c>
      <c r="AH612" s="125">
        <v>-20.25</v>
      </c>
      <c r="AI612" s="133">
        <v>0</v>
      </c>
      <c r="AJ612" s="133">
        <v>0</v>
      </c>
      <c r="AK612" s="126">
        <v>0.1</v>
      </c>
      <c r="AL612" s="126">
        <v>-1.8351565079948173E-3</v>
      </c>
      <c r="AM612" s="14">
        <v>0</v>
      </c>
      <c r="AN612" s="122">
        <v>-1</v>
      </c>
      <c r="AO612" s="131">
        <v>1049945.0861344538</v>
      </c>
      <c r="AP612" s="131">
        <v>1193251.6797110175</v>
      </c>
      <c r="AQ612" s="131">
        <v>143306.59357656376</v>
      </c>
      <c r="AR612" s="130">
        <v>0.13648960833196577</v>
      </c>
    </row>
    <row r="613" spans="1:44" ht="28.8" x14ac:dyDescent="0.3">
      <c r="A613" s="136" t="s">
        <v>862</v>
      </c>
      <c r="B613" s="137" t="s">
        <v>5385</v>
      </c>
      <c r="C613" s="134">
        <v>2019</v>
      </c>
      <c r="D613" s="149" t="s">
        <v>1176</v>
      </c>
      <c r="E613" s="135" t="s">
        <v>1175</v>
      </c>
      <c r="F613" s="384" t="s">
        <v>863</v>
      </c>
      <c r="G613" s="138" t="s">
        <v>4773</v>
      </c>
      <c r="H613" s="138" t="s">
        <v>2717</v>
      </c>
      <c r="I613" s="138" t="s">
        <v>1566</v>
      </c>
      <c r="J613" s="135" t="s">
        <v>4774</v>
      </c>
      <c r="K613" s="164">
        <v>1718416257</v>
      </c>
      <c r="L613" s="165">
        <v>1422900311</v>
      </c>
      <c r="M613" s="165">
        <v>232935546</v>
      </c>
      <c r="N613" s="165">
        <v>18153737</v>
      </c>
      <c r="O613" s="165">
        <v>308942665</v>
      </c>
      <c r="P613" s="165">
        <v>84247366</v>
      </c>
      <c r="Q613" s="165">
        <v>162165</v>
      </c>
      <c r="R613" s="165">
        <v>937.83333333333337</v>
      </c>
      <c r="S613" s="165">
        <v>474086333</v>
      </c>
      <c r="T613" s="165">
        <v>505512.35080860136</v>
      </c>
      <c r="U613" s="166">
        <v>62580400</v>
      </c>
      <c r="V613" s="168">
        <v>1861885895</v>
      </c>
      <c r="W613" s="165">
        <v>1534797301</v>
      </c>
      <c r="X613" s="165">
        <v>289825272</v>
      </c>
      <c r="Y613" s="165">
        <v>12909180</v>
      </c>
      <c r="Z613" s="165">
        <v>302291566.76999998</v>
      </c>
      <c r="AA613" s="165">
        <v>93233090.530000001</v>
      </c>
      <c r="AB613" s="165">
        <v>287360</v>
      </c>
      <c r="AC613" s="165">
        <v>844</v>
      </c>
      <c r="AD613" s="165">
        <v>445984519.29999995</v>
      </c>
      <c r="AE613" s="165">
        <v>528417.6768957345</v>
      </c>
      <c r="AF613" s="166">
        <v>37263322</v>
      </c>
      <c r="AG613" s="124">
        <v>-28101813.700000048</v>
      </c>
      <c r="AH613" s="125">
        <v>-93.833333333333371</v>
      </c>
      <c r="AI613" s="133">
        <v>0</v>
      </c>
      <c r="AJ613" s="133">
        <v>1</v>
      </c>
      <c r="AK613" s="126">
        <v>0.15</v>
      </c>
      <c r="AL613" s="126">
        <v>4.5311118511743631E-2</v>
      </c>
      <c r="AM613" s="14">
        <v>0</v>
      </c>
      <c r="AN613" s="122">
        <v>-1</v>
      </c>
      <c r="AO613" s="131">
        <v>329421.71494579705</v>
      </c>
      <c r="AP613" s="131">
        <v>358165.36347156396</v>
      </c>
      <c r="AQ613" s="131">
        <v>28743.648525766912</v>
      </c>
      <c r="AR613" s="130">
        <v>8.7254868825196841E-2</v>
      </c>
    </row>
    <row r="614" spans="1:44" ht="28.8" x14ac:dyDescent="0.3">
      <c r="A614" s="136" t="s">
        <v>864</v>
      </c>
      <c r="B614" s="137" t="s">
        <v>5386</v>
      </c>
      <c r="C614" s="134">
        <v>2019</v>
      </c>
      <c r="D614" s="149" t="s">
        <v>1176</v>
      </c>
      <c r="E614" s="135" t="s">
        <v>1175</v>
      </c>
      <c r="F614" s="384" t="s">
        <v>863</v>
      </c>
      <c r="G614" s="138" t="s">
        <v>4773</v>
      </c>
      <c r="H614" s="138" t="s">
        <v>3122</v>
      </c>
      <c r="I614" s="138" t="s">
        <v>1566</v>
      </c>
      <c r="J614" s="135" t="s">
        <v>4774</v>
      </c>
      <c r="K614" s="164">
        <v>519389714</v>
      </c>
      <c r="L614" s="165">
        <v>316779419</v>
      </c>
      <c r="M614" s="165">
        <v>182210719</v>
      </c>
      <c r="N614" s="165">
        <v>3769195</v>
      </c>
      <c r="O614" s="165">
        <v>49263610</v>
      </c>
      <c r="P614" s="165">
        <v>13084290</v>
      </c>
      <c r="Q614" s="165">
        <v>0</v>
      </c>
      <c r="R614" s="165">
        <v>168.83333333333334</v>
      </c>
      <c r="S614" s="165">
        <v>86516671</v>
      </c>
      <c r="T614" s="165">
        <v>512438.32773938793</v>
      </c>
      <c r="U614" s="166">
        <v>20399576</v>
      </c>
      <c r="V614" s="168">
        <v>755685512</v>
      </c>
      <c r="W614" s="165">
        <v>491621364</v>
      </c>
      <c r="X614" s="165">
        <v>243160772</v>
      </c>
      <c r="Y614" s="165">
        <v>13511692</v>
      </c>
      <c r="Z614" s="165">
        <v>60084919.640000001</v>
      </c>
      <c r="AA614" s="165">
        <v>12659657.059999999</v>
      </c>
      <c r="AB614" s="165">
        <v>0</v>
      </c>
      <c r="AC614" s="165">
        <v>179.33333333333334</v>
      </c>
      <c r="AD614" s="165">
        <v>107159644.7</v>
      </c>
      <c r="AE614" s="165">
        <v>597544.4871747212</v>
      </c>
      <c r="AF614" s="166">
        <v>20903376</v>
      </c>
      <c r="AG614" s="124">
        <v>20642973.700000003</v>
      </c>
      <c r="AH614" s="125">
        <v>10.5</v>
      </c>
      <c r="AI614" s="133">
        <v>1</v>
      </c>
      <c r="AJ614" s="133">
        <v>1</v>
      </c>
      <c r="AK614" s="126">
        <v>0.15</v>
      </c>
      <c r="AL614" s="126">
        <v>0.1660807847843857</v>
      </c>
      <c r="AM614" s="14">
        <v>1</v>
      </c>
      <c r="AN614" s="122">
        <v>0</v>
      </c>
      <c r="AO614" s="131">
        <v>291788.41066140175</v>
      </c>
      <c r="AP614" s="131">
        <v>335046.02029739774</v>
      </c>
      <c r="AQ614" s="131">
        <v>43257.609635995992</v>
      </c>
      <c r="AR614" s="130">
        <v>0.1482499237647692</v>
      </c>
    </row>
    <row r="615" spans="1:44" ht="28.8" x14ac:dyDescent="0.3">
      <c r="A615" s="136" t="s">
        <v>865</v>
      </c>
      <c r="B615" s="137" t="s">
        <v>5387</v>
      </c>
      <c r="C615" s="134">
        <v>2019</v>
      </c>
      <c r="D615" s="149" t="s">
        <v>1176</v>
      </c>
      <c r="E615" s="135" t="s">
        <v>1175</v>
      </c>
      <c r="F615" s="384" t="s">
        <v>863</v>
      </c>
      <c r="G615" s="138" t="s">
        <v>4773</v>
      </c>
      <c r="H615" s="138" t="s">
        <v>2717</v>
      </c>
      <c r="I615" s="138" t="s">
        <v>1566</v>
      </c>
      <c r="J615" s="135" t="s">
        <v>4774</v>
      </c>
      <c r="K615" s="164">
        <v>1686143295</v>
      </c>
      <c r="L615" s="165">
        <v>1501097237</v>
      </c>
      <c r="M615" s="165">
        <v>165516455</v>
      </c>
      <c r="N615" s="165">
        <v>2977058</v>
      </c>
      <c r="O615" s="165">
        <v>126855841</v>
      </c>
      <c r="P615" s="165">
        <v>35054420</v>
      </c>
      <c r="Q615" s="165">
        <v>0</v>
      </c>
      <c r="R615" s="165">
        <v>533</v>
      </c>
      <c r="S615" s="165">
        <v>184416922</v>
      </c>
      <c r="T615" s="165">
        <v>345997.97748592868</v>
      </c>
      <c r="U615" s="166">
        <v>19529603</v>
      </c>
      <c r="V615" s="168">
        <v>1657566603</v>
      </c>
      <c r="W615" s="165">
        <v>1514295913</v>
      </c>
      <c r="X615" s="165">
        <v>98677114</v>
      </c>
      <c r="Y615" s="165">
        <v>4735729</v>
      </c>
      <c r="Z615" s="165">
        <v>185141987.06</v>
      </c>
      <c r="AA615" s="165">
        <v>59567569.580000013</v>
      </c>
      <c r="AB615" s="165">
        <v>0</v>
      </c>
      <c r="AC615" s="165">
        <v>462.5</v>
      </c>
      <c r="AD615" s="165">
        <v>294038861.63999999</v>
      </c>
      <c r="AE615" s="165">
        <v>635759.70084324316</v>
      </c>
      <c r="AF615" s="166">
        <v>44593576</v>
      </c>
      <c r="AG615" s="124">
        <v>109621939.63999999</v>
      </c>
      <c r="AH615" s="125">
        <v>-70.5</v>
      </c>
      <c r="AI615" s="133">
        <v>1</v>
      </c>
      <c r="AJ615" s="133">
        <v>1</v>
      </c>
      <c r="AK615" s="126">
        <v>0.15</v>
      </c>
      <c r="AL615" s="126">
        <v>0.83746650775244413</v>
      </c>
      <c r="AM615" s="14">
        <v>1</v>
      </c>
      <c r="AN615" s="122">
        <v>0</v>
      </c>
      <c r="AO615" s="131">
        <v>238003.45403377109</v>
      </c>
      <c r="AP615" s="131">
        <v>400306.99904864863</v>
      </c>
      <c r="AQ615" s="131">
        <v>162303.54501487754</v>
      </c>
      <c r="AR615" s="130">
        <v>0.68193777133943501</v>
      </c>
    </row>
    <row r="616" spans="1:44" ht="28.8" x14ac:dyDescent="0.3">
      <c r="A616" s="136" t="s">
        <v>866</v>
      </c>
      <c r="B616" s="137" t="s">
        <v>5388</v>
      </c>
      <c r="C616" s="134">
        <v>2019</v>
      </c>
      <c r="D616" s="149" t="s">
        <v>1184</v>
      </c>
      <c r="E616" s="135" t="s">
        <v>1175</v>
      </c>
      <c r="F616" s="384" t="s">
        <v>139</v>
      </c>
      <c r="G616" s="138" t="s">
        <v>4773</v>
      </c>
      <c r="H616" s="138" t="s">
        <v>2182</v>
      </c>
      <c r="I616" s="138" t="s">
        <v>1566</v>
      </c>
      <c r="J616" s="135" t="s">
        <v>4774</v>
      </c>
      <c r="K616" s="164">
        <v>2105742214</v>
      </c>
      <c r="L616" s="165">
        <v>1502306828</v>
      </c>
      <c r="M616" s="165">
        <v>41198356</v>
      </c>
      <c r="N616" s="165">
        <v>121492069</v>
      </c>
      <c r="O616" s="165">
        <v>82634063</v>
      </c>
      <c r="P616" s="165">
        <v>24689993</v>
      </c>
      <c r="Q616" s="165">
        <v>8060111</v>
      </c>
      <c r="R616" s="165">
        <v>239.25</v>
      </c>
      <c r="S616" s="165">
        <v>799113266</v>
      </c>
      <c r="T616" s="165">
        <v>3340076.3469174504</v>
      </c>
      <c r="U616" s="166">
        <v>562237030</v>
      </c>
      <c r="V616" s="168">
        <v>3178338205</v>
      </c>
      <c r="W616" s="165">
        <v>1614928048</v>
      </c>
      <c r="X616" s="165">
        <v>44384546</v>
      </c>
      <c r="Y616" s="165">
        <v>99795680</v>
      </c>
      <c r="Z616" s="165">
        <v>102761628.22</v>
      </c>
      <c r="AA616" s="165">
        <v>30514406.240000002</v>
      </c>
      <c r="AB616" s="165">
        <v>6989289</v>
      </c>
      <c r="AC616" s="165">
        <v>243.58333333333334</v>
      </c>
      <c r="AD616" s="165">
        <v>1759086614.46</v>
      </c>
      <c r="AE616" s="165">
        <v>7221703.5147177558</v>
      </c>
      <c r="AF616" s="166">
        <v>1519025611</v>
      </c>
      <c r="AG616" s="124">
        <v>959973348.46000004</v>
      </c>
      <c r="AH616" s="125">
        <v>4.3333333333333428</v>
      </c>
      <c r="AI616" s="133">
        <v>1</v>
      </c>
      <c r="AJ616" s="133">
        <v>1</v>
      </c>
      <c r="AK616" s="126">
        <v>0.15</v>
      </c>
      <c r="AL616" s="126">
        <v>1.1621372547367068</v>
      </c>
      <c r="AM616" s="14">
        <v>1</v>
      </c>
      <c r="AN616" s="122">
        <v>0</v>
      </c>
      <c r="AO616" s="131">
        <v>345387.93312434689</v>
      </c>
      <c r="AP616" s="131">
        <v>421874.62834074581</v>
      </c>
      <c r="AQ616" s="131">
        <v>76486.695216398919</v>
      </c>
      <c r="AR616" s="130">
        <v>0.22145155600691502</v>
      </c>
    </row>
    <row r="617" spans="1:44" ht="28.8" x14ac:dyDescent="0.3">
      <c r="A617" s="136" t="s">
        <v>867</v>
      </c>
      <c r="B617" s="137" t="s">
        <v>5389</v>
      </c>
      <c r="C617" s="134">
        <v>2020</v>
      </c>
      <c r="D617" s="149" t="s">
        <v>1184</v>
      </c>
      <c r="E617" s="135" t="s">
        <v>1175</v>
      </c>
      <c r="F617" s="384" t="s">
        <v>139</v>
      </c>
      <c r="G617" s="138" t="s">
        <v>4796</v>
      </c>
      <c r="H617" s="138" t="s">
        <v>4280</v>
      </c>
      <c r="I617" s="138" t="s">
        <v>4255</v>
      </c>
      <c r="J617" s="135" t="s">
        <v>4778</v>
      </c>
      <c r="K617" s="164">
        <v>425306286</v>
      </c>
      <c r="L617" s="165">
        <v>142913252</v>
      </c>
      <c r="M617" s="165">
        <v>613383987</v>
      </c>
      <c r="N617" s="165">
        <v>4454877</v>
      </c>
      <c r="O617" s="165">
        <v>138525064.73000005</v>
      </c>
      <c r="P617" s="165">
        <v>40294436</v>
      </c>
      <c r="Q617" s="165">
        <v>0</v>
      </c>
      <c r="R617" s="165">
        <v>397</v>
      </c>
      <c r="S617" s="165">
        <v>-147716575.26999995</v>
      </c>
      <c r="T617" s="165">
        <v>-372082.05357682606</v>
      </c>
      <c r="U617" s="166">
        <v>-330990953</v>
      </c>
      <c r="V617" s="168">
        <v>522888836</v>
      </c>
      <c r="W617" s="165">
        <v>166516388</v>
      </c>
      <c r="X617" s="165">
        <v>701731869</v>
      </c>
      <c r="Y617" s="165">
        <v>3338259</v>
      </c>
      <c r="Z617" s="165">
        <v>151946011.86000001</v>
      </c>
      <c r="AA617" s="165">
        <v>44150669.530000001</v>
      </c>
      <c r="AB617" s="165">
        <v>0</v>
      </c>
      <c r="AC617" s="165">
        <v>395.25</v>
      </c>
      <c r="AD617" s="165">
        <v>-145924480.60999998</v>
      </c>
      <c r="AE617" s="165">
        <v>-369195.39686274505</v>
      </c>
      <c r="AF617" s="166">
        <v>-345359421</v>
      </c>
      <c r="AG617" s="124">
        <v>1792094.6599999666</v>
      </c>
      <c r="AH617" s="125">
        <v>-1.75</v>
      </c>
      <c r="AI617" s="133">
        <v>0</v>
      </c>
      <c r="AJ617" s="133">
        <v>0</v>
      </c>
      <c r="AK617" s="126">
        <v>0.05</v>
      </c>
      <c r="AL617" s="126">
        <v>7.7581006662373886E-3</v>
      </c>
      <c r="AM617" s="14">
        <v>0</v>
      </c>
      <c r="AN617" s="122">
        <v>-1</v>
      </c>
      <c r="AO617" s="131">
        <v>348929.63408060465</v>
      </c>
      <c r="AP617" s="131">
        <v>384430.13753320684</v>
      </c>
      <c r="AQ617" s="131">
        <v>35500.503452602192</v>
      </c>
      <c r="AR617" s="130">
        <v>0.10174115347394475</v>
      </c>
    </row>
    <row r="618" spans="1:44" ht="28.8" x14ac:dyDescent="0.3">
      <c r="A618" s="136" t="s">
        <v>868</v>
      </c>
      <c r="B618" s="137" t="s">
        <v>5390</v>
      </c>
      <c r="C618" s="134">
        <v>2020</v>
      </c>
      <c r="D618" s="149" t="s">
        <v>1184</v>
      </c>
      <c r="E618" s="135" t="s">
        <v>1175</v>
      </c>
      <c r="F618" s="384" t="s">
        <v>139</v>
      </c>
      <c r="G618" s="138" t="s">
        <v>4796</v>
      </c>
      <c r="H618" s="138" t="s">
        <v>1722</v>
      </c>
      <c r="I618" s="138" t="s">
        <v>1566</v>
      </c>
      <c r="J618" s="135" t="s">
        <v>4774</v>
      </c>
      <c r="K618" s="164">
        <v>698288786</v>
      </c>
      <c r="L618" s="165">
        <v>569931263</v>
      </c>
      <c r="M618" s="165">
        <v>127362424</v>
      </c>
      <c r="N618" s="165">
        <v>0</v>
      </c>
      <c r="O618" s="165">
        <v>7855872</v>
      </c>
      <c r="P618" s="165">
        <v>2180165.09</v>
      </c>
      <c r="Q618" s="165">
        <v>5077</v>
      </c>
      <c r="R618" s="165">
        <v>56.583333333333336</v>
      </c>
      <c r="S618" s="165">
        <v>11036213.09</v>
      </c>
      <c r="T618" s="165">
        <v>195043.53030927834</v>
      </c>
      <c r="U618" s="166">
        <v>995099</v>
      </c>
      <c r="V618" s="168">
        <v>1579788047</v>
      </c>
      <c r="W618" s="165">
        <v>1495095582</v>
      </c>
      <c r="X618" s="165">
        <v>85931753</v>
      </c>
      <c r="Y618" s="165">
        <v>3508980</v>
      </c>
      <c r="Z618" s="165">
        <v>19364874.600000001</v>
      </c>
      <c r="AA618" s="165">
        <v>5356019.5199999996</v>
      </c>
      <c r="AB618" s="165">
        <v>62700</v>
      </c>
      <c r="AC618" s="165">
        <v>131.5</v>
      </c>
      <c r="AD618" s="165">
        <v>27053286.120000001</v>
      </c>
      <c r="AE618" s="165">
        <v>205728.41155893536</v>
      </c>
      <c r="AF618" s="166">
        <v>-1239288</v>
      </c>
      <c r="AG618" s="124">
        <v>16017073.030000001</v>
      </c>
      <c r="AH618" s="125">
        <v>74.916666666666657</v>
      </c>
      <c r="AI618" s="133">
        <v>0</v>
      </c>
      <c r="AJ618" s="133">
        <v>1</v>
      </c>
      <c r="AK618" s="126">
        <v>0.05</v>
      </c>
      <c r="AL618" s="126">
        <v>5.4782027376145237E-2</v>
      </c>
      <c r="AM618" s="14">
        <v>1</v>
      </c>
      <c r="AN618" s="122">
        <v>0</v>
      </c>
      <c r="AO618" s="131">
        <v>138837.20765832104</v>
      </c>
      <c r="AP618" s="131">
        <v>147261.40380228139</v>
      </c>
      <c r="AQ618" s="131">
        <v>8424.1961439603474</v>
      </c>
      <c r="AR618" s="130">
        <v>6.0676790365103983E-2</v>
      </c>
    </row>
    <row r="619" spans="1:44" ht="28.8" x14ac:dyDescent="0.3">
      <c r="A619" s="136" t="s">
        <v>869</v>
      </c>
      <c r="B619" s="137" t="s">
        <v>5391</v>
      </c>
      <c r="C619" s="134">
        <v>2020</v>
      </c>
      <c r="D619" s="149" t="s">
        <v>1184</v>
      </c>
      <c r="E619" s="135" t="s">
        <v>1175</v>
      </c>
      <c r="F619" s="384" t="s">
        <v>139</v>
      </c>
      <c r="G619" s="138" t="s">
        <v>4773</v>
      </c>
      <c r="H619" s="138" t="s">
        <v>2705</v>
      </c>
      <c r="I619" s="138" t="s">
        <v>1566</v>
      </c>
      <c r="J619" s="135" t="s">
        <v>4774</v>
      </c>
      <c r="K619" s="164">
        <v>910335394</v>
      </c>
      <c r="L619" s="165">
        <v>840040559</v>
      </c>
      <c r="M619" s="165">
        <v>39194664</v>
      </c>
      <c r="N619" s="165">
        <v>3217717</v>
      </c>
      <c r="O619" s="165">
        <v>75904157</v>
      </c>
      <c r="P619" s="165">
        <v>21402025</v>
      </c>
      <c r="Q619" s="165">
        <v>126006</v>
      </c>
      <c r="R619" s="165">
        <v>147.33333333333334</v>
      </c>
      <c r="S619" s="165">
        <v>131750076</v>
      </c>
      <c r="T619" s="165">
        <v>894231.28506787319</v>
      </c>
      <c r="U619" s="166">
        <v>31100171</v>
      </c>
      <c r="V619" s="168">
        <v>1139814363</v>
      </c>
      <c r="W619" s="165">
        <v>1044252473</v>
      </c>
      <c r="X619" s="165">
        <v>53459888</v>
      </c>
      <c r="Y619" s="165">
        <v>8839118</v>
      </c>
      <c r="Z619" s="165">
        <v>81158595.959999993</v>
      </c>
      <c r="AA619" s="165">
        <v>20834313.09</v>
      </c>
      <c r="AB619" s="165">
        <v>1406733</v>
      </c>
      <c r="AC619" s="165">
        <v>147.91666666666666</v>
      </c>
      <c r="AD619" s="165">
        <v>154340762.04999998</v>
      </c>
      <c r="AE619" s="165">
        <v>1043430.504</v>
      </c>
      <c r="AF619" s="166">
        <v>42102002</v>
      </c>
      <c r="AG619" s="124">
        <v>22590686.049999982</v>
      </c>
      <c r="AH619" s="125">
        <v>0.58333333333331439</v>
      </c>
      <c r="AI619" s="133">
        <v>1</v>
      </c>
      <c r="AJ619" s="133">
        <v>1</v>
      </c>
      <c r="AK619" s="126">
        <v>0.1</v>
      </c>
      <c r="AL619" s="126">
        <v>0.16684633122153447</v>
      </c>
      <c r="AM619" s="14">
        <v>1</v>
      </c>
      <c r="AN619" s="122">
        <v>0</v>
      </c>
      <c r="AO619" s="131">
        <v>515186.58597285062</v>
      </c>
      <c r="AP619" s="131">
        <v>548677.83184225357</v>
      </c>
      <c r="AQ619" s="131">
        <v>33491.245869402948</v>
      </c>
      <c r="AR619" s="130">
        <v>6.500799279577496E-2</v>
      </c>
    </row>
    <row r="620" spans="1:44" ht="28.8" x14ac:dyDescent="0.3">
      <c r="A620" s="136" t="s">
        <v>870</v>
      </c>
      <c r="B620" s="137" t="s">
        <v>5392</v>
      </c>
      <c r="C620" s="134">
        <v>2019</v>
      </c>
      <c r="D620" s="149" t="s">
        <v>1184</v>
      </c>
      <c r="E620" s="135" t="s">
        <v>1175</v>
      </c>
      <c r="F620" s="384" t="s">
        <v>139</v>
      </c>
      <c r="G620" s="138" t="s">
        <v>4773</v>
      </c>
      <c r="H620" s="138" t="s">
        <v>2196</v>
      </c>
      <c r="I620" s="138" t="s">
        <v>1566</v>
      </c>
      <c r="J620" s="135" t="s">
        <v>4774</v>
      </c>
      <c r="K620" s="164">
        <v>500632301</v>
      </c>
      <c r="L620" s="165">
        <v>336049347</v>
      </c>
      <c r="M620" s="165">
        <v>73260068</v>
      </c>
      <c r="N620" s="165">
        <v>37710180</v>
      </c>
      <c r="O620" s="165">
        <v>79832256</v>
      </c>
      <c r="P620" s="165">
        <v>16100840</v>
      </c>
      <c r="Q620" s="165">
        <v>169219</v>
      </c>
      <c r="R620" s="165">
        <v>135.91666666666666</v>
      </c>
      <c r="S620" s="165">
        <v>225135381</v>
      </c>
      <c r="T620" s="165">
        <v>1656422.1778050277</v>
      </c>
      <c r="U620" s="166">
        <v>91322886</v>
      </c>
      <c r="V620" s="168">
        <v>1310270928</v>
      </c>
      <c r="W620" s="165">
        <v>725750113</v>
      </c>
      <c r="X620" s="165">
        <v>189391087</v>
      </c>
      <c r="Y620" s="165">
        <v>37697650</v>
      </c>
      <c r="Z620" s="165">
        <v>107948713.40000001</v>
      </c>
      <c r="AA620" s="165">
        <v>13898656.48</v>
      </c>
      <c r="AB620" s="165">
        <v>194942</v>
      </c>
      <c r="AC620" s="165">
        <v>65.5</v>
      </c>
      <c r="AD620" s="165">
        <v>554869689.88</v>
      </c>
      <c r="AE620" s="165">
        <v>8471292.9752671756</v>
      </c>
      <c r="AF620" s="166">
        <v>395129728</v>
      </c>
      <c r="AG620" s="124">
        <v>329734308.88</v>
      </c>
      <c r="AH620" s="125">
        <v>-70.416666666666657</v>
      </c>
      <c r="AI620" s="133">
        <v>1</v>
      </c>
      <c r="AJ620" s="133">
        <v>1</v>
      </c>
      <c r="AK620" s="126">
        <v>0.15</v>
      </c>
      <c r="AL620" s="126">
        <v>4.1142112694965247</v>
      </c>
      <c r="AM620" s="14">
        <v>1</v>
      </c>
      <c r="AN620" s="122">
        <v>0</v>
      </c>
      <c r="AO620" s="131">
        <v>587361.78540772537</v>
      </c>
      <c r="AP620" s="131">
        <v>1648071.9603053436</v>
      </c>
      <c r="AQ620" s="131">
        <v>1060710.1748976181</v>
      </c>
      <c r="AR620" s="130">
        <v>1.8058889789047328</v>
      </c>
    </row>
    <row r="621" spans="1:44" ht="28.8" x14ac:dyDescent="0.3">
      <c r="A621" s="136" t="s">
        <v>871</v>
      </c>
      <c r="B621" s="137" t="s">
        <v>5393</v>
      </c>
      <c r="C621" s="134">
        <v>2019</v>
      </c>
      <c r="D621" s="149" t="s">
        <v>1137</v>
      </c>
      <c r="E621" s="135" t="s">
        <v>1131</v>
      </c>
      <c r="F621" s="384" t="s">
        <v>872</v>
      </c>
      <c r="G621" s="138" t="s">
        <v>4773</v>
      </c>
      <c r="H621" s="138" t="s">
        <v>3513</v>
      </c>
      <c r="I621" s="138" t="s">
        <v>1566</v>
      </c>
      <c r="J621" s="135" t="s">
        <v>4798</v>
      </c>
      <c r="K621" s="164">
        <v>1414379663</v>
      </c>
      <c r="L621" s="165">
        <v>1076163695</v>
      </c>
      <c r="M621" s="165">
        <v>263961218</v>
      </c>
      <c r="N621" s="165">
        <v>27191861</v>
      </c>
      <c r="O621" s="165">
        <v>301537653.53000003</v>
      </c>
      <c r="P621" s="165">
        <v>80010816.109999999</v>
      </c>
      <c r="Q621" s="165">
        <v>1101740</v>
      </c>
      <c r="R621" s="165">
        <v>727.58333333333337</v>
      </c>
      <c r="S621" s="165">
        <v>484096820.64000005</v>
      </c>
      <c r="T621" s="165">
        <v>665348.96892452182</v>
      </c>
      <c r="U621" s="166">
        <v>74254750</v>
      </c>
      <c r="V621" s="168">
        <v>2383911719</v>
      </c>
      <c r="W621" s="165">
        <v>1903446344</v>
      </c>
      <c r="X621" s="165">
        <v>338769021</v>
      </c>
      <c r="Y621" s="165">
        <v>33015044</v>
      </c>
      <c r="Z621" s="165">
        <v>358533691.36000001</v>
      </c>
      <c r="AA621" s="165">
        <v>107533615.04000001</v>
      </c>
      <c r="AB621" s="165">
        <v>1692174</v>
      </c>
      <c r="AC621" s="165">
        <v>700</v>
      </c>
      <c r="AD621" s="165">
        <v>642470878.39999998</v>
      </c>
      <c r="AE621" s="165">
        <v>917815.54057142849</v>
      </c>
      <c r="AF621" s="166">
        <v>141696354</v>
      </c>
      <c r="AG621" s="124">
        <v>158374057.75999993</v>
      </c>
      <c r="AH621" s="125">
        <v>-27.583333333333371</v>
      </c>
      <c r="AI621" s="133">
        <v>1</v>
      </c>
      <c r="AJ621" s="133">
        <v>0</v>
      </c>
      <c r="AK621" s="126">
        <v>0.15</v>
      </c>
      <c r="AL621" s="126">
        <v>0.37944985471308401</v>
      </c>
      <c r="AM621" s="14">
        <v>1</v>
      </c>
      <c r="AN621" s="122">
        <v>0</v>
      </c>
      <c r="AO621" s="131">
        <v>414437.27435116254</v>
      </c>
      <c r="AP621" s="131">
        <v>512190.98765714286</v>
      </c>
      <c r="AQ621" s="131">
        <v>97753.713305980316</v>
      </c>
      <c r="AR621" s="130">
        <v>0.23587094925045582</v>
      </c>
    </row>
    <row r="622" spans="1:44" ht="28.8" x14ac:dyDescent="0.3">
      <c r="A622" s="136" t="s">
        <v>873</v>
      </c>
      <c r="B622" s="137" t="s">
        <v>5394</v>
      </c>
      <c r="C622" s="134">
        <v>2018</v>
      </c>
      <c r="D622" s="149" t="s">
        <v>1161</v>
      </c>
      <c r="E622" s="135" t="s">
        <v>1152</v>
      </c>
      <c r="F622" s="384" t="s">
        <v>872</v>
      </c>
      <c r="G622" s="138" t="s">
        <v>4773</v>
      </c>
      <c r="H622" s="138" t="s">
        <v>1722</v>
      </c>
      <c r="I622" s="138" t="s">
        <v>1566</v>
      </c>
      <c r="J622" s="135" t="s">
        <v>4778</v>
      </c>
      <c r="K622" s="164">
        <v>2084014000.0000002</v>
      </c>
      <c r="L622" s="165">
        <v>1651593850</v>
      </c>
      <c r="M622" s="165">
        <v>316052520</v>
      </c>
      <c r="N622" s="165">
        <v>22938760</v>
      </c>
      <c r="O622" s="165">
        <v>128136810</v>
      </c>
      <c r="P622" s="165">
        <v>32798635.23</v>
      </c>
      <c r="Q622" s="165">
        <v>0</v>
      </c>
      <c r="R622" s="165">
        <v>297.58333333333337</v>
      </c>
      <c r="S622" s="165">
        <v>300241835.23000026</v>
      </c>
      <c r="T622" s="165">
        <v>1008933.6384094099</v>
      </c>
      <c r="U622" s="166">
        <v>116367630.00000024</v>
      </c>
      <c r="V622" s="168">
        <v>3194424672</v>
      </c>
      <c r="W622" s="165">
        <v>2690843753</v>
      </c>
      <c r="X622" s="165">
        <v>384274890</v>
      </c>
      <c r="Y622" s="165">
        <v>25741464</v>
      </c>
      <c r="Z622" s="165">
        <v>150954750</v>
      </c>
      <c r="AA622" s="165">
        <v>44781992</v>
      </c>
      <c r="AB622" s="165">
        <v>0</v>
      </c>
      <c r="AC622" s="165">
        <v>302.83333333333331</v>
      </c>
      <c r="AD622" s="165">
        <v>340784235</v>
      </c>
      <c r="AE622" s="165">
        <v>1125319.4331315355</v>
      </c>
      <c r="AF622" s="166">
        <v>119306029</v>
      </c>
      <c r="AG622" s="124">
        <v>40542399.769999743</v>
      </c>
      <c r="AH622" s="125">
        <v>5.2499999999999432</v>
      </c>
      <c r="AI622" s="133">
        <v>0</v>
      </c>
      <c r="AJ622" s="133">
        <v>1</v>
      </c>
      <c r="AK622" s="126">
        <v>0.3</v>
      </c>
      <c r="AL622" s="126">
        <v>0.11535524774453942</v>
      </c>
      <c r="AM622" s="14">
        <v>0</v>
      </c>
      <c r="AN622" s="122">
        <v>-1</v>
      </c>
      <c r="AO622" s="131">
        <v>430591.35256230744</v>
      </c>
      <c r="AP622" s="131">
        <v>498474.68354430381</v>
      </c>
      <c r="AQ622" s="131">
        <v>67883.330981996376</v>
      </c>
      <c r="AR622" s="130">
        <v>0.15765140330395622</v>
      </c>
    </row>
    <row r="623" spans="1:44" ht="28.8" x14ac:dyDescent="0.3">
      <c r="A623" s="136" t="s">
        <v>874</v>
      </c>
      <c r="B623" s="137" t="s">
        <v>5395</v>
      </c>
      <c r="C623" s="134">
        <v>2019</v>
      </c>
      <c r="D623" s="149" t="s">
        <v>1161</v>
      </c>
      <c r="E623" s="135" t="s">
        <v>1152</v>
      </c>
      <c r="F623" s="384" t="s">
        <v>872</v>
      </c>
      <c r="G623" s="138" t="s">
        <v>4773</v>
      </c>
      <c r="H623" s="138" t="s">
        <v>3058</v>
      </c>
      <c r="I623" s="138" t="s">
        <v>1566</v>
      </c>
      <c r="J623" s="135" t="s">
        <v>4778</v>
      </c>
      <c r="K623" s="164">
        <v>17684303632</v>
      </c>
      <c r="L623" s="165">
        <v>9177514423</v>
      </c>
      <c r="M623" s="165">
        <v>5972179637</v>
      </c>
      <c r="N623" s="165">
        <v>1914503600</v>
      </c>
      <c r="O623" s="165">
        <v>3441925524.8900008</v>
      </c>
      <c r="P623" s="165">
        <v>886960790</v>
      </c>
      <c r="Q623" s="165">
        <v>11400595</v>
      </c>
      <c r="R623" s="165">
        <v>5277.5</v>
      </c>
      <c r="S623" s="165">
        <v>8789400081.8900013</v>
      </c>
      <c r="T623" s="165">
        <v>1665447.6706565612</v>
      </c>
      <c r="U623" s="166">
        <v>2534609572</v>
      </c>
      <c r="V623" s="168">
        <v>14929280633</v>
      </c>
      <c r="W623" s="165">
        <v>6462260620</v>
      </c>
      <c r="X623" s="165">
        <v>5596225430</v>
      </c>
      <c r="Y623" s="165">
        <v>1225353074</v>
      </c>
      <c r="Z623" s="165">
        <v>2926424818</v>
      </c>
      <c r="AA623" s="165">
        <v>921691053</v>
      </c>
      <c r="AB623" s="165">
        <v>12312791</v>
      </c>
      <c r="AC623" s="165">
        <v>4406.25</v>
      </c>
      <c r="AD623" s="165">
        <v>7956576319</v>
      </c>
      <c r="AE623" s="165">
        <v>1805747.8170780141</v>
      </c>
      <c r="AF623" s="166">
        <v>2870794583</v>
      </c>
      <c r="AG623" s="124">
        <v>-832823762.8900013</v>
      </c>
      <c r="AH623" s="125">
        <v>-871.25</v>
      </c>
      <c r="AI623" s="133">
        <v>0</v>
      </c>
      <c r="AJ623" s="133">
        <v>1</v>
      </c>
      <c r="AK623" s="126">
        <v>0.15</v>
      </c>
      <c r="AL623" s="126">
        <v>8.4241704213978696E-2</v>
      </c>
      <c r="AM623" s="14">
        <v>0</v>
      </c>
      <c r="AN623" s="122">
        <v>-1</v>
      </c>
      <c r="AO623" s="131">
        <v>652188.63569682627</v>
      </c>
      <c r="AP623" s="131">
        <v>664153.15018439712</v>
      </c>
      <c r="AQ623" s="131">
        <v>11964.51448757085</v>
      </c>
      <c r="AR623" s="130">
        <v>1.8345174743481074E-2</v>
      </c>
    </row>
    <row r="624" spans="1:44" ht="28.8" x14ac:dyDescent="0.3">
      <c r="A624" s="136" t="s">
        <v>875</v>
      </c>
      <c r="B624" s="137" t="s">
        <v>5396</v>
      </c>
      <c r="C624" s="134">
        <v>2020</v>
      </c>
      <c r="D624" s="149" t="s">
        <v>1176</v>
      </c>
      <c r="E624" s="135" t="s">
        <v>1175</v>
      </c>
      <c r="F624" s="384" t="s">
        <v>799</v>
      </c>
      <c r="G624" s="138" t="s">
        <v>4773</v>
      </c>
      <c r="H624" s="138" t="s">
        <v>3237</v>
      </c>
      <c r="I624" s="138" t="s">
        <v>1566</v>
      </c>
      <c r="J624" s="135" t="s">
        <v>4774</v>
      </c>
      <c r="K624" s="164">
        <v>788926639</v>
      </c>
      <c r="L624" s="165">
        <v>412441169</v>
      </c>
      <c r="M624" s="165">
        <v>227289639</v>
      </c>
      <c r="N624" s="165">
        <v>5947912</v>
      </c>
      <c r="O624" s="165">
        <v>53015119</v>
      </c>
      <c r="P624" s="165">
        <v>13061814</v>
      </c>
      <c r="Q624" s="165">
        <v>0</v>
      </c>
      <c r="R624" s="165">
        <v>48</v>
      </c>
      <c r="S624" s="165">
        <v>221220676</v>
      </c>
      <c r="T624" s="165">
        <v>4608764.083333333</v>
      </c>
      <c r="U624" s="166">
        <v>149195831</v>
      </c>
      <c r="V624" s="168">
        <v>939103911</v>
      </c>
      <c r="W624" s="165">
        <v>737041293</v>
      </c>
      <c r="X624" s="165">
        <v>150312707</v>
      </c>
      <c r="Y624" s="165">
        <v>10957864</v>
      </c>
      <c r="Z624" s="165">
        <v>69939961.770000011</v>
      </c>
      <c r="AA624" s="165">
        <v>16150679.74</v>
      </c>
      <c r="AB624" s="165">
        <v>0</v>
      </c>
      <c r="AC624" s="165">
        <v>94.5</v>
      </c>
      <c r="AD624" s="165">
        <v>148798416.51000002</v>
      </c>
      <c r="AE624" s="165">
        <v>1574586.4180952383</v>
      </c>
      <c r="AF624" s="166">
        <v>51749911</v>
      </c>
      <c r="AG624" s="124">
        <v>-72422259.48999998</v>
      </c>
      <c r="AH624" s="125">
        <v>46.5</v>
      </c>
      <c r="AI624" s="133">
        <v>0</v>
      </c>
      <c r="AJ624" s="133">
        <v>0</v>
      </c>
      <c r="AK624" s="126">
        <v>0.1</v>
      </c>
      <c r="AL624" s="126">
        <v>-0.65834952870922403</v>
      </c>
      <c r="AM624" s="14">
        <v>0</v>
      </c>
      <c r="AN624" s="122">
        <v>-1</v>
      </c>
      <c r="AO624" s="131">
        <v>1104481.6458333333</v>
      </c>
      <c r="AP624" s="131">
        <v>740105.41555555572</v>
      </c>
      <c r="AQ624" s="131">
        <v>-364376.23027777753</v>
      </c>
      <c r="AR624" s="130">
        <v>-0.32990700357257186</v>
      </c>
    </row>
    <row r="625" spans="1:44" ht="28.8" x14ac:dyDescent="0.3">
      <c r="A625" s="136" t="s">
        <v>876</v>
      </c>
      <c r="B625" s="137" t="s">
        <v>5397</v>
      </c>
      <c r="C625" s="134">
        <v>2020</v>
      </c>
      <c r="D625" s="149" t="s">
        <v>5187</v>
      </c>
      <c r="E625" s="135" t="s">
        <v>1131</v>
      </c>
      <c r="F625" s="384" t="s">
        <v>877</v>
      </c>
      <c r="G625" s="138" t="s">
        <v>4773</v>
      </c>
      <c r="H625" s="138" t="s">
        <v>3038</v>
      </c>
      <c r="I625" s="138" t="s">
        <v>1566</v>
      </c>
      <c r="J625" s="135" t="s">
        <v>4778</v>
      </c>
      <c r="K625" s="164">
        <v>438125947</v>
      </c>
      <c r="L625" s="165">
        <v>222670942</v>
      </c>
      <c r="M625" s="165">
        <v>177406166</v>
      </c>
      <c r="N625" s="165">
        <v>9147735</v>
      </c>
      <c r="O625" s="165">
        <v>94031174.260000005</v>
      </c>
      <c r="P625" s="165">
        <v>21410509.899999999</v>
      </c>
      <c r="Q625" s="165">
        <v>1004963</v>
      </c>
      <c r="R625" s="165">
        <v>232.58333333333334</v>
      </c>
      <c r="S625" s="165">
        <v>163643221.16</v>
      </c>
      <c r="T625" s="165">
        <v>703589.62877821561</v>
      </c>
      <c r="U625" s="166">
        <v>38048839</v>
      </c>
      <c r="V625" s="168">
        <v>744554960</v>
      </c>
      <c r="W625" s="165">
        <v>513093043</v>
      </c>
      <c r="X625" s="165">
        <v>117890252</v>
      </c>
      <c r="Y625" s="165">
        <v>12171852</v>
      </c>
      <c r="Z625" s="165">
        <v>120141010.54000001</v>
      </c>
      <c r="AA625" s="165">
        <v>23954912.870000001</v>
      </c>
      <c r="AB625" s="165">
        <v>1604058</v>
      </c>
      <c r="AC625" s="165">
        <v>255.41666666666666</v>
      </c>
      <c r="AD625" s="165">
        <v>271443498.41000003</v>
      </c>
      <c r="AE625" s="165">
        <v>1062747.7914910279</v>
      </c>
      <c r="AF625" s="166">
        <v>113571665</v>
      </c>
      <c r="AG625" s="124">
        <v>107800277.25000003</v>
      </c>
      <c r="AH625" s="125">
        <v>22.833333333333314</v>
      </c>
      <c r="AI625" s="133">
        <v>1</v>
      </c>
      <c r="AJ625" s="133">
        <v>1</v>
      </c>
      <c r="AK625" s="126">
        <v>0.1</v>
      </c>
      <c r="AL625" s="126">
        <v>0.51046539727994578</v>
      </c>
      <c r="AM625" s="14">
        <v>1</v>
      </c>
      <c r="AN625" s="122">
        <v>0</v>
      </c>
      <c r="AO625" s="131">
        <v>404290.25120745256</v>
      </c>
      <c r="AP625" s="131">
        <v>470372.63506688422</v>
      </c>
      <c r="AQ625" s="131">
        <v>66082.383859431662</v>
      </c>
      <c r="AR625" s="130">
        <v>0.16345282544426953</v>
      </c>
    </row>
    <row r="626" spans="1:44" ht="28.8" x14ac:dyDescent="0.3">
      <c r="A626" s="136" t="s">
        <v>878</v>
      </c>
      <c r="B626" s="137" t="s">
        <v>5398</v>
      </c>
      <c r="C626" s="134">
        <v>2019</v>
      </c>
      <c r="D626" s="149" t="s">
        <v>5187</v>
      </c>
      <c r="E626" s="135" t="s">
        <v>1131</v>
      </c>
      <c r="F626" s="384" t="s">
        <v>877</v>
      </c>
      <c r="G626" s="138" t="s">
        <v>4773</v>
      </c>
      <c r="H626" s="138" t="s">
        <v>3316</v>
      </c>
      <c r="I626" s="138" t="s">
        <v>1566</v>
      </c>
      <c r="J626" s="135" t="s">
        <v>4778</v>
      </c>
      <c r="K626" s="164">
        <v>1546859245</v>
      </c>
      <c r="L626" s="165">
        <v>1342150544</v>
      </c>
      <c r="M626" s="165">
        <v>170231332</v>
      </c>
      <c r="N626" s="165">
        <v>8591461</v>
      </c>
      <c r="O626" s="165">
        <v>187060101.59</v>
      </c>
      <c r="P626" s="165">
        <v>56819498.439999998</v>
      </c>
      <c r="Q626" s="165">
        <v>1453602</v>
      </c>
      <c r="R626" s="165">
        <v>451.66666666666669</v>
      </c>
      <c r="S626" s="165">
        <v>288402032.02999997</v>
      </c>
      <c r="T626" s="165">
        <v>638528.48419926187</v>
      </c>
      <c r="U626" s="166">
        <v>34477369</v>
      </c>
      <c r="V626" s="168">
        <v>1875013220</v>
      </c>
      <c r="W626" s="165">
        <v>1588843770</v>
      </c>
      <c r="X626" s="165">
        <v>265496445</v>
      </c>
      <c r="Y626" s="165">
        <v>26051650</v>
      </c>
      <c r="Z626" s="165">
        <v>251638964.82000002</v>
      </c>
      <c r="AA626" s="165">
        <v>75212926.320000008</v>
      </c>
      <c r="AB626" s="165">
        <v>1753964</v>
      </c>
      <c r="AC626" s="165">
        <v>522.66666666666663</v>
      </c>
      <c r="AD626" s="165">
        <v>375330510.14000005</v>
      </c>
      <c r="AE626" s="165">
        <v>718106.84338010219</v>
      </c>
      <c r="AF626" s="166">
        <v>20673005</v>
      </c>
      <c r="AG626" s="124">
        <v>86928478.110000074</v>
      </c>
      <c r="AH626" s="125">
        <v>70.999999999999943</v>
      </c>
      <c r="AI626" s="133">
        <v>0</v>
      </c>
      <c r="AJ626" s="133">
        <v>0</v>
      </c>
      <c r="AK626" s="126">
        <v>0.15</v>
      </c>
      <c r="AL626" s="126">
        <v>0.12462773782619685</v>
      </c>
      <c r="AM626" s="14">
        <v>0</v>
      </c>
      <c r="AN626" s="122">
        <v>-1</v>
      </c>
      <c r="AO626" s="131">
        <v>414155.20647232473</v>
      </c>
      <c r="AP626" s="131">
        <v>481452.10105867352</v>
      </c>
      <c r="AQ626" s="131">
        <v>67296.89458634879</v>
      </c>
      <c r="AR626" s="130">
        <v>0.16249196807053967</v>
      </c>
    </row>
    <row r="627" spans="1:44" ht="28.8" x14ac:dyDescent="0.3">
      <c r="A627" s="136" t="s">
        <v>879</v>
      </c>
      <c r="B627" s="137" t="s">
        <v>5399</v>
      </c>
      <c r="C627" s="134">
        <v>2019</v>
      </c>
      <c r="D627" s="149" t="s">
        <v>5187</v>
      </c>
      <c r="E627" s="135" t="s">
        <v>1131</v>
      </c>
      <c r="F627" s="384" t="s">
        <v>877</v>
      </c>
      <c r="G627" s="138" t="s">
        <v>4773</v>
      </c>
      <c r="H627" s="138" t="s">
        <v>3336</v>
      </c>
      <c r="I627" s="138" t="s">
        <v>1566</v>
      </c>
      <c r="J627" s="135" t="s">
        <v>4798</v>
      </c>
      <c r="K627" s="164">
        <v>1152128887</v>
      </c>
      <c r="L627" s="165">
        <v>963224571</v>
      </c>
      <c r="M627" s="165">
        <v>133839103</v>
      </c>
      <c r="N627" s="165">
        <v>16961151</v>
      </c>
      <c r="O627" s="165">
        <v>128720750</v>
      </c>
      <c r="P627" s="165">
        <v>37269315.299999997</v>
      </c>
      <c r="Q627" s="165">
        <v>2664424</v>
      </c>
      <c r="R627" s="165">
        <v>334.25</v>
      </c>
      <c r="S627" s="165">
        <v>240680853.30000001</v>
      </c>
      <c r="T627" s="165">
        <v>720062.38833208685</v>
      </c>
      <c r="U627" s="166">
        <v>55065213</v>
      </c>
      <c r="V627" s="168">
        <v>1210655343</v>
      </c>
      <c r="W627" s="165">
        <v>988292956</v>
      </c>
      <c r="X627" s="165">
        <v>166873891</v>
      </c>
      <c r="Y627" s="165">
        <v>14796344</v>
      </c>
      <c r="Z627" s="165">
        <v>162925066.75</v>
      </c>
      <c r="AA627" s="165">
        <v>47472087.18</v>
      </c>
      <c r="AB627" s="165">
        <v>2490131</v>
      </c>
      <c r="AC627" s="165">
        <v>339.08333333333331</v>
      </c>
      <c r="AD627" s="165">
        <v>283172124.93000001</v>
      </c>
      <c r="AE627" s="165">
        <v>835110.71495699196</v>
      </c>
      <c r="AF627" s="166">
        <v>55488496</v>
      </c>
      <c r="AG627" s="124">
        <v>42491271.629999995</v>
      </c>
      <c r="AH627" s="125">
        <v>4.8333333333333144</v>
      </c>
      <c r="AI627" s="133">
        <v>1</v>
      </c>
      <c r="AJ627" s="133">
        <v>0</v>
      </c>
      <c r="AK627" s="126">
        <v>0.15</v>
      </c>
      <c r="AL627" s="126">
        <v>0.15977548834344746</v>
      </c>
      <c r="AM627" s="14">
        <v>1</v>
      </c>
      <c r="AN627" s="122">
        <v>0</v>
      </c>
      <c r="AO627" s="131">
        <v>385103.21615557215</v>
      </c>
      <c r="AP627" s="131">
        <v>480486.80289997545</v>
      </c>
      <c r="AQ627" s="131">
        <v>95383.586744403292</v>
      </c>
      <c r="AR627" s="130">
        <v>0.24768317360889203</v>
      </c>
    </row>
    <row r="628" spans="1:44" ht="28.8" x14ac:dyDescent="0.3">
      <c r="A628" s="136" t="s">
        <v>880</v>
      </c>
      <c r="B628" s="137" t="s">
        <v>5400</v>
      </c>
      <c r="C628" s="134">
        <v>2020</v>
      </c>
      <c r="D628" s="149" t="s">
        <v>5187</v>
      </c>
      <c r="E628" s="135" t="s">
        <v>1131</v>
      </c>
      <c r="F628" s="384" t="s">
        <v>877</v>
      </c>
      <c r="G628" s="138" t="s">
        <v>4773</v>
      </c>
      <c r="H628" s="138" t="s">
        <v>3060</v>
      </c>
      <c r="I628" s="138" t="s">
        <v>1566</v>
      </c>
      <c r="J628" s="135" t="s">
        <v>4774</v>
      </c>
      <c r="K628" s="164">
        <v>884408203</v>
      </c>
      <c r="L628" s="165">
        <v>802861663</v>
      </c>
      <c r="M628" s="165">
        <v>47477031</v>
      </c>
      <c r="N628" s="165">
        <v>11207439</v>
      </c>
      <c r="O628" s="165">
        <v>105125860</v>
      </c>
      <c r="P628" s="165">
        <v>24481456.130000003</v>
      </c>
      <c r="Q628" s="165">
        <v>231716</v>
      </c>
      <c r="R628" s="165">
        <v>236</v>
      </c>
      <c r="S628" s="165">
        <v>175115980.13</v>
      </c>
      <c r="T628" s="165">
        <v>742016.86495762714</v>
      </c>
      <c r="U628" s="166">
        <v>34069509</v>
      </c>
      <c r="V628" s="168">
        <v>1105782927</v>
      </c>
      <c r="W628" s="165">
        <v>976871055</v>
      </c>
      <c r="X628" s="165">
        <v>51354534</v>
      </c>
      <c r="Y628" s="165">
        <v>10764765</v>
      </c>
      <c r="Z628" s="165">
        <v>101928986.31</v>
      </c>
      <c r="AA628" s="165">
        <v>20728101.300000001</v>
      </c>
      <c r="AB628" s="165">
        <v>0</v>
      </c>
      <c r="AC628" s="165">
        <v>221.08333333333334</v>
      </c>
      <c r="AD628" s="165">
        <v>210979190.61000001</v>
      </c>
      <c r="AE628" s="165">
        <v>954297.13053901249</v>
      </c>
      <c r="AF628" s="166">
        <v>77557338</v>
      </c>
      <c r="AG628" s="124">
        <v>35863210.480000019</v>
      </c>
      <c r="AH628" s="125">
        <v>-14.916666666666657</v>
      </c>
      <c r="AI628" s="133">
        <v>1</v>
      </c>
      <c r="AJ628" s="133">
        <v>1</v>
      </c>
      <c r="AK628" s="126">
        <v>0.1</v>
      </c>
      <c r="AL628" s="126">
        <v>0.28608550754493645</v>
      </c>
      <c r="AM628" s="14">
        <v>1</v>
      </c>
      <c r="AN628" s="122">
        <v>0</v>
      </c>
      <c r="AO628" s="131">
        <v>445448.55932203389</v>
      </c>
      <c r="AP628" s="131">
        <v>461043.28523181303</v>
      </c>
      <c r="AQ628" s="131">
        <v>15594.725909779139</v>
      </c>
      <c r="AR628" s="130">
        <v>3.5009038829341144E-2</v>
      </c>
    </row>
    <row r="629" spans="1:44" ht="28.8" x14ac:dyDescent="0.3">
      <c r="A629" s="136" t="s">
        <v>881</v>
      </c>
      <c r="B629" s="137" t="s">
        <v>5401</v>
      </c>
      <c r="C629" s="134">
        <v>2020</v>
      </c>
      <c r="D629" s="149" t="s">
        <v>4843</v>
      </c>
      <c r="E629" s="135" t="s">
        <v>1131</v>
      </c>
      <c r="F629" s="384" t="s">
        <v>877</v>
      </c>
      <c r="G629" s="138" t="s">
        <v>4773</v>
      </c>
      <c r="H629" s="138" t="s">
        <v>2554</v>
      </c>
      <c r="I629" s="138" t="s">
        <v>1566</v>
      </c>
      <c r="J629" s="135" t="s">
        <v>4778</v>
      </c>
      <c r="K629" s="164">
        <v>4629369696</v>
      </c>
      <c r="L629" s="165">
        <v>1904602326</v>
      </c>
      <c r="M629" s="165">
        <v>2045144328</v>
      </c>
      <c r="N629" s="165">
        <v>104208303</v>
      </c>
      <c r="O629" s="165">
        <v>186242649.58000001</v>
      </c>
      <c r="P629" s="165">
        <v>54723167.629999995</v>
      </c>
      <c r="Q629" s="165">
        <v>13238929</v>
      </c>
      <c r="R629" s="165">
        <v>405.08333333333331</v>
      </c>
      <c r="S629" s="165">
        <v>1038036091.21</v>
      </c>
      <c r="T629" s="165">
        <v>2562524.8085825965</v>
      </c>
      <c r="U629" s="166">
        <v>679623042</v>
      </c>
      <c r="V629" s="168">
        <v>5201140049</v>
      </c>
      <c r="W629" s="165">
        <v>2238636125</v>
      </c>
      <c r="X629" s="165">
        <v>2095810555</v>
      </c>
      <c r="Y629" s="165">
        <v>105255820</v>
      </c>
      <c r="Z629" s="165">
        <v>214518029.22</v>
      </c>
      <c r="AA629" s="165">
        <v>63385502.509999998</v>
      </c>
      <c r="AB629" s="165">
        <v>12697240</v>
      </c>
      <c r="AC629" s="165">
        <v>399.83333333333331</v>
      </c>
      <c r="AD629" s="165">
        <v>1262549960.73</v>
      </c>
      <c r="AE629" s="165">
        <v>3157690.6062442688</v>
      </c>
      <c r="AF629" s="166">
        <v>866693369</v>
      </c>
      <c r="AG629" s="124">
        <v>224513869.51999998</v>
      </c>
      <c r="AH629" s="125">
        <v>-5.25</v>
      </c>
      <c r="AI629" s="133">
        <v>1</v>
      </c>
      <c r="AJ629" s="133">
        <v>1</v>
      </c>
      <c r="AK629" s="126">
        <v>0.1</v>
      </c>
      <c r="AL629" s="126">
        <v>0.23225757568372574</v>
      </c>
      <c r="AM629" s="14">
        <v>1</v>
      </c>
      <c r="AN629" s="122">
        <v>0</v>
      </c>
      <c r="AO629" s="131">
        <v>459763.79242131254</v>
      </c>
      <c r="AP629" s="131">
        <v>536518.62247603165</v>
      </c>
      <c r="AQ629" s="131">
        <v>76754.830054719117</v>
      </c>
      <c r="AR629" s="130">
        <v>0.16694405109740251</v>
      </c>
    </row>
    <row r="630" spans="1:44" ht="28.8" x14ac:dyDescent="0.3">
      <c r="A630" s="136" t="s">
        <v>882</v>
      </c>
      <c r="B630" s="137" t="s">
        <v>5402</v>
      </c>
      <c r="C630" s="134">
        <v>2020</v>
      </c>
      <c r="D630" s="149" t="s">
        <v>4843</v>
      </c>
      <c r="E630" s="135" t="s">
        <v>1131</v>
      </c>
      <c r="F630" s="384" t="s">
        <v>877</v>
      </c>
      <c r="G630" s="138" t="s">
        <v>4773</v>
      </c>
      <c r="H630" s="138" t="s">
        <v>4651</v>
      </c>
      <c r="I630" s="138" t="s">
        <v>4612</v>
      </c>
      <c r="J630" s="135" t="s">
        <v>4780</v>
      </c>
      <c r="K630" s="164">
        <v>2017322038</v>
      </c>
      <c r="L630" s="165">
        <v>1660405192</v>
      </c>
      <c r="M630" s="165">
        <v>233847025</v>
      </c>
      <c r="N630" s="165">
        <v>169619557</v>
      </c>
      <c r="O630" s="165">
        <v>424747823.50999999</v>
      </c>
      <c r="P630" s="165">
        <v>126884425.31999999</v>
      </c>
      <c r="Q630" s="165">
        <v>41485988</v>
      </c>
      <c r="R630" s="165">
        <v>1200.5833333333333</v>
      </c>
      <c r="S630" s="165">
        <v>885807614.82999992</v>
      </c>
      <c r="T630" s="165">
        <v>737814.35260359547</v>
      </c>
      <c r="U630" s="166">
        <v>123069821</v>
      </c>
      <c r="V630" s="168">
        <v>2111811424</v>
      </c>
      <c r="W630" s="165">
        <v>1796200600</v>
      </c>
      <c r="X630" s="165">
        <v>256624063</v>
      </c>
      <c r="Y630" s="165">
        <v>177002665</v>
      </c>
      <c r="Z630" s="165">
        <v>455523160.79000002</v>
      </c>
      <c r="AA630" s="165">
        <v>134722059.43000001</v>
      </c>
      <c r="AB630" s="165">
        <v>40993642</v>
      </c>
      <c r="AC630" s="165">
        <v>1154.9166666666667</v>
      </c>
      <c r="AD630" s="165">
        <v>867228288.22000003</v>
      </c>
      <c r="AE630" s="165">
        <v>750901.18036221946</v>
      </c>
      <c r="AF630" s="166">
        <v>58986761</v>
      </c>
      <c r="AG630" s="124">
        <v>-18579326.609999895</v>
      </c>
      <c r="AH630" s="125">
        <v>-45.666666666666515</v>
      </c>
      <c r="AI630" s="133">
        <v>0</v>
      </c>
      <c r="AJ630" s="133">
        <v>0</v>
      </c>
      <c r="AK630" s="126">
        <v>0.1</v>
      </c>
      <c r="AL630" s="126">
        <v>1.7737293941219923E-2</v>
      </c>
      <c r="AM630" s="14">
        <v>0</v>
      </c>
      <c r="AN630" s="122">
        <v>-1</v>
      </c>
      <c r="AO630" s="131">
        <v>353784.54099534953</v>
      </c>
      <c r="AP630" s="131">
        <v>394420.80449383071</v>
      </c>
      <c r="AQ630" s="131">
        <v>40636.263498481188</v>
      </c>
      <c r="AR630" s="130">
        <v>0.11486161431518105</v>
      </c>
    </row>
    <row r="631" spans="1:44" ht="28.8" x14ac:dyDescent="0.3">
      <c r="A631" s="136" t="s">
        <v>883</v>
      </c>
      <c r="B631" s="137" t="s">
        <v>5403</v>
      </c>
      <c r="C631" s="134">
        <v>2020</v>
      </c>
      <c r="D631" s="149" t="s">
        <v>1120</v>
      </c>
      <c r="E631" s="135" t="s">
        <v>1117</v>
      </c>
      <c r="F631" s="384" t="s">
        <v>639</v>
      </c>
      <c r="G631" s="138" t="s">
        <v>4773</v>
      </c>
      <c r="H631" s="138" t="s">
        <v>2717</v>
      </c>
      <c r="I631" s="138" t="s">
        <v>1566</v>
      </c>
      <c r="J631" s="135" t="s">
        <v>4778</v>
      </c>
      <c r="K631" s="164">
        <v>1830073467</v>
      </c>
      <c r="L631" s="165">
        <v>1329765052</v>
      </c>
      <c r="M631" s="165">
        <v>523233246</v>
      </c>
      <c r="N631" s="165">
        <v>38007711</v>
      </c>
      <c r="O631" s="165">
        <v>417768234.77999997</v>
      </c>
      <c r="P631" s="165">
        <v>89227801.589999989</v>
      </c>
      <c r="Q631" s="165">
        <v>1050474</v>
      </c>
      <c r="R631" s="165">
        <v>463.91666666666669</v>
      </c>
      <c r="S631" s="165">
        <v>523129390.36999995</v>
      </c>
      <c r="T631" s="165">
        <v>1127636.5519022811</v>
      </c>
      <c r="U631" s="166">
        <v>-22924831</v>
      </c>
      <c r="V631" s="168">
        <v>2261579852</v>
      </c>
      <c r="W631" s="165">
        <v>1609901508</v>
      </c>
      <c r="X631" s="165">
        <v>411150430</v>
      </c>
      <c r="Y631" s="165">
        <v>33047453</v>
      </c>
      <c r="Z631" s="165">
        <v>384907359.43000001</v>
      </c>
      <c r="AA631" s="165">
        <v>85170270.24000001</v>
      </c>
      <c r="AB631" s="165">
        <v>1055299</v>
      </c>
      <c r="AC631" s="165">
        <v>425.5</v>
      </c>
      <c r="AD631" s="165">
        <v>744708295.67000008</v>
      </c>
      <c r="AE631" s="165">
        <v>1750195.7595064631</v>
      </c>
      <c r="AF631" s="166">
        <v>240527914</v>
      </c>
      <c r="AG631" s="124">
        <v>221578905.30000013</v>
      </c>
      <c r="AH631" s="125">
        <v>-38.416666666666686</v>
      </c>
      <c r="AI631" s="133">
        <v>1</v>
      </c>
      <c r="AJ631" s="133">
        <v>1</v>
      </c>
      <c r="AK631" s="126">
        <v>0.1</v>
      </c>
      <c r="AL631" s="126">
        <v>0.55209208144237598</v>
      </c>
      <c r="AM631" s="14">
        <v>1</v>
      </c>
      <c r="AN631" s="122">
        <v>0</v>
      </c>
      <c r="AO631" s="131">
        <v>900524.30705227226</v>
      </c>
      <c r="AP631" s="131">
        <v>904600.13967097539</v>
      </c>
      <c r="AQ631" s="131">
        <v>4075.8326187031344</v>
      </c>
      <c r="AR631" s="130">
        <v>4.526066189201261E-3</v>
      </c>
    </row>
    <row r="632" spans="1:44" ht="28.8" x14ac:dyDescent="0.3">
      <c r="A632" s="136" t="s">
        <v>884</v>
      </c>
      <c r="B632" s="137" t="s">
        <v>5404</v>
      </c>
      <c r="C632" s="134">
        <v>2019</v>
      </c>
      <c r="D632" s="149" t="s">
        <v>1125</v>
      </c>
      <c r="E632" s="135" t="s">
        <v>1117</v>
      </c>
      <c r="F632" s="384" t="s">
        <v>251</v>
      </c>
      <c r="G632" s="138" t="s">
        <v>4773</v>
      </c>
      <c r="H632" s="138" t="s">
        <v>4288</v>
      </c>
      <c r="I632" s="138" t="s">
        <v>4255</v>
      </c>
      <c r="J632" s="135" t="s">
        <v>4778</v>
      </c>
      <c r="K632" s="164">
        <v>440684738</v>
      </c>
      <c r="L632" s="165">
        <v>515842058</v>
      </c>
      <c r="M632" s="165">
        <v>172597828</v>
      </c>
      <c r="N632" s="165">
        <v>26367043</v>
      </c>
      <c r="O632" s="165">
        <v>260497722</v>
      </c>
      <c r="P632" s="165">
        <v>61393911</v>
      </c>
      <c r="Q632" s="165">
        <v>1051856</v>
      </c>
      <c r="R632" s="165">
        <v>990</v>
      </c>
      <c r="S632" s="165">
        <v>101555384</v>
      </c>
      <c r="T632" s="165">
        <v>102581.19595959596</v>
      </c>
      <c r="U632" s="166">
        <v>-247755148</v>
      </c>
      <c r="V632" s="168">
        <v>778346297</v>
      </c>
      <c r="W632" s="165">
        <v>4432761</v>
      </c>
      <c r="X632" s="165">
        <v>926985286</v>
      </c>
      <c r="Y632" s="165">
        <v>49978713</v>
      </c>
      <c r="Z632" s="165">
        <v>352105172.88999999</v>
      </c>
      <c r="AA632" s="165">
        <v>91799668.569999993</v>
      </c>
      <c r="AB632" s="165">
        <v>14987</v>
      </c>
      <c r="AC632" s="165">
        <v>819.41666666666663</v>
      </c>
      <c r="AD632" s="165">
        <v>340826791.45999998</v>
      </c>
      <c r="AE632" s="165">
        <v>415938.31969083694</v>
      </c>
      <c r="AF632" s="166">
        <v>-153071750</v>
      </c>
      <c r="AG632" s="124">
        <v>239271407.45999998</v>
      </c>
      <c r="AH632" s="125">
        <v>-170.58333333333337</v>
      </c>
      <c r="AI632" s="133">
        <v>1</v>
      </c>
      <c r="AJ632" s="133">
        <v>1</v>
      </c>
      <c r="AK632" s="126">
        <v>0.15</v>
      </c>
      <c r="AL632" s="126">
        <v>3.0547226977262891</v>
      </c>
      <c r="AM632" s="14">
        <v>1</v>
      </c>
      <c r="AN632" s="122">
        <v>0</v>
      </c>
      <c r="AO632" s="131">
        <v>263129.01212121214</v>
      </c>
      <c r="AP632" s="131">
        <v>429702.23478897591</v>
      </c>
      <c r="AQ632" s="131">
        <v>166573.22266776377</v>
      </c>
      <c r="AR632" s="130">
        <v>0.6330477256192133</v>
      </c>
    </row>
    <row r="633" spans="1:44" ht="28.8" x14ac:dyDescent="0.3">
      <c r="A633" s="136" t="s">
        <v>885</v>
      </c>
      <c r="B633" s="137" t="s">
        <v>5405</v>
      </c>
      <c r="C633" s="134">
        <v>2020</v>
      </c>
      <c r="D633" s="149" t="s">
        <v>1125</v>
      </c>
      <c r="E633" s="135" t="s">
        <v>1117</v>
      </c>
      <c r="F633" s="384" t="s">
        <v>163</v>
      </c>
      <c r="G633" s="138" t="s">
        <v>4773</v>
      </c>
      <c r="H633" s="138" t="s">
        <v>3237</v>
      </c>
      <c r="I633" s="138" t="s">
        <v>1566</v>
      </c>
      <c r="J633" s="135" t="s">
        <v>4778</v>
      </c>
      <c r="K633" s="164">
        <v>409249861</v>
      </c>
      <c r="L633" s="165">
        <v>274813143</v>
      </c>
      <c r="M633" s="165">
        <v>164890452</v>
      </c>
      <c r="N633" s="165">
        <v>9032310</v>
      </c>
      <c r="O633" s="165">
        <v>88432906</v>
      </c>
      <c r="P633" s="165">
        <v>25212916.759999998</v>
      </c>
      <c r="Q633" s="165">
        <v>2721262</v>
      </c>
      <c r="R633" s="165">
        <v>254.91666666666666</v>
      </c>
      <c r="S633" s="165">
        <v>94945660.75999999</v>
      </c>
      <c r="T633" s="165">
        <v>372457.64273291925</v>
      </c>
      <c r="U633" s="166">
        <v>-30453734</v>
      </c>
      <c r="V633" s="168">
        <v>373568307</v>
      </c>
      <c r="W633" s="165">
        <v>236711542</v>
      </c>
      <c r="X633" s="165">
        <v>152223954</v>
      </c>
      <c r="Y633" s="165">
        <v>9101579</v>
      </c>
      <c r="Z633" s="165">
        <v>87173611</v>
      </c>
      <c r="AA633" s="165">
        <v>26397166</v>
      </c>
      <c r="AB633" s="165">
        <v>2664020</v>
      </c>
      <c r="AC633" s="165">
        <v>241.83333333333334</v>
      </c>
      <c r="AD633" s="165">
        <v>109969187</v>
      </c>
      <c r="AE633" s="165">
        <v>454731.3039283253</v>
      </c>
      <c r="AF633" s="166">
        <v>-15367189</v>
      </c>
      <c r="AG633" s="124">
        <v>15023526.24000001</v>
      </c>
      <c r="AH633" s="125">
        <v>-13.083333333333314</v>
      </c>
      <c r="AI633" s="133">
        <v>1</v>
      </c>
      <c r="AJ633" s="133">
        <v>1</v>
      </c>
      <c r="AK633" s="126">
        <v>0.1</v>
      </c>
      <c r="AL633" s="126">
        <v>0.22089400555724925</v>
      </c>
      <c r="AM633" s="14">
        <v>1</v>
      </c>
      <c r="AN633" s="122">
        <v>0</v>
      </c>
      <c r="AO633" s="131">
        <v>346909.07878391631</v>
      </c>
      <c r="AP633" s="131">
        <v>360469.79048931767</v>
      </c>
      <c r="AQ633" s="131">
        <v>13560.711705401365</v>
      </c>
      <c r="AR633" s="130">
        <v>3.9090103242435115E-2</v>
      </c>
    </row>
    <row r="634" spans="1:44" ht="28.8" x14ac:dyDescent="0.3">
      <c r="A634" s="136" t="s">
        <v>886</v>
      </c>
      <c r="B634" s="137" t="s">
        <v>5406</v>
      </c>
      <c r="C634" s="134">
        <v>2020</v>
      </c>
      <c r="D634" s="149" t="s">
        <v>1146</v>
      </c>
      <c r="E634" s="135" t="s">
        <v>1140</v>
      </c>
      <c r="F634" s="384" t="s">
        <v>887</v>
      </c>
      <c r="G634" s="138" t="s">
        <v>4796</v>
      </c>
      <c r="H634" s="138" t="s">
        <v>3355</v>
      </c>
      <c r="I634" s="138" t="s">
        <v>1566</v>
      </c>
      <c r="J634" s="135" t="s">
        <v>4774</v>
      </c>
      <c r="K634" s="164">
        <v>1155510310</v>
      </c>
      <c r="L634" s="165">
        <v>1006075360</v>
      </c>
      <c r="M634" s="165">
        <v>89643182</v>
      </c>
      <c r="N634" s="165">
        <v>4320384</v>
      </c>
      <c r="O634" s="165">
        <v>45848408</v>
      </c>
      <c r="P634" s="165">
        <v>13693392</v>
      </c>
      <c r="Q634" s="165">
        <v>0</v>
      </c>
      <c r="R634" s="165">
        <v>191</v>
      </c>
      <c r="S634" s="165">
        <v>123653952</v>
      </c>
      <c r="T634" s="165">
        <v>647402.89005235606</v>
      </c>
      <c r="U634" s="166">
        <v>59791768</v>
      </c>
      <c r="V634" s="168">
        <v>1374570552</v>
      </c>
      <c r="W634" s="165">
        <v>1276761919</v>
      </c>
      <c r="X634" s="165">
        <v>32248739</v>
      </c>
      <c r="Y634" s="165">
        <v>12717417</v>
      </c>
      <c r="Z634" s="165">
        <v>32778649.32</v>
      </c>
      <c r="AA634" s="165">
        <v>9854316.9700000007</v>
      </c>
      <c r="AB634" s="165">
        <v>0</v>
      </c>
      <c r="AC634" s="165">
        <v>138.83333333333334</v>
      </c>
      <c r="AD634" s="165">
        <v>120910277.28999999</v>
      </c>
      <c r="AE634" s="165">
        <v>870902.35743097228</v>
      </c>
      <c r="AF634" s="166">
        <v>65559894</v>
      </c>
      <c r="AG634" s="124">
        <v>-2743674.7100000083</v>
      </c>
      <c r="AH634" s="125">
        <v>-52.166666666666657</v>
      </c>
      <c r="AI634" s="133">
        <v>1</v>
      </c>
      <c r="AJ634" s="133">
        <v>1</v>
      </c>
      <c r="AK634" s="126">
        <v>0.05</v>
      </c>
      <c r="AL634" s="126">
        <v>0.34522470234879554</v>
      </c>
      <c r="AM634" s="14">
        <v>1</v>
      </c>
      <c r="AN634" s="122">
        <v>0</v>
      </c>
      <c r="AO634" s="131">
        <v>240044.02094240839</v>
      </c>
      <c r="AP634" s="131">
        <v>236100.71539015605</v>
      </c>
      <c r="AQ634" s="131">
        <v>-3943.3055522523355</v>
      </c>
      <c r="AR634" s="130">
        <v>-1.6427426672703582E-2</v>
      </c>
    </row>
    <row r="635" spans="1:44" ht="28.8" x14ac:dyDescent="0.3">
      <c r="A635" s="136" t="s">
        <v>888</v>
      </c>
      <c r="B635" s="137" t="s">
        <v>5407</v>
      </c>
      <c r="C635" s="134">
        <v>2020</v>
      </c>
      <c r="D635" s="149" t="s">
        <v>1149</v>
      </c>
      <c r="E635" s="135" t="s">
        <v>1140</v>
      </c>
      <c r="F635" s="384" t="s">
        <v>887</v>
      </c>
      <c r="G635" s="138" t="s">
        <v>4773</v>
      </c>
      <c r="H635" s="138" t="s">
        <v>2475</v>
      </c>
      <c r="I635" s="138" t="s">
        <v>1566</v>
      </c>
      <c r="J635" s="135" t="s">
        <v>4778</v>
      </c>
      <c r="K635" s="164">
        <v>4201081466</v>
      </c>
      <c r="L635" s="165">
        <v>1112976838</v>
      </c>
      <c r="M635" s="165">
        <v>2029783965</v>
      </c>
      <c r="N635" s="165">
        <v>244483351</v>
      </c>
      <c r="O635" s="165">
        <v>582926362</v>
      </c>
      <c r="P635" s="165">
        <v>174506453</v>
      </c>
      <c r="Q635" s="165">
        <v>29344889</v>
      </c>
      <c r="R635" s="165">
        <v>1318</v>
      </c>
      <c r="S635" s="165">
        <v>2089581718</v>
      </c>
      <c r="T635" s="165">
        <v>1585418.602427921</v>
      </c>
      <c r="U635" s="166">
        <v>1058320663</v>
      </c>
      <c r="V635" s="168">
        <v>4606465787</v>
      </c>
      <c r="W635" s="165">
        <v>1258211393</v>
      </c>
      <c r="X635" s="165">
        <v>2572906680</v>
      </c>
      <c r="Y635" s="165">
        <v>302048948</v>
      </c>
      <c r="Z635" s="165">
        <v>642884680</v>
      </c>
      <c r="AA635" s="165">
        <v>82282892</v>
      </c>
      <c r="AB635" s="165">
        <v>16556771</v>
      </c>
      <c r="AC635" s="165">
        <v>1339.9166666666667</v>
      </c>
      <c r="AD635" s="165">
        <v>1819121005</v>
      </c>
      <c r="AE635" s="165">
        <v>1357637.4189937185</v>
      </c>
      <c r="AF635" s="166">
        <v>775347714</v>
      </c>
      <c r="AG635" s="124">
        <v>-270460713</v>
      </c>
      <c r="AH635" s="125">
        <v>21.916666666666742</v>
      </c>
      <c r="AI635" s="133">
        <v>0</v>
      </c>
      <c r="AJ635" s="133">
        <v>0</v>
      </c>
      <c r="AK635" s="126">
        <v>0.1</v>
      </c>
      <c r="AL635" s="126">
        <v>-0.1436725795950673</v>
      </c>
      <c r="AM635" s="14">
        <v>0</v>
      </c>
      <c r="AN635" s="122">
        <v>-1</v>
      </c>
      <c r="AO635" s="131">
        <v>442281.00303490134</v>
      </c>
      <c r="AP635" s="131">
        <v>479794.52453510789</v>
      </c>
      <c r="AQ635" s="131">
        <v>37513.521500206552</v>
      </c>
      <c r="AR635" s="130">
        <v>8.4818297061803216E-2</v>
      </c>
    </row>
    <row r="636" spans="1:44" ht="43.2" x14ac:dyDescent="0.3">
      <c r="A636" s="136" t="s">
        <v>889</v>
      </c>
      <c r="B636" s="137" t="s">
        <v>5408</v>
      </c>
      <c r="C636" s="134">
        <v>2020</v>
      </c>
      <c r="D636" s="149" t="s">
        <v>1163</v>
      </c>
      <c r="E636" s="135" t="s">
        <v>1152</v>
      </c>
      <c r="F636" s="384" t="s">
        <v>890</v>
      </c>
      <c r="G636" s="138" t="s">
        <v>4773</v>
      </c>
      <c r="H636" s="138" t="s">
        <v>2407</v>
      </c>
      <c r="I636" s="138" t="s">
        <v>1566</v>
      </c>
      <c r="J636" s="135" t="s">
        <v>4778</v>
      </c>
      <c r="K636" s="164">
        <v>911639326</v>
      </c>
      <c r="L636" s="165">
        <v>744008315</v>
      </c>
      <c r="M636" s="165">
        <v>149633488</v>
      </c>
      <c r="N636" s="165">
        <v>9399423</v>
      </c>
      <c r="O636" s="165">
        <v>100640620</v>
      </c>
      <c r="P636" s="165">
        <v>28871513</v>
      </c>
      <c r="Q636" s="165">
        <v>1538235</v>
      </c>
      <c r="R636" s="165">
        <v>360.83333333333331</v>
      </c>
      <c r="S636" s="165">
        <v>158447314</v>
      </c>
      <c r="T636" s="165">
        <v>439114.95796766743</v>
      </c>
      <c r="U636" s="166">
        <v>17997523</v>
      </c>
      <c r="V636" s="168">
        <v>1110730812</v>
      </c>
      <c r="W636" s="165">
        <v>979114824</v>
      </c>
      <c r="X636" s="165">
        <v>177687766</v>
      </c>
      <c r="Y636" s="165">
        <v>13354792</v>
      </c>
      <c r="Z636" s="165">
        <v>110746734</v>
      </c>
      <c r="AA636" s="165">
        <v>33277976</v>
      </c>
      <c r="AB636" s="165">
        <v>3064477</v>
      </c>
      <c r="AC636" s="165">
        <v>365.08333333333331</v>
      </c>
      <c r="AD636" s="165">
        <v>114372201</v>
      </c>
      <c r="AE636" s="165">
        <v>313276.97146770143</v>
      </c>
      <c r="AF636" s="166">
        <v>-46071778</v>
      </c>
      <c r="AG636" s="124">
        <v>-44075113</v>
      </c>
      <c r="AH636" s="125">
        <v>4.25</v>
      </c>
      <c r="AI636" s="133">
        <v>0</v>
      </c>
      <c r="AJ636" s="133">
        <v>0</v>
      </c>
      <c r="AK636" s="126">
        <v>0.1</v>
      </c>
      <c r="AL636" s="126">
        <v>-0.28657185808472574</v>
      </c>
      <c r="AM636" s="14">
        <v>0</v>
      </c>
      <c r="AN636" s="122">
        <v>-1</v>
      </c>
      <c r="AO636" s="131">
        <v>278911.64896073902</v>
      </c>
      <c r="AP636" s="131">
        <v>303346.45240812603</v>
      </c>
      <c r="AQ636" s="131">
        <v>24434.803447387007</v>
      </c>
      <c r="AR636" s="130">
        <v>8.7607683431058625E-2</v>
      </c>
    </row>
    <row r="637" spans="1:44" ht="43.2" x14ac:dyDescent="0.3">
      <c r="A637" s="136" t="s">
        <v>891</v>
      </c>
      <c r="B637" s="137" t="s">
        <v>5409</v>
      </c>
      <c r="C637" s="134">
        <v>2020</v>
      </c>
      <c r="D637" s="149" t="s">
        <v>1163</v>
      </c>
      <c r="E637" s="135" t="s">
        <v>1152</v>
      </c>
      <c r="F637" s="384" t="s">
        <v>890</v>
      </c>
      <c r="G637" s="138" t="s">
        <v>4773</v>
      </c>
      <c r="H637" s="138" t="s">
        <v>2313</v>
      </c>
      <c r="I637" s="138" t="s">
        <v>1566</v>
      </c>
      <c r="J637" s="135" t="s">
        <v>4774</v>
      </c>
      <c r="K637" s="164">
        <v>282646658</v>
      </c>
      <c r="L637" s="165">
        <v>174998120</v>
      </c>
      <c r="M637" s="165">
        <v>97059351</v>
      </c>
      <c r="N637" s="165">
        <v>13278795</v>
      </c>
      <c r="O637" s="165">
        <v>53971492</v>
      </c>
      <c r="P637" s="165">
        <v>11208103</v>
      </c>
      <c r="Q637" s="165">
        <v>273732</v>
      </c>
      <c r="R637" s="165">
        <v>72.5</v>
      </c>
      <c r="S637" s="165">
        <v>89321309</v>
      </c>
      <c r="T637" s="165">
        <v>1232018.0551724138</v>
      </c>
      <c r="U637" s="166">
        <v>10589187</v>
      </c>
      <c r="V637" s="168">
        <v>381650274</v>
      </c>
      <c r="W637" s="165">
        <v>227980977</v>
      </c>
      <c r="X637" s="165">
        <v>97488211</v>
      </c>
      <c r="Y637" s="165">
        <v>10687333</v>
      </c>
      <c r="Z637" s="165">
        <v>53697195.159999996</v>
      </c>
      <c r="AA637" s="165">
        <v>9845032.8800000008</v>
      </c>
      <c r="AB637" s="165">
        <v>277669</v>
      </c>
      <c r="AC637" s="165">
        <v>68.5</v>
      </c>
      <c r="AD637" s="165">
        <v>130688316.03999999</v>
      </c>
      <c r="AE637" s="165">
        <v>1907858.6283211678</v>
      </c>
      <c r="AF637" s="166">
        <v>56181086</v>
      </c>
      <c r="AG637" s="124">
        <v>41367007.039999992</v>
      </c>
      <c r="AH637" s="125">
        <v>-4</v>
      </c>
      <c r="AI637" s="133">
        <v>1</v>
      </c>
      <c r="AJ637" s="133">
        <v>1</v>
      </c>
      <c r="AK637" s="126">
        <v>0.1</v>
      </c>
      <c r="AL637" s="126">
        <v>0.5485638497864227</v>
      </c>
      <c r="AM637" s="14">
        <v>1</v>
      </c>
      <c r="AN637" s="122">
        <v>0</v>
      </c>
      <c r="AO637" s="131">
        <v>744434.37241379311</v>
      </c>
      <c r="AP637" s="131">
        <v>783900.65927007294</v>
      </c>
      <c r="AQ637" s="131">
        <v>39466.286856279825</v>
      </c>
      <c r="AR637" s="130">
        <v>5.3015132453264169E-2</v>
      </c>
    </row>
    <row r="638" spans="1:44" ht="43.2" x14ac:dyDescent="0.3">
      <c r="A638" s="136" t="s">
        <v>892</v>
      </c>
      <c r="B638" s="137" t="s">
        <v>5410</v>
      </c>
      <c r="C638" s="134">
        <v>2019</v>
      </c>
      <c r="D638" s="149" t="s">
        <v>1163</v>
      </c>
      <c r="E638" s="135" t="s">
        <v>1152</v>
      </c>
      <c r="F638" s="384" t="s">
        <v>890</v>
      </c>
      <c r="G638" s="138" t="s">
        <v>4773</v>
      </c>
      <c r="H638" s="138" t="s">
        <v>2264</v>
      </c>
      <c r="I638" s="138" t="s">
        <v>1566</v>
      </c>
      <c r="J638" s="135" t="s">
        <v>4774</v>
      </c>
      <c r="K638" s="164">
        <v>585979847</v>
      </c>
      <c r="L638" s="165">
        <v>461594102</v>
      </c>
      <c r="M638" s="165">
        <v>88313232</v>
      </c>
      <c r="N638" s="165">
        <v>14599609</v>
      </c>
      <c r="O638" s="165">
        <v>46102289</v>
      </c>
      <c r="P638" s="165">
        <v>12130749</v>
      </c>
      <c r="Q638" s="165">
        <v>0</v>
      </c>
      <c r="R638" s="165">
        <v>148.91666666666666</v>
      </c>
      <c r="S638" s="165">
        <v>108905160</v>
      </c>
      <c r="T638" s="165">
        <v>731316.12758813659</v>
      </c>
      <c r="U638" s="166">
        <v>36072513</v>
      </c>
      <c r="V638" s="168">
        <v>834968084</v>
      </c>
      <c r="W638" s="165">
        <v>643999846</v>
      </c>
      <c r="X638" s="165">
        <v>141660652</v>
      </c>
      <c r="Y638" s="165">
        <v>17411050</v>
      </c>
      <c r="Z638" s="165">
        <v>75761315</v>
      </c>
      <c r="AA638" s="165">
        <v>15046288</v>
      </c>
      <c r="AB638" s="165">
        <v>0</v>
      </c>
      <c r="AC638" s="165">
        <v>180.91666666666666</v>
      </c>
      <c r="AD638" s="165">
        <v>157526239</v>
      </c>
      <c r="AE638" s="165">
        <v>870711.59281437134</v>
      </c>
      <c r="AF638" s="166">
        <v>49307586</v>
      </c>
      <c r="AG638" s="124">
        <v>48621079</v>
      </c>
      <c r="AH638" s="125">
        <v>32</v>
      </c>
      <c r="AI638" s="133">
        <v>1</v>
      </c>
      <c r="AJ638" s="133">
        <v>0</v>
      </c>
      <c r="AK638" s="126">
        <v>0.15</v>
      </c>
      <c r="AL638" s="126">
        <v>0.19060903251238281</v>
      </c>
      <c r="AM638" s="14">
        <v>1</v>
      </c>
      <c r="AN638" s="122">
        <v>0</v>
      </c>
      <c r="AO638" s="131">
        <v>309584.48125349748</v>
      </c>
      <c r="AP638" s="131">
        <v>418763.60202671582</v>
      </c>
      <c r="AQ638" s="131">
        <v>109179.12077321834</v>
      </c>
      <c r="AR638" s="130">
        <v>0.35266341623829356</v>
      </c>
    </row>
    <row r="639" spans="1:44" ht="43.2" x14ac:dyDescent="0.3">
      <c r="A639" s="136" t="s">
        <v>893</v>
      </c>
      <c r="B639" s="137" t="s">
        <v>5411</v>
      </c>
      <c r="C639" s="134">
        <v>2020</v>
      </c>
      <c r="D639" s="149" t="s">
        <v>1163</v>
      </c>
      <c r="E639" s="135" t="s">
        <v>1152</v>
      </c>
      <c r="F639" s="384" t="s">
        <v>890</v>
      </c>
      <c r="G639" s="138" t="s">
        <v>4773</v>
      </c>
      <c r="H639" s="138" t="s">
        <v>1724</v>
      </c>
      <c r="I639" s="138" t="s">
        <v>1566</v>
      </c>
      <c r="J639" s="135" t="s">
        <v>4774</v>
      </c>
      <c r="K639" s="164">
        <v>455322215</v>
      </c>
      <c r="L639" s="165">
        <v>343183158</v>
      </c>
      <c r="M639" s="165">
        <v>12584495</v>
      </c>
      <c r="N639" s="165">
        <v>15518625</v>
      </c>
      <c r="O639" s="165">
        <v>60308435</v>
      </c>
      <c r="P639" s="165">
        <v>17135631</v>
      </c>
      <c r="Q639" s="165">
        <v>1022731</v>
      </c>
      <c r="R639" s="165">
        <v>238.08333333333334</v>
      </c>
      <c r="S639" s="165">
        <v>193539984</v>
      </c>
      <c r="T639" s="165">
        <v>812908.57822891138</v>
      </c>
      <c r="U639" s="166">
        <v>99554562</v>
      </c>
      <c r="V639" s="168">
        <v>483215070</v>
      </c>
      <c r="W639" s="165">
        <v>320741428</v>
      </c>
      <c r="X639" s="165">
        <v>141653678</v>
      </c>
      <c r="Y639" s="165">
        <v>13795258</v>
      </c>
      <c r="Z639" s="165">
        <v>61052342</v>
      </c>
      <c r="AA639" s="165">
        <v>15203726</v>
      </c>
      <c r="AB639" s="165">
        <v>970072</v>
      </c>
      <c r="AC639" s="165">
        <v>190.08333333333334</v>
      </c>
      <c r="AD639" s="165">
        <v>111841362</v>
      </c>
      <c r="AE639" s="165">
        <v>588380.6856641823</v>
      </c>
      <c r="AF639" s="166">
        <v>20819964</v>
      </c>
      <c r="AG639" s="124">
        <v>-81698622</v>
      </c>
      <c r="AH639" s="125">
        <v>-48</v>
      </c>
      <c r="AI639" s="133">
        <v>0</v>
      </c>
      <c r="AJ639" s="133">
        <v>0</v>
      </c>
      <c r="AK639" s="126">
        <v>0.1</v>
      </c>
      <c r="AL639" s="126">
        <v>-0.27620312483354525</v>
      </c>
      <c r="AM639" s="14">
        <v>0</v>
      </c>
      <c r="AN639" s="122">
        <v>-1</v>
      </c>
      <c r="AO639" s="131">
        <v>253308.09240462023</v>
      </c>
      <c r="AP639" s="131">
        <v>321187.24419114424</v>
      </c>
      <c r="AQ639" s="131">
        <v>67879.151786524017</v>
      </c>
      <c r="AR639" s="130">
        <v>0.26797071953823592</v>
      </c>
    </row>
    <row r="640" spans="1:44" ht="28.8" x14ac:dyDescent="0.3">
      <c r="A640" s="136" t="s">
        <v>894</v>
      </c>
      <c r="B640" s="137" t="s">
        <v>5412</v>
      </c>
      <c r="C640" s="134">
        <v>2019</v>
      </c>
      <c r="D640" s="149" t="s">
        <v>1146</v>
      </c>
      <c r="E640" s="135" t="s">
        <v>1140</v>
      </c>
      <c r="F640" s="384" t="s">
        <v>895</v>
      </c>
      <c r="G640" s="138" t="s">
        <v>4773</v>
      </c>
      <c r="H640" s="138" t="s">
        <v>4292</v>
      </c>
      <c r="I640" s="138" t="s">
        <v>4255</v>
      </c>
      <c r="J640" s="135" t="s">
        <v>4780</v>
      </c>
      <c r="K640" s="164">
        <v>1083617396</v>
      </c>
      <c r="L640" s="165">
        <v>1535578065</v>
      </c>
      <c r="M640" s="165">
        <v>0</v>
      </c>
      <c r="N640" s="165">
        <v>54881319</v>
      </c>
      <c r="O640" s="165">
        <v>718392975.84000003</v>
      </c>
      <c r="P640" s="165">
        <v>222282553.14000002</v>
      </c>
      <c r="Q640" s="165">
        <v>298</v>
      </c>
      <c r="R640" s="165">
        <v>2307.5833333333335</v>
      </c>
      <c r="S640" s="165">
        <v>543596476.98000002</v>
      </c>
      <c r="T640" s="165">
        <v>235569.59747788089</v>
      </c>
      <c r="U640" s="166">
        <v>-451960669</v>
      </c>
      <c r="V640" s="168">
        <v>908822901</v>
      </c>
      <c r="W640" s="165">
        <v>1495570237</v>
      </c>
      <c r="X640" s="165">
        <v>101812408</v>
      </c>
      <c r="Y640" s="165">
        <v>62004132</v>
      </c>
      <c r="Z640" s="165">
        <v>762703686</v>
      </c>
      <c r="AA640" s="165">
        <v>235034203</v>
      </c>
      <c r="AB640" s="165">
        <v>206</v>
      </c>
      <c r="AC640" s="165">
        <v>2053.5</v>
      </c>
      <c r="AD640" s="165">
        <v>371182483</v>
      </c>
      <c r="AE640" s="165">
        <v>180756.01801801802</v>
      </c>
      <c r="AF640" s="166">
        <v>-688559744</v>
      </c>
      <c r="AG640" s="124">
        <v>-172413993.98000002</v>
      </c>
      <c r="AH640" s="125">
        <v>-254.08333333333348</v>
      </c>
      <c r="AI640" s="133">
        <v>0</v>
      </c>
      <c r="AJ640" s="133">
        <v>1</v>
      </c>
      <c r="AK640" s="126">
        <v>0.15</v>
      </c>
      <c r="AL640" s="126">
        <v>-0.2326852870659033</v>
      </c>
      <c r="AM640" s="14">
        <v>0</v>
      </c>
      <c r="AN640" s="122">
        <v>-1</v>
      </c>
      <c r="AO640" s="131">
        <v>311318.32400707813</v>
      </c>
      <c r="AP640" s="131">
        <v>371416.45288531773</v>
      </c>
      <c r="AQ640" s="131">
        <v>60098.1288782396</v>
      </c>
      <c r="AR640" s="130">
        <v>0.19304398181481019</v>
      </c>
    </row>
    <row r="641" spans="1:44" ht="28.8" x14ac:dyDescent="0.3">
      <c r="A641" s="136" t="s">
        <v>896</v>
      </c>
      <c r="B641" s="137" t="s">
        <v>5413</v>
      </c>
      <c r="C641" s="134">
        <v>2019</v>
      </c>
      <c r="D641" s="149" t="s">
        <v>4758</v>
      </c>
      <c r="E641" s="135" t="s">
        <v>1140</v>
      </c>
      <c r="F641" s="384" t="s">
        <v>895</v>
      </c>
      <c r="G641" s="138" t="s">
        <v>4773</v>
      </c>
      <c r="H641" s="138" t="s">
        <v>1780</v>
      </c>
      <c r="I641" s="138" t="s">
        <v>1566</v>
      </c>
      <c r="J641" s="135" t="s">
        <v>4798</v>
      </c>
      <c r="K641" s="164">
        <v>3261852738</v>
      </c>
      <c r="L641" s="165">
        <v>2164314683</v>
      </c>
      <c r="M641" s="165">
        <v>820080501</v>
      </c>
      <c r="N641" s="165">
        <v>155132741</v>
      </c>
      <c r="O641" s="165">
        <v>355790190</v>
      </c>
      <c r="P641" s="165">
        <v>106438753</v>
      </c>
      <c r="Q641" s="165">
        <v>21611886</v>
      </c>
      <c r="R641" s="165">
        <v>780.25</v>
      </c>
      <c r="S641" s="165">
        <v>916431124</v>
      </c>
      <c r="T641" s="165">
        <v>1174535.2438321051</v>
      </c>
      <c r="U641" s="166">
        <v>277457554</v>
      </c>
      <c r="V641" s="168">
        <v>6004465450</v>
      </c>
      <c r="W641" s="165">
        <v>3138393503</v>
      </c>
      <c r="X641" s="165">
        <v>771832362</v>
      </c>
      <c r="Y641" s="165">
        <v>143916118</v>
      </c>
      <c r="Z641" s="165">
        <v>312980167.39999998</v>
      </c>
      <c r="AA641" s="165">
        <v>94234731.960000008</v>
      </c>
      <c r="AB641" s="165">
        <v>23060476</v>
      </c>
      <c r="AC641" s="165">
        <v>697.33333333333337</v>
      </c>
      <c r="AD641" s="165">
        <v>2668431078.3600001</v>
      </c>
      <c r="AE641" s="165">
        <v>3826622.0052963672</v>
      </c>
      <c r="AF641" s="166">
        <v>2094239585</v>
      </c>
      <c r="AG641" s="124">
        <v>1751999954.3600001</v>
      </c>
      <c r="AH641" s="125">
        <v>-82.916666666666629</v>
      </c>
      <c r="AI641" s="133">
        <v>1</v>
      </c>
      <c r="AJ641" s="133">
        <v>1</v>
      </c>
      <c r="AK641" s="126">
        <v>0.15</v>
      </c>
      <c r="AL641" s="126">
        <v>2.2579882490371253</v>
      </c>
      <c r="AM641" s="14">
        <v>1</v>
      </c>
      <c r="AN641" s="122">
        <v>0</v>
      </c>
      <c r="AO641" s="131">
        <v>455995.11694969563</v>
      </c>
      <c r="AP641" s="131">
        <v>448824.33183556399</v>
      </c>
      <c r="AQ641" s="131">
        <v>-7170.7851141316351</v>
      </c>
      <c r="AR641" s="130">
        <v>-1.5725574348469884E-2</v>
      </c>
    </row>
    <row r="642" spans="1:44" ht="28.8" x14ac:dyDescent="0.3">
      <c r="A642" s="136" t="s">
        <v>897</v>
      </c>
      <c r="B642" s="137" t="s">
        <v>5414</v>
      </c>
      <c r="C642" s="134">
        <v>2019</v>
      </c>
      <c r="D642" s="149" t="s">
        <v>4758</v>
      </c>
      <c r="E642" s="135" t="s">
        <v>1140</v>
      </c>
      <c r="F642" s="384" t="s">
        <v>895</v>
      </c>
      <c r="G642" s="138" t="s">
        <v>4773</v>
      </c>
      <c r="H642" s="138" t="s">
        <v>2363</v>
      </c>
      <c r="I642" s="138" t="s">
        <v>1566</v>
      </c>
      <c r="J642" s="135" t="s">
        <v>4953</v>
      </c>
      <c r="K642" s="164">
        <v>4433947535</v>
      </c>
      <c r="L642" s="165">
        <v>2047552942</v>
      </c>
      <c r="M642" s="165">
        <v>2143247429</v>
      </c>
      <c r="N642" s="165">
        <v>69306718</v>
      </c>
      <c r="O642" s="165">
        <v>1135994091</v>
      </c>
      <c r="P642" s="165">
        <v>361645685</v>
      </c>
      <c r="Q642" s="165">
        <v>10062978</v>
      </c>
      <c r="R642" s="165">
        <v>2113.9166666666665</v>
      </c>
      <c r="S642" s="165">
        <v>1820156636</v>
      </c>
      <c r="T642" s="165">
        <v>861035.18870974111</v>
      </c>
      <c r="U642" s="166">
        <v>243147164</v>
      </c>
      <c r="V642" s="168">
        <v>5460494230</v>
      </c>
      <c r="W642" s="165">
        <v>2420867279</v>
      </c>
      <c r="X642" s="165">
        <v>2344139234</v>
      </c>
      <c r="Y642" s="165">
        <v>48567962</v>
      </c>
      <c r="Z642" s="165">
        <v>1334295769.6399999</v>
      </c>
      <c r="AA642" s="165">
        <v>419050910.68000001</v>
      </c>
      <c r="AB642" s="165">
        <v>13087875</v>
      </c>
      <c r="AC642" s="165">
        <v>2159.4166666666665</v>
      </c>
      <c r="AD642" s="165">
        <v>2510490234.3199997</v>
      </c>
      <c r="AE642" s="165">
        <v>1162577.9651850422</v>
      </c>
      <c r="AF642" s="166">
        <v>695487717</v>
      </c>
      <c r="AG642" s="124">
        <v>690333598.31999969</v>
      </c>
      <c r="AH642" s="125">
        <v>45.5</v>
      </c>
      <c r="AI642" s="133">
        <v>1</v>
      </c>
      <c r="AJ642" s="133">
        <v>0</v>
      </c>
      <c r="AK642" s="126">
        <v>0.15</v>
      </c>
      <c r="AL642" s="126">
        <v>0.35020958899484711</v>
      </c>
      <c r="AM642" s="14">
        <v>1</v>
      </c>
      <c r="AN642" s="122">
        <v>0</v>
      </c>
      <c r="AO642" s="131">
        <v>537388.30338628928</v>
      </c>
      <c r="AP642" s="131">
        <v>617896.39314938441</v>
      </c>
      <c r="AQ642" s="131">
        <v>80508.089763095137</v>
      </c>
      <c r="AR642" s="130">
        <v>0.14981362500036344</v>
      </c>
    </row>
    <row r="643" spans="1:44" ht="28.8" x14ac:dyDescent="0.3">
      <c r="A643" s="136" t="s">
        <v>898</v>
      </c>
      <c r="B643" s="137" t="s">
        <v>5415</v>
      </c>
      <c r="C643" s="134">
        <v>2020</v>
      </c>
      <c r="D643" s="149" t="s">
        <v>5057</v>
      </c>
      <c r="E643" s="135" t="s">
        <v>1152</v>
      </c>
      <c r="F643" s="384" t="s">
        <v>684</v>
      </c>
      <c r="G643" s="138" t="s">
        <v>4773</v>
      </c>
      <c r="H643" s="138" t="s">
        <v>1632</v>
      </c>
      <c r="I643" s="138" t="s">
        <v>1566</v>
      </c>
      <c r="J643" s="135" t="s">
        <v>4774</v>
      </c>
      <c r="K643" s="164">
        <v>1554294170</v>
      </c>
      <c r="L643" s="165">
        <v>954934722</v>
      </c>
      <c r="M643" s="165">
        <v>541186790</v>
      </c>
      <c r="N643" s="165">
        <v>0</v>
      </c>
      <c r="O643" s="165">
        <v>71113845</v>
      </c>
      <c r="P643" s="165">
        <v>13550278</v>
      </c>
      <c r="Q643" s="165">
        <v>0</v>
      </c>
      <c r="R643" s="165">
        <v>82.416666666666671</v>
      </c>
      <c r="S643" s="165">
        <v>142836781</v>
      </c>
      <c r="T643" s="165">
        <v>1733105.5328614761</v>
      </c>
      <c r="U643" s="166">
        <v>58172658</v>
      </c>
      <c r="V643" s="168">
        <v>2211412020</v>
      </c>
      <c r="W643" s="165">
        <v>1506708825</v>
      </c>
      <c r="X643" s="165">
        <v>637895860</v>
      </c>
      <c r="Y643" s="165">
        <v>0</v>
      </c>
      <c r="Z643" s="165">
        <v>105105445</v>
      </c>
      <c r="AA643" s="165">
        <v>18035507</v>
      </c>
      <c r="AB643" s="165">
        <v>232692</v>
      </c>
      <c r="AC643" s="165">
        <v>120.58333333333333</v>
      </c>
      <c r="AD643" s="165">
        <v>190180979</v>
      </c>
      <c r="AE643" s="165">
        <v>1577174.6703524534</v>
      </c>
      <c r="AF643" s="166">
        <v>66807335</v>
      </c>
      <c r="AG643" s="124">
        <v>47344198</v>
      </c>
      <c r="AH643" s="125">
        <v>38.166666666666657</v>
      </c>
      <c r="AI643" s="133">
        <v>0</v>
      </c>
      <c r="AJ643" s="133">
        <v>0</v>
      </c>
      <c r="AK643" s="126">
        <v>0.1</v>
      </c>
      <c r="AL643" s="126">
        <v>-8.9971936100163519E-2</v>
      </c>
      <c r="AM643" s="14">
        <v>0</v>
      </c>
      <c r="AN643" s="122">
        <v>-1</v>
      </c>
      <c r="AO643" s="131">
        <v>862857.57330637006</v>
      </c>
      <c r="AP643" s="131">
        <v>871641.56185210787</v>
      </c>
      <c r="AQ643" s="131">
        <v>8783.9885457378114</v>
      </c>
      <c r="AR643" s="130">
        <v>1.0180114097021242E-2</v>
      </c>
    </row>
    <row r="644" spans="1:44" ht="28.8" x14ac:dyDescent="0.3">
      <c r="A644" s="136" t="s">
        <v>899</v>
      </c>
      <c r="B644" s="137" t="s">
        <v>5416</v>
      </c>
      <c r="C644" s="134">
        <v>2019</v>
      </c>
      <c r="D644" s="149" t="s">
        <v>1155</v>
      </c>
      <c r="E644" s="135" t="s">
        <v>1152</v>
      </c>
      <c r="F644" s="384" t="s">
        <v>684</v>
      </c>
      <c r="G644" s="138" t="s">
        <v>4773</v>
      </c>
      <c r="H644" s="138" t="s">
        <v>3072</v>
      </c>
      <c r="I644" s="138" t="s">
        <v>1566</v>
      </c>
      <c r="J644" s="135" t="s">
        <v>4774</v>
      </c>
      <c r="K644" s="164">
        <v>985872373</v>
      </c>
      <c r="L644" s="165">
        <v>739458724</v>
      </c>
      <c r="M644" s="165">
        <v>151222774</v>
      </c>
      <c r="N644" s="165">
        <v>14865146</v>
      </c>
      <c r="O644" s="165">
        <v>53199335</v>
      </c>
      <c r="P644" s="165">
        <v>14883537</v>
      </c>
      <c r="Q644" s="165">
        <v>911</v>
      </c>
      <c r="R644" s="165">
        <v>187.08333333333334</v>
      </c>
      <c r="S644" s="165">
        <v>178139804</v>
      </c>
      <c r="T644" s="165">
        <v>952194.9434298441</v>
      </c>
      <c r="U644" s="166">
        <v>95190875</v>
      </c>
      <c r="V644" s="168">
        <v>627595221</v>
      </c>
      <c r="W644" s="165">
        <v>444850452</v>
      </c>
      <c r="X644" s="165">
        <v>107681428</v>
      </c>
      <c r="Y644" s="165">
        <v>4556304</v>
      </c>
      <c r="Z644" s="165">
        <v>37441639</v>
      </c>
      <c r="AA644" s="165">
        <v>8952625</v>
      </c>
      <c r="AB644" s="165">
        <v>1152</v>
      </c>
      <c r="AC644" s="165">
        <v>123.5</v>
      </c>
      <c r="AD644" s="165">
        <v>126015061</v>
      </c>
      <c r="AE644" s="165">
        <v>1020364.8663967612</v>
      </c>
      <c r="AF644" s="166">
        <v>75063341</v>
      </c>
      <c r="AG644" s="124">
        <v>-52124743</v>
      </c>
      <c r="AH644" s="125">
        <v>-63.583333333333343</v>
      </c>
      <c r="AI644" s="133">
        <v>0</v>
      </c>
      <c r="AJ644" s="133">
        <v>1</v>
      </c>
      <c r="AK644" s="126">
        <v>0.15</v>
      </c>
      <c r="AL644" s="126">
        <v>7.1592409428262727E-2</v>
      </c>
      <c r="AM644" s="14">
        <v>0</v>
      </c>
      <c r="AN644" s="122">
        <v>-1</v>
      </c>
      <c r="AO644" s="131">
        <v>284361.70155902003</v>
      </c>
      <c r="AP644" s="131">
        <v>303171.16599190282</v>
      </c>
      <c r="AQ644" s="131">
        <v>18809.464432882785</v>
      </c>
      <c r="AR644" s="130">
        <v>6.6146264879410444E-2</v>
      </c>
    </row>
    <row r="645" spans="1:44" ht="43.2" x14ac:dyDescent="0.3">
      <c r="A645" s="136" t="s">
        <v>900</v>
      </c>
      <c r="B645" s="137" t="s">
        <v>5417</v>
      </c>
      <c r="C645" s="134">
        <v>2020</v>
      </c>
      <c r="D645" s="149" t="s">
        <v>1122</v>
      </c>
      <c r="E645" s="135" t="s">
        <v>1117</v>
      </c>
      <c r="F645" s="384" t="s">
        <v>719</v>
      </c>
      <c r="G645" s="138" t="s">
        <v>4773</v>
      </c>
      <c r="H645" s="138" t="s">
        <v>1573</v>
      </c>
      <c r="I645" s="138" t="s">
        <v>1566</v>
      </c>
      <c r="J645" s="135" t="s">
        <v>4774</v>
      </c>
      <c r="K645" s="164">
        <v>744485068</v>
      </c>
      <c r="L645" s="165">
        <v>723503676</v>
      </c>
      <c r="M645" s="165">
        <v>41740883</v>
      </c>
      <c r="N645" s="165">
        <v>3837736</v>
      </c>
      <c r="O645" s="165">
        <v>70677642.439999998</v>
      </c>
      <c r="P645" s="165">
        <v>20105534.959999997</v>
      </c>
      <c r="Q645" s="165">
        <v>304072</v>
      </c>
      <c r="R645" s="165">
        <v>171.41666666666666</v>
      </c>
      <c r="S645" s="165">
        <v>74165494.399999991</v>
      </c>
      <c r="T645" s="165">
        <v>432662.09664560034</v>
      </c>
      <c r="U645" s="166">
        <v>-20759491</v>
      </c>
      <c r="V645" s="168">
        <v>1301013367</v>
      </c>
      <c r="W645" s="165">
        <v>1256473761</v>
      </c>
      <c r="X645" s="165">
        <v>56804898</v>
      </c>
      <c r="Y645" s="165">
        <v>5981759</v>
      </c>
      <c r="Z645" s="165">
        <v>91555318.629999995</v>
      </c>
      <c r="AA645" s="165">
        <v>27554216.080000002</v>
      </c>
      <c r="AB645" s="165">
        <v>307911</v>
      </c>
      <c r="AC645" s="165">
        <v>208.5</v>
      </c>
      <c r="AD645" s="165">
        <v>113133912.70999999</v>
      </c>
      <c r="AE645" s="165">
        <v>542608.69405275781</v>
      </c>
      <c r="AF645" s="166">
        <v>-12265292</v>
      </c>
      <c r="AG645" s="124">
        <v>38968418.310000002</v>
      </c>
      <c r="AH645" s="125">
        <v>37.083333333333343</v>
      </c>
      <c r="AI645" s="133">
        <v>1</v>
      </c>
      <c r="AJ645" s="133">
        <v>1</v>
      </c>
      <c r="AK645" s="126">
        <v>0.1</v>
      </c>
      <c r="AL645" s="126">
        <v>0.25411652649954775</v>
      </c>
      <c r="AM645" s="14">
        <v>1</v>
      </c>
      <c r="AN645" s="122">
        <v>0</v>
      </c>
      <c r="AO645" s="131">
        <v>412314.88054448226</v>
      </c>
      <c r="AP645" s="131">
        <v>439114.23803357314</v>
      </c>
      <c r="AQ645" s="131">
        <v>26799.357489090879</v>
      </c>
      <c r="AR645" s="130">
        <v>6.4997308498061068E-2</v>
      </c>
    </row>
    <row r="646" spans="1:44" ht="28.8" x14ac:dyDescent="0.3">
      <c r="A646" s="136" t="s">
        <v>901</v>
      </c>
      <c r="B646" s="137" t="s">
        <v>1123</v>
      </c>
      <c r="C646" s="134">
        <v>2020</v>
      </c>
      <c r="D646" s="149" t="s">
        <v>1122</v>
      </c>
      <c r="E646" s="135" t="s">
        <v>1117</v>
      </c>
      <c r="F646" s="384" t="s">
        <v>719</v>
      </c>
      <c r="G646" s="138" t="s">
        <v>4787</v>
      </c>
      <c r="H646" s="138" t="s">
        <v>2779</v>
      </c>
      <c r="I646" s="138" t="s">
        <v>1566</v>
      </c>
      <c r="J646" s="135" t="s">
        <v>4778</v>
      </c>
      <c r="K646" s="164">
        <v>4139264539</v>
      </c>
      <c r="L646" s="165">
        <v>1975355328</v>
      </c>
      <c r="M646" s="165">
        <v>1802696750</v>
      </c>
      <c r="N646" s="165">
        <v>71951080</v>
      </c>
      <c r="O646" s="165">
        <v>779822518.53999996</v>
      </c>
      <c r="P646" s="165">
        <v>219131089.06</v>
      </c>
      <c r="Q646" s="165">
        <v>5032912</v>
      </c>
      <c r="R646" s="165">
        <v>2382.4166666666665</v>
      </c>
      <c r="S646" s="165">
        <v>1437150060.5999999</v>
      </c>
      <c r="T646" s="165">
        <v>603232.03774878453</v>
      </c>
      <c r="U646" s="166">
        <v>361212461</v>
      </c>
      <c r="V646" s="168">
        <v>5357051172</v>
      </c>
      <c r="W646" s="165">
        <v>2705790762</v>
      </c>
      <c r="X646" s="165">
        <v>2076459129</v>
      </c>
      <c r="Y646" s="165">
        <v>81494005</v>
      </c>
      <c r="Z646" s="165">
        <v>946194603.66000009</v>
      </c>
      <c r="AA646" s="165">
        <v>281506766.61000001</v>
      </c>
      <c r="AB646" s="165">
        <v>4049028</v>
      </c>
      <c r="AC646" s="165">
        <v>2479.4166666666665</v>
      </c>
      <c r="AD646" s="165">
        <v>1888045684.27</v>
      </c>
      <c r="AE646" s="165">
        <v>761487.85706449777</v>
      </c>
      <c r="AF646" s="166">
        <v>574801281</v>
      </c>
      <c r="AG646" s="124">
        <v>450895623.67000008</v>
      </c>
      <c r="AH646" s="125">
        <v>97</v>
      </c>
      <c r="AI646" s="133">
        <v>1</v>
      </c>
      <c r="AJ646" s="133">
        <v>1</v>
      </c>
      <c r="AK646" s="126">
        <v>0.1</v>
      </c>
      <c r="AL646" s="126">
        <v>0.26234650931339787</v>
      </c>
      <c r="AM646" s="14">
        <v>1</v>
      </c>
      <c r="AN646" s="122">
        <v>0</v>
      </c>
      <c r="AO646" s="131">
        <v>327324.15343243908</v>
      </c>
      <c r="AP646" s="131">
        <v>381619.84485329216</v>
      </c>
      <c r="AQ646" s="131">
        <v>54295.69142085308</v>
      </c>
      <c r="AR646" s="130">
        <v>0.16587743633181007</v>
      </c>
    </row>
    <row r="647" spans="1:44" ht="43.2" x14ac:dyDescent="0.3">
      <c r="A647" s="136" t="s">
        <v>902</v>
      </c>
      <c r="B647" s="137" t="s">
        <v>5418</v>
      </c>
      <c r="C647" s="134">
        <v>2020</v>
      </c>
      <c r="D647" s="149" t="s">
        <v>1122</v>
      </c>
      <c r="E647" s="135" t="s">
        <v>1117</v>
      </c>
      <c r="F647" s="384" t="s">
        <v>719</v>
      </c>
      <c r="G647" s="138" t="s">
        <v>4773</v>
      </c>
      <c r="H647" s="138" t="s">
        <v>2315</v>
      </c>
      <c r="I647" s="138" t="s">
        <v>1566</v>
      </c>
      <c r="J647" s="135" t="s">
        <v>4778</v>
      </c>
      <c r="K647" s="164">
        <v>3450170831</v>
      </c>
      <c r="L647" s="165">
        <v>1080801419</v>
      </c>
      <c r="M647" s="165">
        <v>1554462710</v>
      </c>
      <c r="N647" s="165">
        <v>66950484</v>
      </c>
      <c r="O647" s="165">
        <v>336003943.00999999</v>
      </c>
      <c r="P647" s="165">
        <v>96294041.950000003</v>
      </c>
      <c r="Q647" s="165">
        <v>4265688</v>
      </c>
      <c r="R647" s="165">
        <v>826</v>
      </c>
      <c r="S647" s="165">
        <v>1318420858.96</v>
      </c>
      <c r="T647" s="165">
        <v>1596151.160968523</v>
      </c>
      <c r="U647" s="166">
        <v>814906702</v>
      </c>
      <c r="V647" s="168">
        <v>4653901054</v>
      </c>
      <c r="W647" s="165">
        <v>3095318930</v>
      </c>
      <c r="X647" s="165">
        <v>1480040960</v>
      </c>
      <c r="Y647" s="165">
        <v>79427613</v>
      </c>
      <c r="Z647" s="165">
        <v>346675812.16000003</v>
      </c>
      <c r="AA647" s="165">
        <v>103924681.36999999</v>
      </c>
      <c r="AB647" s="165">
        <v>4726575</v>
      </c>
      <c r="AC647" s="165">
        <v>765.83333333333337</v>
      </c>
      <c r="AD647" s="165">
        <v>613295845.52999997</v>
      </c>
      <c r="AE647" s="165">
        <v>800821.56108378666</v>
      </c>
      <c r="AF647" s="166">
        <v>78541164</v>
      </c>
      <c r="AG647" s="124">
        <v>-705125013.43000007</v>
      </c>
      <c r="AH647" s="125">
        <v>-60.166666666666629</v>
      </c>
      <c r="AI647" s="133">
        <v>0</v>
      </c>
      <c r="AJ647" s="133">
        <v>0</v>
      </c>
      <c r="AK647" s="126">
        <v>0.1</v>
      </c>
      <c r="AL647" s="126">
        <v>-0.49827962409274562</v>
      </c>
      <c r="AM647" s="14">
        <v>0</v>
      </c>
      <c r="AN647" s="122">
        <v>-1</v>
      </c>
      <c r="AO647" s="131">
        <v>406784.43463680387</v>
      </c>
      <c r="AP647" s="131">
        <v>452677.88312513602</v>
      </c>
      <c r="AQ647" s="131">
        <v>45893.448488332157</v>
      </c>
      <c r="AR647" s="130">
        <v>0.11282007024017027</v>
      </c>
    </row>
    <row r="648" spans="1:44" ht="28.8" x14ac:dyDescent="0.3">
      <c r="A648" s="136" t="s">
        <v>903</v>
      </c>
      <c r="B648" s="137" t="s">
        <v>5419</v>
      </c>
      <c r="C648" s="134">
        <v>2018</v>
      </c>
      <c r="D648" s="149" t="s">
        <v>1122</v>
      </c>
      <c r="E648" s="135" t="s">
        <v>1117</v>
      </c>
      <c r="F648" s="384" t="s">
        <v>719</v>
      </c>
      <c r="G648" s="138" t="s">
        <v>4773</v>
      </c>
      <c r="H648" s="138" t="s">
        <v>2423</v>
      </c>
      <c r="I648" s="138" t="s">
        <v>1566</v>
      </c>
      <c r="J648" s="135" t="s">
        <v>4774</v>
      </c>
      <c r="K648" s="164">
        <v>3277228420</v>
      </c>
      <c r="L648" s="165">
        <v>2729510334</v>
      </c>
      <c r="M648" s="165">
        <v>479557452</v>
      </c>
      <c r="N648" s="165">
        <v>205711754</v>
      </c>
      <c r="O648" s="165">
        <v>889987838</v>
      </c>
      <c r="P648" s="165">
        <v>195992716</v>
      </c>
      <c r="Q648" s="165">
        <v>11124890</v>
      </c>
      <c r="R648" s="165">
        <v>2197.5</v>
      </c>
      <c r="S648" s="165">
        <v>1370977832</v>
      </c>
      <c r="T648" s="165">
        <v>623880.69715585897</v>
      </c>
      <c r="U648" s="166">
        <v>68160634</v>
      </c>
      <c r="V648" s="168">
        <v>4082355132</v>
      </c>
      <c r="W648" s="165">
        <v>3173772845</v>
      </c>
      <c r="X648" s="165">
        <v>713745938</v>
      </c>
      <c r="Y648" s="165">
        <v>209799193</v>
      </c>
      <c r="Z648" s="165">
        <v>1125684309.47</v>
      </c>
      <c r="AA648" s="165">
        <v>304158682.31999999</v>
      </c>
      <c r="AB648" s="165">
        <v>5863712</v>
      </c>
      <c r="AC648" s="165">
        <v>2676.0833333333335</v>
      </c>
      <c r="AD648" s="165">
        <v>1840342245.79</v>
      </c>
      <c r="AE648" s="165">
        <v>687699.90189269139</v>
      </c>
      <c r="AF648" s="166">
        <v>194836349</v>
      </c>
      <c r="AG648" s="124">
        <v>469364413.78999996</v>
      </c>
      <c r="AH648" s="125">
        <v>478.58333333333348</v>
      </c>
      <c r="AI648" s="133">
        <v>0</v>
      </c>
      <c r="AJ648" s="133">
        <v>1</v>
      </c>
      <c r="AK648" s="126">
        <v>0.3</v>
      </c>
      <c r="AL648" s="126">
        <v>0.10229391612851635</v>
      </c>
      <c r="AM648" s="14">
        <v>0</v>
      </c>
      <c r="AN648" s="122">
        <v>-1</v>
      </c>
      <c r="AO648" s="131">
        <v>405000.15381114901</v>
      </c>
      <c r="AP648" s="131">
        <v>420646.20912527636</v>
      </c>
      <c r="AQ648" s="131">
        <v>15646.055314127356</v>
      </c>
      <c r="AR648" s="130">
        <v>3.8632220671755757E-2</v>
      </c>
    </row>
    <row r="649" spans="1:44" ht="28.8" x14ac:dyDescent="0.3">
      <c r="A649" s="136" t="s">
        <v>904</v>
      </c>
      <c r="B649" s="137" t="s">
        <v>5420</v>
      </c>
      <c r="C649" s="134">
        <v>2018</v>
      </c>
      <c r="D649" s="149" t="s">
        <v>1122</v>
      </c>
      <c r="E649" s="135" t="s">
        <v>1117</v>
      </c>
      <c r="F649" s="384" t="s">
        <v>719</v>
      </c>
      <c r="G649" s="138" t="s">
        <v>4773</v>
      </c>
      <c r="H649" s="138" t="s">
        <v>2898</v>
      </c>
      <c r="I649" s="138" t="s">
        <v>1566</v>
      </c>
      <c r="J649" s="135" t="s">
        <v>4778</v>
      </c>
      <c r="K649" s="164">
        <v>4870532000</v>
      </c>
      <c r="L649" s="165">
        <v>4134091940</v>
      </c>
      <c r="M649" s="165">
        <v>351378770</v>
      </c>
      <c r="N649" s="165">
        <v>41426620</v>
      </c>
      <c r="O649" s="165">
        <v>772484680</v>
      </c>
      <c r="P649" s="165">
        <v>203167701.44000003</v>
      </c>
      <c r="Q649" s="165">
        <v>0</v>
      </c>
      <c r="R649" s="165">
        <v>1433.5</v>
      </c>
      <c r="S649" s="165">
        <v>1402140291.4400001</v>
      </c>
      <c r="T649" s="165">
        <v>978123.6773212417</v>
      </c>
      <c r="U649" s="166">
        <v>385061290</v>
      </c>
      <c r="V649" s="168">
        <v>3797548784</v>
      </c>
      <c r="W649" s="165">
        <v>3352440465</v>
      </c>
      <c r="X649" s="165">
        <v>250240895</v>
      </c>
      <c r="Y649" s="165">
        <v>76217310</v>
      </c>
      <c r="Z649" s="165">
        <v>765466380.94000006</v>
      </c>
      <c r="AA649" s="165">
        <v>227584372.60999998</v>
      </c>
      <c r="AB649" s="165">
        <v>1893921</v>
      </c>
      <c r="AC649" s="165">
        <v>1300.9166666666667</v>
      </c>
      <c r="AD649" s="165">
        <v>1266029408.55</v>
      </c>
      <c r="AE649" s="165">
        <v>973182.55733777455</v>
      </c>
      <c r="AF649" s="166">
        <v>194867424</v>
      </c>
      <c r="AG649" s="124">
        <v>-136110882.8900001</v>
      </c>
      <c r="AH649" s="125">
        <v>-132.58333333333326</v>
      </c>
      <c r="AI649" s="133">
        <v>0</v>
      </c>
      <c r="AJ649" s="133">
        <v>0</v>
      </c>
      <c r="AK649" s="126">
        <v>0.3</v>
      </c>
      <c r="AL649" s="126">
        <v>-5.0516310984312085E-3</v>
      </c>
      <c r="AM649" s="14">
        <v>0</v>
      </c>
      <c r="AN649" s="122">
        <v>-1</v>
      </c>
      <c r="AO649" s="131">
        <v>538880.13951866061</v>
      </c>
      <c r="AP649" s="131">
        <v>588405.39179296652</v>
      </c>
      <c r="AQ649" s="131">
        <v>49525.252274305909</v>
      </c>
      <c r="AR649" s="130">
        <v>9.1904022142183406E-2</v>
      </c>
    </row>
    <row r="650" spans="1:44" ht="28.8" x14ac:dyDescent="0.3">
      <c r="A650" s="136" t="s">
        <v>905</v>
      </c>
      <c r="B650" s="137" t="s">
        <v>5421</v>
      </c>
      <c r="C650" s="134">
        <v>2018</v>
      </c>
      <c r="D650" s="149" t="s">
        <v>1122</v>
      </c>
      <c r="E650" s="135" t="s">
        <v>1117</v>
      </c>
      <c r="F650" s="384" t="s">
        <v>719</v>
      </c>
      <c r="G650" s="138" t="s">
        <v>4773</v>
      </c>
      <c r="H650" s="138" t="s">
        <v>2297</v>
      </c>
      <c r="I650" s="138" t="s">
        <v>1566</v>
      </c>
      <c r="J650" s="135" t="s">
        <v>4798</v>
      </c>
      <c r="K650" s="164">
        <v>1880711130.0000002</v>
      </c>
      <c r="L650" s="165">
        <v>1746624577</v>
      </c>
      <c r="M650" s="165">
        <v>86922608</v>
      </c>
      <c r="N650" s="165">
        <v>19888217</v>
      </c>
      <c r="O650" s="165">
        <v>105312649</v>
      </c>
      <c r="P650" s="165">
        <v>27870132</v>
      </c>
      <c r="Q650" s="165">
        <v>1603418</v>
      </c>
      <c r="R650" s="165">
        <v>246.5</v>
      </c>
      <c r="S650" s="165">
        <v>201838361.00000024</v>
      </c>
      <c r="T650" s="165">
        <v>818816.88032454462</v>
      </c>
      <c r="U650" s="166">
        <v>47163945.000000238</v>
      </c>
      <c r="V650" s="168">
        <v>2242138855</v>
      </c>
      <c r="W650" s="165">
        <v>1883440729</v>
      </c>
      <c r="X650" s="165">
        <v>91379623</v>
      </c>
      <c r="Y650" s="165">
        <v>68673255</v>
      </c>
      <c r="Z650" s="165">
        <v>129069588.41000001</v>
      </c>
      <c r="AA650" s="165">
        <v>27083357.57</v>
      </c>
      <c r="AB650" s="165">
        <v>1628327</v>
      </c>
      <c r="AC650" s="165">
        <v>238.58333333333334</v>
      </c>
      <c r="AD650" s="165">
        <v>493773030.98000002</v>
      </c>
      <c r="AE650" s="165">
        <v>2069604.041830248</v>
      </c>
      <c r="AF650" s="166">
        <v>267318503</v>
      </c>
      <c r="AG650" s="124">
        <v>291934669.97999978</v>
      </c>
      <c r="AH650" s="125">
        <v>-7.9166666666666572</v>
      </c>
      <c r="AI650" s="133">
        <v>1</v>
      </c>
      <c r="AJ650" s="133">
        <v>1</v>
      </c>
      <c r="AK650" s="126">
        <v>0.3</v>
      </c>
      <c r="AL650" s="126">
        <v>1.5275541950234341</v>
      </c>
      <c r="AM650" s="14">
        <v>1</v>
      </c>
      <c r="AN650" s="122">
        <v>0</v>
      </c>
      <c r="AO650" s="131">
        <v>427231.84178498987</v>
      </c>
      <c r="AP650" s="131">
        <v>540983.25564792182</v>
      </c>
      <c r="AQ650" s="131">
        <v>113751.41386293195</v>
      </c>
      <c r="AR650" s="130">
        <v>0.26625219081909823</v>
      </c>
    </row>
    <row r="651" spans="1:44" ht="28.8" x14ac:dyDescent="0.3">
      <c r="A651" s="136" t="s">
        <v>906</v>
      </c>
      <c r="B651" s="137" t="s">
        <v>5422</v>
      </c>
      <c r="C651" s="134">
        <v>2018</v>
      </c>
      <c r="D651" s="149" t="s">
        <v>1122</v>
      </c>
      <c r="E651" s="135" t="s">
        <v>1117</v>
      </c>
      <c r="F651" s="384" t="s">
        <v>719</v>
      </c>
      <c r="G651" s="138" t="s">
        <v>4773</v>
      </c>
      <c r="H651" s="138" t="s">
        <v>2489</v>
      </c>
      <c r="I651" s="138" t="s">
        <v>1566</v>
      </c>
      <c r="J651" s="135" t="s">
        <v>4778</v>
      </c>
      <c r="K651" s="164">
        <v>1871844605</v>
      </c>
      <c r="L651" s="165">
        <v>1353058290</v>
      </c>
      <c r="M651" s="165">
        <v>706618248</v>
      </c>
      <c r="N651" s="165">
        <v>51669892</v>
      </c>
      <c r="O651" s="165">
        <v>393968989.76999998</v>
      </c>
      <c r="P651" s="165">
        <v>106529151.58</v>
      </c>
      <c r="Q651" s="165">
        <v>14105894</v>
      </c>
      <c r="R651" s="165">
        <v>889</v>
      </c>
      <c r="S651" s="165">
        <v>378441994.34999996</v>
      </c>
      <c r="T651" s="165">
        <v>425694.03188976372</v>
      </c>
      <c r="U651" s="166">
        <v>-187831933</v>
      </c>
      <c r="V651" s="168">
        <v>2438754753</v>
      </c>
      <c r="W651" s="165">
        <v>1635611004</v>
      </c>
      <c r="X651" s="165">
        <v>491741282</v>
      </c>
      <c r="Y651" s="165">
        <v>74858215</v>
      </c>
      <c r="Z651" s="165">
        <v>273306773.98000002</v>
      </c>
      <c r="AA651" s="165">
        <v>88139327.810000002</v>
      </c>
      <c r="AB651" s="165">
        <v>2504557</v>
      </c>
      <c r="AC651" s="165">
        <v>606</v>
      </c>
      <c r="AD651" s="165">
        <v>750211340.78999996</v>
      </c>
      <c r="AE651" s="165">
        <v>1237972.5095544553</v>
      </c>
      <c r="AF651" s="166">
        <v>311402467</v>
      </c>
      <c r="AG651" s="124">
        <v>371769346.44</v>
      </c>
      <c r="AH651" s="125">
        <v>-283</v>
      </c>
      <c r="AI651" s="133">
        <v>1</v>
      </c>
      <c r="AJ651" s="133">
        <v>1</v>
      </c>
      <c r="AK651" s="126">
        <v>0.3</v>
      </c>
      <c r="AL651" s="126">
        <v>1.9081274877169405</v>
      </c>
      <c r="AM651" s="14">
        <v>1</v>
      </c>
      <c r="AN651" s="122">
        <v>0</v>
      </c>
      <c r="AO651" s="131">
        <v>443159.71852643415</v>
      </c>
      <c r="AP651" s="131">
        <v>451001.27719471953</v>
      </c>
      <c r="AQ651" s="131">
        <v>7841.5586682853755</v>
      </c>
      <c r="AR651" s="130">
        <v>1.7694655765103429E-2</v>
      </c>
    </row>
    <row r="652" spans="1:44" ht="43.2" x14ac:dyDescent="0.3">
      <c r="A652" s="136" t="s">
        <v>907</v>
      </c>
      <c r="B652" s="137" t="s">
        <v>5423</v>
      </c>
      <c r="C652" s="134">
        <v>2019</v>
      </c>
      <c r="D652" s="149" t="s">
        <v>1122</v>
      </c>
      <c r="E652" s="135" t="s">
        <v>1117</v>
      </c>
      <c r="F652" s="384" t="s">
        <v>719</v>
      </c>
      <c r="G652" s="138" t="s">
        <v>4773</v>
      </c>
      <c r="H652" s="138" t="s">
        <v>2566</v>
      </c>
      <c r="I652" s="138" t="s">
        <v>1566</v>
      </c>
      <c r="J652" s="135" t="s">
        <v>4774</v>
      </c>
      <c r="K652" s="164">
        <v>641207242</v>
      </c>
      <c r="L652" s="165">
        <v>573184152</v>
      </c>
      <c r="M652" s="165">
        <v>61532899</v>
      </c>
      <c r="N652" s="165">
        <v>830347</v>
      </c>
      <c r="O652" s="165">
        <v>163707718</v>
      </c>
      <c r="P652" s="165">
        <v>45247001</v>
      </c>
      <c r="Q652" s="165">
        <v>0</v>
      </c>
      <c r="R652" s="165">
        <v>381.66666666666669</v>
      </c>
      <c r="S652" s="165">
        <v>216275257</v>
      </c>
      <c r="T652" s="165">
        <v>566660.06200873363</v>
      </c>
      <c r="U652" s="166">
        <v>6490191</v>
      </c>
      <c r="V652" s="168">
        <v>580591900</v>
      </c>
      <c r="W652" s="165">
        <v>538471685</v>
      </c>
      <c r="X652" s="165">
        <v>81196927</v>
      </c>
      <c r="Y652" s="165">
        <v>909008</v>
      </c>
      <c r="Z652" s="165">
        <v>148707540.94</v>
      </c>
      <c r="AA652" s="165">
        <v>45109194.079999998</v>
      </c>
      <c r="AB652" s="165">
        <v>0</v>
      </c>
      <c r="AC652" s="165">
        <v>336.33333333333331</v>
      </c>
      <c r="AD652" s="165">
        <v>155649031.01999998</v>
      </c>
      <c r="AE652" s="165">
        <v>462782.05456888006</v>
      </c>
      <c r="AF652" s="166">
        <v>-39076712</v>
      </c>
      <c r="AG652" s="124">
        <v>-60626225.980000019</v>
      </c>
      <c r="AH652" s="125">
        <v>-45.333333333333371</v>
      </c>
      <c r="AI652" s="133">
        <v>0</v>
      </c>
      <c r="AJ652" s="133">
        <v>1</v>
      </c>
      <c r="AK652" s="126">
        <v>0.15</v>
      </c>
      <c r="AL652" s="126">
        <v>-0.18331627254618943</v>
      </c>
      <c r="AM652" s="14">
        <v>0</v>
      </c>
      <c r="AN652" s="122">
        <v>-1</v>
      </c>
      <c r="AO652" s="131">
        <v>428928.51877729257</v>
      </c>
      <c r="AP652" s="131">
        <v>442143.3328245788</v>
      </c>
      <c r="AQ652" s="131">
        <v>13214.814047286229</v>
      </c>
      <c r="AR652" s="130">
        <v>3.0808895815453097E-2</v>
      </c>
    </row>
    <row r="653" spans="1:44" ht="28.8" x14ac:dyDescent="0.3">
      <c r="A653" s="136" t="s">
        <v>908</v>
      </c>
      <c r="B653" s="137" t="s">
        <v>5424</v>
      </c>
      <c r="C653" s="134">
        <v>2020</v>
      </c>
      <c r="D653" s="149" t="s">
        <v>1122</v>
      </c>
      <c r="E653" s="135" t="s">
        <v>1117</v>
      </c>
      <c r="F653" s="384" t="s">
        <v>719</v>
      </c>
      <c r="G653" s="138" t="s">
        <v>4773</v>
      </c>
      <c r="H653" s="138" t="s">
        <v>2429</v>
      </c>
      <c r="I653" s="138" t="s">
        <v>1566</v>
      </c>
      <c r="J653" s="135" t="s">
        <v>4774</v>
      </c>
      <c r="K653" s="164">
        <v>420430172</v>
      </c>
      <c r="L653" s="165">
        <v>333171957</v>
      </c>
      <c r="M653" s="165">
        <v>80770323</v>
      </c>
      <c r="N653" s="165">
        <v>2051876</v>
      </c>
      <c r="O653" s="165">
        <v>25119625.899999999</v>
      </c>
      <c r="P653" s="165">
        <v>6500245.0200000005</v>
      </c>
      <c r="Q653" s="165">
        <v>0</v>
      </c>
      <c r="R653" s="165">
        <v>219.16666666666666</v>
      </c>
      <c r="S653" s="165">
        <v>40159638.920000002</v>
      </c>
      <c r="T653" s="165">
        <v>183237.89621292776</v>
      </c>
      <c r="U653" s="166">
        <v>6487892</v>
      </c>
      <c r="V653" s="168">
        <v>666502071</v>
      </c>
      <c r="W653" s="165">
        <v>564678098</v>
      </c>
      <c r="X653" s="165">
        <v>87591132</v>
      </c>
      <c r="Y653" s="165">
        <v>4314388</v>
      </c>
      <c r="Z653" s="165">
        <v>30920082.120000001</v>
      </c>
      <c r="AA653" s="165">
        <v>8800201.7899999991</v>
      </c>
      <c r="AB653" s="165">
        <v>0</v>
      </c>
      <c r="AC653" s="165">
        <v>248.33333333333334</v>
      </c>
      <c r="AD653" s="165">
        <v>58267512.910000004</v>
      </c>
      <c r="AE653" s="165">
        <v>234634.28017449664</v>
      </c>
      <c r="AF653" s="166">
        <v>14232841</v>
      </c>
      <c r="AG653" s="124">
        <v>18107873.990000002</v>
      </c>
      <c r="AH653" s="125">
        <v>29.166666666666686</v>
      </c>
      <c r="AI653" s="133">
        <v>1</v>
      </c>
      <c r="AJ653" s="133">
        <v>1</v>
      </c>
      <c r="AK653" s="126">
        <v>0.1</v>
      </c>
      <c r="AL653" s="126">
        <v>0.28048989865087948</v>
      </c>
      <c r="AM653" s="14">
        <v>1</v>
      </c>
      <c r="AN653" s="122">
        <v>0</v>
      </c>
      <c r="AO653" s="131">
        <v>114614.26266159695</v>
      </c>
      <c r="AP653" s="131">
        <v>124510.39779865772</v>
      </c>
      <c r="AQ653" s="131">
        <v>9896.1351370607736</v>
      </c>
      <c r="AR653" s="130">
        <v>8.6342963844556531E-2</v>
      </c>
    </row>
    <row r="654" spans="1:44" ht="28.8" x14ac:dyDescent="0.3">
      <c r="A654" s="136" t="s">
        <v>909</v>
      </c>
      <c r="B654" s="137" t="s">
        <v>5425</v>
      </c>
      <c r="C654" s="134">
        <v>2018</v>
      </c>
      <c r="D654" s="149" t="s">
        <v>1122</v>
      </c>
      <c r="E654" s="135" t="s">
        <v>1117</v>
      </c>
      <c r="F654" s="384" t="s">
        <v>719</v>
      </c>
      <c r="G654" s="138" t="s">
        <v>4773</v>
      </c>
      <c r="H654" s="138" t="s">
        <v>3237</v>
      </c>
      <c r="I654" s="138" t="s">
        <v>1566</v>
      </c>
      <c r="J654" s="135" t="s">
        <v>4774</v>
      </c>
      <c r="K654" s="164">
        <v>1022767000</v>
      </c>
      <c r="L654" s="165">
        <v>742014000</v>
      </c>
      <c r="M654" s="165">
        <v>236264000</v>
      </c>
      <c r="N654" s="165">
        <v>2709000</v>
      </c>
      <c r="O654" s="165">
        <v>113556000</v>
      </c>
      <c r="P654" s="165">
        <v>32158000</v>
      </c>
      <c r="Q654" s="165">
        <v>293753</v>
      </c>
      <c r="R654" s="165">
        <v>245.41666666666663</v>
      </c>
      <c r="S654" s="165">
        <v>193205753</v>
      </c>
      <c r="T654" s="165">
        <v>787256.03938879468</v>
      </c>
      <c r="U654" s="166">
        <v>44489000</v>
      </c>
      <c r="V654" s="168">
        <v>1076285744</v>
      </c>
      <c r="W654" s="165">
        <v>773183853</v>
      </c>
      <c r="X654" s="165">
        <v>244006217</v>
      </c>
      <c r="Y654" s="165">
        <v>9344624</v>
      </c>
      <c r="Z654" s="165">
        <v>143456486.84999999</v>
      </c>
      <c r="AA654" s="165">
        <v>27263078.060000006</v>
      </c>
      <c r="AB654" s="165">
        <v>762556</v>
      </c>
      <c r="AC654" s="165">
        <v>235.5</v>
      </c>
      <c r="AD654" s="165">
        <v>239922418.91</v>
      </c>
      <c r="AE654" s="165">
        <v>1018778.8488747346</v>
      </c>
      <c r="AF654" s="166">
        <v>59095674</v>
      </c>
      <c r="AG654" s="124">
        <v>46716665.909999996</v>
      </c>
      <c r="AH654" s="125">
        <v>-9.9166666666666288</v>
      </c>
      <c r="AI654" s="133">
        <v>0</v>
      </c>
      <c r="AJ654" s="133">
        <v>1</v>
      </c>
      <c r="AK654" s="126">
        <v>0.3</v>
      </c>
      <c r="AL654" s="126">
        <v>0.29408832480980385</v>
      </c>
      <c r="AM654" s="14">
        <v>0</v>
      </c>
      <c r="AN654" s="122">
        <v>-1</v>
      </c>
      <c r="AO654" s="131">
        <v>462706.96095076407</v>
      </c>
      <c r="AP654" s="131">
        <v>609157.05668789812</v>
      </c>
      <c r="AQ654" s="131">
        <v>146450.09573713405</v>
      </c>
      <c r="AR654" s="130">
        <v>0.31650722400244491</v>
      </c>
    </row>
    <row r="655" spans="1:44" ht="28.8" x14ac:dyDescent="0.3">
      <c r="A655" s="136" t="s">
        <v>910</v>
      </c>
      <c r="B655" s="137" t="s">
        <v>5426</v>
      </c>
      <c r="C655" s="134">
        <v>2020</v>
      </c>
      <c r="D655" s="149" t="s">
        <v>5187</v>
      </c>
      <c r="E655" s="135" t="s">
        <v>1131</v>
      </c>
      <c r="F655" s="384" t="s">
        <v>911</v>
      </c>
      <c r="G655" s="138" t="s">
        <v>4773</v>
      </c>
      <c r="H655" s="138" t="s">
        <v>2765</v>
      </c>
      <c r="I655" s="138" t="s">
        <v>1566</v>
      </c>
      <c r="J655" s="135" t="s">
        <v>4778</v>
      </c>
      <c r="K655" s="164">
        <v>1241443996</v>
      </c>
      <c r="L655" s="165">
        <v>1031054309</v>
      </c>
      <c r="M655" s="165">
        <v>185601345</v>
      </c>
      <c r="N655" s="165">
        <v>7554487</v>
      </c>
      <c r="O655" s="165">
        <v>179669355.48999998</v>
      </c>
      <c r="P655" s="165">
        <v>54617517.449999996</v>
      </c>
      <c r="Q655" s="165">
        <v>465282</v>
      </c>
      <c r="R655" s="165">
        <v>380.25</v>
      </c>
      <c r="S655" s="165">
        <v>267094983.93999997</v>
      </c>
      <c r="T655" s="165">
        <v>702419.4186456278</v>
      </c>
      <c r="U655" s="166">
        <v>24788342</v>
      </c>
      <c r="V655" s="168">
        <v>757282358</v>
      </c>
      <c r="W655" s="165">
        <v>566697070</v>
      </c>
      <c r="X655" s="165">
        <v>152380505</v>
      </c>
      <c r="Y655" s="165">
        <v>6302945</v>
      </c>
      <c r="Z655" s="165">
        <v>330317078.52999991</v>
      </c>
      <c r="AA655" s="165">
        <v>56367146.019999996</v>
      </c>
      <c r="AB655" s="165">
        <v>498105</v>
      </c>
      <c r="AC655" s="165">
        <v>360.5</v>
      </c>
      <c r="AD655" s="165">
        <v>431690057.54999989</v>
      </c>
      <c r="AE655" s="165">
        <v>1197475.8877947293</v>
      </c>
      <c r="AF655" s="166">
        <v>38204783</v>
      </c>
      <c r="AG655" s="124">
        <v>164595073.60999992</v>
      </c>
      <c r="AH655" s="125">
        <v>-19.75</v>
      </c>
      <c r="AI655" s="133">
        <v>1</v>
      </c>
      <c r="AJ655" s="133">
        <v>1</v>
      </c>
      <c r="AK655" s="126">
        <v>0.1</v>
      </c>
      <c r="AL655" s="126">
        <v>0.7047875612550687</v>
      </c>
      <c r="AM655" s="14">
        <v>1</v>
      </c>
      <c r="AN655" s="122">
        <v>0</v>
      </c>
      <c r="AO655" s="131">
        <v>472503.2360026298</v>
      </c>
      <c r="AP655" s="131">
        <v>916274.8364216364</v>
      </c>
      <c r="AQ655" s="131">
        <v>443771.6004190066</v>
      </c>
      <c r="AR655" s="130">
        <v>0.93919272209288462</v>
      </c>
    </row>
    <row r="656" spans="1:44" ht="28.8" x14ac:dyDescent="0.3">
      <c r="A656" s="136" t="s">
        <v>912</v>
      </c>
      <c r="B656" s="137" t="s">
        <v>5427</v>
      </c>
      <c r="C656" s="134">
        <v>2020</v>
      </c>
      <c r="D656" s="149" t="s">
        <v>5187</v>
      </c>
      <c r="E656" s="135" t="s">
        <v>1131</v>
      </c>
      <c r="F656" s="384" t="s">
        <v>911</v>
      </c>
      <c r="G656" s="138" t="s">
        <v>4773</v>
      </c>
      <c r="H656" s="138" t="s">
        <v>1401</v>
      </c>
      <c r="I656" s="138" t="s">
        <v>1217</v>
      </c>
      <c r="J656" s="135" t="s">
        <v>4778</v>
      </c>
      <c r="K656" s="164">
        <v>1194909548</v>
      </c>
      <c r="L656" s="165">
        <v>961497827</v>
      </c>
      <c r="M656" s="165">
        <v>239153618</v>
      </c>
      <c r="N656" s="165">
        <v>76047759</v>
      </c>
      <c r="O656" s="165">
        <v>282806390.77999997</v>
      </c>
      <c r="P656" s="165">
        <v>76416025.330000013</v>
      </c>
      <c r="Q656" s="165">
        <v>0</v>
      </c>
      <c r="R656" s="165">
        <v>698.66666666666663</v>
      </c>
      <c r="S656" s="165">
        <v>429528278.11000001</v>
      </c>
      <c r="T656" s="165">
        <v>614782.84080629773</v>
      </c>
      <c r="U656" s="166">
        <v>-5741897</v>
      </c>
      <c r="V656" s="168">
        <v>1307484814</v>
      </c>
      <c r="W656" s="165">
        <v>1284405108</v>
      </c>
      <c r="X656" s="165">
        <v>70038875</v>
      </c>
      <c r="Y656" s="165">
        <v>75409209</v>
      </c>
      <c r="Z656" s="165">
        <v>251813705.55000001</v>
      </c>
      <c r="AA656" s="165">
        <v>74545096.219999999</v>
      </c>
      <c r="AB656" s="165">
        <v>0</v>
      </c>
      <c r="AC656" s="165">
        <v>646.25</v>
      </c>
      <c r="AD656" s="165">
        <v>354808841.76999998</v>
      </c>
      <c r="AE656" s="165">
        <v>549027.22130754346</v>
      </c>
      <c r="AF656" s="166">
        <v>-46959169</v>
      </c>
      <c r="AG656" s="124">
        <v>-74719436.340000033</v>
      </c>
      <c r="AH656" s="125">
        <v>-52.416666666666629</v>
      </c>
      <c r="AI656" s="133">
        <v>0</v>
      </c>
      <c r="AJ656" s="133">
        <v>0</v>
      </c>
      <c r="AK656" s="126">
        <v>0.1</v>
      </c>
      <c r="AL656" s="126">
        <v>-0.10695747461005911</v>
      </c>
      <c r="AM656" s="14">
        <v>0</v>
      </c>
      <c r="AN656" s="122">
        <v>-1</v>
      </c>
      <c r="AO656" s="131">
        <v>404780.13947519084</v>
      </c>
      <c r="AP656" s="131">
        <v>389653.70297872345</v>
      </c>
      <c r="AQ656" s="131">
        <v>-15126.436496467388</v>
      </c>
      <c r="AR656" s="130">
        <v>-3.7369512536062799E-2</v>
      </c>
    </row>
    <row r="657" spans="1:44" ht="28.8" x14ac:dyDescent="0.3">
      <c r="A657" s="136" t="s">
        <v>913</v>
      </c>
      <c r="B657" s="137" t="s">
        <v>5428</v>
      </c>
      <c r="C657" s="134">
        <v>2018</v>
      </c>
      <c r="D657" s="149" t="s">
        <v>4843</v>
      </c>
      <c r="E657" s="135" t="s">
        <v>1131</v>
      </c>
      <c r="F657" s="384" t="s">
        <v>911</v>
      </c>
      <c r="G657" s="138" t="s">
        <v>4773</v>
      </c>
      <c r="H657" s="138" t="s">
        <v>2925</v>
      </c>
      <c r="I657" s="138" t="s">
        <v>1566</v>
      </c>
      <c r="J657" s="135" t="s">
        <v>4778</v>
      </c>
      <c r="K657" s="164">
        <v>2535203030</v>
      </c>
      <c r="L657" s="165">
        <v>484653905</v>
      </c>
      <c r="M657" s="165">
        <v>1736293312</v>
      </c>
      <c r="N657" s="165">
        <v>67726355</v>
      </c>
      <c r="O657" s="165">
        <v>521227907.05000001</v>
      </c>
      <c r="P657" s="165">
        <v>135168038.87</v>
      </c>
      <c r="Q657" s="165">
        <v>9698795</v>
      </c>
      <c r="R657" s="165">
        <v>1295.75</v>
      </c>
      <c r="S657" s="165">
        <v>1048076908.92</v>
      </c>
      <c r="T657" s="165">
        <v>808857.34819216665</v>
      </c>
      <c r="U657" s="166">
        <v>314255813</v>
      </c>
      <c r="V657" s="168">
        <v>2166912458</v>
      </c>
      <c r="W657" s="165">
        <v>570043820</v>
      </c>
      <c r="X657" s="165">
        <v>1520223736</v>
      </c>
      <c r="Y657" s="165">
        <v>65073286</v>
      </c>
      <c r="Z657" s="165">
        <v>602328695.90999997</v>
      </c>
      <c r="AA657" s="165">
        <v>170743052.65000001</v>
      </c>
      <c r="AB657" s="165">
        <v>5121084</v>
      </c>
      <c r="AC657" s="165">
        <v>1077.25</v>
      </c>
      <c r="AD657" s="165">
        <v>919911020.55999994</v>
      </c>
      <c r="AE657" s="165">
        <v>853943.85756323964</v>
      </c>
      <c r="AF657" s="166">
        <v>76644902</v>
      </c>
      <c r="AG657" s="124">
        <v>-128165888.36000001</v>
      </c>
      <c r="AH657" s="125">
        <v>-218.5</v>
      </c>
      <c r="AI657" s="133">
        <v>0</v>
      </c>
      <c r="AJ657" s="133">
        <v>0</v>
      </c>
      <c r="AK657" s="126">
        <v>0.3</v>
      </c>
      <c r="AL657" s="126">
        <v>5.5740990670357426E-2</v>
      </c>
      <c r="AM657" s="14">
        <v>0</v>
      </c>
      <c r="AN657" s="122">
        <v>-1</v>
      </c>
      <c r="AO657" s="131">
        <v>402259.62342272815</v>
      </c>
      <c r="AP657" s="131">
        <v>559135.48007426318</v>
      </c>
      <c r="AQ657" s="131">
        <v>156875.85665153502</v>
      </c>
      <c r="AR657" s="130">
        <v>0.38998658457619229</v>
      </c>
    </row>
    <row r="658" spans="1:44" ht="28.8" x14ac:dyDescent="0.3">
      <c r="A658" s="136" t="s">
        <v>914</v>
      </c>
      <c r="B658" s="137" t="s">
        <v>5429</v>
      </c>
      <c r="C658" s="134">
        <v>2019</v>
      </c>
      <c r="D658" s="149" t="s">
        <v>4843</v>
      </c>
      <c r="E658" s="135" t="s">
        <v>1131</v>
      </c>
      <c r="F658" s="384" t="s">
        <v>204</v>
      </c>
      <c r="G658" s="138" t="s">
        <v>4773</v>
      </c>
      <c r="H658" s="138" t="s">
        <v>1401</v>
      </c>
      <c r="I658" s="138" t="s">
        <v>1217</v>
      </c>
      <c r="J658" s="135" t="s">
        <v>4778</v>
      </c>
      <c r="K658" s="164">
        <v>4791664988</v>
      </c>
      <c r="L658" s="165">
        <v>2646032340</v>
      </c>
      <c r="M658" s="165">
        <v>1212638003</v>
      </c>
      <c r="N658" s="165">
        <v>264288669</v>
      </c>
      <c r="O658" s="165">
        <v>445883139</v>
      </c>
      <c r="P658" s="165">
        <v>110520093</v>
      </c>
      <c r="Q658" s="165">
        <v>0</v>
      </c>
      <c r="R658" s="165">
        <v>885.91666666666663</v>
      </c>
      <c r="S658" s="165">
        <v>1753686546</v>
      </c>
      <c r="T658" s="165">
        <v>1979516.372119274</v>
      </c>
      <c r="U658" s="166">
        <v>932994645</v>
      </c>
      <c r="V658" s="168">
        <v>6322530307</v>
      </c>
      <c r="W658" s="165">
        <v>3956610445</v>
      </c>
      <c r="X658" s="165">
        <v>1175392366</v>
      </c>
      <c r="Y658" s="165">
        <v>315678772</v>
      </c>
      <c r="Z658" s="165">
        <v>525224778.29799998</v>
      </c>
      <c r="AA658" s="165">
        <v>139332016.70999998</v>
      </c>
      <c r="AB658" s="165">
        <v>0</v>
      </c>
      <c r="AC658" s="165">
        <v>807.91666666666663</v>
      </c>
      <c r="AD658" s="165">
        <v>2170763063.0079999</v>
      </c>
      <c r="AE658" s="165">
        <v>2686865.0599376997</v>
      </c>
      <c r="AF658" s="166">
        <v>1190527496</v>
      </c>
      <c r="AG658" s="124">
        <v>417076517.0079999</v>
      </c>
      <c r="AH658" s="125">
        <v>-78</v>
      </c>
      <c r="AI658" s="133">
        <v>1</v>
      </c>
      <c r="AJ658" s="133">
        <v>1</v>
      </c>
      <c r="AK658" s="126">
        <v>0.15</v>
      </c>
      <c r="AL658" s="126">
        <v>0.35733409469101773</v>
      </c>
      <c r="AM658" s="14">
        <v>1</v>
      </c>
      <c r="AN658" s="122">
        <v>0</v>
      </c>
      <c r="AO658" s="131">
        <v>503301.4455836704</v>
      </c>
      <c r="AP658" s="131">
        <v>650097.71424198046</v>
      </c>
      <c r="AQ658" s="131">
        <v>146796.26865831006</v>
      </c>
      <c r="AR658" s="130">
        <v>0.29166669387979383</v>
      </c>
    </row>
    <row r="659" spans="1:44" ht="28.8" x14ac:dyDescent="0.3">
      <c r="A659" s="136" t="s">
        <v>915</v>
      </c>
      <c r="B659" s="137" t="s">
        <v>5430</v>
      </c>
      <c r="C659" s="134">
        <v>2019</v>
      </c>
      <c r="D659" s="149" t="s">
        <v>4843</v>
      </c>
      <c r="E659" s="135" t="s">
        <v>1131</v>
      </c>
      <c r="F659" s="384" t="s">
        <v>204</v>
      </c>
      <c r="G659" s="138" t="s">
        <v>4773</v>
      </c>
      <c r="H659" s="138" t="s">
        <v>3355</v>
      </c>
      <c r="I659" s="138" t="s">
        <v>1566</v>
      </c>
      <c r="J659" s="135" t="s">
        <v>4774</v>
      </c>
      <c r="K659" s="164">
        <v>2905315687</v>
      </c>
      <c r="L659" s="165">
        <v>2216526665</v>
      </c>
      <c r="M659" s="165">
        <v>538959165</v>
      </c>
      <c r="N659" s="165">
        <v>37425857</v>
      </c>
      <c r="O659" s="165">
        <v>425954750.01999998</v>
      </c>
      <c r="P659" s="165">
        <v>120382198.34999999</v>
      </c>
      <c r="Q659" s="165">
        <v>0</v>
      </c>
      <c r="R659" s="165">
        <v>1331.6666666666667</v>
      </c>
      <c r="S659" s="165">
        <v>733592662.37</v>
      </c>
      <c r="T659" s="165">
        <v>550883.10065331659</v>
      </c>
      <c r="U659" s="166">
        <v>149829857</v>
      </c>
      <c r="V659" s="168">
        <v>2954111225</v>
      </c>
      <c r="W659" s="165">
        <v>2244423545</v>
      </c>
      <c r="X659" s="165">
        <v>568593353</v>
      </c>
      <c r="Y659" s="165">
        <v>15397817</v>
      </c>
      <c r="Z659" s="165">
        <v>447421139.38999999</v>
      </c>
      <c r="AA659" s="165">
        <v>133222480.70000002</v>
      </c>
      <c r="AB659" s="165">
        <v>0</v>
      </c>
      <c r="AC659" s="165">
        <v>1141.3333333333333</v>
      </c>
      <c r="AD659" s="165">
        <v>737135764.09000003</v>
      </c>
      <c r="AE659" s="165">
        <v>645854.93349007017</v>
      </c>
      <c r="AF659" s="166">
        <v>141094327</v>
      </c>
      <c r="AG659" s="124">
        <v>3543101.7200000286</v>
      </c>
      <c r="AH659" s="125">
        <v>-190.33333333333348</v>
      </c>
      <c r="AI659" s="133">
        <v>1</v>
      </c>
      <c r="AJ659" s="133">
        <v>1</v>
      </c>
      <c r="AK659" s="126">
        <v>0.15</v>
      </c>
      <c r="AL659" s="126">
        <v>0.17239924405014428</v>
      </c>
      <c r="AM659" s="14">
        <v>1</v>
      </c>
      <c r="AN659" s="122">
        <v>0</v>
      </c>
      <c r="AO659" s="131">
        <v>319865.89488360449</v>
      </c>
      <c r="AP659" s="131">
        <v>392016.18521320092</v>
      </c>
      <c r="AQ659" s="131">
        <v>72150.290329596435</v>
      </c>
      <c r="AR659" s="130">
        <v>0.22556418637832931</v>
      </c>
    </row>
    <row r="660" spans="1:44" ht="28.8" x14ac:dyDescent="0.3">
      <c r="A660" s="136" t="s">
        <v>916</v>
      </c>
      <c r="B660" s="137" t="s">
        <v>5431</v>
      </c>
      <c r="C660" s="134">
        <v>2019</v>
      </c>
      <c r="D660" s="149" t="s">
        <v>4843</v>
      </c>
      <c r="E660" s="135" t="s">
        <v>1131</v>
      </c>
      <c r="F660" s="384" t="s">
        <v>877</v>
      </c>
      <c r="G660" s="138" t="s">
        <v>4773</v>
      </c>
      <c r="H660" s="138" t="s">
        <v>4645</v>
      </c>
      <c r="I660" s="138" t="s">
        <v>4612</v>
      </c>
      <c r="J660" s="135" t="s">
        <v>4780</v>
      </c>
      <c r="K660" s="164">
        <v>4563895673</v>
      </c>
      <c r="L660" s="165">
        <v>3868892078</v>
      </c>
      <c r="M660" s="165">
        <v>792408590</v>
      </c>
      <c r="N660" s="165">
        <v>184427033</v>
      </c>
      <c r="O660" s="165">
        <v>655241581</v>
      </c>
      <c r="P660" s="165">
        <v>184698678.13</v>
      </c>
      <c r="Q660" s="165">
        <v>20308197</v>
      </c>
      <c r="R660" s="165">
        <v>1847.4166666666667</v>
      </c>
      <c r="S660" s="165">
        <v>947270494.13</v>
      </c>
      <c r="T660" s="165">
        <v>512754.11293066893</v>
      </c>
      <c r="U660" s="166">
        <v>-97404995</v>
      </c>
      <c r="V660" s="168">
        <v>5067413599</v>
      </c>
      <c r="W660" s="165">
        <v>4359534973</v>
      </c>
      <c r="X660" s="165">
        <v>872118284</v>
      </c>
      <c r="Y660" s="165">
        <v>153852182</v>
      </c>
      <c r="Z660" s="165">
        <v>693638033.62</v>
      </c>
      <c r="AA660" s="165">
        <v>206630806.66999999</v>
      </c>
      <c r="AB660" s="165">
        <v>15695996</v>
      </c>
      <c r="AC660" s="165">
        <v>1792.1666666666667</v>
      </c>
      <c r="AD660" s="165">
        <v>905577360.28999996</v>
      </c>
      <c r="AE660" s="165">
        <v>505297.51341393095</v>
      </c>
      <c r="AF660" s="166">
        <v>-164239658</v>
      </c>
      <c r="AG660" s="124">
        <v>-41693133.840000033</v>
      </c>
      <c r="AH660" s="125">
        <v>-55.25</v>
      </c>
      <c r="AI660" s="133">
        <v>0</v>
      </c>
      <c r="AJ660" s="133">
        <v>0</v>
      </c>
      <c r="AK660" s="126">
        <v>0.15</v>
      </c>
      <c r="AL660" s="126">
        <v>-1.4542253010902173E-2</v>
      </c>
      <c r="AM660" s="14">
        <v>0</v>
      </c>
      <c r="AN660" s="122">
        <v>-1</v>
      </c>
      <c r="AO660" s="131">
        <v>354679.91212955024</v>
      </c>
      <c r="AP660" s="131">
        <v>387038.7986347996</v>
      </c>
      <c r="AQ660" s="131">
        <v>32358.886505249364</v>
      </c>
      <c r="AR660" s="130">
        <v>9.1234054702906242E-2</v>
      </c>
    </row>
    <row r="661" spans="1:44" ht="28.8" x14ac:dyDescent="0.3">
      <c r="A661" s="136" t="s">
        <v>917</v>
      </c>
      <c r="B661" s="137" t="s">
        <v>5432</v>
      </c>
      <c r="C661" s="134">
        <v>2020</v>
      </c>
      <c r="D661" s="149" t="s">
        <v>4843</v>
      </c>
      <c r="E661" s="135" t="s">
        <v>1131</v>
      </c>
      <c r="F661" s="384" t="s">
        <v>225</v>
      </c>
      <c r="G661" s="138" t="s">
        <v>4773</v>
      </c>
      <c r="H661" s="138" t="s">
        <v>2603</v>
      </c>
      <c r="I661" s="138" t="s">
        <v>1566</v>
      </c>
      <c r="J661" s="135" t="s">
        <v>4778</v>
      </c>
      <c r="K661" s="164">
        <v>3555485973</v>
      </c>
      <c r="L661" s="165">
        <v>2331099634</v>
      </c>
      <c r="M661" s="165">
        <v>895350192</v>
      </c>
      <c r="N661" s="165">
        <v>47903524</v>
      </c>
      <c r="O661" s="165">
        <v>339691904.33999997</v>
      </c>
      <c r="P661" s="165">
        <v>99630089.299999997</v>
      </c>
      <c r="Q661" s="165">
        <v>2044518</v>
      </c>
      <c r="R661" s="165">
        <v>690.5</v>
      </c>
      <c r="S661" s="165">
        <v>818306182.63999987</v>
      </c>
      <c r="T661" s="165">
        <v>1185092.2268501085</v>
      </c>
      <c r="U661" s="166">
        <v>329036147</v>
      </c>
      <c r="V661" s="168">
        <v>5299949543</v>
      </c>
      <c r="W661" s="165">
        <v>3698987197</v>
      </c>
      <c r="X661" s="165">
        <v>947167956</v>
      </c>
      <c r="Y661" s="165">
        <v>61813038</v>
      </c>
      <c r="Z661" s="165">
        <v>375244450.04000002</v>
      </c>
      <c r="AA661" s="165">
        <v>111512333.48999999</v>
      </c>
      <c r="AB661" s="165">
        <v>3128675</v>
      </c>
      <c r="AC661" s="165">
        <v>647.75</v>
      </c>
      <c r="AD661" s="165">
        <v>1205492886.53</v>
      </c>
      <c r="AE661" s="165">
        <v>1861046.5249401776</v>
      </c>
      <c r="AF661" s="166">
        <v>653794390</v>
      </c>
      <c r="AG661" s="124">
        <v>387186703.8900001</v>
      </c>
      <c r="AH661" s="125">
        <v>-42.75</v>
      </c>
      <c r="AI661" s="133">
        <v>1</v>
      </c>
      <c r="AJ661" s="133">
        <v>1</v>
      </c>
      <c r="AK661" s="126">
        <v>0.1</v>
      </c>
      <c r="AL661" s="126">
        <v>0.57038116771721636</v>
      </c>
      <c r="AM661" s="14">
        <v>1</v>
      </c>
      <c r="AN661" s="122">
        <v>0</v>
      </c>
      <c r="AO661" s="131">
        <v>491950.62178131787</v>
      </c>
      <c r="AP661" s="131">
        <v>579304.43850250868</v>
      </c>
      <c r="AQ661" s="131">
        <v>87353.816721190815</v>
      </c>
      <c r="AR661" s="130">
        <v>0.17756622891315588</v>
      </c>
    </row>
    <row r="662" spans="1:44" ht="28.8" x14ac:dyDescent="0.3">
      <c r="A662" s="136" t="s">
        <v>918</v>
      </c>
      <c r="B662" s="137" t="s">
        <v>5433</v>
      </c>
      <c r="C662" s="134">
        <v>2019</v>
      </c>
      <c r="D662" s="149" t="s">
        <v>4843</v>
      </c>
      <c r="E662" s="135" t="s">
        <v>1131</v>
      </c>
      <c r="F662" s="384" t="s">
        <v>911</v>
      </c>
      <c r="G662" s="138" t="s">
        <v>4773</v>
      </c>
      <c r="H662" s="138" t="s">
        <v>2423</v>
      </c>
      <c r="I662" s="138" t="s">
        <v>1566</v>
      </c>
      <c r="J662" s="135" t="s">
        <v>4774</v>
      </c>
      <c r="K662" s="164">
        <v>1939353510</v>
      </c>
      <c r="L662" s="165">
        <v>1119591601</v>
      </c>
      <c r="M662" s="165">
        <v>500291123</v>
      </c>
      <c r="N662" s="165">
        <v>78346417</v>
      </c>
      <c r="O662" s="165">
        <v>294247586</v>
      </c>
      <c r="P662" s="165">
        <v>73045488</v>
      </c>
      <c r="Q662" s="165">
        <v>96846</v>
      </c>
      <c r="R662" s="165">
        <v>540.58333333333337</v>
      </c>
      <c r="S662" s="165">
        <v>765207123</v>
      </c>
      <c r="T662" s="165">
        <v>1415521.1154616924</v>
      </c>
      <c r="U662" s="166">
        <v>319470786</v>
      </c>
      <c r="V662" s="168">
        <v>3359546413</v>
      </c>
      <c r="W662" s="165">
        <v>1783665224</v>
      </c>
      <c r="X662" s="165">
        <v>818665367</v>
      </c>
      <c r="Y662" s="165">
        <v>80588169</v>
      </c>
      <c r="Z662" s="165">
        <v>440033815.15000004</v>
      </c>
      <c r="AA662" s="165">
        <v>42457076.059999995</v>
      </c>
      <c r="AB662" s="165">
        <v>39253</v>
      </c>
      <c r="AC662" s="165">
        <v>723.58333333333337</v>
      </c>
      <c r="AD662" s="165">
        <v>1320334135.21</v>
      </c>
      <c r="AE662" s="165">
        <v>1824716.0684694229</v>
      </c>
      <c r="AF662" s="166">
        <v>757215822</v>
      </c>
      <c r="AG662" s="124">
        <v>555127012.21000004</v>
      </c>
      <c r="AH662" s="125">
        <v>183</v>
      </c>
      <c r="AI662" s="133">
        <v>1</v>
      </c>
      <c r="AJ662" s="133">
        <v>1</v>
      </c>
      <c r="AK662" s="126">
        <v>0.15</v>
      </c>
      <c r="AL662" s="126">
        <v>0.28907724810209823</v>
      </c>
      <c r="AM662" s="14">
        <v>1</v>
      </c>
      <c r="AN662" s="122">
        <v>0</v>
      </c>
      <c r="AO662" s="131">
        <v>544314.94250038534</v>
      </c>
      <c r="AP662" s="131">
        <v>608131.49623402057</v>
      </c>
      <c r="AQ662" s="131">
        <v>63816.553733635228</v>
      </c>
      <c r="AR662" s="130">
        <v>0.11724196554385435</v>
      </c>
    </row>
    <row r="663" spans="1:44" ht="28.8" x14ac:dyDescent="0.3">
      <c r="A663" s="136" t="s">
        <v>919</v>
      </c>
      <c r="B663" s="137" t="s">
        <v>5434</v>
      </c>
      <c r="C663" s="134">
        <v>2019</v>
      </c>
      <c r="D663" s="149" t="s">
        <v>4843</v>
      </c>
      <c r="E663" s="135" t="s">
        <v>1131</v>
      </c>
      <c r="F663" s="384" t="s">
        <v>911</v>
      </c>
      <c r="G663" s="138" t="s">
        <v>4773</v>
      </c>
      <c r="H663" s="138" t="s">
        <v>2763</v>
      </c>
      <c r="I663" s="138" t="s">
        <v>1566</v>
      </c>
      <c r="J663" s="135" t="s">
        <v>4774</v>
      </c>
      <c r="K663" s="164">
        <v>1382624327</v>
      </c>
      <c r="L663" s="165">
        <v>1049186171</v>
      </c>
      <c r="M663" s="165">
        <v>378796501</v>
      </c>
      <c r="N663" s="165">
        <v>13068883</v>
      </c>
      <c r="O663" s="165">
        <v>203318353</v>
      </c>
      <c r="P663" s="165">
        <v>58645287</v>
      </c>
      <c r="Q663" s="165">
        <v>0</v>
      </c>
      <c r="R663" s="165">
        <v>603.41666666666663</v>
      </c>
      <c r="S663" s="165">
        <v>229674178</v>
      </c>
      <c r="T663" s="165">
        <v>380622.86093081068</v>
      </c>
      <c r="U663" s="166">
        <v>-45358345</v>
      </c>
      <c r="V663" s="168">
        <v>1289715240</v>
      </c>
      <c r="W663" s="165">
        <v>781228587</v>
      </c>
      <c r="X663" s="165">
        <v>445346847</v>
      </c>
      <c r="Y663" s="165">
        <v>36973805</v>
      </c>
      <c r="Z663" s="165">
        <v>180151310.75999999</v>
      </c>
      <c r="AA663" s="165">
        <v>52134600.43</v>
      </c>
      <c r="AB663" s="165">
        <v>0</v>
      </c>
      <c r="AC663" s="165">
        <v>506.41666666666669</v>
      </c>
      <c r="AD663" s="165">
        <v>332399522.19</v>
      </c>
      <c r="AE663" s="165">
        <v>656375.5580516702</v>
      </c>
      <c r="AF663" s="166">
        <v>63139806</v>
      </c>
      <c r="AG663" s="124">
        <v>102725344.19</v>
      </c>
      <c r="AH663" s="125">
        <v>-96.999999999999943</v>
      </c>
      <c r="AI663" s="133">
        <v>1</v>
      </c>
      <c r="AJ663" s="133">
        <v>1</v>
      </c>
      <c r="AK663" s="126">
        <v>0.15</v>
      </c>
      <c r="AL663" s="126">
        <v>0.72447750510833764</v>
      </c>
      <c r="AM663" s="14">
        <v>1</v>
      </c>
      <c r="AN663" s="122">
        <v>0</v>
      </c>
      <c r="AO663" s="131">
        <v>336945.20591078582</v>
      </c>
      <c r="AP663" s="131">
        <v>355737.32583840709</v>
      </c>
      <c r="AQ663" s="131">
        <v>18792.119927621272</v>
      </c>
      <c r="AR663" s="130">
        <v>5.5772035327895209E-2</v>
      </c>
    </row>
    <row r="664" spans="1:44" ht="28.8" x14ac:dyDescent="0.3">
      <c r="A664" s="136" t="s">
        <v>920</v>
      </c>
      <c r="B664" s="137" t="s">
        <v>5435</v>
      </c>
      <c r="C664" s="134">
        <v>2019</v>
      </c>
      <c r="D664" s="149" t="s">
        <v>4843</v>
      </c>
      <c r="E664" s="135" t="s">
        <v>1131</v>
      </c>
      <c r="F664" s="384" t="s">
        <v>911</v>
      </c>
      <c r="G664" s="138" t="s">
        <v>4773</v>
      </c>
      <c r="H664" s="138" t="s">
        <v>1910</v>
      </c>
      <c r="I664" s="138" t="s">
        <v>1566</v>
      </c>
      <c r="J664" s="135" t="s">
        <v>4774</v>
      </c>
      <c r="K664" s="164">
        <v>3436612072</v>
      </c>
      <c r="L664" s="165">
        <v>2864307219</v>
      </c>
      <c r="M664" s="165">
        <v>419459771</v>
      </c>
      <c r="N664" s="165">
        <v>107457087</v>
      </c>
      <c r="O664" s="165">
        <v>190825296</v>
      </c>
      <c r="P664" s="165">
        <v>55450605</v>
      </c>
      <c r="Q664" s="165">
        <v>1393945</v>
      </c>
      <c r="R664" s="165">
        <v>467.08333333333331</v>
      </c>
      <c r="S664" s="165">
        <v>507972015</v>
      </c>
      <c r="T664" s="165">
        <v>1087540.4424620874</v>
      </c>
      <c r="U664" s="166">
        <v>152845082</v>
      </c>
      <c r="V664" s="168">
        <v>4300379252</v>
      </c>
      <c r="W664" s="165">
        <v>3385613227</v>
      </c>
      <c r="X664" s="165">
        <v>717652270</v>
      </c>
      <c r="Y664" s="165">
        <v>114380717</v>
      </c>
      <c r="Z664" s="165">
        <v>249975307.47000003</v>
      </c>
      <c r="AA664" s="165">
        <v>73380661.939999998</v>
      </c>
      <c r="AB664" s="165">
        <v>4946536</v>
      </c>
      <c r="AC664" s="165">
        <v>485.75</v>
      </c>
      <c r="AD664" s="165">
        <v>639796977.41000009</v>
      </c>
      <c r="AE664" s="165">
        <v>1317132.2231806486</v>
      </c>
      <c r="AF664" s="166">
        <v>197113755</v>
      </c>
      <c r="AG664" s="124">
        <v>131824962.41000009</v>
      </c>
      <c r="AH664" s="125">
        <v>18.666666666666686</v>
      </c>
      <c r="AI664" s="133">
        <v>1</v>
      </c>
      <c r="AJ664" s="133">
        <v>0</v>
      </c>
      <c r="AK664" s="126">
        <v>0.15</v>
      </c>
      <c r="AL664" s="126">
        <v>0.21111102774256385</v>
      </c>
      <c r="AM664" s="14">
        <v>1</v>
      </c>
      <c r="AN664" s="122">
        <v>0</v>
      </c>
      <c r="AO664" s="131">
        <v>408546.57484388939</v>
      </c>
      <c r="AP664" s="131">
        <v>514617.2052907875</v>
      </c>
      <c r="AQ664" s="131">
        <v>106070.63044689811</v>
      </c>
      <c r="AR664" s="130">
        <v>0.25962922461760685</v>
      </c>
    </row>
    <row r="665" spans="1:44" ht="28.8" x14ac:dyDescent="0.3">
      <c r="A665" s="136" t="s">
        <v>921</v>
      </c>
      <c r="B665" s="137" t="s">
        <v>5436</v>
      </c>
      <c r="C665" s="134">
        <v>2019</v>
      </c>
      <c r="D665" s="149" t="s">
        <v>4915</v>
      </c>
      <c r="E665" s="135" t="s">
        <v>1131</v>
      </c>
      <c r="F665" s="384" t="s">
        <v>922</v>
      </c>
      <c r="G665" s="138" t="s">
        <v>4773</v>
      </c>
      <c r="H665" s="138" t="s">
        <v>1931</v>
      </c>
      <c r="I665" s="138" t="s">
        <v>1566</v>
      </c>
      <c r="J665" s="135" t="s">
        <v>4774</v>
      </c>
      <c r="K665" s="164">
        <v>848798786</v>
      </c>
      <c r="L665" s="165">
        <v>829431837</v>
      </c>
      <c r="M665" s="165">
        <v>4576</v>
      </c>
      <c r="N665" s="165">
        <v>0</v>
      </c>
      <c r="O665" s="165">
        <v>17729957.039999999</v>
      </c>
      <c r="P665" s="165">
        <v>5034345.0100000007</v>
      </c>
      <c r="Q665" s="165">
        <v>288443</v>
      </c>
      <c r="R665" s="165">
        <v>128</v>
      </c>
      <c r="S665" s="165">
        <v>42415118.049999997</v>
      </c>
      <c r="T665" s="165">
        <v>331368.10976562498</v>
      </c>
      <c r="U665" s="166">
        <v>19362373</v>
      </c>
      <c r="V665" s="168">
        <v>1935300402</v>
      </c>
      <c r="W665" s="165">
        <v>1825428192</v>
      </c>
      <c r="X665" s="165">
        <v>0</v>
      </c>
      <c r="Y665" s="165">
        <v>34857348</v>
      </c>
      <c r="Z665" s="165">
        <v>34064984.07</v>
      </c>
      <c r="AA665" s="165">
        <v>10245620.040000001</v>
      </c>
      <c r="AB665" s="165">
        <v>714214</v>
      </c>
      <c r="AC665" s="165">
        <v>208.33333333333334</v>
      </c>
      <c r="AD665" s="165">
        <v>189754376.10999998</v>
      </c>
      <c r="AE665" s="165">
        <v>910821.00532799994</v>
      </c>
      <c r="AF665" s="166">
        <v>109872210</v>
      </c>
      <c r="AG665" s="124">
        <v>147339258.06</v>
      </c>
      <c r="AH665" s="125">
        <v>80.333333333333343</v>
      </c>
      <c r="AI665" s="133">
        <v>1</v>
      </c>
      <c r="AJ665" s="133">
        <v>0</v>
      </c>
      <c r="AK665" s="126">
        <v>0.15</v>
      </c>
      <c r="AL665" s="126">
        <v>1.7486682710656738</v>
      </c>
      <c r="AM665" s="14">
        <v>1</v>
      </c>
      <c r="AN665" s="122">
        <v>0</v>
      </c>
      <c r="AO665" s="131">
        <v>138515.28937499999</v>
      </c>
      <c r="AP665" s="131">
        <v>163511.92353599999</v>
      </c>
      <c r="AQ665" s="131">
        <v>24996.634160999994</v>
      </c>
      <c r="AR665" s="130">
        <v>0.1804611914958143</v>
      </c>
    </row>
    <row r="666" spans="1:44" ht="28.8" x14ac:dyDescent="0.3">
      <c r="A666" s="136" t="s">
        <v>923</v>
      </c>
      <c r="B666" s="137" t="s">
        <v>5437</v>
      </c>
      <c r="C666" s="134">
        <v>2018</v>
      </c>
      <c r="D666" s="149" t="s">
        <v>4915</v>
      </c>
      <c r="E666" s="135" t="s">
        <v>1131</v>
      </c>
      <c r="F666" s="384" t="s">
        <v>922</v>
      </c>
      <c r="G666" s="138" t="s">
        <v>4773</v>
      </c>
      <c r="H666" s="138" t="s">
        <v>2996</v>
      </c>
      <c r="I666" s="138" t="s">
        <v>1566</v>
      </c>
      <c r="J666" s="135" t="s">
        <v>4774</v>
      </c>
      <c r="K666" s="164">
        <v>905430678</v>
      </c>
      <c r="L666" s="165">
        <v>813687251</v>
      </c>
      <c r="M666" s="165">
        <v>69394118</v>
      </c>
      <c r="N666" s="165">
        <v>11248814</v>
      </c>
      <c r="O666" s="165">
        <v>17610672.57</v>
      </c>
      <c r="P666" s="165">
        <v>4973401</v>
      </c>
      <c r="Q666" s="165">
        <v>131031</v>
      </c>
      <c r="R666" s="165">
        <v>97.583333333333329</v>
      </c>
      <c r="S666" s="165">
        <v>56313227.57</v>
      </c>
      <c r="T666" s="165">
        <v>577078.33547395386</v>
      </c>
      <c r="U666" s="166">
        <v>22349309</v>
      </c>
      <c r="V666" s="168">
        <v>2514070883</v>
      </c>
      <c r="W666" s="165">
        <v>2273316756</v>
      </c>
      <c r="X666" s="165">
        <v>74210157</v>
      </c>
      <c r="Y666" s="165">
        <v>34840654</v>
      </c>
      <c r="Z666" s="165">
        <v>61114746.140000001</v>
      </c>
      <c r="AA666" s="165">
        <v>18052885.109999999</v>
      </c>
      <c r="AB666" s="165">
        <v>1700342</v>
      </c>
      <c r="AC666" s="165">
        <v>247.25</v>
      </c>
      <c r="AD666" s="165">
        <v>282252597.25</v>
      </c>
      <c r="AE666" s="165">
        <v>1141567.6329625885</v>
      </c>
      <c r="AF666" s="166">
        <v>166543970</v>
      </c>
      <c r="AG666" s="124">
        <v>225939369.68000001</v>
      </c>
      <c r="AH666" s="125">
        <v>149.66666666666669</v>
      </c>
      <c r="AI666" s="133">
        <v>1</v>
      </c>
      <c r="AJ666" s="133">
        <v>1</v>
      </c>
      <c r="AK666" s="126">
        <v>0.3</v>
      </c>
      <c r="AL666" s="126">
        <v>0.97818485095108576</v>
      </c>
      <c r="AM666" s="14">
        <v>1</v>
      </c>
      <c r="AN666" s="122">
        <v>0</v>
      </c>
      <c r="AO666" s="131">
        <v>180468.03658411614</v>
      </c>
      <c r="AP666" s="131">
        <v>247177.94192113247</v>
      </c>
      <c r="AQ666" s="131">
        <v>66709.905337016331</v>
      </c>
      <c r="AR666" s="130">
        <v>0.36964942158010827</v>
      </c>
    </row>
    <row r="667" spans="1:44" ht="28.8" x14ac:dyDescent="0.3">
      <c r="A667" s="136" t="s">
        <v>924</v>
      </c>
      <c r="B667" s="137" t="s">
        <v>5438</v>
      </c>
      <c r="C667" s="134">
        <v>2019</v>
      </c>
      <c r="D667" s="149" t="s">
        <v>4915</v>
      </c>
      <c r="E667" s="135" t="s">
        <v>1131</v>
      </c>
      <c r="F667" s="384" t="s">
        <v>922</v>
      </c>
      <c r="G667" s="138" t="s">
        <v>4773</v>
      </c>
      <c r="H667" s="138" t="s">
        <v>1931</v>
      </c>
      <c r="I667" s="138" t="s">
        <v>1566</v>
      </c>
      <c r="J667" s="135" t="s">
        <v>4774</v>
      </c>
      <c r="K667" s="164">
        <v>950022518</v>
      </c>
      <c r="L667" s="165">
        <v>536085505</v>
      </c>
      <c r="M667" s="165">
        <v>398764547</v>
      </c>
      <c r="N667" s="165">
        <v>43986175</v>
      </c>
      <c r="O667" s="165">
        <v>6239366.7400000002</v>
      </c>
      <c r="P667" s="165">
        <v>1896653.9700000002</v>
      </c>
      <c r="Q667" s="165">
        <v>382183</v>
      </c>
      <c r="R667" s="165">
        <v>45.833333333333336</v>
      </c>
      <c r="S667" s="165">
        <v>67676844.710000008</v>
      </c>
      <c r="T667" s="165">
        <v>1476585.7027636364</v>
      </c>
      <c r="U667" s="166">
        <v>15172466</v>
      </c>
      <c r="V667" s="168">
        <v>1153602267</v>
      </c>
      <c r="W667" s="165">
        <v>742024245</v>
      </c>
      <c r="X667" s="165">
        <v>408954550</v>
      </c>
      <c r="Y667" s="165">
        <v>55268227</v>
      </c>
      <c r="Z667" s="165">
        <v>29149096.510000002</v>
      </c>
      <c r="AA667" s="165">
        <v>8633224.9399999995</v>
      </c>
      <c r="AB667" s="165">
        <v>259381</v>
      </c>
      <c r="AC667" s="165">
        <v>194.83333333333334</v>
      </c>
      <c r="AD667" s="165">
        <v>95933401.450000003</v>
      </c>
      <c r="AE667" s="165">
        <v>492387.00487596233</v>
      </c>
      <c r="AF667" s="166">
        <v>2623472</v>
      </c>
      <c r="AG667" s="124">
        <v>28256556.739999995</v>
      </c>
      <c r="AH667" s="125">
        <v>149</v>
      </c>
      <c r="AI667" s="133">
        <v>0</v>
      </c>
      <c r="AJ667" s="133">
        <v>0</v>
      </c>
      <c r="AK667" s="126">
        <v>0.15</v>
      </c>
      <c r="AL667" s="126">
        <v>-0.66653679498589202</v>
      </c>
      <c r="AM667" s="14">
        <v>0</v>
      </c>
      <c r="AN667" s="122">
        <v>-1</v>
      </c>
      <c r="AO667" s="131">
        <v>136131.63796363637</v>
      </c>
      <c r="AP667" s="131">
        <v>149610.41835757057</v>
      </c>
      <c r="AQ667" s="131">
        <v>13478.780393934197</v>
      </c>
      <c r="AR667" s="130">
        <v>9.9012842242702348E-2</v>
      </c>
    </row>
    <row r="668" spans="1:44" ht="28.8" x14ac:dyDescent="0.3">
      <c r="A668" s="136" t="s">
        <v>925</v>
      </c>
      <c r="B668" s="137" t="s">
        <v>5439</v>
      </c>
      <c r="C668" s="134">
        <v>2019</v>
      </c>
      <c r="D668" s="149" t="s">
        <v>4915</v>
      </c>
      <c r="E668" s="135" t="s">
        <v>1131</v>
      </c>
      <c r="F668" s="384" t="s">
        <v>922</v>
      </c>
      <c r="G668" s="138" t="s">
        <v>4773</v>
      </c>
      <c r="H668" s="138" t="s">
        <v>1931</v>
      </c>
      <c r="I668" s="138" t="s">
        <v>1566</v>
      </c>
      <c r="J668" s="135" t="s">
        <v>4774</v>
      </c>
      <c r="K668" s="164">
        <v>570275756</v>
      </c>
      <c r="L668" s="165">
        <v>488155841</v>
      </c>
      <c r="M668" s="165">
        <v>62029156</v>
      </c>
      <c r="N668" s="165">
        <v>9496010</v>
      </c>
      <c r="O668" s="165">
        <v>48635489.859999999</v>
      </c>
      <c r="P668" s="165">
        <v>7174445.1400000006</v>
      </c>
      <c r="Q668" s="165">
        <v>18122</v>
      </c>
      <c r="R668" s="165">
        <v>88.166666666666671</v>
      </c>
      <c r="S668" s="165">
        <v>85414826</v>
      </c>
      <c r="T668" s="165">
        <v>968788.19659735344</v>
      </c>
      <c r="U668" s="166">
        <v>20090759</v>
      </c>
      <c r="V668" s="168">
        <v>608565349</v>
      </c>
      <c r="W668" s="165">
        <v>474275535</v>
      </c>
      <c r="X668" s="165">
        <v>82962143</v>
      </c>
      <c r="Y668" s="165">
        <v>9460365</v>
      </c>
      <c r="Z668" s="165">
        <v>50871686.490000002</v>
      </c>
      <c r="AA668" s="165">
        <v>9231326.5300000012</v>
      </c>
      <c r="AB668" s="165">
        <v>16222</v>
      </c>
      <c r="AC668" s="165">
        <v>120.33333333333333</v>
      </c>
      <c r="AD668" s="165">
        <v>120907271.02000001</v>
      </c>
      <c r="AE668" s="165">
        <v>1004769.5652631581</v>
      </c>
      <c r="AF668" s="166">
        <v>51327671</v>
      </c>
      <c r="AG668" s="124">
        <v>35492445.020000011</v>
      </c>
      <c r="AH668" s="125">
        <v>32.166666666666657</v>
      </c>
      <c r="AI668" s="133">
        <v>0</v>
      </c>
      <c r="AJ668" s="133">
        <v>0</v>
      </c>
      <c r="AK668" s="126">
        <v>0.15</v>
      </c>
      <c r="AL668" s="126">
        <v>3.7140594817319128E-2</v>
      </c>
      <c r="AM668" s="14">
        <v>0</v>
      </c>
      <c r="AN668" s="122">
        <v>-1</v>
      </c>
      <c r="AO668" s="131">
        <v>551631.26495274098</v>
      </c>
      <c r="AP668" s="131">
        <v>422756.39742382272</v>
      </c>
      <c r="AQ668" s="131">
        <v>-128874.86752891826</v>
      </c>
      <c r="AR668" s="130">
        <v>-0.23362502402752527</v>
      </c>
    </row>
    <row r="669" spans="1:44" ht="28.8" x14ac:dyDescent="0.3">
      <c r="A669" s="136" t="s">
        <v>926</v>
      </c>
      <c r="B669" s="137" t="s">
        <v>5440</v>
      </c>
      <c r="C669" s="134">
        <v>2019</v>
      </c>
      <c r="D669" s="149" t="s">
        <v>4915</v>
      </c>
      <c r="E669" s="135" t="s">
        <v>1131</v>
      </c>
      <c r="F669" s="384" t="s">
        <v>922</v>
      </c>
      <c r="G669" s="138" t="s">
        <v>4773</v>
      </c>
      <c r="H669" s="138" t="s">
        <v>3355</v>
      </c>
      <c r="I669" s="138" t="s">
        <v>1566</v>
      </c>
      <c r="J669" s="135" t="s">
        <v>4774</v>
      </c>
      <c r="K669" s="164">
        <v>791348157</v>
      </c>
      <c r="L669" s="165">
        <v>457775457</v>
      </c>
      <c r="M669" s="165">
        <v>343599899</v>
      </c>
      <c r="N669" s="165">
        <v>6190468</v>
      </c>
      <c r="O669" s="165">
        <v>131264613.14</v>
      </c>
      <c r="P669" s="165">
        <v>37518935.189999998</v>
      </c>
      <c r="Q669" s="165">
        <v>0</v>
      </c>
      <c r="R669" s="165">
        <v>503.33333333333331</v>
      </c>
      <c r="S669" s="165">
        <v>164946817.32999998</v>
      </c>
      <c r="T669" s="165">
        <v>327708.908602649</v>
      </c>
      <c r="U669" s="166">
        <v>-10027199</v>
      </c>
      <c r="V669" s="168">
        <v>748773846</v>
      </c>
      <c r="W669" s="165">
        <v>356267914</v>
      </c>
      <c r="X669" s="165">
        <v>372239666</v>
      </c>
      <c r="Y669" s="165">
        <v>19672914</v>
      </c>
      <c r="Z669" s="165">
        <v>129123965.29000001</v>
      </c>
      <c r="AA669" s="165">
        <v>37000965.120000005</v>
      </c>
      <c r="AB669" s="165">
        <v>0</v>
      </c>
      <c r="AC669" s="165">
        <v>450.91666666666669</v>
      </c>
      <c r="AD669" s="165">
        <v>206064110.41000003</v>
      </c>
      <c r="AE669" s="165">
        <v>456989.34114211792</v>
      </c>
      <c r="AF669" s="166">
        <v>20266266</v>
      </c>
      <c r="AG669" s="124">
        <v>41117293.080000043</v>
      </c>
      <c r="AH669" s="125">
        <v>-52.416666666666629</v>
      </c>
      <c r="AI669" s="133">
        <v>1</v>
      </c>
      <c r="AJ669" s="133">
        <v>1</v>
      </c>
      <c r="AK669" s="126">
        <v>0.15</v>
      </c>
      <c r="AL669" s="126">
        <v>0.39449775717114322</v>
      </c>
      <c r="AM669" s="14">
        <v>1</v>
      </c>
      <c r="AN669" s="122">
        <v>0</v>
      </c>
      <c r="AO669" s="131">
        <v>260790.62213245034</v>
      </c>
      <c r="AP669" s="131">
        <v>286358.82156348182</v>
      </c>
      <c r="AQ669" s="131">
        <v>25568.199431031477</v>
      </c>
      <c r="AR669" s="130">
        <v>9.8041099875308735E-2</v>
      </c>
    </row>
    <row r="670" spans="1:44" ht="28.8" x14ac:dyDescent="0.3">
      <c r="A670" s="136" t="s">
        <v>927</v>
      </c>
      <c r="B670" s="137" t="s">
        <v>5441</v>
      </c>
      <c r="C670" s="134">
        <v>2019</v>
      </c>
      <c r="D670" s="149" t="s">
        <v>4915</v>
      </c>
      <c r="E670" s="135" t="s">
        <v>1131</v>
      </c>
      <c r="F670" s="384" t="s">
        <v>922</v>
      </c>
      <c r="G670" s="138" t="s">
        <v>4773</v>
      </c>
      <c r="H670" s="138" t="s">
        <v>2399</v>
      </c>
      <c r="I670" s="138" t="s">
        <v>1566</v>
      </c>
      <c r="J670" s="135" t="s">
        <v>4774</v>
      </c>
      <c r="K670" s="164">
        <v>3728059569</v>
      </c>
      <c r="L670" s="165">
        <v>2415456391</v>
      </c>
      <c r="M670" s="165">
        <v>810062083</v>
      </c>
      <c r="N670" s="165">
        <v>57420267</v>
      </c>
      <c r="O670" s="165">
        <v>356015892.70999998</v>
      </c>
      <c r="P670" s="165">
        <v>27472913.66</v>
      </c>
      <c r="Q670" s="165">
        <v>215035</v>
      </c>
      <c r="R670" s="165">
        <v>1296.1666666666667</v>
      </c>
      <c r="S670" s="165">
        <v>943665203.37</v>
      </c>
      <c r="T670" s="165">
        <v>728043.10405297671</v>
      </c>
      <c r="U670" s="166">
        <v>502541095</v>
      </c>
      <c r="V670" s="168">
        <v>4251385691</v>
      </c>
      <c r="W670" s="165">
        <v>2686499599</v>
      </c>
      <c r="X670" s="165">
        <v>980910357</v>
      </c>
      <c r="Y670" s="165">
        <v>37724452</v>
      </c>
      <c r="Z670" s="165">
        <v>436180882.82999998</v>
      </c>
      <c r="AA670" s="165">
        <v>56757782.829999998</v>
      </c>
      <c r="AB670" s="165">
        <v>11406</v>
      </c>
      <c r="AC670" s="165">
        <v>1432</v>
      </c>
      <c r="AD670" s="165">
        <v>1114650258.6599998</v>
      </c>
      <c r="AE670" s="165">
        <v>778387.05213687138</v>
      </c>
      <c r="AF670" s="166">
        <v>583975735</v>
      </c>
      <c r="AG670" s="124">
        <v>170985055.28999984</v>
      </c>
      <c r="AH670" s="125">
        <v>135.83333333333326</v>
      </c>
      <c r="AI670" s="133">
        <v>0</v>
      </c>
      <c r="AJ670" s="133">
        <v>0</v>
      </c>
      <c r="AK670" s="126">
        <v>0.15</v>
      </c>
      <c r="AL670" s="126">
        <v>6.9149683583293431E-2</v>
      </c>
      <c r="AM670" s="14">
        <v>0</v>
      </c>
      <c r="AN670" s="122">
        <v>-1</v>
      </c>
      <c r="AO670" s="131">
        <v>274668.2983489777</v>
      </c>
      <c r="AP670" s="131">
        <v>304595.58856843575</v>
      </c>
      <c r="AQ670" s="131">
        <v>29927.290219458053</v>
      </c>
      <c r="AR670" s="130">
        <v>0.10895793362157202</v>
      </c>
    </row>
    <row r="671" spans="1:44" ht="28.8" x14ac:dyDescent="0.3">
      <c r="A671" s="136" t="s">
        <v>928</v>
      </c>
      <c r="B671" s="137" t="s">
        <v>5442</v>
      </c>
      <c r="C671" s="134">
        <v>2019</v>
      </c>
      <c r="D671" s="149" t="s">
        <v>1167</v>
      </c>
      <c r="E671" s="135" t="s">
        <v>1152</v>
      </c>
      <c r="F671" s="384" t="s">
        <v>922</v>
      </c>
      <c r="G671" s="138" t="s">
        <v>4773</v>
      </c>
      <c r="H671" s="138" t="s">
        <v>1255</v>
      </c>
      <c r="I671" s="138" t="s">
        <v>1217</v>
      </c>
      <c r="J671" s="135" t="s">
        <v>4774</v>
      </c>
      <c r="K671" s="164">
        <v>2763576756</v>
      </c>
      <c r="L671" s="165">
        <v>1999689302</v>
      </c>
      <c r="M671" s="165">
        <v>205071163</v>
      </c>
      <c r="N671" s="165">
        <v>613121342</v>
      </c>
      <c r="O671" s="165">
        <v>363790435</v>
      </c>
      <c r="P671" s="165">
        <v>107280297</v>
      </c>
      <c r="Q671" s="165">
        <v>30354</v>
      </c>
      <c r="R671" s="165">
        <v>898.91666666666663</v>
      </c>
      <c r="S671" s="165">
        <v>1643038719</v>
      </c>
      <c r="T671" s="165">
        <v>1827798.7047371836</v>
      </c>
      <c r="U671" s="166">
        <v>558816291</v>
      </c>
      <c r="V671" s="168">
        <v>3072736739</v>
      </c>
      <c r="W671" s="165">
        <v>4759871804</v>
      </c>
      <c r="X671" s="165">
        <v>0</v>
      </c>
      <c r="Y671" s="165">
        <v>0</v>
      </c>
      <c r="Z671" s="165">
        <v>426508965</v>
      </c>
      <c r="AA671" s="165">
        <v>125480081</v>
      </c>
      <c r="AB671" s="165">
        <v>0</v>
      </c>
      <c r="AC671" s="165">
        <v>921.5</v>
      </c>
      <c r="AD671" s="165">
        <v>-1135146019</v>
      </c>
      <c r="AE671" s="165">
        <v>-1231845.9240368963</v>
      </c>
      <c r="AF671" s="166">
        <v>-1687135065</v>
      </c>
      <c r="AG671" s="124">
        <v>-2778184738</v>
      </c>
      <c r="AH671" s="125">
        <v>22.583333333333371</v>
      </c>
      <c r="AI671" s="133">
        <v>0</v>
      </c>
      <c r="AJ671" s="133">
        <v>0</v>
      </c>
      <c r="AK671" s="126">
        <v>0.15</v>
      </c>
      <c r="AL671" s="126">
        <v>-1.6739505395205718</v>
      </c>
      <c r="AM671" s="14">
        <v>0</v>
      </c>
      <c r="AN671" s="122">
        <v>-1</v>
      </c>
      <c r="AO671" s="131">
        <v>404698.73180680448</v>
      </c>
      <c r="AP671" s="131">
        <v>462842.06728160608</v>
      </c>
      <c r="AQ671" s="131">
        <v>58143.335474801599</v>
      </c>
      <c r="AR671" s="130">
        <v>0.14367066389167271</v>
      </c>
    </row>
    <row r="672" spans="1:44" ht="43.2" x14ac:dyDescent="0.3">
      <c r="A672" s="136" t="s">
        <v>929</v>
      </c>
      <c r="B672" s="137" t="s">
        <v>5443</v>
      </c>
      <c r="C672" s="134">
        <v>2019</v>
      </c>
      <c r="D672" s="149" t="s">
        <v>1167</v>
      </c>
      <c r="E672" s="135" t="s">
        <v>1152</v>
      </c>
      <c r="F672" s="384" t="s">
        <v>922</v>
      </c>
      <c r="G672" s="138" t="s">
        <v>4773</v>
      </c>
      <c r="H672" s="138" t="s">
        <v>1255</v>
      </c>
      <c r="I672" s="138" t="s">
        <v>1217</v>
      </c>
      <c r="J672" s="135" t="s">
        <v>4774</v>
      </c>
      <c r="K672" s="164">
        <v>2889450197</v>
      </c>
      <c r="L672" s="165">
        <v>2056870879</v>
      </c>
      <c r="M672" s="165">
        <v>81147936</v>
      </c>
      <c r="N672" s="165">
        <v>277785864</v>
      </c>
      <c r="O672" s="165">
        <v>417232191</v>
      </c>
      <c r="P672" s="165">
        <v>122465004</v>
      </c>
      <c r="Q672" s="165">
        <v>0</v>
      </c>
      <c r="R672" s="165">
        <v>1098.75</v>
      </c>
      <c r="S672" s="165">
        <v>1568914441</v>
      </c>
      <c r="T672" s="165">
        <v>1427908.4787258247</v>
      </c>
      <c r="U672" s="166">
        <v>751431382</v>
      </c>
      <c r="V672" s="168">
        <v>4283087810</v>
      </c>
      <c r="W672" s="165">
        <v>7774002342</v>
      </c>
      <c r="X672" s="165">
        <v>0</v>
      </c>
      <c r="Y672" s="165">
        <v>0</v>
      </c>
      <c r="Z672" s="165">
        <v>728680017.57000005</v>
      </c>
      <c r="AA672" s="165">
        <v>214643534.06</v>
      </c>
      <c r="AB672" s="165">
        <v>0</v>
      </c>
      <c r="AC672" s="165">
        <v>1634.5833333333333</v>
      </c>
      <c r="AD672" s="165">
        <v>-2547590980.3699999</v>
      </c>
      <c r="AE672" s="165">
        <v>-1558556.8067519756</v>
      </c>
      <c r="AF672" s="166">
        <v>-3490914532</v>
      </c>
      <c r="AG672" s="124">
        <v>-4116505421.3699999</v>
      </c>
      <c r="AH672" s="125">
        <v>535.83333333333326</v>
      </c>
      <c r="AI672" s="133">
        <v>0</v>
      </c>
      <c r="AJ672" s="133">
        <v>0</v>
      </c>
      <c r="AK672" s="126">
        <v>0.15</v>
      </c>
      <c r="AL672" s="126">
        <v>-2.0914962911348494</v>
      </c>
      <c r="AM672" s="14">
        <v>0</v>
      </c>
      <c r="AN672" s="122">
        <v>-1</v>
      </c>
      <c r="AO672" s="131">
        <v>379733.50716723548</v>
      </c>
      <c r="AP672" s="131">
        <v>445789.45760081575</v>
      </c>
      <c r="AQ672" s="131">
        <v>66055.950433580263</v>
      </c>
      <c r="AR672" s="130">
        <v>0.17395344152363434</v>
      </c>
    </row>
    <row r="673" spans="1:44" ht="43.2" x14ac:dyDescent="0.3">
      <c r="A673" s="136" t="s">
        <v>930</v>
      </c>
      <c r="B673" s="137" t="s">
        <v>5444</v>
      </c>
      <c r="C673" s="134">
        <v>2019</v>
      </c>
      <c r="D673" s="149" t="s">
        <v>1167</v>
      </c>
      <c r="E673" s="135" t="s">
        <v>1152</v>
      </c>
      <c r="F673" s="384" t="s">
        <v>922</v>
      </c>
      <c r="G673" s="138" t="s">
        <v>4773</v>
      </c>
      <c r="H673" s="138" t="s">
        <v>3507</v>
      </c>
      <c r="I673" s="138" t="s">
        <v>1566</v>
      </c>
      <c r="J673" s="135" t="s">
        <v>4774</v>
      </c>
      <c r="K673" s="164">
        <v>1064637780</v>
      </c>
      <c r="L673" s="165">
        <v>406509707</v>
      </c>
      <c r="M673" s="165">
        <v>516109550</v>
      </c>
      <c r="N673" s="165">
        <v>27250356</v>
      </c>
      <c r="O673" s="165">
        <v>70324397</v>
      </c>
      <c r="P673" s="165">
        <v>21048081</v>
      </c>
      <c r="Q673" s="165">
        <v>3788</v>
      </c>
      <c r="R673" s="165">
        <v>339.58333333333331</v>
      </c>
      <c r="S673" s="165">
        <v>260645145</v>
      </c>
      <c r="T673" s="165">
        <v>767543.98527607368</v>
      </c>
      <c r="U673" s="166">
        <v>142018523</v>
      </c>
      <c r="V673" s="168">
        <v>958332150</v>
      </c>
      <c r="W673" s="165">
        <v>409339244</v>
      </c>
      <c r="X673" s="165">
        <v>369575794</v>
      </c>
      <c r="Y673" s="165">
        <v>32947142</v>
      </c>
      <c r="Z673" s="165">
        <v>73814929</v>
      </c>
      <c r="AA673" s="165">
        <v>41015742</v>
      </c>
      <c r="AB673" s="165">
        <v>0</v>
      </c>
      <c r="AC673" s="165">
        <v>253.75</v>
      </c>
      <c r="AD673" s="165">
        <v>327194925</v>
      </c>
      <c r="AE673" s="165">
        <v>1289438.1280788176</v>
      </c>
      <c r="AF673" s="166">
        <v>179417112</v>
      </c>
      <c r="AG673" s="124">
        <v>66549780</v>
      </c>
      <c r="AH673" s="125">
        <v>-85.833333333333314</v>
      </c>
      <c r="AI673" s="133">
        <v>1</v>
      </c>
      <c r="AJ673" s="133">
        <v>0</v>
      </c>
      <c r="AK673" s="126">
        <v>0.15</v>
      </c>
      <c r="AL673" s="126">
        <v>0.67995339263877219</v>
      </c>
      <c r="AM673" s="14">
        <v>1</v>
      </c>
      <c r="AN673" s="122">
        <v>0</v>
      </c>
      <c r="AO673" s="131">
        <v>207090.24883435585</v>
      </c>
      <c r="AP673" s="131">
        <v>290896.27192118228</v>
      </c>
      <c r="AQ673" s="131">
        <v>83806.023086826433</v>
      </c>
      <c r="AR673" s="130">
        <v>0.40468357906054719</v>
      </c>
    </row>
    <row r="674" spans="1:44" ht="28.8" x14ac:dyDescent="0.3">
      <c r="A674" s="136" t="s">
        <v>931</v>
      </c>
      <c r="B674" s="137" t="s">
        <v>5445</v>
      </c>
      <c r="C674" s="134">
        <v>2020</v>
      </c>
      <c r="D674" s="149" t="s">
        <v>1167</v>
      </c>
      <c r="E674" s="135" t="s">
        <v>1152</v>
      </c>
      <c r="F674" s="384" t="s">
        <v>922</v>
      </c>
      <c r="G674" s="138" t="s">
        <v>4773</v>
      </c>
      <c r="H674" s="138" t="s">
        <v>4286</v>
      </c>
      <c r="I674" s="138" t="s">
        <v>4255</v>
      </c>
      <c r="J674" s="135" t="s">
        <v>4780</v>
      </c>
      <c r="K674" s="164">
        <v>465709206</v>
      </c>
      <c r="L674" s="165">
        <v>906678175</v>
      </c>
      <c r="M674" s="165">
        <v>79439921</v>
      </c>
      <c r="N674" s="165">
        <v>108449585</v>
      </c>
      <c r="O674" s="165">
        <v>297678775</v>
      </c>
      <c r="P674" s="165">
        <v>97006391</v>
      </c>
      <c r="Q674" s="165">
        <v>2055100</v>
      </c>
      <c r="R674" s="165">
        <v>700.08333333333337</v>
      </c>
      <c r="S674" s="165">
        <v>-15219039</v>
      </c>
      <c r="T674" s="165">
        <v>-21738.896321866443</v>
      </c>
      <c r="U674" s="166">
        <v>-520408890</v>
      </c>
      <c r="V674" s="168">
        <v>521357164</v>
      </c>
      <c r="W674" s="165">
        <v>843513650</v>
      </c>
      <c r="X674" s="165">
        <v>302113603</v>
      </c>
      <c r="Y674" s="165">
        <v>110566434</v>
      </c>
      <c r="Z674" s="165">
        <v>307641765</v>
      </c>
      <c r="AA674" s="165">
        <v>100272680</v>
      </c>
      <c r="AB674" s="165">
        <v>1604451</v>
      </c>
      <c r="AC674" s="165">
        <v>634.41666666666663</v>
      </c>
      <c r="AD674" s="165">
        <v>-104184759</v>
      </c>
      <c r="AE674" s="165">
        <v>-164221.34611848157</v>
      </c>
      <c r="AF674" s="166">
        <v>-624270089</v>
      </c>
      <c r="AG674" s="124">
        <v>-88965720</v>
      </c>
      <c r="AH674" s="125">
        <v>-65.666666666666742</v>
      </c>
      <c r="AI674" s="133">
        <v>1</v>
      </c>
      <c r="AJ674" s="133">
        <v>0</v>
      </c>
      <c r="AK674" s="126">
        <v>0.1</v>
      </c>
      <c r="AL674" s="126">
        <v>-6.5542621751790566</v>
      </c>
      <c r="AM674" s="14">
        <v>0</v>
      </c>
      <c r="AN674" s="122">
        <v>-1</v>
      </c>
      <c r="AO674" s="131">
        <v>425204.77324128075</v>
      </c>
      <c r="AP674" s="131">
        <v>484920.68566924997</v>
      </c>
      <c r="AQ674" s="131">
        <v>59715.912427969219</v>
      </c>
      <c r="AR674" s="130">
        <v>0.14044036235238511</v>
      </c>
    </row>
    <row r="675" spans="1:44" ht="43.2" x14ac:dyDescent="0.3">
      <c r="A675" s="136" t="s">
        <v>932</v>
      </c>
      <c r="B675" s="137" t="s">
        <v>5446</v>
      </c>
      <c r="C675" s="134">
        <v>2019</v>
      </c>
      <c r="D675" s="149" t="s">
        <v>4801</v>
      </c>
      <c r="E675" s="135" t="s">
        <v>1131</v>
      </c>
      <c r="F675" s="384" t="s">
        <v>429</v>
      </c>
      <c r="G675" s="138" t="s">
        <v>4773</v>
      </c>
      <c r="H675" s="138" t="s">
        <v>3394</v>
      </c>
      <c r="I675" s="138" t="s">
        <v>1566</v>
      </c>
      <c r="J675" s="135" t="s">
        <v>4778</v>
      </c>
      <c r="K675" s="164">
        <v>3473692230</v>
      </c>
      <c r="L675" s="165">
        <v>2401470807</v>
      </c>
      <c r="M675" s="165">
        <v>657428890</v>
      </c>
      <c r="N675" s="165">
        <v>29739804</v>
      </c>
      <c r="O675" s="165">
        <v>702427417</v>
      </c>
      <c r="P675" s="165">
        <v>213709543</v>
      </c>
      <c r="Q675" s="165">
        <v>713568</v>
      </c>
      <c r="R675" s="165">
        <v>1934.5</v>
      </c>
      <c r="S675" s="165">
        <v>1361382865</v>
      </c>
      <c r="T675" s="165">
        <v>703738.88084776432</v>
      </c>
      <c r="U675" s="166">
        <v>414792533</v>
      </c>
      <c r="V675" s="168">
        <v>4377312526</v>
      </c>
      <c r="W675" s="165">
        <v>3680150059</v>
      </c>
      <c r="X675" s="165">
        <v>291970905</v>
      </c>
      <c r="Y675" s="165">
        <v>42682977</v>
      </c>
      <c r="Z675" s="165">
        <v>814557009.49000001</v>
      </c>
      <c r="AA675" s="165">
        <v>247249355.53999999</v>
      </c>
      <c r="AB675" s="165">
        <v>720596</v>
      </c>
      <c r="AC675" s="165">
        <v>1951.8333333333333</v>
      </c>
      <c r="AD675" s="165">
        <v>1510401500.03</v>
      </c>
      <c r="AE675" s="165">
        <v>773837.33243787894</v>
      </c>
      <c r="AF675" s="166">
        <v>405191562</v>
      </c>
      <c r="AG675" s="124">
        <v>149018635.02999997</v>
      </c>
      <c r="AH675" s="125">
        <v>17.333333333333258</v>
      </c>
      <c r="AI675" s="133">
        <v>0</v>
      </c>
      <c r="AJ675" s="133">
        <v>1</v>
      </c>
      <c r="AK675" s="126">
        <v>0.15</v>
      </c>
      <c r="AL675" s="126">
        <v>9.9608607669935623E-2</v>
      </c>
      <c r="AM675" s="14">
        <v>0</v>
      </c>
      <c r="AN675" s="122">
        <v>-1</v>
      </c>
      <c r="AO675" s="131">
        <v>363105.41070043942</v>
      </c>
      <c r="AP675" s="131">
        <v>417329.18255827855</v>
      </c>
      <c r="AQ675" s="131">
        <v>54223.771857839136</v>
      </c>
      <c r="AR675" s="130">
        <v>0.14933341740416406</v>
      </c>
    </row>
    <row r="676" spans="1:44" ht="43.2" x14ac:dyDescent="0.3">
      <c r="A676" s="136" t="s">
        <v>933</v>
      </c>
      <c r="B676" s="137" t="s">
        <v>5447</v>
      </c>
      <c r="C676" s="134">
        <v>2019</v>
      </c>
      <c r="D676" s="149" t="s">
        <v>4801</v>
      </c>
      <c r="E676" s="135" t="s">
        <v>1131</v>
      </c>
      <c r="F676" s="384" t="s">
        <v>429</v>
      </c>
      <c r="G676" s="138" t="s">
        <v>4773</v>
      </c>
      <c r="H676" s="138" t="s">
        <v>2295</v>
      </c>
      <c r="I676" s="138" t="s">
        <v>1566</v>
      </c>
      <c r="J676" s="135" t="s">
        <v>4798</v>
      </c>
      <c r="K676" s="164">
        <v>8691333202</v>
      </c>
      <c r="L676" s="165">
        <v>6460472478</v>
      </c>
      <c r="M676" s="165">
        <v>1615897341</v>
      </c>
      <c r="N676" s="165">
        <v>233968701</v>
      </c>
      <c r="O676" s="165">
        <v>703663227</v>
      </c>
      <c r="P676" s="165">
        <v>213775934</v>
      </c>
      <c r="Q676" s="165">
        <v>8215660</v>
      </c>
      <c r="R676" s="165">
        <v>1670.25</v>
      </c>
      <c r="S676" s="165">
        <v>1774586905</v>
      </c>
      <c r="T676" s="165">
        <v>1062467.8371501272</v>
      </c>
      <c r="U676" s="166">
        <v>614963383</v>
      </c>
      <c r="V676" s="168">
        <v>16935701330</v>
      </c>
      <c r="W676" s="165">
        <v>13056578181</v>
      </c>
      <c r="X676" s="165">
        <v>2443532645</v>
      </c>
      <c r="Y676" s="165">
        <v>373644798</v>
      </c>
      <c r="Z676" s="165">
        <v>850394114.05000007</v>
      </c>
      <c r="AA676" s="165">
        <v>259989099.19</v>
      </c>
      <c r="AB676" s="165">
        <v>12209029</v>
      </c>
      <c r="AC676" s="165">
        <v>1607.75</v>
      </c>
      <c r="AD676" s="165">
        <v>2931827544.2400002</v>
      </c>
      <c r="AE676" s="165">
        <v>1823559.3495506144</v>
      </c>
      <c r="AF676" s="166">
        <v>1435590504</v>
      </c>
      <c r="AG676" s="124">
        <v>1157240639.2400002</v>
      </c>
      <c r="AH676" s="125">
        <v>-62.5</v>
      </c>
      <c r="AI676" s="133">
        <v>1</v>
      </c>
      <c r="AJ676" s="133">
        <v>1</v>
      </c>
      <c r="AK676" s="126">
        <v>0.15</v>
      </c>
      <c r="AL676" s="126">
        <v>0.71634310361808207</v>
      </c>
      <c r="AM676" s="14">
        <v>1</v>
      </c>
      <c r="AN676" s="122">
        <v>0</v>
      </c>
      <c r="AO676" s="131">
        <v>421292.15806017065</v>
      </c>
      <c r="AP676" s="131">
        <v>528934.29578603641</v>
      </c>
      <c r="AQ676" s="131">
        <v>107642.13772586576</v>
      </c>
      <c r="AR676" s="130">
        <v>0.25550472674711378</v>
      </c>
    </row>
    <row r="677" spans="1:44" ht="43.2" x14ac:dyDescent="0.3">
      <c r="A677" s="136" t="s">
        <v>934</v>
      </c>
      <c r="B677" s="137" t="s">
        <v>5448</v>
      </c>
      <c r="C677" s="134">
        <v>2019</v>
      </c>
      <c r="D677" s="149" t="s">
        <v>4801</v>
      </c>
      <c r="E677" s="135" t="s">
        <v>1131</v>
      </c>
      <c r="F677" s="384" t="s">
        <v>429</v>
      </c>
      <c r="G677" s="138" t="s">
        <v>4773</v>
      </c>
      <c r="H677" s="138" t="s">
        <v>3513</v>
      </c>
      <c r="I677" s="138" t="s">
        <v>1566</v>
      </c>
      <c r="J677" s="135" t="s">
        <v>4778</v>
      </c>
      <c r="K677" s="164">
        <v>1581194469</v>
      </c>
      <c r="L677" s="165">
        <v>1115072287</v>
      </c>
      <c r="M677" s="165">
        <v>269974438</v>
      </c>
      <c r="N677" s="165">
        <v>55336495</v>
      </c>
      <c r="O677" s="165">
        <v>303417675</v>
      </c>
      <c r="P677" s="165">
        <v>85758638</v>
      </c>
      <c r="Q677" s="165">
        <v>4749038</v>
      </c>
      <c r="R677" s="165">
        <v>867.75</v>
      </c>
      <c r="S677" s="165">
        <v>645409590</v>
      </c>
      <c r="T677" s="165">
        <v>743773.65600691445</v>
      </c>
      <c r="U677" s="166">
        <v>196147744</v>
      </c>
      <c r="V677" s="168">
        <v>1775693647</v>
      </c>
      <c r="W677" s="165">
        <v>1365716201</v>
      </c>
      <c r="X677" s="165">
        <v>11701198</v>
      </c>
      <c r="Y677" s="165">
        <v>52372209</v>
      </c>
      <c r="Z677" s="165">
        <v>341231209.94000006</v>
      </c>
      <c r="AA677" s="165">
        <v>103623972.82000001</v>
      </c>
      <c r="AB677" s="165">
        <v>4823075</v>
      </c>
      <c r="AC677" s="165">
        <v>887.5</v>
      </c>
      <c r="AD677" s="165">
        <v>900326714.76000011</v>
      </c>
      <c r="AE677" s="165">
        <v>1014452.6363492958</v>
      </c>
      <c r="AF677" s="166">
        <v>398276248</v>
      </c>
      <c r="AG677" s="124">
        <v>254917124.76000011</v>
      </c>
      <c r="AH677" s="125">
        <v>19.75</v>
      </c>
      <c r="AI677" s="133">
        <v>1</v>
      </c>
      <c r="AJ677" s="133">
        <v>1</v>
      </c>
      <c r="AK677" s="126">
        <v>0.15</v>
      </c>
      <c r="AL677" s="126">
        <v>0.36392654722405737</v>
      </c>
      <c r="AM677" s="14">
        <v>1</v>
      </c>
      <c r="AN677" s="122">
        <v>0</v>
      </c>
      <c r="AO677" s="131">
        <v>349660.24200518581</v>
      </c>
      <c r="AP677" s="131">
        <v>384485.87035492965</v>
      </c>
      <c r="AQ677" s="131">
        <v>34825.628349743842</v>
      </c>
      <c r="AR677" s="130">
        <v>9.9598479226664205E-2</v>
      </c>
    </row>
    <row r="678" spans="1:44" ht="43.2" x14ac:dyDescent="0.3">
      <c r="A678" s="136" t="s">
        <v>935</v>
      </c>
      <c r="B678" s="137" t="s">
        <v>5449</v>
      </c>
      <c r="C678" s="134">
        <v>2019</v>
      </c>
      <c r="D678" s="149" t="s">
        <v>4801</v>
      </c>
      <c r="E678" s="135" t="s">
        <v>1131</v>
      </c>
      <c r="F678" s="384" t="s">
        <v>429</v>
      </c>
      <c r="G678" s="138" t="s">
        <v>4773</v>
      </c>
      <c r="H678" s="138" t="s">
        <v>3028</v>
      </c>
      <c r="I678" s="138" t="s">
        <v>1566</v>
      </c>
      <c r="J678" s="135" t="s">
        <v>4778</v>
      </c>
      <c r="K678" s="164">
        <v>601963332</v>
      </c>
      <c r="L678" s="165">
        <v>444297010</v>
      </c>
      <c r="M678" s="165">
        <v>121469978</v>
      </c>
      <c r="N678" s="165">
        <v>11846000</v>
      </c>
      <c r="O678" s="165">
        <v>139653681</v>
      </c>
      <c r="P678" s="165">
        <v>39844885</v>
      </c>
      <c r="Q678" s="165">
        <v>2711127</v>
      </c>
      <c r="R678" s="165">
        <v>372.16666666666669</v>
      </c>
      <c r="S678" s="165">
        <v>230252037</v>
      </c>
      <c r="T678" s="165">
        <v>618679.90237348853</v>
      </c>
      <c r="U678" s="166">
        <v>36196344</v>
      </c>
      <c r="V678" s="168">
        <v>352683586</v>
      </c>
      <c r="W678" s="165">
        <v>279295115</v>
      </c>
      <c r="X678" s="165">
        <v>49723021</v>
      </c>
      <c r="Y678" s="165">
        <v>8452053</v>
      </c>
      <c r="Z678" s="165">
        <v>140663216.68000001</v>
      </c>
      <c r="AA678" s="165">
        <v>42008527.719999999</v>
      </c>
      <c r="AB678" s="165">
        <v>2834947</v>
      </c>
      <c r="AC678" s="165">
        <v>309.5</v>
      </c>
      <c r="AD678" s="165">
        <v>217624194.40000001</v>
      </c>
      <c r="AE678" s="165">
        <v>703147.63941841677</v>
      </c>
      <c r="AF678" s="166">
        <v>23665450</v>
      </c>
      <c r="AG678" s="124">
        <v>-12627842.599999994</v>
      </c>
      <c r="AH678" s="125">
        <v>-62.666666666666686</v>
      </c>
      <c r="AI678" s="133">
        <v>0</v>
      </c>
      <c r="AJ678" s="133">
        <v>0</v>
      </c>
      <c r="AK678" s="126">
        <v>0.15</v>
      </c>
      <c r="AL678" s="126">
        <v>0.1365289869607853</v>
      </c>
      <c r="AM678" s="14">
        <v>0</v>
      </c>
      <c r="AN678" s="122">
        <v>-1</v>
      </c>
      <c r="AO678" s="131">
        <v>375245.00044782803</v>
      </c>
      <c r="AP678" s="131">
        <v>454485.3527625202</v>
      </c>
      <c r="AQ678" s="131">
        <v>79240.352314692165</v>
      </c>
      <c r="AR678" s="130">
        <v>0.2111696417543858</v>
      </c>
    </row>
    <row r="679" spans="1:44" ht="43.2" x14ac:dyDescent="0.3">
      <c r="A679" s="136" t="s">
        <v>936</v>
      </c>
      <c r="B679" s="137" t="s">
        <v>5450</v>
      </c>
      <c r="C679" s="134">
        <v>2018</v>
      </c>
      <c r="D679" s="149" t="s">
        <v>1143</v>
      </c>
      <c r="E679" s="135" t="s">
        <v>1140</v>
      </c>
      <c r="F679" s="384" t="s">
        <v>429</v>
      </c>
      <c r="G679" s="138" t="s">
        <v>4773</v>
      </c>
      <c r="H679" s="138" t="s">
        <v>2717</v>
      </c>
      <c r="I679" s="138" t="s">
        <v>1566</v>
      </c>
      <c r="J679" s="135" t="s">
        <v>4798</v>
      </c>
      <c r="K679" s="164">
        <v>4396682502</v>
      </c>
      <c r="L679" s="165">
        <v>3236606124</v>
      </c>
      <c r="M679" s="165">
        <v>483329804</v>
      </c>
      <c r="N679" s="165">
        <v>61538330</v>
      </c>
      <c r="O679" s="165">
        <v>343627609</v>
      </c>
      <c r="P679" s="165">
        <v>88923249</v>
      </c>
      <c r="Q679" s="165">
        <v>3326300</v>
      </c>
      <c r="R679" s="165">
        <v>390.33333333333331</v>
      </c>
      <c r="S679" s="165">
        <v>1174162062</v>
      </c>
      <c r="T679" s="165">
        <v>3008100.927412468</v>
      </c>
      <c r="U679" s="166">
        <v>676746574</v>
      </c>
      <c r="V679" s="168">
        <v>4878830239</v>
      </c>
      <c r="W679" s="165">
        <v>3722150799</v>
      </c>
      <c r="X679" s="165">
        <v>603809403</v>
      </c>
      <c r="Y679" s="165">
        <v>84278453</v>
      </c>
      <c r="Z679" s="165">
        <v>472913002.16999996</v>
      </c>
      <c r="AA679" s="165">
        <v>112822630.28</v>
      </c>
      <c r="AB679" s="165">
        <v>976684</v>
      </c>
      <c r="AC679" s="165">
        <v>450.5</v>
      </c>
      <c r="AD679" s="165">
        <v>1223860806.45</v>
      </c>
      <c r="AE679" s="165">
        <v>2716672.156381798</v>
      </c>
      <c r="AF679" s="166">
        <v>552870037</v>
      </c>
      <c r="AG679" s="124">
        <v>49698744.450000048</v>
      </c>
      <c r="AH679" s="125">
        <v>60.166666666666686</v>
      </c>
      <c r="AI679" s="133">
        <v>0</v>
      </c>
      <c r="AJ679" s="133">
        <v>0</v>
      </c>
      <c r="AK679" s="126">
        <v>0.3</v>
      </c>
      <c r="AL679" s="126">
        <v>-9.6881313752993026E-2</v>
      </c>
      <c r="AM679" s="14">
        <v>0</v>
      </c>
      <c r="AN679" s="122">
        <v>-1</v>
      </c>
      <c r="AO679" s="131">
        <v>880344.00256191299</v>
      </c>
      <c r="AP679" s="131">
        <v>1049751.3921642618</v>
      </c>
      <c r="AQ679" s="131">
        <v>169407.38960234879</v>
      </c>
      <c r="AR679" s="130">
        <v>0.19243317283851735</v>
      </c>
    </row>
    <row r="680" spans="1:44" ht="43.2" x14ac:dyDescent="0.3">
      <c r="A680" s="136" t="s">
        <v>937</v>
      </c>
      <c r="B680" s="137" t="s">
        <v>5451</v>
      </c>
      <c r="C680" s="134">
        <v>2018</v>
      </c>
      <c r="D680" s="149" t="s">
        <v>1143</v>
      </c>
      <c r="E680" s="135" t="s">
        <v>1140</v>
      </c>
      <c r="F680" s="384" t="s">
        <v>429</v>
      </c>
      <c r="G680" s="138" t="s">
        <v>4773</v>
      </c>
      <c r="H680" s="138" t="s">
        <v>3161</v>
      </c>
      <c r="I680" s="138" t="s">
        <v>1566</v>
      </c>
      <c r="J680" s="135" t="s">
        <v>4774</v>
      </c>
      <c r="K680" s="164">
        <v>1890059143</v>
      </c>
      <c r="L680" s="165">
        <v>1162409000</v>
      </c>
      <c r="M680" s="165">
        <v>237716000</v>
      </c>
      <c r="N680" s="165">
        <v>66996000</v>
      </c>
      <c r="O680" s="165">
        <v>131788000</v>
      </c>
      <c r="P680" s="165">
        <v>39068000</v>
      </c>
      <c r="Q680" s="165">
        <v>2745000</v>
      </c>
      <c r="R680" s="165">
        <v>236.08333333333337</v>
      </c>
      <c r="S680" s="165">
        <v>730531143</v>
      </c>
      <c r="T680" s="165">
        <v>3094378.2972114361</v>
      </c>
      <c r="U680" s="166">
        <v>489934143</v>
      </c>
      <c r="V680" s="168">
        <v>6448734489</v>
      </c>
      <c r="W680" s="165">
        <v>3009686409</v>
      </c>
      <c r="X680" s="165">
        <v>821055573</v>
      </c>
      <c r="Y680" s="165">
        <v>397067</v>
      </c>
      <c r="Z680" s="165">
        <v>383128925.35000002</v>
      </c>
      <c r="AA680" s="165">
        <v>110184535.04000001</v>
      </c>
      <c r="AB680" s="165">
        <v>236438</v>
      </c>
      <c r="AC680" s="165">
        <v>373.58333333333331</v>
      </c>
      <c r="AD680" s="165">
        <v>3111939472.3899999</v>
      </c>
      <c r="AE680" s="165">
        <v>8329974.0505643543</v>
      </c>
      <c r="AF680" s="166">
        <v>2617992507</v>
      </c>
      <c r="AG680" s="124">
        <v>2381408329.3899999</v>
      </c>
      <c r="AH680" s="125">
        <v>137.49999999999994</v>
      </c>
      <c r="AI680" s="133">
        <v>1</v>
      </c>
      <c r="AJ680" s="133">
        <v>1</v>
      </c>
      <c r="AK680" s="126">
        <v>0.3</v>
      </c>
      <c r="AL680" s="126">
        <v>1.6919701608558979</v>
      </c>
      <c r="AM680" s="14">
        <v>1</v>
      </c>
      <c r="AN680" s="122">
        <v>0</v>
      </c>
      <c r="AO680" s="131">
        <v>558226.61489586998</v>
      </c>
      <c r="AP680" s="131">
        <v>1025551.4397055544</v>
      </c>
      <c r="AQ680" s="131">
        <v>467324.82480968442</v>
      </c>
      <c r="AR680" s="130">
        <v>0.8371596988381822</v>
      </c>
    </row>
    <row r="681" spans="1:44" ht="43.2" x14ac:dyDescent="0.3">
      <c r="A681" s="136" t="s">
        <v>938</v>
      </c>
      <c r="B681" s="137" t="s">
        <v>5452</v>
      </c>
      <c r="C681" s="134">
        <v>2018</v>
      </c>
      <c r="D681" s="149" t="s">
        <v>1143</v>
      </c>
      <c r="E681" s="135" t="s">
        <v>1140</v>
      </c>
      <c r="F681" s="384" t="s">
        <v>429</v>
      </c>
      <c r="G681" s="138" t="s">
        <v>4773</v>
      </c>
      <c r="H681" s="138" t="s">
        <v>3429</v>
      </c>
      <c r="I681" s="138" t="s">
        <v>1566</v>
      </c>
      <c r="J681" s="135" t="s">
        <v>4774</v>
      </c>
      <c r="K681" s="164">
        <v>2211671000</v>
      </c>
      <c r="L681" s="165">
        <v>414778750</v>
      </c>
      <c r="M681" s="165">
        <v>1126041160</v>
      </c>
      <c r="N681" s="165">
        <v>72899940</v>
      </c>
      <c r="O681" s="165">
        <v>684849640</v>
      </c>
      <c r="P681" s="165">
        <v>167063951.28000003</v>
      </c>
      <c r="Q681" s="165">
        <v>805020</v>
      </c>
      <c r="R681" s="165">
        <v>1269.4166666666665</v>
      </c>
      <c r="S681" s="165">
        <v>1596469641.28</v>
      </c>
      <c r="T681" s="165">
        <v>1257640.3660053832</v>
      </c>
      <c r="U681" s="166">
        <v>670851090</v>
      </c>
      <c r="V681" s="168">
        <v>2388213443</v>
      </c>
      <c r="W681" s="165">
        <v>453122139</v>
      </c>
      <c r="X681" s="165">
        <v>1105179577</v>
      </c>
      <c r="Y681" s="165">
        <v>62887452</v>
      </c>
      <c r="Z681" s="165">
        <v>580192163</v>
      </c>
      <c r="AA681" s="165">
        <v>172220551</v>
      </c>
      <c r="AB681" s="165">
        <v>1612341</v>
      </c>
      <c r="AC681" s="165">
        <v>1122.75</v>
      </c>
      <c r="AD681" s="165">
        <v>1646824234</v>
      </c>
      <c r="AE681" s="165">
        <v>1466777.3181919395</v>
      </c>
      <c r="AF681" s="166">
        <v>829911727</v>
      </c>
      <c r="AG681" s="124">
        <v>50354592.720000029</v>
      </c>
      <c r="AH681" s="125">
        <v>-146.66666666666652</v>
      </c>
      <c r="AI681" s="133">
        <v>0</v>
      </c>
      <c r="AJ681" s="133">
        <v>1</v>
      </c>
      <c r="AK681" s="126">
        <v>0.3</v>
      </c>
      <c r="AL681" s="126">
        <v>0.16629312718388634</v>
      </c>
      <c r="AM681" s="14">
        <v>0</v>
      </c>
      <c r="AN681" s="122">
        <v>-1</v>
      </c>
      <c r="AO681" s="131">
        <v>539499.48664084554</v>
      </c>
      <c r="AP681" s="131">
        <v>516759.88688488089</v>
      </c>
      <c r="AQ681" s="131">
        <v>-22739.599755964649</v>
      </c>
      <c r="AR681" s="130">
        <v>-4.2149437245160515E-2</v>
      </c>
    </row>
    <row r="682" spans="1:44" ht="43.2" x14ac:dyDescent="0.3">
      <c r="A682" s="136" t="s">
        <v>939</v>
      </c>
      <c r="B682" s="137" t="s">
        <v>5453</v>
      </c>
      <c r="C682" s="134">
        <v>2019</v>
      </c>
      <c r="D682" s="149" t="s">
        <v>5030</v>
      </c>
      <c r="E682" s="135" t="s">
        <v>1175</v>
      </c>
      <c r="F682" s="384" t="s">
        <v>584</v>
      </c>
      <c r="G682" s="138" t="s">
        <v>4773</v>
      </c>
      <c r="H682" s="138" t="s">
        <v>1401</v>
      </c>
      <c r="I682" s="138" t="s">
        <v>1217</v>
      </c>
      <c r="J682" s="135" t="s">
        <v>4778</v>
      </c>
      <c r="K682" s="164">
        <v>7465905733</v>
      </c>
      <c r="L682" s="165">
        <v>5904053135</v>
      </c>
      <c r="M682" s="165">
        <v>664727220</v>
      </c>
      <c r="N682" s="165">
        <v>492980578</v>
      </c>
      <c r="O682" s="165">
        <v>780806536.70000005</v>
      </c>
      <c r="P682" s="165">
        <v>193590536</v>
      </c>
      <c r="Q682" s="165">
        <v>0</v>
      </c>
      <c r="R682" s="165">
        <v>1220.8333333333333</v>
      </c>
      <c r="S682" s="165">
        <v>2364503028.6999998</v>
      </c>
      <c r="T682" s="165">
        <v>1936794.2897201364</v>
      </c>
      <c r="U682" s="166">
        <v>897125378</v>
      </c>
      <c r="V682" s="168">
        <v>10068289563</v>
      </c>
      <c r="W682" s="165">
        <v>7735444961</v>
      </c>
      <c r="X682" s="165">
        <v>875744993</v>
      </c>
      <c r="Y682" s="165">
        <v>511085002</v>
      </c>
      <c r="Z682" s="165">
        <v>899924527.91000009</v>
      </c>
      <c r="AA682" s="165">
        <v>239166853.86000001</v>
      </c>
      <c r="AB682" s="165">
        <v>0</v>
      </c>
      <c r="AC682" s="165">
        <v>1181.6666666666667</v>
      </c>
      <c r="AD682" s="165">
        <v>3107275992.77</v>
      </c>
      <c r="AE682" s="165">
        <v>2629570.6567870239</v>
      </c>
      <c r="AF682" s="166">
        <v>1457099609</v>
      </c>
      <c r="AG682" s="124">
        <v>742772964.07000017</v>
      </c>
      <c r="AH682" s="125">
        <v>-39.166666666666515</v>
      </c>
      <c r="AI682" s="133">
        <v>1</v>
      </c>
      <c r="AJ682" s="133">
        <v>1</v>
      </c>
      <c r="AK682" s="126">
        <v>0.15</v>
      </c>
      <c r="AL682" s="126">
        <v>0.35769228233319517</v>
      </c>
      <c r="AM682" s="14">
        <v>1</v>
      </c>
      <c r="AN682" s="122">
        <v>0</v>
      </c>
      <c r="AO682" s="131">
        <v>639568.49422525603</v>
      </c>
      <c r="AP682" s="131">
        <v>761572.23800564173</v>
      </c>
      <c r="AQ682" s="131">
        <v>122003.7437803857</v>
      </c>
      <c r="AR682" s="130">
        <v>0.19075946498611596</v>
      </c>
    </row>
    <row r="683" spans="1:44" ht="28.8" x14ac:dyDescent="0.3">
      <c r="A683" s="136" t="s">
        <v>940</v>
      </c>
      <c r="B683" s="137" t="s">
        <v>5454</v>
      </c>
      <c r="C683" s="134">
        <v>2020</v>
      </c>
      <c r="D683" s="149" t="s">
        <v>4873</v>
      </c>
      <c r="E683" s="135" t="s">
        <v>1140</v>
      </c>
      <c r="F683" s="384" t="s">
        <v>941</v>
      </c>
      <c r="G683" s="138" t="s">
        <v>4773</v>
      </c>
      <c r="H683" s="138" t="s">
        <v>2755</v>
      </c>
      <c r="I683" s="138" t="s">
        <v>1566</v>
      </c>
      <c r="J683" s="135" t="s">
        <v>4774</v>
      </c>
      <c r="K683" s="164">
        <v>1983118187</v>
      </c>
      <c r="L683" s="165">
        <v>1683316696</v>
      </c>
      <c r="M683" s="165">
        <v>172260467</v>
      </c>
      <c r="N683" s="165">
        <v>1854196</v>
      </c>
      <c r="O683" s="165">
        <v>72158580</v>
      </c>
      <c r="P683" s="165">
        <v>16127256</v>
      </c>
      <c r="Q683" s="165">
        <v>57615</v>
      </c>
      <c r="R683" s="165">
        <v>113.41666666666667</v>
      </c>
      <c r="S683" s="165">
        <v>217738671</v>
      </c>
      <c r="T683" s="165">
        <v>1919811.9412196914</v>
      </c>
      <c r="U683" s="166">
        <v>127541024</v>
      </c>
      <c r="V683" s="168">
        <v>1936871513</v>
      </c>
      <c r="W683" s="165">
        <v>1663848421</v>
      </c>
      <c r="X683" s="165">
        <v>157022504</v>
      </c>
      <c r="Y683" s="165">
        <v>1737056</v>
      </c>
      <c r="Z683" s="165">
        <v>74226116</v>
      </c>
      <c r="AA683" s="165">
        <v>16741184</v>
      </c>
      <c r="AB683" s="165">
        <v>51189</v>
      </c>
      <c r="AC683" s="165">
        <v>120.33333333333333</v>
      </c>
      <c r="AD683" s="165">
        <v>208756133</v>
      </c>
      <c r="AE683" s="165">
        <v>1734815.5096952908</v>
      </c>
      <c r="AF683" s="166">
        <v>116000588</v>
      </c>
      <c r="AG683" s="124">
        <v>-8982538</v>
      </c>
      <c r="AH683" s="125">
        <v>6.9166666666666572</v>
      </c>
      <c r="AI683" s="133">
        <v>0</v>
      </c>
      <c r="AJ683" s="133">
        <v>0</v>
      </c>
      <c r="AK683" s="126">
        <v>0.1</v>
      </c>
      <c r="AL683" s="126">
        <v>-9.6361745723906655E-2</v>
      </c>
      <c r="AM683" s="14">
        <v>0</v>
      </c>
      <c r="AN683" s="122">
        <v>-1</v>
      </c>
      <c r="AO683" s="131">
        <v>636225.54004408524</v>
      </c>
      <c r="AP683" s="131">
        <v>616837.52908587258</v>
      </c>
      <c r="AQ683" s="131">
        <v>-19388.010958212661</v>
      </c>
      <c r="AR683" s="130">
        <v>-3.0473487368754881E-2</v>
      </c>
    </row>
    <row r="684" spans="1:44" ht="28.8" x14ac:dyDescent="0.3">
      <c r="A684" s="136" t="s">
        <v>942</v>
      </c>
      <c r="B684" s="137" t="s">
        <v>5455</v>
      </c>
      <c r="C684" s="134">
        <v>2020</v>
      </c>
      <c r="D684" s="149" t="s">
        <v>4873</v>
      </c>
      <c r="E684" s="135" t="s">
        <v>1140</v>
      </c>
      <c r="F684" s="384" t="s">
        <v>941</v>
      </c>
      <c r="G684" s="138" t="s">
        <v>4773</v>
      </c>
      <c r="H684" s="138" t="s">
        <v>3044</v>
      </c>
      <c r="I684" s="138" t="s">
        <v>1566</v>
      </c>
      <c r="J684" s="135" t="s">
        <v>4774</v>
      </c>
      <c r="K684" s="164">
        <v>789056797</v>
      </c>
      <c r="L684" s="165">
        <v>449914451</v>
      </c>
      <c r="M684" s="165">
        <v>260195481</v>
      </c>
      <c r="N684" s="165">
        <v>13400</v>
      </c>
      <c r="O684" s="165">
        <v>173763228</v>
      </c>
      <c r="P684" s="165">
        <v>51667937</v>
      </c>
      <c r="Q684" s="165">
        <v>9344735</v>
      </c>
      <c r="R684" s="165">
        <v>339.66666666666669</v>
      </c>
      <c r="S684" s="165">
        <v>313736165</v>
      </c>
      <c r="T684" s="165">
        <v>923658.97448478895</v>
      </c>
      <c r="U684" s="166">
        <v>78946865</v>
      </c>
      <c r="V684" s="168">
        <v>751121057</v>
      </c>
      <c r="W684" s="165">
        <v>422175372</v>
      </c>
      <c r="X684" s="165">
        <v>293052320</v>
      </c>
      <c r="Y684" s="165">
        <v>13400</v>
      </c>
      <c r="Z684" s="165">
        <v>195742678</v>
      </c>
      <c r="AA684" s="165">
        <v>58307898</v>
      </c>
      <c r="AB684" s="165">
        <v>11519721</v>
      </c>
      <c r="AC684" s="165">
        <v>333</v>
      </c>
      <c r="AD684" s="165">
        <v>301477062</v>
      </c>
      <c r="AE684" s="165">
        <v>905336.52252252249</v>
      </c>
      <c r="AF684" s="166">
        <v>35893365</v>
      </c>
      <c r="AG684" s="124">
        <v>-12259103</v>
      </c>
      <c r="AH684" s="125">
        <v>-6.6666666666666856</v>
      </c>
      <c r="AI684" s="133">
        <v>0</v>
      </c>
      <c r="AJ684" s="133">
        <v>0</v>
      </c>
      <c r="AK684" s="126">
        <v>0.1</v>
      </c>
      <c r="AL684" s="126">
        <v>-1.9836812714545404E-2</v>
      </c>
      <c r="AM684" s="14">
        <v>0</v>
      </c>
      <c r="AN684" s="122">
        <v>-1</v>
      </c>
      <c r="AO684" s="131">
        <v>511569.85672227672</v>
      </c>
      <c r="AP684" s="131">
        <v>587815.84984984982</v>
      </c>
      <c r="AQ684" s="131">
        <v>76245.993127573107</v>
      </c>
      <c r="AR684" s="130">
        <v>0.14904317001024148</v>
      </c>
    </row>
    <row r="685" spans="1:44" ht="28.8" x14ac:dyDescent="0.3">
      <c r="A685" s="136" t="s">
        <v>943</v>
      </c>
      <c r="B685" s="137" t="s">
        <v>5456</v>
      </c>
      <c r="C685" s="134">
        <v>2019</v>
      </c>
      <c r="D685" s="149" t="s">
        <v>4943</v>
      </c>
      <c r="E685" s="135" t="s">
        <v>1140</v>
      </c>
      <c r="F685" s="384" t="s">
        <v>941</v>
      </c>
      <c r="G685" s="138" t="s">
        <v>4773</v>
      </c>
      <c r="H685" s="138" t="s">
        <v>1255</v>
      </c>
      <c r="I685" s="138" t="s">
        <v>1217</v>
      </c>
      <c r="J685" s="135" t="s">
        <v>4778</v>
      </c>
      <c r="K685" s="164">
        <v>957333348</v>
      </c>
      <c r="L685" s="165">
        <v>804308549</v>
      </c>
      <c r="M685" s="165">
        <v>0</v>
      </c>
      <c r="N685" s="165">
        <v>0</v>
      </c>
      <c r="O685" s="165">
        <v>169760345</v>
      </c>
      <c r="P685" s="165">
        <v>51448992</v>
      </c>
      <c r="Q685" s="165">
        <v>240522</v>
      </c>
      <c r="R685" s="165">
        <v>525.33333333333337</v>
      </c>
      <c r="S685" s="165">
        <v>374474658</v>
      </c>
      <c r="T685" s="165">
        <v>712832.47081218264</v>
      </c>
      <c r="U685" s="166">
        <v>153024799</v>
      </c>
      <c r="V685" s="168">
        <v>979825298</v>
      </c>
      <c r="W685" s="165">
        <v>834101789</v>
      </c>
      <c r="X685" s="165">
        <v>0</v>
      </c>
      <c r="Y685" s="165">
        <v>0</v>
      </c>
      <c r="Z685" s="165">
        <v>220801761</v>
      </c>
      <c r="AA685" s="165">
        <v>13650483</v>
      </c>
      <c r="AB685" s="165">
        <v>93244</v>
      </c>
      <c r="AC685" s="165">
        <v>545.91666666666663</v>
      </c>
      <c r="AD685" s="165">
        <v>380268997</v>
      </c>
      <c r="AE685" s="165">
        <v>696569.67852236307</v>
      </c>
      <c r="AF685" s="166">
        <v>145723509</v>
      </c>
      <c r="AG685" s="124">
        <v>5794339</v>
      </c>
      <c r="AH685" s="125">
        <v>20.583333333333258</v>
      </c>
      <c r="AI685" s="133">
        <v>0</v>
      </c>
      <c r="AJ685" s="133">
        <v>1</v>
      </c>
      <c r="AK685" s="126">
        <v>0.15</v>
      </c>
      <c r="AL685" s="126">
        <v>-2.2814322697729983E-2</v>
      </c>
      <c r="AM685" s="14">
        <v>0</v>
      </c>
      <c r="AN685" s="122">
        <v>-1</v>
      </c>
      <c r="AO685" s="131">
        <v>323147.86484771571</v>
      </c>
      <c r="AP685" s="131">
        <v>404460.56052511069</v>
      </c>
      <c r="AQ685" s="131">
        <v>81312.695677394979</v>
      </c>
      <c r="AR685" s="130">
        <v>0.25162690063173954</v>
      </c>
    </row>
    <row r="686" spans="1:44" ht="43.2" x14ac:dyDescent="0.3">
      <c r="A686" s="136" t="s">
        <v>944</v>
      </c>
      <c r="B686" s="137" t="s">
        <v>5457</v>
      </c>
      <c r="C686" s="134">
        <v>2019</v>
      </c>
      <c r="D686" s="149" t="s">
        <v>1141</v>
      </c>
      <c r="E686" s="135" t="s">
        <v>1140</v>
      </c>
      <c r="F686" s="384" t="s">
        <v>945</v>
      </c>
      <c r="G686" s="138" t="s">
        <v>4773</v>
      </c>
      <c r="H686" s="138" t="s">
        <v>2425</v>
      </c>
      <c r="I686" s="138" t="s">
        <v>1566</v>
      </c>
      <c r="J686" s="135" t="s">
        <v>4774</v>
      </c>
      <c r="K686" s="164">
        <v>1122539085</v>
      </c>
      <c r="L686" s="165">
        <v>954900779</v>
      </c>
      <c r="M686" s="165">
        <v>127535210</v>
      </c>
      <c r="N686" s="165">
        <v>17316287</v>
      </c>
      <c r="O686" s="165">
        <v>48607030</v>
      </c>
      <c r="P686" s="165">
        <v>13696121</v>
      </c>
      <c r="Q686" s="165">
        <v>1142612</v>
      </c>
      <c r="R686" s="165">
        <v>275.91666666666669</v>
      </c>
      <c r="S686" s="165">
        <v>120865146</v>
      </c>
      <c r="T686" s="165">
        <v>438049.45696164295</v>
      </c>
      <c r="U686" s="166">
        <v>40103096</v>
      </c>
      <c r="V686" s="168">
        <v>1355135058</v>
      </c>
      <c r="W686" s="165">
        <v>1094728615</v>
      </c>
      <c r="X686" s="165">
        <v>182608907</v>
      </c>
      <c r="Y686" s="165">
        <v>16269711</v>
      </c>
      <c r="Z686" s="165">
        <v>128301828</v>
      </c>
      <c r="AA686" s="165">
        <v>38676617</v>
      </c>
      <c r="AB686" s="165">
        <v>1016062</v>
      </c>
      <c r="AC686" s="165">
        <v>324.91666666666669</v>
      </c>
      <c r="AD686" s="165">
        <v>262061754</v>
      </c>
      <c r="AE686" s="165">
        <v>806550.6663246986</v>
      </c>
      <c r="AF686" s="166">
        <v>77797536</v>
      </c>
      <c r="AG686" s="124">
        <v>141196608</v>
      </c>
      <c r="AH686" s="125">
        <v>49</v>
      </c>
      <c r="AI686" s="133">
        <v>1</v>
      </c>
      <c r="AJ686" s="133">
        <v>1</v>
      </c>
      <c r="AK686" s="126">
        <v>0.15</v>
      </c>
      <c r="AL686" s="126">
        <v>0.84123196955887125</v>
      </c>
      <c r="AM686" s="14">
        <v>1</v>
      </c>
      <c r="AN686" s="122">
        <v>0</v>
      </c>
      <c r="AO686" s="131">
        <v>176165.61763817575</v>
      </c>
      <c r="AP686" s="131">
        <v>394876.10566812003</v>
      </c>
      <c r="AQ686" s="131">
        <v>218710.48802994427</v>
      </c>
      <c r="AR686" s="130">
        <v>1.2415049597200678</v>
      </c>
    </row>
    <row r="687" spans="1:44" ht="43.2" x14ac:dyDescent="0.3">
      <c r="A687" s="136" t="s">
        <v>946</v>
      </c>
      <c r="B687" s="137" t="s">
        <v>5458</v>
      </c>
      <c r="C687" s="134">
        <v>2019</v>
      </c>
      <c r="D687" s="149" t="s">
        <v>1141</v>
      </c>
      <c r="E687" s="135" t="s">
        <v>1140</v>
      </c>
      <c r="F687" s="384" t="s">
        <v>945</v>
      </c>
      <c r="G687" s="138" t="s">
        <v>4773</v>
      </c>
      <c r="H687" s="138" t="s">
        <v>3569</v>
      </c>
      <c r="I687" s="138" t="s">
        <v>3557</v>
      </c>
      <c r="J687" s="135" t="s">
        <v>4778</v>
      </c>
      <c r="K687" s="164">
        <v>642393567</v>
      </c>
      <c r="L687" s="165">
        <v>502394039</v>
      </c>
      <c r="M687" s="165">
        <v>133280260</v>
      </c>
      <c r="N687" s="165">
        <v>10127148</v>
      </c>
      <c r="O687" s="165">
        <v>81276133</v>
      </c>
      <c r="P687" s="165">
        <v>23268901</v>
      </c>
      <c r="Q687" s="165">
        <v>1028235</v>
      </c>
      <c r="R687" s="165">
        <v>236.33333333333337</v>
      </c>
      <c r="S687" s="165">
        <v>122419685</v>
      </c>
      <c r="T687" s="165">
        <v>517995.84626234125</v>
      </c>
      <c r="U687" s="166">
        <v>6719268</v>
      </c>
      <c r="V687" s="168">
        <v>1119730706</v>
      </c>
      <c r="W687" s="165">
        <v>934192646</v>
      </c>
      <c r="X687" s="165">
        <v>155029378</v>
      </c>
      <c r="Y687" s="165">
        <v>30079625</v>
      </c>
      <c r="Z687" s="165">
        <v>110038005</v>
      </c>
      <c r="AA687" s="165">
        <v>21115014</v>
      </c>
      <c r="AB687" s="165">
        <v>836949</v>
      </c>
      <c r="AC687" s="165">
        <v>203.83333333333334</v>
      </c>
      <c r="AD687" s="165">
        <v>192578275</v>
      </c>
      <c r="AE687" s="165">
        <v>944783.03352412092</v>
      </c>
      <c r="AF687" s="166">
        <v>30508682</v>
      </c>
      <c r="AG687" s="124">
        <v>70158590</v>
      </c>
      <c r="AH687" s="125">
        <v>-32.500000000000028</v>
      </c>
      <c r="AI687" s="133">
        <v>1</v>
      </c>
      <c r="AJ687" s="133">
        <v>1</v>
      </c>
      <c r="AK687" s="126">
        <v>0.15</v>
      </c>
      <c r="AL687" s="126">
        <v>0.82392007580755733</v>
      </c>
      <c r="AM687" s="14">
        <v>1</v>
      </c>
      <c r="AN687" s="122">
        <v>0</v>
      </c>
      <c r="AO687" s="131">
        <v>343904.65303243999</v>
      </c>
      <c r="AP687" s="131">
        <v>539843.03352412104</v>
      </c>
      <c r="AQ687" s="131">
        <v>195938.38049168105</v>
      </c>
      <c r="AR687" s="130">
        <v>0.569746232753642</v>
      </c>
    </row>
    <row r="688" spans="1:44" ht="43.2" x14ac:dyDescent="0.3">
      <c r="A688" s="136" t="s">
        <v>947</v>
      </c>
      <c r="B688" s="137" t="s">
        <v>5459</v>
      </c>
      <c r="C688" s="134">
        <v>2018</v>
      </c>
      <c r="D688" s="149" t="s">
        <v>1141</v>
      </c>
      <c r="E688" s="135" t="s">
        <v>1140</v>
      </c>
      <c r="F688" s="384" t="s">
        <v>945</v>
      </c>
      <c r="G688" s="138" t="s">
        <v>4773</v>
      </c>
      <c r="H688" s="138" t="s">
        <v>2397</v>
      </c>
      <c r="I688" s="138" t="s">
        <v>1566</v>
      </c>
      <c r="J688" s="135" t="s">
        <v>4774</v>
      </c>
      <c r="K688" s="164">
        <v>1556693243</v>
      </c>
      <c r="L688" s="165">
        <v>490040468</v>
      </c>
      <c r="M688" s="165">
        <v>707814424.99999988</v>
      </c>
      <c r="N688" s="165">
        <v>29812958</v>
      </c>
      <c r="O688" s="165">
        <v>348661564</v>
      </c>
      <c r="P688" s="165">
        <v>77697111</v>
      </c>
      <c r="Q688" s="165">
        <v>4955982.9999999991</v>
      </c>
      <c r="R688" s="165">
        <v>373.25</v>
      </c>
      <c r="S688" s="165">
        <v>819965966.00000012</v>
      </c>
      <c r="T688" s="165">
        <v>2196827.7722705966</v>
      </c>
      <c r="U688" s="166">
        <v>358838350.00000012</v>
      </c>
      <c r="V688" s="168">
        <v>2715246160</v>
      </c>
      <c r="W688" s="165">
        <v>1015178556</v>
      </c>
      <c r="X688" s="165">
        <v>989445310</v>
      </c>
      <c r="Y688" s="165">
        <v>59782310</v>
      </c>
      <c r="Z688" s="165">
        <v>575768773</v>
      </c>
      <c r="AA688" s="165">
        <v>129918439</v>
      </c>
      <c r="AB688" s="165">
        <v>5791664</v>
      </c>
      <c r="AC688" s="165">
        <v>426.16666666666669</v>
      </c>
      <c r="AD688" s="165">
        <v>1481883480</v>
      </c>
      <c r="AE688" s="165">
        <v>3477239.2960500587</v>
      </c>
      <c r="AF688" s="166">
        <v>710622294</v>
      </c>
      <c r="AG688" s="124">
        <v>661917513.99999988</v>
      </c>
      <c r="AH688" s="125">
        <v>52.916666666666686</v>
      </c>
      <c r="AI688" s="133">
        <v>1</v>
      </c>
      <c r="AJ688" s="133">
        <v>0</v>
      </c>
      <c r="AK688" s="126">
        <v>0.3</v>
      </c>
      <c r="AL688" s="126">
        <v>0.58284565931174459</v>
      </c>
      <c r="AM688" s="14">
        <v>1</v>
      </c>
      <c r="AN688" s="122">
        <v>0</v>
      </c>
      <c r="AO688" s="131">
        <v>934123.41326188878</v>
      </c>
      <c r="AP688" s="131">
        <v>1351041.3132577238</v>
      </c>
      <c r="AQ688" s="131">
        <v>416917.89999583503</v>
      </c>
      <c r="AR688" s="130">
        <v>0.44631993382971635</v>
      </c>
    </row>
    <row r="689" spans="1:44" ht="43.2" x14ac:dyDescent="0.3">
      <c r="A689" s="136" t="s">
        <v>948</v>
      </c>
      <c r="B689" s="137" t="s">
        <v>5460</v>
      </c>
      <c r="C689" s="134">
        <v>2019</v>
      </c>
      <c r="D689" s="149" t="s">
        <v>1141</v>
      </c>
      <c r="E689" s="135" t="s">
        <v>1140</v>
      </c>
      <c r="F689" s="384" t="s">
        <v>945</v>
      </c>
      <c r="G689" s="138" t="s">
        <v>4773</v>
      </c>
      <c r="H689" s="138" t="s">
        <v>1722</v>
      </c>
      <c r="I689" s="138" t="s">
        <v>1566</v>
      </c>
      <c r="J689" s="135" t="s">
        <v>4798</v>
      </c>
      <c r="K689" s="164">
        <v>751716720</v>
      </c>
      <c r="L689" s="165">
        <v>633227335</v>
      </c>
      <c r="M689" s="165">
        <v>144160073</v>
      </c>
      <c r="N689" s="165">
        <v>13877613</v>
      </c>
      <c r="O689" s="165">
        <v>67299023</v>
      </c>
      <c r="P689" s="165">
        <v>18446876</v>
      </c>
      <c r="Q689" s="165">
        <v>1205033</v>
      </c>
      <c r="R689" s="165">
        <v>197.08333333333334</v>
      </c>
      <c r="S689" s="165">
        <v>75157857</v>
      </c>
      <c r="T689" s="165">
        <v>381350.64862579282</v>
      </c>
      <c r="U689" s="166">
        <v>-25670688</v>
      </c>
      <c r="V689" s="168">
        <v>822173014</v>
      </c>
      <c r="W689" s="165">
        <v>689785444</v>
      </c>
      <c r="X689" s="165">
        <v>132892665</v>
      </c>
      <c r="Y689" s="165">
        <v>11787837</v>
      </c>
      <c r="Z689" s="165">
        <v>55540844.82</v>
      </c>
      <c r="AA689" s="165">
        <v>14371522.23</v>
      </c>
      <c r="AB689" s="165">
        <v>1069634</v>
      </c>
      <c r="AC689" s="165">
        <v>142</v>
      </c>
      <c r="AD689" s="165">
        <v>82264743.049999997</v>
      </c>
      <c r="AE689" s="165">
        <v>579329.1764084507</v>
      </c>
      <c r="AF689" s="166">
        <v>-505095</v>
      </c>
      <c r="AG689" s="124">
        <v>7106886.049999997</v>
      </c>
      <c r="AH689" s="125">
        <v>-55.083333333333343</v>
      </c>
      <c r="AI689" s="133">
        <v>1</v>
      </c>
      <c r="AJ689" s="133">
        <v>1</v>
      </c>
      <c r="AK689" s="126">
        <v>0.15</v>
      </c>
      <c r="AL689" s="126">
        <v>0.51915089170557338</v>
      </c>
      <c r="AM689" s="14">
        <v>1</v>
      </c>
      <c r="AN689" s="122">
        <v>0</v>
      </c>
      <c r="AO689" s="131">
        <v>341474.95813953487</v>
      </c>
      <c r="AP689" s="131">
        <v>391132.71</v>
      </c>
      <c r="AQ689" s="131">
        <v>49657.751860465156</v>
      </c>
      <c r="AR689" s="130">
        <v>0.1454213571941454</v>
      </c>
    </row>
    <row r="690" spans="1:44" ht="28.8" x14ac:dyDescent="0.3">
      <c r="A690" s="136" t="s">
        <v>949</v>
      </c>
      <c r="B690" s="137" t="s">
        <v>5461</v>
      </c>
      <c r="C690" s="134">
        <v>2019</v>
      </c>
      <c r="D690" s="149" t="s">
        <v>1163</v>
      </c>
      <c r="E690" s="135" t="s">
        <v>1152</v>
      </c>
      <c r="F690" s="384" t="s">
        <v>407</v>
      </c>
      <c r="G690" s="138" t="s">
        <v>4773</v>
      </c>
      <c r="H690" s="138" t="s">
        <v>1221</v>
      </c>
      <c r="I690" s="138" t="s">
        <v>1217</v>
      </c>
      <c r="J690" s="135" t="s">
        <v>4774</v>
      </c>
      <c r="K690" s="164">
        <v>581456799</v>
      </c>
      <c r="L690" s="165">
        <v>487621739</v>
      </c>
      <c r="M690" s="165">
        <v>0</v>
      </c>
      <c r="N690" s="165">
        <v>89024088</v>
      </c>
      <c r="O690" s="165">
        <v>141266218</v>
      </c>
      <c r="P690" s="165">
        <v>35726095</v>
      </c>
      <c r="Q690" s="165">
        <v>9900</v>
      </c>
      <c r="R690" s="165">
        <v>298</v>
      </c>
      <c r="S690" s="165">
        <v>359861361</v>
      </c>
      <c r="T690" s="165">
        <v>1207588.4597315437</v>
      </c>
      <c r="U690" s="166">
        <v>93835060</v>
      </c>
      <c r="V690" s="168">
        <v>962851204</v>
      </c>
      <c r="W690" s="165">
        <v>816953223</v>
      </c>
      <c r="X690" s="165">
        <v>0</v>
      </c>
      <c r="Y690" s="165">
        <v>212139017</v>
      </c>
      <c r="Z690" s="165">
        <v>188481680</v>
      </c>
      <c r="AA690" s="165">
        <v>51728421</v>
      </c>
      <c r="AB690" s="165">
        <v>31964</v>
      </c>
      <c r="AC690" s="165">
        <v>345.16666666666669</v>
      </c>
      <c r="AD690" s="165">
        <v>598279063</v>
      </c>
      <c r="AE690" s="165">
        <v>1733304.8662481892</v>
      </c>
      <c r="AF690" s="166">
        <v>145897981</v>
      </c>
      <c r="AG690" s="124">
        <v>238417702</v>
      </c>
      <c r="AH690" s="125">
        <v>47.166666666666686</v>
      </c>
      <c r="AI690" s="133">
        <v>1</v>
      </c>
      <c r="AJ690" s="133">
        <v>1</v>
      </c>
      <c r="AK690" s="126">
        <v>0.15</v>
      </c>
      <c r="AL690" s="126">
        <v>0.4353440161228439</v>
      </c>
      <c r="AM690" s="14">
        <v>1</v>
      </c>
      <c r="AN690" s="122">
        <v>0</v>
      </c>
      <c r="AO690" s="131">
        <v>474047.71140939597</v>
      </c>
      <c r="AP690" s="131">
        <v>546059.9130854659</v>
      </c>
      <c r="AQ690" s="131">
        <v>72012.201676069933</v>
      </c>
      <c r="AR690" s="130">
        <v>0.15190918538973586</v>
      </c>
    </row>
    <row r="691" spans="1:44" ht="28.8" x14ac:dyDescent="0.3">
      <c r="A691" s="136" t="s">
        <v>950</v>
      </c>
      <c r="B691" s="137" t="s">
        <v>5462</v>
      </c>
      <c r="C691" s="134">
        <v>2019</v>
      </c>
      <c r="D691" s="149" t="s">
        <v>1163</v>
      </c>
      <c r="E691" s="135" t="s">
        <v>1152</v>
      </c>
      <c r="F691" s="384" t="s">
        <v>407</v>
      </c>
      <c r="G691" s="138" t="s">
        <v>4773</v>
      </c>
      <c r="H691" s="138" t="s">
        <v>1401</v>
      </c>
      <c r="I691" s="138" t="s">
        <v>1217</v>
      </c>
      <c r="J691" s="135" t="s">
        <v>4778</v>
      </c>
      <c r="K691" s="164">
        <v>808493198</v>
      </c>
      <c r="L691" s="165">
        <v>458169490</v>
      </c>
      <c r="M691" s="165">
        <v>85969740</v>
      </c>
      <c r="N691" s="165">
        <v>3060844</v>
      </c>
      <c r="O691" s="165">
        <v>106039895</v>
      </c>
      <c r="P691" s="165">
        <v>27643953</v>
      </c>
      <c r="Q691" s="165">
        <v>189900</v>
      </c>
      <c r="R691" s="165">
        <v>369.41666666666669</v>
      </c>
      <c r="S691" s="165">
        <v>401288560</v>
      </c>
      <c r="T691" s="165">
        <v>1086276.2734040152</v>
      </c>
      <c r="U691" s="166">
        <v>264353968</v>
      </c>
      <c r="V691" s="168">
        <v>1224661300</v>
      </c>
      <c r="W691" s="165">
        <v>935642940</v>
      </c>
      <c r="X691" s="165">
        <v>137033293</v>
      </c>
      <c r="Y691" s="165">
        <v>21234364</v>
      </c>
      <c r="Z691" s="165">
        <v>140158130</v>
      </c>
      <c r="AA691" s="165">
        <v>40636460</v>
      </c>
      <c r="AB691" s="165">
        <v>102606</v>
      </c>
      <c r="AC691" s="165">
        <v>388.5</v>
      </c>
      <c r="AD691" s="165">
        <v>354116627</v>
      </c>
      <c r="AE691" s="165">
        <v>911497.10939510935</v>
      </c>
      <c r="AF691" s="166">
        <v>151985067</v>
      </c>
      <c r="AG691" s="124">
        <v>-47171933</v>
      </c>
      <c r="AH691" s="125">
        <v>19.083333333333314</v>
      </c>
      <c r="AI691" s="133">
        <v>0</v>
      </c>
      <c r="AJ691" s="133">
        <v>1</v>
      </c>
      <c r="AK691" s="126">
        <v>0.15</v>
      </c>
      <c r="AL691" s="126">
        <v>-0.1608975219536003</v>
      </c>
      <c r="AM691" s="14">
        <v>0</v>
      </c>
      <c r="AN691" s="122">
        <v>-1</v>
      </c>
      <c r="AO691" s="131">
        <v>287046.86217008799</v>
      </c>
      <c r="AP691" s="131">
        <v>360767.3873873874</v>
      </c>
      <c r="AQ691" s="131">
        <v>73720.525217299408</v>
      </c>
      <c r="AR691" s="130">
        <v>0.25682400657498472</v>
      </c>
    </row>
    <row r="692" spans="1:44" ht="28.8" x14ac:dyDescent="0.3">
      <c r="A692" s="136" t="s">
        <v>951</v>
      </c>
      <c r="B692" s="137" t="s">
        <v>5463</v>
      </c>
      <c r="C692" s="134">
        <v>2019</v>
      </c>
      <c r="D692" s="149" t="s">
        <v>1163</v>
      </c>
      <c r="E692" s="135" t="s">
        <v>1152</v>
      </c>
      <c r="F692" s="384" t="s">
        <v>952</v>
      </c>
      <c r="G692" s="138" t="s">
        <v>4773</v>
      </c>
      <c r="H692" s="138" t="s">
        <v>2407</v>
      </c>
      <c r="I692" s="138" t="s">
        <v>1566</v>
      </c>
      <c r="J692" s="135" t="s">
        <v>4774</v>
      </c>
      <c r="K692" s="164">
        <v>1174988165</v>
      </c>
      <c r="L692" s="165">
        <v>695523809</v>
      </c>
      <c r="M692" s="165">
        <v>234025913</v>
      </c>
      <c r="N692" s="165">
        <v>40259259</v>
      </c>
      <c r="O692" s="165">
        <v>186167215</v>
      </c>
      <c r="P692" s="165">
        <v>50392333</v>
      </c>
      <c r="Q692" s="165">
        <v>3321832</v>
      </c>
      <c r="R692" s="165">
        <v>549.83333333333337</v>
      </c>
      <c r="S692" s="165">
        <v>525579082</v>
      </c>
      <c r="T692" s="165">
        <v>955887.99393755675</v>
      </c>
      <c r="U692" s="166">
        <v>245438443</v>
      </c>
      <c r="V692" s="168">
        <v>1352696882</v>
      </c>
      <c r="W692" s="165">
        <v>812756045</v>
      </c>
      <c r="X692" s="165">
        <v>267681379</v>
      </c>
      <c r="Y692" s="165">
        <v>31745132</v>
      </c>
      <c r="Z692" s="165">
        <v>198193863</v>
      </c>
      <c r="AA692" s="165">
        <v>58673332</v>
      </c>
      <c r="AB692" s="165">
        <v>2904752</v>
      </c>
      <c r="AC692" s="165">
        <v>463.25</v>
      </c>
      <c r="AD692" s="165">
        <v>563776537</v>
      </c>
      <c r="AE692" s="165">
        <v>1217002.7781975176</v>
      </c>
      <c r="AF692" s="166">
        <v>272259458</v>
      </c>
      <c r="AG692" s="124">
        <v>38197455</v>
      </c>
      <c r="AH692" s="125">
        <v>-86.583333333333371</v>
      </c>
      <c r="AI692" s="133">
        <v>1</v>
      </c>
      <c r="AJ692" s="133">
        <v>1</v>
      </c>
      <c r="AK692" s="126">
        <v>0.15</v>
      </c>
      <c r="AL692" s="126">
        <v>0.2731646309312874</v>
      </c>
      <c r="AM692" s="14">
        <v>1</v>
      </c>
      <c r="AN692" s="122">
        <v>0</v>
      </c>
      <c r="AO692" s="131">
        <v>338588.44801454985</v>
      </c>
      <c r="AP692" s="131">
        <v>427833.48731786292</v>
      </c>
      <c r="AQ692" s="131">
        <v>89245.039303313068</v>
      </c>
      <c r="AR692" s="130">
        <v>0.26357969336118048</v>
      </c>
    </row>
    <row r="693" spans="1:44" ht="57.6" x14ac:dyDescent="0.3">
      <c r="A693" s="136" t="s">
        <v>953</v>
      </c>
      <c r="B693" s="137" t="s">
        <v>5464</v>
      </c>
      <c r="C693" s="134">
        <v>2019</v>
      </c>
      <c r="D693" s="149" t="s">
        <v>1163</v>
      </c>
      <c r="E693" s="135" t="s">
        <v>1152</v>
      </c>
      <c r="F693" s="384" t="s">
        <v>890</v>
      </c>
      <c r="G693" s="138" t="s">
        <v>4773</v>
      </c>
      <c r="H693" s="138" t="s">
        <v>4655</v>
      </c>
      <c r="I693" s="138" t="s">
        <v>4612</v>
      </c>
      <c r="J693" s="135" t="s">
        <v>4780</v>
      </c>
      <c r="K693" s="164">
        <v>788534406</v>
      </c>
      <c r="L693" s="165">
        <v>244944211</v>
      </c>
      <c r="M693" s="165">
        <v>538228866</v>
      </c>
      <c r="N693" s="165">
        <v>56719576</v>
      </c>
      <c r="O693" s="165">
        <v>307039581</v>
      </c>
      <c r="P693" s="165">
        <v>81837692</v>
      </c>
      <c r="Q693" s="165">
        <v>10921761</v>
      </c>
      <c r="R693" s="165">
        <v>980.33333333333337</v>
      </c>
      <c r="S693" s="165">
        <v>461879939</v>
      </c>
      <c r="T693" s="165">
        <v>471145.80652839167</v>
      </c>
      <c r="U693" s="166">
        <v>5361329</v>
      </c>
      <c r="V693" s="168">
        <v>837188308</v>
      </c>
      <c r="W693" s="165">
        <v>273125257</v>
      </c>
      <c r="X693" s="165">
        <v>558188019</v>
      </c>
      <c r="Y693" s="165">
        <v>63453109</v>
      </c>
      <c r="Z693" s="165">
        <v>332440591</v>
      </c>
      <c r="AA693" s="165">
        <v>98600789</v>
      </c>
      <c r="AB693" s="165">
        <v>10020888</v>
      </c>
      <c r="AC693" s="165">
        <v>949.33333333333337</v>
      </c>
      <c r="AD693" s="165">
        <v>510390409</v>
      </c>
      <c r="AE693" s="165">
        <v>537630.34655898879</v>
      </c>
      <c r="AF693" s="166">
        <v>5875032</v>
      </c>
      <c r="AG693" s="124">
        <v>48510470</v>
      </c>
      <c r="AH693" s="125">
        <v>-31</v>
      </c>
      <c r="AI693" s="133">
        <v>0</v>
      </c>
      <c r="AJ693" s="133">
        <v>1</v>
      </c>
      <c r="AK693" s="126">
        <v>0.15</v>
      </c>
      <c r="AL693" s="126">
        <v>0.14111245094167346</v>
      </c>
      <c r="AM693" s="14">
        <v>0</v>
      </c>
      <c r="AN693" s="122">
        <v>-1</v>
      </c>
      <c r="AO693" s="131">
        <v>313199.16456987418</v>
      </c>
      <c r="AP693" s="131">
        <v>350183.20681179775</v>
      </c>
      <c r="AQ693" s="131">
        <v>36984.042241923569</v>
      </c>
      <c r="AR693" s="130">
        <v>0.11808474103918787</v>
      </c>
    </row>
    <row r="694" spans="1:44" ht="28.8" x14ac:dyDescent="0.3">
      <c r="A694" s="136" t="s">
        <v>954</v>
      </c>
      <c r="B694" s="137" t="s">
        <v>5465</v>
      </c>
      <c r="C694" s="134">
        <v>2019</v>
      </c>
      <c r="D694" s="149" t="s">
        <v>1163</v>
      </c>
      <c r="E694" s="135" t="s">
        <v>1152</v>
      </c>
      <c r="F694" s="384" t="s">
        <v>952</v>
      </c>
      <c r="G694" s="138" t="s">
        <v>4773</v>
      </c>
      <c r="H694" s="138" t="s">
        <v>3328</v>
      </c>
      <c r="I694" s="138" t="s">
        <v>1566</v>
      </c>
      <c r="J694" s="135" t="s">
        <v>4774</v>
      </c>
      <c r="K694" s="164">
        <v>3038214650</v>
      </c>
      <c r="L694" s="165">
        <v>2982411863</v>
      </c>
      <c r="M694" s="165">
        <v>10939649</v>
      </c>
      <c r="N694" s="165">
        <v>7636585</v>
      </c>
      <c r="O694" s="165">
        <v>284497122</v>
      </c>
      <c r="P694" s="165">
        <v>76031543</v>
      </c>
      <c r="Q694" s="165">
        <v>0</v>
      </c>
      <c r="R694" s="165">
        <v>725.75</v>
      </c>
      <c r="S694" s="165">
        <v>413028388</v>
      </c>
      <c r="T694" s="165">
        <v>569105.59834653803</v>
      </c>
      <c r="U694" s="166">
        <v>44863138</v>
      </c>
      <c r="V694" s="168">
        <v>3338842246</v>
      </c>
      <c r="W694" s="165">
        <v>2991765565</v>
      </c>
      <c r="X694" s="165">
        <v>174551853</v>
      </c>
      <c r="Y694" s="165">
        <v>77222713</v>
      </c>
      <c r="Z694" s="165">
        <v>295888293.54000002</v>
      </c>
      <c r="AA694" s="165">
        <v>88360900</v>
      </c>
      <c r="AB694" s="165">
        <v>0</v>
      </c>
      <c r="AC694" s="165">
        <v>639.08333333333337</v>
      </c>
      <c r="AD694" s="165">
        <v>633996734.53999996</v>
      </c>
      <c r="AE694" s="165">
        <v>992040.78947450768</v>
      </c>
      <c r="AF694" s="166">
        <v>172524828</v>
      </c>
      <c r="AG694" s="124">
        <v>220968346.53999996</v>
      </c>
      <c r="AH694" s="125">
        <v>-86.666666666666629</v>
      </c>
      <c r="AI694" s="133">
        <v>1</v>
      </c>
      <c r="AJ694" s="133">
        <v>1</v>
      </c>
      <c r="AK694" s="126">
        <v>0.15</v>
      </c>
      <c r="AL694" s="126">
        <v>0.74315766704808395</v>
      </c>
      <c r="AM694" s="14">
        <v>1</v>
      </c>
      <c r="AN694" s="122">
        <v>0</v>
      </c>
      <c r="AO694" s="131">
        <v>392004.3017568033</v>
      </c>
      <c r="AP694" s="131">
        <v>462988.59336028167</v>
      </c>
      <c r="AQ694" s="131">
        <v>70984.29160347837</v>
      </c>
      <c r="AR694" s="130">
        <v>0.18108038938694238</v>
      </c>
    </row>
    <row r="695" spans="1:44" ht="28.8" x14ac:dyDescent="0.3">
      <c r="A695" s="136" t="s">
        <v>955</v>
      </c>
      <c r="B695" s="137" t="s">
        <v>5466</v>
      </c>
      <c r="C695" s="134">
        <v>2019</v>
      </c>
      <c r="D695" s="149" t="s">
        <v>1163</v>
      </c>
      <c r="E695" s="135" t="s">
        <v>1152</v>
      </c>
      <c r="F695" s="384" t="s">
        <v>952</v>
      </c>
      <c r="G695" s="138" t="s">
        <v>4773</v>
      </c>
      <c r="H695" s="138" t="s">
        <v>1999</v>
      </c>
      <c r="I695" s="138" t="s">
        <v>1566</v>
      </c>
      <c r="J695" s="135" t="s">
        <v>4778</v>
      </c>
      <c r="K695" s="164">
        <v>2767646542</v>
      </c>
      <c r="L695" s="165">
        <v>1864031325</v>
      </c>
      <c r="M695" s="165">
        <v>704379539</v>
      </c>
      <c r="N695" s="165">
        <v>289974497</v>
      </c>
      <c r="O695" s="165">
        <v>532257262</v>
      </c>
      <c r="P695" s="165">
        <v>90097629</v>
      </c>
      <c r="Q695" s="165">
        <v>36747585</v>
      </c>
      <c r="R695" s="165">
        <v>749.33333333333337</v>
      </c>
      <c r="S695" s="165">
        <v>1148312651</v>
      </c>
      <c r="T695" s="165">
        <v>1532445.7086298931</v>
      </c>
      <c r="U695" s="166">
        <v>199235678</v>
      </c>
      <c r="V695" s="168">
        <v>3680920601</v>
      </c>
      <c r="W695" s="165">
        <v>2114958560</v>
      </c>
      <c r="X695" s="165">
        <v>790797472</v>
      </c>
      <c r="Y695" s="165">
        <v>212645521</v>
      </c>
      <c r="Z695" s="165">
        <v>363626299</v>
      </c>
      <c r="AA695" s="165">
        <v>98915963</v>
      </c>
      <c r="AB695" s="165">
        <v>38397655</v>
      </c>
      <c r="AC695" s="165">
        <v>693.58333333333337</v>
      </c>
      <c r="AD695" s="165">
        <v>1488750007</v>
      </c>
      <c r="AE695" s="165">
        <v>2146461.6224918896</v>
      </c>
      <c r="AF695" s="166">
        <v>775164569</v>
      </c>
      <c r="AG695" s="124">
        <v>340437356</v>
      </c>
      <c r="AH695" s="125">
        <v>-55.75</v>
      </c>
      <c r="AI695" s="133">
        <v>1</v>
      </c>
      <c r="AJ695" s="133">
        <v>0</v>
      </c>
      <c r="AK695" s="126">
        <v>0.15</v>
      </c>
      <c r="AL695" s="126">
        <v>0.40067710457423011</v>
      </c>
      <c r="AM695" s="14">
        <v>1</v>
      </c>
      <c r="AN695" s="122">
        <v>0</v>
      </c>
      <c r="AO695" s="131">
        <v>710307.73398576514</v>
      </c>
      <c r="AP695" s="131">
        <v>524271.96780007205</v>
      </c>
      <c r="AQ695" s="131">
        <v>-186035.76618569309</v>
      </c>
      <c r="AR695" s="130">
        <v>-0.26190868729780903</v>
      </c>
    </row>
    <row r="696" spans="1:44" ht="43.2" x14ac:dyDescent="0.3">
      <c r="A696" s="136" t="s">
        <v>956</v>
      </c>
      <c r="B696" s="137" t="s">
        <v>5467</v>
      </c>
      <c r="C696" s="134">
        <v>2019</v>
      </c>
      <c r="D696" s="149" t="s">
        <v>1163</v>
      </c>
      <c r="E696" s="135" t="s">
        <v>1152</v>
      </c>
      <c r="F696" s="384" t="s">
        <v>890</v>
      </c>
      <c r="G696" s="138" t="s">
        <v>4773</v>
      </c>
      <c r="H696" s="138" t="s">
        <v>2765</v>
      </c>
      <c r="I696" s="138" t="s">
        <v>1566</v>
      </c>
      <c r="J696" s="135" t="s">
        <v>4774</v>
      </c>
      <c r="K696" s="164">
        <v>456546990</v>
      </c>
      <c r="L696" s="165">
        <v>167973702</v>
      </c>
      <c r="M696" s="165">
        <v>279511398</v>
      </c>
      <c r="N696" s="165">
        <v>19698951</v>
      </c>
      <c r="O696" s="165">
        <v>97763417</v>
      </c>
      <c r="P696" s="165">
        <v>27297972</v>
      </c>
      <c r="Q696" s="165">
        <v>0</v>
      </c>
      <c r="R696" s="165">
        <v>446.5</v>
      </c>
      <c r="S696" s="165">
        <v>153822230</v>
      </c>
      <c r="T696" s="165">
        <v>344506.67413213884</v>
      </c>
      <c r="U696" s="166">
        <v>9061890</v>
      </c>
      <c r="V696" s="168">
        <v>644005388</v>
      </c>
      <c r="W696" s="165">
        <v>245022253</v>
      </c>
      <c r="X696" s="165">
        <v>390968985</v>
      </c>
      <c r="Y696" s="165">
        <v>19760064</v>
      </c>
      <c r="Z696" s="165">
        <v>83541203</v>
      </c>
      <c r="AA696" s="165">
        <v>27056691</v>
      </c>
      <c r="AB696" s="165">
        <v>1673183</v>
      </c>
      <c r="AC696" s="165">
        <v>274.08333333333331</v>
      </c>
      <c r="AD696" s="165">
        <v>140045291</v>
      </c>
      <c r="AE696" s="165">
        <v>510958.7996351475</v>
      </c>
      <c r="AF696" s="166">
        <v>8014150</v>
      </c>
      <c r="AG696" s="124">
        <v>-13776939</v>
      </c>
      <c r="AH696" s="125">
        <v>-172.41666666666669</v>
      </c>
      <c r="AI696" s="133">
        <v>1</v>
      </c>
      <c r="AJ696" s="133">
        <v>1</v>
      </c>
      <c r="AK696" s="126">
        <v>0.15</v>
      </c>
      <c r="AL696" s="126">
        <v>0.48316083401229948</v>
      </c>
      <c r="AM696" s="14">
        <v>1</v>
      </c>
      <c r="AN696" s="122">
        <v>0</v>
      </c>
      <c r="AO696" s="131">
        <v>218955.02127659574</v>
      </c>
      <c r="AP696" s="131">
        <v>304802.2000608088</v>
      </c>
      <c r="AQ696" s="131">
        <v>85847.178784213058</v>
      </c>
      <c r="AR696" s="130">
        <v>0.39207677578568201</v>
      </c>
    </row>
    <row r="697" spans="1:44" ht="43.2" x14ac:dyDescent="0.3">
      <c r="A697" s="136" t="s">
        <v>957</v>
      </c>
      <c r="B697" s="137" t="s">
        <v>5468</v>
      </c>
      <c r="C697" s="134">
        <v>2019</v>
      </c>
      <c r="D697" s="149" t="s">
        <v>1163</v>
      </c>
      <c r="E697" s="135" t="s">
        <v>1152</v>
      </c>
      <c r="F697" s="384" t="s">
        <v>890</v>
      </c>
      <c r="G697" s="138" t="s">
        <v>4773</v>
      </c>
      <c r="H697" s="138" t="s">
        <v>1931</v>
      </c>
      <c r="I697" s="138" t="s">
        <v>1566</v>
      </c>
      <c r="J697" s="135" t="s">
        <v>4774</v>
      </c>
      <c r="K697" s="164">
        <v>2490371008</v>
      </c>
      <c r="L697" s="165">
        <v>1598446452</v>
      </c>
      <c r="M697" s="165">
        <v>993885717</v>
      </c>
      <c r="N697" s="165">
        <v>123063894</v>
      </c>
      <c r="O697" s="165">
        <v>301807307</v>
      </c>
      <c r="P697" s="165">
        <v>83537613</v>
      </c>
      <c r="Q697" s="165">
        <v>5868297</v>
      </c>
      <c r="R697" s="165">
        <v>1049.4166666666667</v>
      </c>
      <c r="S697" s="165">
        <v>412315950</v>
      </c>
      <c r="T697" s="165">
        <v>392900.13499563246</v>
      </c>
      <c r="U697" s="166">
        <v>-101961161</v>
      </c>
      <c r="V697" s="168">
        <v>2825036628</v>
      </c>
      <c r="W697" s="165">
        <v>1968237365</v>
      </c>
      <c r="X697" s="165">
        <v>803094518</v>
      </c>
      <c r="Y697" s="165">
        <v>131016581</v>
      </c>
      <c r="Z697" s="165">
        <v>340889184.80000001</v>
      </c>
      <c r="AA697" s="165">
        <v>103416905</v>
      </c>
      <c r="AB697" s="165">
        <v>5249913</v>
      </c>
      <c r="AC697" s="165">
        <v>1055.4166666666667</v>
      </c>
      <c r="AD697" s="165">
        <v>634277328.79999995</v>
      </c>
      <c r="AE697" s="165">
        <v>600973.38694038684</v>
      </c>
      <c r="AF697" s="166">
        <v>53704745</v>
      </c>
      <c r="AG697" s="124">
        <v>221961378.79999995</v>
      </c>
      <c r="AH697" s="125">
        <v>6</v>
      </c>
      <c r="AI697" s="133">
        <v>1</v>
      </c>
      <c r="AJ697" s="133">
        <v>1</v>
      </c>
      <c r="AK697" s="126">
        <v>0.15</v>
      </c>
      <c r="AL697" s="126">
        <v>0.52958307751132594</v>
      </c>
      <c r="AM697" s="14">
        <v>1</v>
      </c>
      <c r="AN697" s="122">
        <v>0</v>
      </c>
      <c r="AO697" s="131">
        <v>287595.30564599379</v>
      </c>
      <c r="AP697" s="131">
        <v>322990.14746150811</v>
      </c>
      <c r="AQ697" s="131">
        <v>35394.841815514315</v>
      </c>
      <c r="AR697" s="130">
        <v>0.12307169526293471</v>
      </c>
    </row>
    <row r="698" spans="1:44" ht="43.2" x14ac:dyDescent="0.3">
      <c r="A698" s="136" t="s">
        <v>958</v>
      </c>
      <c r="B698" s="137" t="s">
        <v>5469</v>
      </c>
      <c r="C698" s="134">
        <v>2019</v>
      </c>
      <c r="D698" s="149" t="s">
        <v>1163</v>
      </c>
      <c r="E698" s="135" t="s">
        <v>1152</v>
      </c>
      <c r="F698" s="384" t="s">
        <v>890</v>
      </c>
      <c r="G698" s="138" t="s">
        <v>4773</v>
      </c>
      <c r="H698" s="138" t="s">
        <v>2632</v>
      </c>
      <c r="I698" s="138" t="s">
        <v>1566</v>
      </c>
      <c r="J698" s="135" t="s">
        <v>4774</v>
      </c>
      <c r="K698" s="164">
        <v>11860004917</v>
      </c>
      <c r="L698" s="165">
        <v>6731335911</v>
      </c>
      <c r="M698" s="165">
        <v>5020930947</v>
      </c>
      <c r="N698" s="165">
        <v>1297517</v>
      </c>
      <c r="O698" s="165">
        <v>360744214</v>
      </c>
      <c r="P698" s="165">
        <v>107692017</v>
      </c>
      <c r="Q698" s="165">
        <v>0</v>
      </c>
      <c r="R698" s="165">
        <v>2364.5</v>
      </c>
      <c r="S698" s="165">
        <v>577471807</v>
      </c>
      <c r="T698" s="165">
        <v>244225.75893423558</v>
      </c>
      <c r="U698" s="166">
        <v>107738059</v>
      </c>
      <c r="V698" s="168">
        <v>22464571305</v>
      </c>
      <c r="W698" s="165">
        <v>13042246275</v>
      </c>
      <c r="X698" s="165">
        <v>6867555705</v>
      </c>
      <c r="Y698" s="165">
        <v>40059259</v>
      </c>
      <c r="Z698" s="165">
        <v>1532716087</v>
      </c>
      <c r="AA698" s="165">
        <v>495381384</v>
      </c>
      <c r="AB698" s="165">
        <v>0</v>
      </c>
      <c r="AC698" s="165">
        <v>3423</v>
      </c>
      <c r="AD698" s="165">
        <v>4622926055</v>
      </c>
      <c r="AE698" s="165">
        <v>1350548.0733274906</v>
      </c>
      <c r="AF698" s="166">
        <v>2554769325</v>
      </c>
      <c r="AG698" s="124">
        <v>4045454248</v>
      </c>
      <c r="AH698" s="125">
        <v>1058.5</v>
      </c>
      <c r="AI698" s="133">
        <v>1</v>
      </c>
      <c r="AJ698" s="133">
        <v>1</v>
      </c>
      <c r="AK698" s="126">
        <v>0.15</v>
      </c>
      <c r="AL698" s="126">
        <v>4.5299165411543809</v>
      </c>
      <c r="AM698" s="14">
        <v>1</v>
      </c>
      <c r="AN698" s="122">
        <v>0</v>
      </c>
      <c r="AO698" s="131">
        <v>152566.80651300488</v>
      </c>
      <c r="AP698" s="131">
        <v>447769.81799591001</v>
      </c>
      <c r="AQ698" s="131">
        <v>295203.01148290513</v>
      </c>
      <c r="AR698" s="130">
        <v>1.9349098157713738</v>
      </c>
    </row>
    <row r="699" spans="1:44" ht="28.8" x14ac:dyDescent="0.3">
      <c r="A699" s="136" t="s">
        <v>959</v>
      </c>
      <c r="B699" s="137" t="s">
        <v>5470</v>
      </c>
      <c r="C699" s="134">
        <v>2019</v>
      </c>
      <c r="D699" s="149" t="s">
        <v>1163</v>
      </c>
      <c r="E699" s="135" t="s">
        <v>1152</v>
      </c>
      <c r="F699" s="384" t="s">
        <v>952</v>
      </c>
      <c r="G699" s="138" t="s">
        <v>4773</v>
      </c>
      <c r="H699" s="138" t="s">
        <v>2355</v>
      </c>
      <c r="I699" s="138" t="s">
        <v>1566</v>
      </c>
      <c r="J699" s="135" t="s">
        <v>4774</v>
      </c>
      <c r="K699" s="164">
        <v>4747808360</v>
      </c>
      <c r="L699" s="165">
        <v>2992863635</v>
      </c>
      <c r="M699" s="165">
        <v>1312901602</v>
      </c>
      <c r="N699" s="165">
        <v>50888545</v>
      </c>
      <c r="O699" s="165">
        <v>429107280</v>
      </c>
      <c r="P699" s="165">
        <v>118485086</v>
      </c>
      <c r="Q699" s="165">
        <v>2715433</v>
      </c>
      <c r="R699" s="165">
        <v>732.75</v>
      </c>
      <c r="S699" s="165">
        <v>1043239467</v>
      </c>
      <c r="T699" s="165">
        <v>1423731.7871033777</v>
      </c>
      <c r="U699" s="166">
        <v>442043123</v>
      </c>
      <c r="V699" s="168">
        <v>10062769084</v>
      </c>
      <c r="W699" s="165">
        <v>5824616006</v>
      </c>
      <c r="X699" s="165">
        <v>2380468075</v>
      </c>
      <c r="Y699" s="165">
        <v>148744327</v>
      </c>
      <c r="Z699" s="165">
        <v>894481238</v>
      </c>
      <c r="AA699" s="165">
        <v>243803932</v>
      </c>
      <c r="AB699" s="165">
        <v>2144165</v>
      </c>
      <c r="AC699" s="165">
        <v>1138.3333333333333</v>
      </c>
      <c r="AD699" s="165">
        <v>3146858665</v>
      </c>
      <c r="AE699" s="165">
        <v>2764443.9224011716</v>
      </c>
      <c r="AF699" s="166">
        <v>1857685003</v>
      </c>
      <c r="AG699" s="124">
        <v>2103619198</v>
      </c>
      <c r="AH699" s="125">
        <v>405.58333333333326</v>
      </c>
      <c r="AI699" s="133">
        <v>1</v>
      </c>
      <c r="AJ699" s="133">
        <v>1</v>
      </c>
      <c r="AK699" s="126">
        <v>0.15</v>
      </c>
      <c r="AL699" s="126">
        <v>0.94168869404819566</v>
      </c>
      <c r="AM699" s="14">
        <v>1</v>
      </c>
      <c r="AN699" s="122">
        <v>0</v>
      </c>
      <c r="AO699" s="131">
        <v>585612.11873080861</v>
      </c>
      <c r="AP699" s="131">
        <v>785781.46822840418</v>
      </c>
      <c r="AQ699" s="131">
        <v>200169.34949759557</v>
      </c>
      <c r="AR699" s="130">
        <v>0.34181217071023151</v>
      </c>
    </row>
    <row r="700" spans="1:44" ht="28.8" x14ac:dyDescent="0.3">
      <c r="A700" s="136" t="s">
        <v>960</v>
      </c>
      <c r="B700" s="137" t="s">
        <v>5471</v>
      </c>
      <c r="C700" s="134">
        <v>2019</v>
      </c>
      <c r="D700" s="149" t="s">
        <v>1178</v>
      </c>
      <c r="E700" s="135" t="s">
        <v>1175</v>
      </c>
      <c r="F700" s="384" t="s">
        <v>431</v>
      </c>
      <c r="G700" s="138" t="s">
        <v>4773</v>
      </c>
      <c r="H700" s="138" t="s">
        <v>4611</v>
      </c>
      <c r="I700" s="138" t="s">
        <v>4612</v>
      </c>
      <c r="J700" s="135" t="s">
        <v>4774</v>
      </c>
      <c r="K700" s="164">
        <v>405306073</v>
      </c>
      <c r="L700" s="165">
        <v>250794926</v>
      </c>
      <c r="M700" s="165">
        <v>71064977</v>
      </c>
      <c r="N700" s="165">
        <v>4669471</v>
      </c>
      <c r="O700" s="165">
        <v>56455196</v>
      </c>
      <c r="P700" s="165">
        <v>16180575</v>
      </c>
      <c r="Q700" s="165">
        <v>442722</v>
      </c>
      <c r="R700" s="165">
        <v>116.41666666666667</v>
      </c>
      <c r="S700" s="165">
        <v>161194134</v>
      </c>
      <c r="T700" s="165">
        <v>1384631.072297781</v>
      </c>
      <c r="U700" s="166">
        <v>83446170</v>
      </c>
      <c r="V700" s="168">
        <v>429616214</v>
      </c>
      <c r="W700" s="165">
        <v>219692547</v>
      </c>
      <c r="X700" s="165">
        <v>117947866</v>
      </c>
      <c r="Y700" s="165">
        <v>4613187</v>
      </c>
      <c r="Z700" s="165">
        <v>121750490.02000001</v>
      </c>
      <c r="AA700" s="165">
        <v>20950832.900000002</v>
      </c>
      <c r="AB700" s="165">
        <v>664993</v>
      </c>
      <c r="AC700" s="165">
        <v>133.16666666666666</v>
      </c>
      <c r="AD700" s="165">
        <v>239955303.92000002</v>
      </c>
      <c r="AE700" s="165">
        <v>1801917.1758698376</v>
      </c>
      <c r="AF700" s="166">
        <v>91975801</v>
      </c>
      <c r="AG700" s="124">
        <v>78761169.920000017</v>
      </c>
      <c r="AH700" s="125">
        <v>16.749999999999986</v>
      </c>
      <c r="AI700" s="133">
        <v>1</v>
      </c>
      <c r="AJ700" s="133">
        <v>1</v>
      </c>
      <c r="AK700" s="126">
        <v>0.15</v>
      </c>
      <c r="AL700" s="126">
        <v>0.30136988764812256</v>
      </c>
      <c r="AM700" s="14">
        <v>1</v>
      </c>
      <c r="AN700" s="122">
        <v>0</v>
      </c>
      <c r="AO700" s="131">
        <v>484940.83894058695</v>
      </c>
      <c r="AP700" s="131">
        <v>914271.51454317907</v>
      </c>
      <c r="AQ700" s="131">
        <v>429330.67560259212</v>
      </c>
      <c r="AR700" s="130">
        <v>0.88532588127763767</v>
      </c>
    </row>
    <row r="701" spans="1:44" ht="28.8" x14ac:dyDescent="0.3">
      <c r="A701" s="136" t="s">
        <v>961</v>
      </c>
      <c r="B701" s="137" t="s">
        <v>5472</v>
      </c>
      <c r="C701" s="134">
        <v>2019</v>
      </c>
      <c r="D701" s="149" t="s">
        <v>1181</v>
      </c>
      <c r="E701" s="135" t="s">
        <v>1175</v>
      </c>
      <c r="F701" s="384" t="s">
        <v>272</v>
      </c>
      <c r="G701" s="138" t="s">
        <v>4773</v>
      </c>
      <c r="H701" s="138" t="s">
        <v>2578</v>
      </c>
      <c r="I701" s="138" t="s">
        <v>1566</v>
      </c>
      <c r="J701" s="135" t="s">
        <v>4774</v>
      </c>
      <c r="K701" s="164">
        <v>1198074895</v>
      </c>
      <c r="L701" s="165">
        <v>533974454</v>
      </c>
      <c r="M701" s="165">
        <v>624997729</v>
      </c>
      <c r="N701" s="165">
        <v>10308504</v>
      </c>
      <c r="O701" s="165">
        <v>193781738</v>
      </c>
      <c r="P701" s="165">
        <v>51194024</v>
      </c>
      <c r="Q701" s="165">
        <v>2869289</v>
      </c>
      <c r="R701" s="165">
        <v>430.83333333333331</v>
      </c>
      <c r="S701" s="165">
        <v>297256267</v>
      </c>
      <c r="T701" s="165">
        <v>689956.51914893615</v>
      </c>
      <c r="U701" s="166">
        <v>39102712</v>
      </c>
      <c r="V701" s="168">
        <v>1954484912</v>
      </c>
      <c r="W701" s="165">
        <v>861600725</v>
      </c>
      <c r="X701" s="165">
        <v>885723303</v>
      </c>
      <c r="Y701" s="165">
        <v>9686640</v>
      </c>
      <c r="Z701" s="165">
        <v>300563232.07999998</v>
      </c>
      <c r="AA701" s="165">
        <v>92389447.959999993</v>
      </c>
      <c r="AB701" s="165">
        <v>2543985</v>
      </c>
      <c r="AC701" s="165">
        <v>539.91666666666663</v>
      </c>
      <c r="AD701" s="165">
        <v>612344189.03999996</v>
      </c>
      <c r="AE701" s="165">
        <v>1134145.7429356382</v>
      </c>
      <c r="AF701" s="166">
        <v>207160884</v>
      </c>
      <c r="AG701" s="124">
        <v>315087922.03999996</v>
      </c>
      <c r="AH701" s="125">
        <v>109.08333333333331</v>
      </c>
      <c r="AI701" s="133">
        <v>1</v>
      </c>
      <c r="AJ701" s="133">
        <v>1</v>
      </c>
      <c r="AK701" s="126">
        <v>0.15</v>
      </c>
      <c r="AL701" s="126">
        <v>0.64379306104680323</v>
      </c>
      <c r="AM701" s="14">
        <v>1</v>
      </c>
      <c r="AN701" s="122">
        <v>0</v>
      </c>
      <c r="AO701" s="131">
        <v>449783.53114119923</v>
      </c>
      <c r="AP701" s="131">
        <v>556684.4860256213</v>
      </c>
      <c r="AQ701" s="131">
        <v>106900.95488442207</v>
      </c>
      <c r="AR701" s="130">
        <v>0.23767200771711439</v>
      </c>
    </row>
    <row r="702" spans="1:44" ht="28.8" x14ac:dyDescent="0.3">
      <c r="A702" s="136" t="s">
        <v>962</v>
      </c>
      <c r="B702" s="137" t="s">
        <v>5473</v>
      </c>
      <c r="C702" s="134">
        <v>2020</v>
      </c>
      <c r="D702" s="149" t="s">
        <v>1190</v>
      </c>
      <c r="E702" s="135" t="s">
        <v>1175</v>
      </c>
      <c r="F702" s="384" t="s">
        <v>196</v>
      </c>
      <c r="G702" s="138" t="s">
        <v>4773</v>
      </c>
      <c r="H702" s="138" t="s">
        <v>4573</v>
      </c>
      <c r="I702" s="138" t="s">
        <v>4255</v>
      </c>
      <c r="J702" s="135" t="s">
        <v>4774</v>
      </c>
      <c r="K702" s="164">
        <v>949109145</v>
      </c>
      <c r="L702" s="165">
        <v>891858292</v>
      </c>
      <c r="M702" s="165">
        <v>42147436</v>
      </c>
      <c r="N702" s="165">
        <v>549512</v>
      </c>
      <c r="O702" s="165">
        <v>19305894</v>
      </c>
      <c r="P702" s="165">
        <v>4241225</v>
      </c>
      <c r="Q702" s="165">
        <v>0</v>
      </c>
      <c r="R702" s="165">
        <v>45.25</v>
      </c>
      <c r="S702" s="165">
        <v>39200048</v>
      </c>
      <c r="T702" s="165">
        <v>866299.40331491712</v>
      </c>
      <c r="U702" s="166">
        <v>15103417</v>
      </c>
      <c r="V702" s="168">
        <v>1957193920</v>
      </c>
      <c r="W702" s="165">
        <v>1859325411</v>
      </c>
      <c r="X702" s="165">
        <v>63951104</v>
      </c>
      <c r="Y702" s="165">
        <v>1577357</v>
      </c>
      <c r="Z702" s="165">
        <v>20823287.75</v>
      </c>
      <c r="AA702" s="165">
        <v>4153322.67</v>
      </c>
      <c r="AB702" s="165">
        <v>0</v>
      </c>
      <c r="AC702" s="165">
        <v>48.5</v>
      </c>
      <c r="AD702" s="165">
        <v>60471372.420000002</v>
      </c>
      <c r="AE702" s="165">
        <v>1246832.4210309279</v>
      </c>
      <c r="AF702" s="166">
        <v>33917405</v>
      </c>
      <c r="AG702" s="124">
        <v>21271324.420000002</v>
      </c>
      <c r="AH702" s="125">
        <v>3.25</v>
      </c>
      <c r="AI702" s="133">
        <v>1</v>
      </c>
      <c r="AJ702" s="133">
        <v>1</v>
      </c>
      <c r="AK702" s="126">
        <v>0.1</v>
      </c>
      <c r="AL702" s="126">
        <v>0.439262707558149</v>
      </c>
      <c r="AM702" s="14">
        <v>1</v>
      </c>
      <c r="AN702" s="122">
        <v>0</v>
      </c>
      <c r="AO702" s="131">
        <v>426649.59116022097</v>
      </c>
      <c r="AP702" s="131">
        <v>429346.1391752577</v>
      </c>
      <c r="AQ702" s="131">
        <v>2696.5480150367366</v>
      </c>
      <c r="AR702" s="130">
        <v>6.3202873526815306E-3</v>
      </c>
    </row>
    <row r="703" spans="1:44" ht="28.8" x14ac:dyDescent="0.3">
      <c r="A703" s="136" t="s">
        <v>963</v>
      </c>
      <c r="B703" s="137" t="s">
        <v>5474</v>
      </c>
      <c r="C703" s="134">
        <v>2020</v>
      </c>
      <c r="D703" s="149" t="s">
        <v>1143</v>
      </c>
      <c r="E703" s="135" t="s">
        <v>1140</v>
      </c>
      <c r="F703" s="384" t="s">
        <v>964</v>
      </c>
      <c r="G703" s="138" t="s">
        <v>4773</v>
      </c>
      <c r="H703" s="138" t="s">
        <v>3577</v>
      </c>
      <c r="I703" s="138" t="s">
        <v>3557</v>
      </c>
      <c r="J703" s="135" t="s">
        <v>4774</v>
      </c>
      <c r="K703" s="164">
        <v>5476163150</v>
      </c>
      <c r="L703" s="165">
        <v>4519170692</v>
      </c>
      <c r="M703" s="165">
        <v>990827455</v>
      </c>
      <c r="N703" s="165">
        <v>141301847</v>
      </c>
      <c r="O703" s="165">
        <v>557544774</v>
      </c>
      <c r="P703" s="165">
        <v>152943022</v>
      </c>
      <c r="Q703" s="165">
        <v>4218831</v>
      </c>
      <c r="R703" s="165">
        <v>1682.8333333333333</v>
      </c>
      <c r="S703" s="165">
        <v>822173477</v>
      </c>
      <c r="T703" s="165">
        <v>488565.00564524118</v>
      </c>
      <c r="U703" s="166">
        <v>-33834997</v>
      </c>
      <c r="V703" s="168">
        <v>5458239746</v>
      </c>
      <c r="W703" s="165">
        <v>5974260390</v>
      </c>
      <c r="X703" s="165">
        <v>939968819</v>
      </c>
      <c r="Y703" s="165">
        <v>133196321</v>
      </c>
      <c r="Z703" s="165">
        <v>704442282</v>
      </c>
      <c r="AA703" s="165">
        <v>209098061</v>
      </c>
      <c r="AB703" s="165">
        <v>2535247</v>
      </c>
      <c r="AC703" s="165">
        <v>1839.4166666666667</v>
      </c>
      <c r="AD703" s="165">
        <v>-406717552</v>
      </c>
      <c r="AE703" s="165">
        <v>-221112.24681737868</v>
      </c>
      <c r="AF703" s="166">
        <v>-1455989463</v>
      </c>
      <c r="AG703" s="124">
        <v>-1228891029</v>
      </c>
      <c r="AH703" s="125">
        <v>156.58333333333348</v>
      </c>
      <c r="AI703" s="133">
        <v>0</v>
      </c>
      <c r="AJ703" s="133">
        <v>0</v>
      </c>
      <c r="AK703" s="126">
        <v>0.1</v>
      </c>
      <c r="AL703" s="126">
        <v>-1.4525748784179202</v>
      </c>
      <c r="AM703" s="14">
        <v>0</v>
      </c>
      <c r="AN703" s="122">
        <v>-1</v>
      </c>
      <c r="AO703" s="131">
        <v>331313.12706744578</v>
      </c>
      <c r="AP703" s="131">
        <v>382970.47904679924</v>
      </c>
      <c r="AQ703" s="131">
        <v>51657.351979353465</v>
      </c>
      <c r="AR703" s="130">
        <v>0.15591700949669129</v>
      </c>
    </row>
    <row r="704" spans="1:44" ht="28.8" x14ac:dyDescent="0.3">
      <c r="A704" s="136" t="s">
        <v>965</v>
      </c>
      <c r="B704" s="137" t="s">
        <v>5475</v>
      </c>
      <c r="C704" s="134">
        <v>2020</v>
      </c>
      <c r="D704" s="149" t="s">
        <v>4804</v>
      </c>
      <c r="E704" s="135" t="s">
        <v>1152</v>
      </c>
      <c r="F704" s="384" t="s">
        <v>964</v>
      </c>
      <c r="G704" s="138" t="s">
        <v>4773</v>
      </c>
      <c r="H704" s="138" t="s">
        <v>3564</v>
      </c>
      <c r="I704" s="138" t="s">
        <v>3557</v>
      </c>
      <c r="J704" s="135" t="s">
        <v>4774</v>
      </c>
      <c r="K704" s="164">
        <v>6924974783</v>
      </c>
      <c r="L704" s="165">
        <v>5983458569</v>
      </c>
      <c r="M704" s="165">
        <v>192890526</v>
      </c>
      <c r="N704" s="165">
        <v>131444861</v>
      </c>
      <c r="O704" s="165">
        <v>650978233.62999988</v>
      </c>
      <c r="P704" s="165">
        <v>189708099.95000002</v>
      </c>
      <c r="Q704" s="165">
        <v>342339</v>
      </c>
      <c r="R704" s="165">
        <v>2733.4166666666665</v>
      </c>
      <c r="S704" s="165">
        <v>1721099221.5799999</v>
      </c>
      <c r="T704" s="165">
        <v>629651.25023505383</v>
      </c>
      <c r="U704" s="166">
        <v>748625688</v>
      </c>
      <c r="V704" s="168">
        <v>10802564639</v>
      </c>
      <c r="W704" s="165">
        <v>9871246526</v>
      </c>
      <c r="X704" s="165">
        <v>218271802</v>
      </c>
      <c r="Y704" s="165">
        <v>163381294</v>
      </c>
      <c r="Z704" s="165">
        <v>839629590</v>
      </c>
      <c r="AA704" s="165">
        <v>244376609</v>
      </c>
      <c r="AB704" s="165">
        <v>1467413</v>
      </c>
      <c r="AC704" s="165">
        <v>3061.75</v>
      </c>
      <c r="AD704" s="165">
        <v>1961901217</v>
      </c>
      <c r="AE704" s="165">
        <v>640777.7307095615</v>
      </c>
      <c r="AF704" s="166">
        <v>713046311</v>
      </c>
      <c r="AG704" s="124">
        <v>240801995.42000008</v>
      </c>
      <c r="AH704" s="125">
        <v>328.33333333333348</v>
      </c>
      <c r="AI704" s="133">
        <v>0</v>
      </c>
      <c r="AJ704" s="133">
        <v>0</v>
      </c>
      <c r="AK704" s="126">
        <v>0.1</v>
      </c>
      <c r="AL704" s="126">
        <v>1.7670861449095909E-2</v>
      </c>
      <c r="AM704" s="14">
        <v>0</v>
      </c>
      <c r="AN704" s="122">
        <v>-1</v>
      </c>
      <c r="AO704" s="131">
        <v>238155.50756257429</v>
      </c>
      <c r="AP704" s="131">
        <v>274231.92291989876</v>
      </c>
      <c r="AQ704" s="131">
        <v>36076.415357324469</v>
      </c>
      <c r="AR704" s="130">
        <v>0.15148259944333042</v>
      </c>
    </row>
    <row r="705" spans="1:44" ht="28.8" x14ac:dyDescent="0.3">
      <c r="A705" s="136" t="s">
        <v>966</v>
      </c>
      <c r="B705" s="137" t="s">
        <v>5476</v>
      </c>
      <c r="C705" s="134">
        <v>2020</v>
      </c>
      <c r="D705" s="149" t="s">
        <v>4777</v>
      </c>
      <c r="E705" s="135" t="s">
        <v>1152</v>
      </c>
      <c r="F705" s="384" t="s">
        <v>964</v>
      </c>
      <c r="G705" s="138" t="s">
        <v>4773</v>
      </c>
      <c r="H705" s="138" t="s">
        <v>3569</v>
      </c>
      <c r="I705" s="138" t="s">
        <v>3557</v>
      </c>
      <c r="J705" s="135" t="s">
        <v>4774</v>
      </c>
      <c r="K705" s="164">
        <v>2441625794</v>
      </c>
      <c r="L705" s="165">
        <v>1699300727</v>
      </c>
      <c r="M705" s="165">
        <v>543712503</v>
      </c>
      <c r="N705" s="165">
        <v>166098080</v>
      </c>
      <c r="O705" s="165">
        <v>588019798</v>
      </c>
      <c r="P705" s="165">
        <v>152012779</v>
      </c>
      <c r="Q705" s="165">
        <v>1597686</v>
      </c>
      <c r="R705" s="165">
        <v>859.83333333333337</v>
      </c>
      <c r="S705" s="165">
        <v>1106340907</v>
      </c>
      <c r="T705" s="165">
        <v>1286692.2740841247</v>
      </c>
      <c r="U705" s="166">
        <v>198612564</v>
      </c>
      <c r="V705" s="168">
        <v>1919808186</v>
      </c>
      <c r="W705" s="165">
        <v>33308600</v>
      </c>
      <c r="X705" s="165">
        <v>1887894026</v>
      </c>
      <c r="Y705" s="165">
        <v>156068640</v>
      </c>
      <c r="Z705" s="165">
        <v>651683523</v>
      </c>
      <c r="AA705" s="165">
        <v>149851991</v>
      </c>
      <c r="AB705" s="165">
        <v>1268075</v>
      </c>
      <c r="AC705" s="165">
        <v>734.41666666666663</v>
      </c>
      <c r="AD705" s="165">
        <v>957477789</v>
      </c>
      <c r="AE705" s="165">
        <v>1303725.5722228526</v>
      </c>
      <c r="AF705" s="166">
        <v>-1394440</v>
      </c>
      <c r="AG705" s="124">
        <v>-148863118</v>
      </c>
      <c r="AH705" s="125">
        <v>-125.41666666666674</v>
      </c>
      <c r="AI705" s="133">
        <v>0</v>
      </c>
      <c r="AJ705" s="133">
        <v>0</v>
      </c>
      <c r="AK705" s="126">
        <v>0.1</v>
      </c>
      <c r="AL705" s="126">
        <v>1.3238052638646858E-2</v>
      </c>
      <c r="AM705" s="14">
        <v>0</v>
      </c>
      <c r="AN705" s="122">
        <v>-1</v>
      </c>
      <c r="AO705" s="131">
        <v>683876.48536538088</v>
      </c>
      <c r="AP705" s="131">
        <v>887348.49381595373</v>
      </c>
      <c r="AQ705" s="131">
        <v>203472.00845057284</v>
      </c>
      <c r="AR705" s="130">
        <v>0.29752742316013681</v>
      </c>
    </row>
    <row r="706" spans="1:44" ht="28.8" x14ac:dyDescent="0.3">
      <c r="A706" s="136" t="s">
        <v>967</v>
      </c>
      <c r="B706" s="137" t="s">
        <v>5477</v>
      </c>
      <c r="C706" s="134">
        <v>2020</v>
      </c>
      <c r="D706" s="149" t="s">
        <v>4777</v>
      </c>
      <c r="E706" s="135" t="s">
        <v>1152</v>
      </c>
      <c r="F706" s="384" t="s">
        <v>964</v>
      </c>
      <c r="G706" s="138" t="s">
        <v>4773</v>
      </c>
      <c r="H706" s="138" t="s">
        <v>3601</v>
      </c>
      <c r="I706" s="138" t="s">
        <v>3557</v>
      </c>
      <c r="J706" s="135" t="s">
        <v>4774</v>
      </c>
      <c r="K706" s="164">
        <v>458171075</v>
      </c>
      <c r="L706" s="165">
        <v>344017968</v>
      </c>
      <c r="M706" s="165">
        <v>121122941</v>
      </c>
      <c r="N706" s="165">
        <v>30471567</v>
      </c>
      <c r="O706" s="165">
        <v>29118105</v>
      </c>
      <c r="P706" s="165">
        <v>6224051</v>
      </c>
      <c r="Q706" s="165">
        <v>0</v>
      </c>
      <c r="R706" s="165">
        <v>75.916666666666671</v>
      </c>
      <c r="S706" s="165">
        <v>58843889</v>
      </c>
      <c r="T706" s="165">
        <v>775111.60043907794</v>
      </c>
      <c r="U706" s="166">
        <v>-6969834</v>
      </c>
      <c r="V706" s="168">
        <v>400168376</v>
      </c>
      <c r="W706" s="165">
        <v>369441873</v>
      </c>
      <c r="X706" s="165">
        <v>13514649</v>
      </c>
      <c r="Y706" s="165">
        <v>10263101</v>
      </c>
      <c r="Z706" s="165">
        <v>36188794</v>
      </c>
      <c r="AA706" s="165">
        <v>7232393</v>
      </c>
      <c r="AB706" s="165">
        <v>0</v>
      </c>
      <c r="AC706" s="165">
        <v>84.333333333333329</v>
      </c>
      <c r="AD706" s="165">
        <v>70896142</v>
      </c>
      <c r="AE706" s="165">
        <v>840665.71541501977</v>
      </c>
      <c r="AF706" s="166">
        <v>17211854</v>
      </c>
      <c r="AG706" s="124">
        <v>12052253</v>
      </c>
      <c r="AH706" s="125">
        <v>8.4166666666666572</v>
      </c>
      <c r="AI706" s="133">
        <v>0</v>
      </c>
      <c r="AJ706" s="133">
        <v>1</v>
      </c>
      <c r="AK706" s="126">
        <v>0.1</v>
      </c>
      <c r="AL706" s="126">
        <v>8.4573782665618769E-2</v>
      </c>
      <c r="AM706" s="14">
        <v>0</v>
      </c>
      <c r="AN706" s="122">
        <v>-1</v>
      </c>
      <c r="AO706" s="131">
        <v>383553.52360043908</v>
      </c>
      <c r="AP706" s="131">
        <v>429116.13438735181</v>
      </c>
      <c r="AQ706" s="131">
        <v>45562.61078691273</v>
      </c>
      <c r="AR706" s="130">
        <v>0.11879075013889562</v>
      </c>
    </row>
    <row r="707" spans="1:44" ht="28.8" x14ac:dyDescent="0.3">
      <c r="A707" s="136" t="s">
        <v>968</v>
      </c>
      <c r="B707" s="137" t="s">
        <v>5478</v>
      </c>
      <c r="C707" s="134">
        <v>2019</v>
      </c>
      <c r="D707" s="149" t="s">
        <v>1132</v>
      </c>
      <c r="E707" s="135" t="s">
        <v>1131</v>
      </c>
      <c r="F707" s="384" t="s">
        <v>969</v>
      </c>
      <c r="G707" s="138" t="s">
        <v>4773</v>
      </c>
      <c r="H707" s="138" t="s">
        <v>2435</v>
      </c>
      <c r="I707" s="138" t="s">
        <v>1566</v>
      </c>
      <c r="J707" s="135" t="s">
        <v>4774</v>
      </c>
      <c r="K707" s="164">
        <v>1030219011</v>
      </c>
      <c r="L707" s="165">
        <v>744301344</v>
      </c>
      <c r="M707" s="165">
        <v>206027706</v>
      </c>
      <c r="N707" s="165">
        <v>67708474</v>
      </c>
      <c r="O707" s="165">
        <v>104552003.42</v>
      </c>
      <c r="P707" s="165">
        <v>28389590.050000001</v>
      </c>
      <c r="Q707" s="165">
        <v>949650</v>
      </c>
      <c r="R707" s="165">
        <v>252.41666666666666</v>
      </c>
      <c r="S707" s="165">
        <v>281489678.47000003</v>
      </c>
      <c r="T707" s="165">
        <v>1115178.6535622319</v>
      </c>
      <c r="U707" s="166">
        <v>79889961</v>
      </c>
      <c r="V707" s="168">
        <v>1657463775</v>
      </c>
      <c r="W707" s="165">
        <v>1173021924</v>
      </c>
      <c r="X707" s="165">
        <v>238846526</v>
      </c>
      <c r="Y707" s="165">
        <v>93751911</v>
      </c>
      <c r="Z707" s="165">
        <v>142500788.78999999</v>
      </c>
      <c r="AA707" s="165">
        <v>27233741.25</v>
      </c>
      <c r="AB707" s="165">
        <v>1161023</v>
      </c>
      <c r="AC707" s="165">
        <v>266.16666666666669</v>
      </c>
      <c r="AD707" s="165">
        <v>510242789.03999996</v>
      </c>
      <c r="AE707" s="165">
        <v>1917004.8429805883</v>
      </c>
      <c r="AF707" s="166">
        <v>245595325</v>
      </c>
      <c r="AG707" s="124">
        <v>228753110.56999993</v>
      </c>
      <c r="AH707" s="125">
        <v>13.750000000000028</v>
      </c>
      <c r="AI707" s="133">
        <v>1</v>
      </c>
      <c r="AJ707" s="133">
        <v>1</v>
      </c>
      <c r="AK707" s="126">
        <v>0.15</v>
      </c>
      <c r="AL707" s="126">
        <v>0.719011424761405</v>
      </c>
      <c r="AM707" s="14">
        <v>1</v>
      </c>
      <c r="AN707" s="122">
        <v>0</v>
      </c>
      <c r="AO707" s="131">
        <v>414204.04128095083</v>
      </c>
      <c r="AP707" s="131">
        <v>535381.79883531609</v>
      </c>
      <c r="AQ707" s="131">
        <v>121177.75755436526</v>
      </c>
      <c r="AR707" s="130">
        <v>0.29255571041657591</v>
      </c>
    </row>
    <row r="708" spans="1:44" ht="28.8" x14ac:dyDescent="0.3">
      <c r="A708" s="136" t="s">
        <v>970</v>
      </c>
      <c r="B708" s="137" t="s">
        <v>5479</v>
      </c>
      <c r="C708" s="134">
        <v>2019</v>
      </c>
      <c r="D708" s="149" t="s">
        <v>1132</v>
      </c>
      <c r="E708" s="135" t="s">
        <v>1131</v>
      </c>
      <c r="F708" s="384" t="s">
        <v>775</v>
      </c>
      <c r="G708" s="138" t="s">
        <v>4773</v>
      </c>
      <c r="H708" s="138" t="s">
        <v>3463</v>
      </c>
      <c r="I708" s="138" t="s">
        <v>1566</v>
      </c>
      <c r="J708" s="135" t="s">
        <v>4774</v>
      </c>
      <c r="K708" s="164">
        <v>1528238394</v>
      </c>
      <c r="L708" s="165">
        <v>1092745367</v>
      </c>
      <c r="M708" s="165">
        <v>303826279</v>
      </c>
      <c r="N708" s="165">
        <v>57485386</v>
      </c>
      <c r="O708" s="165">
        <v>163782371.5</v>
      </c>
      <c r="P708" s="165">
        <v>58744164.670000002</v>
      </c>
      <c r="Q708" s="165">
        <v>4363304</v>
      </c>
      <c r="R708" s="165">
        <v>561.75</v>
      </c>
      <c r="S708" s="165">
        <v>416041974.17000002</v>
      </c>
      <c r="T708" s="165">
        <v>740617.6665242546</v>
      </c>
      <c r="U708" s="166">
        <v>131666748</v>
      </c>
      <c r="V708" s="168">
        <v>3559507559</v>
      </c>
      <c r="W708" s="165">
        <v>2337965284</v>
      </c>
      <c r="X708" s="165">
        <v>976287455</v>
      </c>
      <c r="Y708" s="165">
        <v>105633773</v>
      </c>
      <c r="Z708" s="165">
        <v>390520121.63</v>
      </c>
      <c r="AA708" s="165">
        <v>117059828.94</v>
      </c>
      <c r="AB708" s="165">
        <v>44563437</v>
      </c>
      <c r="AC708" s="165">
        <v>940.91666666666663</v>
      </c>
      <c r="AD708" s="165">
        <v>903031980.56999993</v>
      </c>
      <c r="AE708" s="165">
        <v>959736.40659286152</v>
      </c>
      <c r="AF708" s="166">
        <v>245254820</v>
      </c>
      <c r="AG708" s="124">
        <v>486990006.39999992</v>
      </c>
      <c r="AH708" s="125">
        <v>379.16666666666663</v>
      </c>
      <c r="AI708" s="133">
        <v>1</v>
      </c>
      <c r="AJ708" s="133">
        <v>1</v>
      </c>
      <c r="AK708" s="126">
        <v>0.15</v>
      </c>
      <c r="AL708" s="126">
        <v>0.29585945471703368</v>
      </c>
      <c r="AM708" s="14">
        <v>1</v>
      </c>
      <c r="AN708" s="122">
        <v>0</v>
      </c>
      <c r="AO708" s="131">
        <v>291557.40364931017</v>
      </c>
      <c r="AP708" s="131">
        <v>415042.19817199541</v>
      </c>
      <c r="AQ708" s="131">
        <v>123484.79452268523</v>
      </c>
      <c r="AR708" s="130">
        <v>0.42353510141424744</v>
      </c>
    </row>
    <row r="709" spans="1:44" ht="28.8" x14ac:dyDescent="0.3">
      <c r="A709" s="136" t="s">
        <v>971</v>
      </c>
      <c r="B709" s="137" t="s">
        <v>5480</v>
      </c>
      <c r="C709" s="134">
        <v>2019</v>
      </c>
      <c r="D709" s="149" t="s">
        <v>1132</v>
      </c>
      <c r="E709" s="135" t="s">
        <v>1131</v>
      </c>
      <c r="F709" s="384" t="s">
        <v>775</v>
      </c>
      <c r="G709" s="138" t="s">
        <v>4773</v>
      </c>
      <c r="H709" s="138" t="s">
        <v>3161</v>
      </c>
      <c r="I709" s="138" t="s">
        <v>1566</v>
      </c>
      <c r="J709" s="135" t="s">
        <v>4774</v>
      </c>
      <c r="K709" s="164">
        <v>1963980958</v>
      </c>
      <c r="L709" s="165">
        <v>1816769000</v>
      </c>
      <c r="M709" s="165">
        <v>118981574</v>
      </c>
      <c r="N709" s="165">
        <v>32721731</v>
      </c>
      <c r="O709" s="165">
        <v>243517250.13999999</v>
      </c>
      <c r="P709" s="165">
        <v>67671309.859999999</v>
      </c>
      <c r="Q709" s="165">
        <v>7990101</v>
      </c>
      <c r="R709" s="165">
        <v>443.58333333333331</v>
      </c>
      <c r="S709" s="165">
        <v>380130776</v>
      </c>
      <c r="T709" s="165">
        <v>856954.59552883718</v>
      </c>
      <c r="U709" s="166">
        <v>28230384</v>
      </c>
      <c r="V709" s="168">
        <v>1947473819</v>
      </c>
      <c r="W709" s="165">
        <v>1444370473</v>
      </c>
      <c r="X709" s="165">
        <v>229756877</v>
      </c>
      <c r="Y709" s="165">
        <v>13068244</v>
      </c>
      <c r="Z709" s="165">
        <v>243141700.25999999</v>
      </c>
      <c r="AA709" s="165">
        <v>73237706.460000008</v>
      </c>
      <c r="AB709" s="165">
        <v>7043756</v>
      </c>
      <c r="AC709" s="165">
        <v>403.83333333333331</v>
      </c>
      <c r="AD709" s="165">
        <v>609837875.72000003</v>
      </c>
      <c r="AE709" s="165">
        <v>1510122.680280644</v>
      </c>
      <c r="AF709" s="166">
        <v>273346469</v>
      </c>
      <c r="AG709" s="124">
        <v>229707099.72000003</v>
      </c>
      <c r="AH709" s="125">
        <v>-39.75</v>
      </c>
      <c r="AI709" s="133">
        <v>1</v>
      </c>
      <c r="AJ709" s="133">
        <v>0</v>
      </c>
      <c r="AK709" s="126">
        <v>0.15</v>
      </c>
      <c r="AL709" s="126">
        <v>0.76219683049720488</v>
      </c>
      <c r="AM709" s="14">
        <v>1</v>
      </c>
      <c r="AN709" s="122">
        <v>0</v>
      </c>
      <c r="AO709" s="131">
        <v>548977.45663723466</v>
      </c>
      <c r="AP709" s="131">
        <v>602084.27633512171</v>
      </c>
      <c r="AQ709" s="131">
        <v>53106.819697887055</v>
      </c>
      <c r="AR709" s="130">
        <v>9.6737705812536046E-2</v>
      </c>
    </row>
    <row r="710" spans="1:44" ht="28.8" x14ac:dyDescent="0.3">
      <c r="A710" s="136" t="s">
        <v>972</v>
      </c>
      <c r="B710" s="137" t="s">
        <v>5481</v>
      </c>
      <c r="C710" s="134">
        <v>2019</v>
      </c>
      <c r="D710" s="149" t="s">
        <v>1132</v>
      </c>
      <c r="E710" s="135" t="s">
        <v>1131</v>
      </c>
      <c r="F710" s="384" t="s">
        <v>969</v>
      </c>
      <c r="G710" s="138" t="s">
        <v>4773</v>
      </c>
      <c r="H710" s="138" t="s">
        <v>3189</v>
      </c>
      <c r="I710" s="138" t="s">
        <v>1566</v>
      </c>
      <c r="J710" s="135" t="s">
        <v>4774</v>
      </c>
      <c r="K710" s="164">
        <v>1373290652</v>
      </c>
      <c r="L710" s="165">
        <v>655383090</v>
      </c>
      <c r="M710" s="165">
        <v>327085048</v>
      </c>
      <c r="N710" s="165">
        <v>15003961</v>
      </c>
      <c r="O710" s="165">
        <v>161850485.91</v>
      </c>
      <c r="P710" s="165">
        <v>22699109.539999999</v>
      </c>
      <c r="Q710" s="165">
        <v>11761</v>
      </c>
      <c r="R710" s="165">
        <v>150.25</v>
      </c>
      <c r="S710" s="165">
        <v>590387831.44999993</v>
      </c>
      <c r="T710" s="165">
        <v>3929369.9264559061</v>
      </c>
      <c r="U710" s="166">
        <v>390822514</v>
      </c>
      <c r="V710" s="168">
        <v>2942383257</v>
      </c>
      <c r="W710" s="165">
        <v>2294551731</v>
      </c>
      <c r="X710" s="165">
        <v>186858761</v>
      </c>
      <c r="Y710" s="165">
        <v>33781291</v>
      </c>
      <c r="Z710" s="165">
        <v>195266606.02000001</v>
      </c>
      <c r="AA710" s="165">
        <v>37931193.140000001</v>
      </c>
      <c r="AB710" s="165">
        <v>533857</v>
      </c>
      <c r="AC710" s="165">
        <v>271.66666666666669</v>
      </c>
      <c r="AD710" s="165">
        <v>728485712.15999997</v>
      </c>
      <c r="AE710" s="165">
        <v>2681542.4987484659</v>
      </c>
      <c r="AF710" s="166">
        <v>460972765</v>
      </c>
      <c r="AG710" s="124">
        <v>138097880.71000004</v>
      </c>
      <c r="AH710" s="125">
        <v>121.41666666666669</v>
      </c>
      <c r="AI710" s="133">
        <v>0</v>
      </c>
      <c r="AJ710" s="133">
        <v>0</v>
      </c>
      <c r="AK710" s="126">
        <v>0.15</v>
      </c>
      <c r="AL710" s="126">
        <v>-0.31756425387008547</v>
      </c>
      <c r="AM710" s="14">
        <v>0</v>
      </c>
      <c r="AN710" s="122">
        <v>-1</v>
      </c>
      <c r="AO710" s="131">
        <v>1077207.8929118137</v>
      </c>
      <c r="AP710" s="131">
        <v>718772.78289570555</v>
      </c>
      <c r="AQ710" s="131">
        <v>-358435.11001610814</v>
      </c>
      <c r="AR710" s="130">
        <v>-0.33274460053130306</v>
      </c>
    </row>
    <row r="711" spans="1:44" ht="57.6" x14ac:dyDescent="0.3">
      <c r="A711" s="136" t="s">
        <v>973</v>
      </c>
      <c r="B711" s="137" t="s">
        <v>5482</v>
      </c>
      <c r="C711" s="134">
        <v>2019</v>
      </c>
      <c r="D711" s="149" t="s">
        <v>1120</v>
      </c>
      <c r="E711" s="135" t="s">
        <v>1117</v>
      </c>
      <c r="F711" s="384" t="s">
        <v>163</v>
      </c>
      <c r="G711" s="138" t="s">
        <v>4773</v>
      </c>
      <c r="H711" s="138" t="s">
        <v>2855</v>
      </c>
      <c r="I711" s="138" t="s">
        <v>1566</v>
      </c>
      <c r="J711" s="135" t="s">
        <v>4778</v>
      </c>
      <c r="K711" s="164">
        <v>3779386212</v>
      </c>
      <c r="L711" s="165">
        <v>2356328227</v>
      </c>
      <c r="M711" s="165">
        <v>1187959242</v>
      </c>
      <c r="N711" s="165">
        <v>112152427</v>
      </c>
      <c r="O711" s="165">
        <v>1140340889.1600001</v>
      </c>
      <c r="P711" s="165">
        <v>329000734.19999993</v>
      </c>
      <c r="Q711" s="165">
        <v>9536245</v>
      </c>
      <c r="R711" s="165">
        <v>2352.8333333333335</v>
      </c>
      <c r="S711" s="165">
        <v>1826129038.3600001</v>
      </c>
      <c r="T711" s="165">
        <v>776140.41440532694</v>
      </c>
      <c r="U711" s="166">
        <v>235098743</v>
      </c>
      <c r="V711" s="168">
        <v>6507242161</v>
      </c>
      <c r="W711" s="165">
        <v>3997528561</v>
      </c>
      <c r="X711" s="165">
        <v>1727281249</v>
      </c>
      <c r="Y711" s="165">
        <v>143756033</v>
      </c>
      <c r="Z711" s="165">
        <v>2134015851.77</v>
      </c>
      <c r="AA711" s="165">
        <v>622206847.21000004</v>
      </c>
      <c r="AB711" s="165">
        <v>13630298</v>
      </c>
      <c r="AC711" s="165">
        <v>3611.1666666666665</v>
      </c>
      <c r="AD711" s="165">
        <v>3696041380.98</v>
      </c>
      <c r="AE711" s="165">
        <v>1023503.4054497624</v>
      </c>
      <c r="AF711" s="166">
        <v>782432351</v>
      </c>
      <c r="AG711" s="124">
        <v>1869912342.6199999</v>
      </c>
      <c r="AH711" s="125">
        <v>1258.333333333333</v>
      </c>
      <c r="AI711" s="133">
        <v>1</v>
      </c>
      <c r="AJ711" s="133">
        <v>1</v>
      </c>
      <c r="AK711" s="126">
        <v>0.15</v>
      </c>
      <c r="AL711" s="126">
        <v>0.31870908512546081</v>
      </c>
      <c r="AM711" s="14">
        <v>1</v>
      </c>
      <c r="AN711" s="122">
        <v>0</v>
      </c>
      <c r="AO711" s="131">
        <v>484667.09180137422</v>
      </c>
      <c r="AP711" s="131">
        <v>590949.14434947155</v>
      </c>
      <c r="AQ711" s="131">
        <v>106282.05254809733</v>
      </c>
      <c r="AR711" s="130">
        <v>0.21928877438960459</v>
      </c>
    </row>
    <row r="712" spans="1:44" ht="43.2" x14ac:dyDescent="0.3">
      <c r="A712" s="136" t="s">
        <v>974</v>
      </c>
      <c r="B712" s="137" t="s">
        <v>5483</v>
      </c>
      <c r="C712" s="134">
        <v>2019</v>
      </c>
      <c r="D712" s="149" t="s">
        <v>1120</v>
      </c>
      <c r="E712" s="135" t="s">
        <v>1117</v>
      </c>
      <c r="F712" s="384" t="s">
        <v>254</v>
      </c>
      <c r="G712" s="138" t="s">
        <v>4773</v>
      </c>
      <c r="H712" s="138" t="s">
        <v>2910</v>
      </c>
      <c r="I712" s="138" t="s">
        <v>1566</v>
      </c>
      <c r="J712" s="135" t="s">
        <v>4774</v>
      </c>
      <c r="K712" s="164">
        <v>1566689650</v>
      </c>
      <c r="L712" s="165">
        <v>973704493</v>
      </c>
      <c r="M712" s="165">
        <v>384274689</v>
      </c>
      <c r="N712" s="165">
        <v>12633844</v>
      </c>
      <c r="O712" s="165">
        <v>319994807</v>
      </c>
      <c r="P712" s="165">
        <v>90166447</v>
      </c>
      <c r="Q712" s="165">
        <v>2501110</v>
      </c>
      <c r="R712" s="165">
        <v>482.16666666666669</v>
      </c>
      <c r="S712" s="165">
        <v>634006676</v>
      </c>
      <c r="T712" s="165">
        <v>1314911.8755617007</v>
      </c>
      <c r="U712" s="166">
        <v>208710468</v>
      </c>
      <c r="V712" s="168">
        <v>3416415850</v>
      </c>
      <c r="W712" s="165">
        <v>2025481714</v>
      </c>
      <c r="X712" s="165">
        <v>575282625</v>
      </c>
      <c r="Y712" s="165">
        <v>17820649</v>
      </c>
      <c r="Z712" s="165">
        <v>582807482</v>
      </c>
      <c r="AA712" s="165">
        <v>160906182</v>
      </c>
      <c r="AB712" s="165">
        <v>2782329</v>
      </c>
      <c r="AC712" s="165">
        <v>599.5</v>
      </c>
      <c r="AD712" s="165">
        <v>1579968153</v>
      </c>
      <c r="AE712" s="165">
        <v>2635476.4854045035</v>
      </c>
      <c r="AF712" s="166">
        <v>815651511</v>
      </c>
      <c r="AG712" s="124">
        <v>945961477</v>
      </c>
      <c r="AH712" s="125">
        <v>117.33333333333331</v>
      </c>
      <c r="AI712" s="133">
        <v>1</v>
      </c>
      <c r="AJ712" s="133">
        <v>1</v>
      </c>
      <c r="AK712" s="126">
        <v>0.15</v>
      </c>
      <c r="AL712" s="126">
        <v>1.0042989420705517</v>
      </c>
      <c r="AM712" s="14">
        <v>1</v>
      </c>
      <c r="AN712" s="122">
        <v>0</v>
      </c>
      <c r="AO712" s="131">
        <v>663660.15969581751</v>
      </c>
      <c r="AP712" s="131">
        <v>972155.93327773141</v>
      </c>
      <c r="AQ712" s="131">
        <v>308495.77358191391</v>
      </c>
      <c r="AR712" s="130">
        <v>0.46483997732108873</v>
      </c>
    </row>
    <row r="713" spans="1:44" ht="43.2" x14ac:dyDescent="0.3">
      <c r="A713" s="136" t="s">
        <v>975</v>
      </c>
      <c r="B713" s="137" t="s">
        <v>5484</v>
      </c>
      <c r="C713" s="134">
        <v>2020</v>
      </c>
      <c r="D713" s="149" t="s">
        <v>1120</v>
      </c>
      <c r="E713" s="135" t="s">
        <v>1117</v>
      </c>
      <c r="F713" s="384" t="s">
        <v>254</v>
      </c>
      <c r="G713" s="138" t="s">
        <v>4773</v>
      </c>
      <c r="H713" s="138" t="s">
        <v>4651</v>
      </c>
      <c r="I713" s="138" t="s">
        <v>4612</v>
      </c>
      <c r="J713" s="135" t="s">
        <v>4778</v>
      </c>
      <c r="K713" s="164">
        <v>623556537</v>
      </c>
      <c r="L713" s="165">
        <v>369739058</v>
      </c>
      <c r="M713" s="165">
        <v>267903785</v>
      </c>
      <c r="N713" s="165">
        <v>49864467</v>
      </c>
      <c r="O713" s="165">
        <v>235966400</v>
      </c>
      <c r="P713" s="165">
        <v>74420213</v>
      </c>
      <c r="Q713" s="165">
        <v>10523802</v>
      </c>
      <c r="R713" s="165">
        <v>1035.25</v>
      </c>
      <c r="S713" s="165">
        <v>356688576</v>
      </c>
      <c r="T713" s="165">
        <v>344543.42042984784</v>
      </c>
      <c r="U713" s="166">
        <v>-14086306</v>
      </c>
      <c r="V713" s="168">
        <v>651928424</v>
      </c>
      <c r="W713" s="165">
        <v>422836028</v>
      </c>
      <c r="X713" s="165">
        <v>364581362</v>
      </c>
      <c r="Y713" s="165">
        <v>47900335</v>
      </c>
      <c r="Z713" s="165">
        <v>265554425.90000001</v>
      </c>
      <c r="AA713" s="165">
        <v>79619003.970000014</v>
      </c>
      <c r="AB713" s="165">
        <v>14160504</v>
      </c>
      <c r="AC713" s="165">
        <v>1007.1666666666666</v>
      </c>
      <c r="AD713" s="165">
        <v>271745302.87</v>
      </c>
      <c r="AE713" s="165">
        <v>269811.65269237134</v>
      </c>
      <c r="AF713" s="166">
        <v>-135488966</v>
      </c>
      <c r="AG713" s="124">
        <v>-84943273.129999995</v>
      </c>
      <c r="AH713" s="125">
        <v>-28.083333333333371</v>
      </c>
      <c r="AI713" s="133">
        <v>0</v>
      </c>
      <c r="AJ713" s="133">
        <v>0</v>
      </c>
      <c r="AK713" s="126">
        <v>0.1</v>
      </c>
      <c r="AL713" s="126">
        <v>-0.21690087710860928</v>
      </c>
      <c r="AM713" s="14">
        <v>0</v>
      </c>
      <c r="AN713" s="122">
        <v>-1</v>
      </c>
      <c r="AO713" s="131">
        <v>227931.80391209852</v>
      </c>
      <c r="AP713" s="131">
        <v>263664.82796624192</v>
      </c>
      <c r="AQ713" s="131">
        <v>35733.024054143403</v>
      </c>
      <c r="AR713" s="130">
        <v>0.15677068070730393</v>
      </c>
    </row>
    <row r="714" spans="1:44" ht="43.2" x14ac:dyDescent="0.3">
      <c r="A714" s="136" t="s">
        <v>976</v>
      </c>
      <c r="B714" s="137" t="s">
        <v>5485</v>
      </c>
      <c r="C714" s="134">
        <v>2020</v>
      </c>
      <c r="D714" s="149" t="s">
        <v>1120</v>
      </c>
      <c r="E714" s="135" t="s">
        <v>1117</v>
      </c>
      <c r="F714" s="384" t="s">
        <v>254</v>
      </c>
      <c r="G714" s="138" t="s">
        <v>4773</v>
      </c>
      <c r="H714" s="138" t="s">
        <v>2975</v>
      </c>
      <c r="I714" s="138" t="s">
        <v>1566</v>
      </c>
      <c r="J714" s="135" t="s">
        <v>4774</v>
      </c>
      <c r="K714" s="164">
        <v>1219548925</v>
      </c>
      <c r="L714" s="165">
        <v>1144099431</v>
      </c>
      <c r="M714" s="165">
        <v>15848908</v>
      </c>
      <c r="N714" s="165">
        <v>14523960</v>
      </c>
      <c r="O714" s="165">
        <v>55488114.549999997</v>
      </c>
      <c r="P714" s="165">
        <v>12180726.310000001</v>
      </c>
      <c r="Q714" s="165">
        <v>878644</v>
      </c>
      <c r="R714" s="165">
        <v>138.16666666666666</v>
      </c>
      <c r="S714" s="165">
        <v>142672030.85999998</v>
      </c>
      <c r="T714" s="165">
        <v>1032608.1847527141</v>
      </c>
      <c r="U714" s="166">
        <v>59600586</v>
      </c>
      <c r="V714" s="168">
        <v>1234823154</v>
      </c>
      <c r="W714" s="165">
        <v>623242013</v>
      </c>
      <c r="X714" s="165">
        <v>548638482</v>
      </c>
      <c r="Y714" s="165">
        <v>27500974</v>
      </c>
      <c r="Z714" s="165">
        <v>62926360.32</v>
      </c>
      <c r="AA714" s="165">
        <v>12709109.059999999</v>
      </c>
      <c r="AB714" s="165">
        <v>2182376</v>
      </c>
      <c r="AC714" s="165">
        <v>156.83333333333334</v>
      </c>
      <c r="AD714" s="165">
        <v>168261478.38</v>
      </c>
      <c r="AE714" s="165">
        <v>1072868.0874388947</v>
      </c>
      <c r="AF714" s="166">
        <v>62942659</v>
      </c>
      <c r="AG714" s="124">
        <v>25589447.520000011</v>
      </c>
      <c r="AH714" s="125">
        <v>18.666666666666686</v>
      </c>
      <c r="AI714" s="133">
        <v>0</v>
      </c>
      <c r="AJ714" s="133">
        <v>0</v>
      </c>
      <c r="AK714" s="126">
        <v>0.1</v>
      </c>
      <c r="AL714" s="126">
        <v>3.8988563890710148E-2</v>
      </c>
      <c r="AM714" s="14">
        <v>0</v>
      </c>
      <c r="AN714" s="122">
        <v>-1</v>
      </c>
      <c r="AO714" s="131">
        <v>401602.75910735829</v>
      </c>
      <c r="AP714" s="131">
        <v>401230.77781083953</v>
      </c>
      <c r="AQ714" s="131">
        <v>-371.98129651875934</v>
      </c>
      <c r="AR714" s="130">
        <v>-9.2624188475587399E-4</v>
      </c>
    </row>
    <row r="715" spans="1:44" ht="43.2" x14ac:dyDescent="0.3">
      <c r="A715" s="136" t="s">
        <v>977</v>
      </c>
      <c r="B715" s="137" t="s">
        <v>5486</v>
      </c>
      <c r="C715" s="134">
        <v>2019</v>
      </c>
      <c r="D715" s="149" t="s">
        <v>1125</v>
      </c>
      <c r="E715" s="135" t="s">
        <v>1117</v>
      </c>
      <c r="F715" s="384" t="s">
        <v>978</v>
      </c>
      <c r="G715" s="138" t="s">
        <v>4773</v>
      </c>
      <c r="H715" s="138" t="s">
        <v>2967</v>
      </c>
      <c r="I715" s="138" t="s">
        <v>1566</v>
      </c>
      <c r="J715" s="135" t="s">
        <v>4778</v>
      </c>
      <c r="K715" s="164">
        <v>1857781884</v>
      </c>
      <c r="L715" s="165">
        <v>881033621</v>
      </c>
      <c r="M715" s="165">
        <v>924130864</v>
      </c>
      <c r="N715" s="165">
        <v>67941834</v>
      </c>
      <c r="O715" s="165">
        <v>559049014</v>
      </c>
      <c r="P715" s="165">
        <v>134881537</v>
      </c>
      <c r="Q715" s="165">
        <v>2518100</v>
      </c>
      <c r="R715" s="165">
        <v>982.83333333333337</v>
      </c>
      <c r="S715" s="165">
        <v>817007884</v>
      </c>
      <c r="T715" s="165">
        <v>831278.15906393074</v>
      </c>
      <c r="U715" s="166">
        <v>52617399</v>
      </c>
      <c r="V715" s="168">
        <v>2236369226</v>
      </c>
      <c r="W715" s="165">
        <v>1228269597</v>
      </c>
      <c r="X715" s="165">
        <v>959693732</v>
      </c>
      <c r="Y715" s="165">
        <v>58987727</v>
      </c>
      <c r="Z715" s="165">
        <v>625970651.69000006</v>
      </c>
      <c r="AA715" s="165">
        <v>163117884.72</v>
      </c>
      <c r="AB715" s="165">
        <v>2383598</v>
      </c>
      <c r="AC715" s="165">
        <v>933.33333333333337</v>
      </c>
      <c r="AD715" s="165">
        <v>898865758.41000009</v>
      </c>
      <c r="AE715" s="165">
        <v>963070.45543928572</v>
      </c>
      <c r="AF715" s="166">
        <v>48405897</v>
      </c>
      <c r="AG715" s="124">
        <v>81857874.410000086</v>
      </c>
      <c r="AH715" s="125">
        <v>-49.5</v>
      </c>
      <c r="AI715" s="133">
        <v>1</v>
      </c>
      <c r="AJ715" s="133">
        <v>0</v>
      </c>
      <c r="AK715" s="126">
        <v>0.15</v>
      </c>
      <c r="AL715" s="126">
        <v>0.15854175694932238</v>
      </c>
      <c r="AM715" s="14">
        <v>1</v>
      </c>
      <c r="AN715" s="122">
        <v>0</v>
      </c>
      <c r="AO715" s="131">
        <v>568813.64829574362</v>
      </c>
      <c r="AP715" s="131">
        <v>670682.84109642857</v>
      </c>
      <c r="AQ715" s="131">
        <v>101869.19280068495</v>
      </c>
      <c r="AR715" s="130">
        <v>0.17909062679121934</v>
      </c>
    </row>
    <row r="716" spans="1:44" ht="28.8" x14ac:dyDescent="0.3">
      <c r="A716" s="136" t="s">
        <v>979</v>
      </c>
      <c r="B716" s="137" t="s">
        <v>5487</v>
      </c>
      <c r="C716" s="134">
        <v>2019</v>
      </c>
      <c r="D716" s="149" t="s">
        <v>1125</v>
      </c>
      <c r="E716" s="135" t="s">
        <v>1117</v>
      </c>
      <c r="F716" s="384" t="s">
        <v>978</v>
      </c>
      <c r="G716" s="138" t="s">
        <v>4773</v>
      </c>
      <c r="H716" s="138" t="s">
        <v>2996</v>
      </c>
      <c r="I716" s="138" t="s">
        <v>1566</v>
      </c>
      <c r="J716" s="135" t="s">
        <v>4774</v>
      </c>
      <c r="K716" s="164">
        <v>3545609454</v>
      </c>
      <c r="L716" s="165">
        <v>2805324971</v>
      </c>
      <c r="M716" s="165">
        <v>575841977</v>
      </c>
      <c r="N716" s="165">
        <v>92952347</v>
      </c>
      <c r="O716" s="165">
        <v>228250207</v>
      </c>
      <c r="P716" s="165">
        <v>56769390</v>
      </c>
      <c r="Q716" s="165">
        <v>10965952</v>
      </c>
      <c r="R716" s="165">
        <v>272.83333333333331</v>
      </c>
      <c r="S716" s="165">
        <v>553380402</v>
      </c>
      <c r="T716" s="165">
        <v>2028272.7012828346</v>
      </c>
      <c r="U716" s="166">
        <v>164442506</v>
      </c>
      <c r="V716" s="168">
        <v>5420537860</v>
      </c>
      <c r="W716" s="165">
        <v>4372189801</v>
      </c>
      <c r="X716" s="165">
        <v>630960762</v>
      </c>
      <c r="Y716" s="165">
        <v>100921742</v>
      </c>
      <c r="Z716" s="165">
        <v>270801612.94</v>
      </c>
      <c r="AA716" s="165">
        <v>72842321.850000009</v>
      </c>
      <c r="AB716" s="165">
        <v>10168791</v>
      </c>
      <c r="AC716" s="165">
        <v>306</v>
      </c>
      <c r="AD716" s="165">
        <v>872121764.79000008</v>
      </c>
      <c r="AE716" s="165">
        <v>2850071.1267647063</v>
      </c>
      <c r="AF716" s="166">
        <v>417387297</v>
      </c>
      <c r="AG716" s="124">
        <v>318741362.79000008</v>
      </c>
      <c r="AH716" s="125">
        <v>33.166666666666686</v>
      </c>
      <c r="AI716" s="133">
        <v>1</v>
      </c>
      <c r="AJ716" s="133">
        <v>1</v>
      </c>
      <c r="AK716" s="126">
        <v>0.15</v>
      </c>
      <c r="AL716" s="126">
        <v>0.40517156790603148</v>
      </c>
      <c r="AM716" s="14">
        <v>1</v>
      </c>
      <c r="AN716" s="122">
        <v>0</v>
      </c>
      <c r="AO716" s="131">
        <v>836592.08430054982</v>
      </c>
      <c r="AP716" s="131">
        <v>884972.59130718955</v>
      </c>
      <c r="AQ716" s="131">
        <v>48380.507006639731</v>
      </c>
      <c r="AR716" s="130">
        <v>5.7830462317951747E-2</v>
      </c>
    </row>
    <row r="717" spans="1:44" ht="28.8" x14ac:dyDescent="0.3">
      <c r="A717" s="136" t="s">
        <v>980</v>
      </c>
      <c r="B717" s="137" t="s">
        <v>5488</v>
      </c>
      <c r="C717" s="134">
        <v>2019</v>
      </c>
      <c r="D717" s="149" t="s">
        <v>1111</v>
      </c>
      <c r="E717" s="135" t="s">
        <v>1108</v>
      </c>
      <c r="F717" s="384" t="s">
        <v>566</v>
      </c>
      <c r="G717" s="138" t="s">
        <v>4773</v>
      </c>
      <c r="H717" s="138" t="s">
        <v>2212</v>
      </c>
      <c r="I717" s="138" t="s">
        <v>1566</v>
      </c>
      <c r="J717" s="135" t="s">
        <v>4774</v>
      </c>
      <c r="K717" s="164">
        <v>463283938</v>
      </c>
      <c r="L717" s="165">
        <v>383625049</v>
      </c>
      <c r="M717" s="165">
        <v>58735060</v>
      </c>
      <c r="N717" s="165">
        <v>17112557</v>
      </c>
      <c r="O717" s="165">
        <v>20433311.5</v>
      </c>
      <c r="P717" s="165">
        <v>6086343.9400000004</v>
      </c>
      <c r="Q717" s="165">
        <v>575005</v>
      </c>
      <c r="R717" s="165">
        <v>126.25</v>
      </c>
      <c r="S717" s="165">
        <v>65131046.439999998</v>
      </c>
      <c r="T717" s="165">
        <v>515889.47675247525</v>
      </c>
      <c r="U717" s="166">
        <v>20923829</v>
      </c>
      <c r="V717" s="168">
        <v>896539321</v>
      </c>
      <c r="W717" s="165">
        <v>764326453</v>
      </c>
      <c r="X717" s="165">
        <v>92563896</v>
      </c>
      <c r="Y717" s="165">
        <v>13140777</v>
      </c>
      <c r="Z717" s="165">
        <v>24921410.219999999</v>
      </c>
      <c r="AA717" s="165">
        <v>7357240.5800000001</v>
      </c>
      <c r="AB717" s="165">
        <v>466917</v>
      </c>
      <c r="AC717" s="165">
        <v>118.25</v>
      </c>
      <c r="AD717" s="165">
        <v>85535316.799999997</v>
      </c>
      <c r="AE717" s="165">
        <v>723343.05961945024</v>
      </c>
      <c r="AF717" s="166">
        <v>39648972</v>
      </c>
      <c r="AG717" s="124">
        <v>20404270.359999999</v>
      </c>
      <c r="AH717" s="125">
        <v>-8</v>
      </c>
      <c r="AI717" s="133">
        <v>1</v>
      </c>
      <c r="AJ717" s="133">
        <v>0</v>
      </c>
      <c r="AK717" s="126">
        <v>0.15</v>
      </c>
      <c r="AL717" s="126">
        <v>0.40212795190163608</v>
      </c>
      <c r="AM717" s="14">
        <v>1</v>
      </c>
      <c r="AN717" s="122">
        <v>0</v>
      </c>
      <c r="AO717" s="131">
        <v>161848.01188118811</v>
      </c>
      <c r="AP717" s="131">
        <v>210751.88346723042</v>
      </c>
      <c r="AQ717" s="131">
        <v>48903.871586042311</v>
      </c>
      <c r="AR717" s="130">
        <v>0.30215923580168802</v>
      </c>
    </row>
    <row r="718" spans="1:44" ht="28.8" x14ac:dyDescent="0.3">
      <c r="A718" s="136" t="s">
        <v>981</v>
      </c>
      <c r="B718" s="137" t="s">
        <v>5489</v>
      </c>
      <c r="C718" s="134">
        <v>2019</v>
      </c>
      <c r="D718" s="149" t="s">
        <v>1111</v>
      </c>
      <c r="E718" s="135" t="s">
        <v>1108</v>
      </c>
      <c r="F718" s="384" t="s">
        <v>566</v>
      </c>
      <c r="G718" s="138" t="s">
        <v>4773</v>
      </c>
      <c r="H718" s="138" t="s">
        <v>2599</v>
      </c>
      <c r="I718" s="138" t="s">
        <v>1566</v>
      </c>
      <c r="J718" s="135" t="s">
        <v>4774</v>
      </c>
      <c r="K718" s="164">
        <v>954541390</v>
      </c>
      <c r="L718" s="165">
        <v>762048272</v>
      </c>
      <c r="M718" s="165">
        <v>68276008</v>
      </c>
      <c r="N718" s="165">
        <v>55632251</v>
      </c>
      <c r="O718" s="165">
        <v>71981451.760000005</v>
      </c>
      <c r="P718" s="165">
        <v>19894221.190000001</v>
      </c>
      <c r="Q718" s="165">
        <v>387097</v>
      </c>
      <c r="R718" s="165">
        <v>112.33333333333333</v>
      </c>
      <c r="S718" s="165">
        <v>272112130.94999999</v>
      </c>
      <c r="T718" s="165">
        <v>2422363.1835311572</v>
      </c>
      <c r="U718" s="166">
        <v>124217110</v>
      </c>
      <c r="V718" s="168">
        <v>1805939283</v>
      </c>
      <c r="W718" s="165">
        <v>1380321596</v>
      </c>
      <c r="X718" s="165">
        <v>112840009</v>
      </c>
      <c r="Y718" s="165">
        <v>99565258</v>
      </c>
      <c r="Z718" s="165">
        <v>99142983.579999998</v>
      </c>
      <c r="AA718" s="165">
        <v>17606798.129999999</v>
      </c>
      <c r="AB718" s="165">
        <v>748519</v>
      </c>
      <c r="AC718" s="165">
        <v>143.91666666666666</v>
      </c>
      <c r="AD718" s="165">
        <v>529841236.70999998</v>
      </c>
      <c r="AE718" s="165">
        <v>3681583.5787608572</v>
      </c>
      <c r="AF718" s="166">
        <v>312777678</v>
      </c>
      <c r="AG718" s="124">
        <v>257729105.75999999</v>
      </c>
      <c r="AH718" s="125">
        <v>31.583333333333329</v>
      </c>
      <c r="AI718" s="133">
        <v>1</v>
      </c>
      <c r="AJ718" s="133">
        <v>1</v>
      </c>
      <c r="AK718" s="126">
        <v>0.15</v>
      </c>
      <c r="AL718" s="126">
        <v>0.51983138217944669</v>
      </c>
      <c r="AM718" s="14">
        <v>1</v>
      </c>
      <c r="AN718" s="122">
        <v>0</v>
      </c>
      <c r="AO718" s="131">
        <v>640784.43703264103</v>
      </c>
      <c r="AP718" s="131">
        <v>688891.60565141868</v>
      </c>
      <c r="AQ718" s="131">
        <v>48107.16861877765</v>
      </c>
      <c r="AR718" s="130">
        <v>7.5075432296004996E-2</v>
      </c>
    </row>
    <row r="719" spans="1:44" ht="28.8" x14ac:dyDescent="0.3">
      <c r="A719" s="136" t="s">
        <v>982</v>
      </c>
      <c r="B719" s="137" t="s">
        <v>5490</v>
      </c>
      <c r="C719" s="134">
        <v>2020</v>
      </c>
      <c r="D719" s="149" t="s">
        <v>5182</v>
      </c>
      <c r="E719" s="135" t="s">
        <v>1108</v>
      </c>
      <c r="F719" s="384" t="s">
        <v>566</v>
      </c>
      <c r="G719" s="138" t="s">
        <v>4796</v>
      </c>
      <c r="H719" s="138" t="s">
        <v>1706</v>
      </c>
      <c r="I719" s="138" t="s">
        <v>1566</v>
      </c>
      <c r="J719" s="135" t="s">
        <v>4774</v>
      </c>
      <c r="K719" s="164">
        <v>1237054786</v>
      </c>
      <c r="L719" s="165">
        <v>1132912120</v>
      </c>
      <c r="M719" s="165">
        <v>146003988</v>
      </c>
      <c r="N719" s="165">
        <v>46525308</v>
      </c>
      <c r="O719" s="165">
        <v>72019313.189999998</v>
      </c>
      <c r="P719" s="165">
        <v>21469809.280000001</v>
      </c>
      <c r="Q719" s="165">
        <v>3205203</v>
      </c>
      <c r="R719" s="165">
        <v>313.83333333333331</v>
      </c>
      <c r="S719" s="165">
        <v>101358311.47</v>
      </c>
      <c r="T719" s="165">
        <v>322968.59735528415</v>
      </c>
      <c r="U719" s="166">
        <v>-41861322</v>
      </c>
      <c r="V719" s="168">
        <v>1442799473</v>
      </c>
      <c r="W719" s="165">
        <v>1257896093</v>
      </c>
      <c r="X719" s="165">
        <v>155822062</v>
      </c>
      <c r="Y719" s="165">
        <v>50033065</v>
      </c>
      <c r="Z719" s="165">
        <v>73612420.310000002</v>
      </c>
      <c r="AA719" s="165">
        <v>21972799.210000001</v>
      </c>
      <c r="AB719" s="165">
        <v>4134130</v>
      </c>
      <c r="AC719" s="165">
        <v>318.41666666666669</v>
      </c>
      <c r="AD719" s="165">
        <v>178833732.52000001</v>
      </c>
      <c r="AE719" s="165">
        <v>561634.33400680451</v>
      </c>
      <c r="AF719" s="166">
        <v>29081318</v>
      </c>
      <c r="AG719" s="124">
        <v>77475421.050000012</v>
      </c>
      <c r="AH719" s="125">
        <v>4.5833333333333712</v>
      </c>
      <c r="AI719" s="133">
        <v>1</v>
      </c>
      <c r="AJ719" s="133">
        <v>1</v>
      </c>
      <c r="AK719" s="126">
        <v>0.05</v>
      </c>
      <c r="AL719" s="126">
        <v>0.73897502729367504</v>
      </c>
      <c r="AM719" s="14">
        <v>1</v>
      </c>
      <c r="AN719" s="122">
        <v>0</v>
      </c>
      <c r="AO719" s="131">
        <v>229482.67612320767</v>
      </c>
      <c r="AP719" s="131">
        <v>231182.68613451975</v>
      </c>
      <c r="AQ719" s="131">
        <v>1700.0100113120861</v>
      </c>
      <c r="AR719" s="130">
        <v>7.4080102255709157E-3</v>
      </c>
    </row>
    <row r="720" spans="1:44" ht="28.8" x14ac:dyDescent="0.3">
      <c r="A720" s="136" t="s">
        <v>983</v>
      </c>
      <c r="B720" s="137" t="s">
        <v>5491</v>
      </c>
      <c r="C720" s="134">
        <v>2020</v>
      </c>
      <c r="D720" s="149" t="s">
        <v>5182</v>
      </c>
      <c r="E720" s="135" t="s">
        <v>1108</v>
      </c>
      <c r="F720" s="384" t="s">
        <v>566</v>
      </c>
      <c r="G720" s="138" t="s">
        <v>4796</v>
      </c>
      <c r="H720" s="138" t="s">
        <v>2276</v>
      </c>
      <c r="I720" s="138" t="s">
        <v>1566</v>
      </c>
      <c r="J720" s="135" t="s">
        <v>4778</v>
      </c>
      <c r="K720" s="164">
        <v>1716140596</v>
      </c>
      <c r="L720" s="165">
        <v>1392077460</v>
      </c>
      <c r="M720" s="165">
        <v>266404639</v>
      </c>
      <c r="N720" s="165">
        <v>38813464</v>
      </c>
      <c r="O720" s="165">
        <v>105352788</v>
      </c>
      <c r="P720" s="165">
        <v>26428055</v>
      </c>
      <c r="Q720" s="165">
        <v>1159969</v>
      </c>
      <c r="R720" s="165">
        <v>218.91666666666666</v>
      </c>
      <c r="S720" s="165">
        <v>229412773</v>
      </c>
      <c r="T720" s="165">
        <v>1047945.6703464028</v>
      </c>
      <c r="U720" s="166">
        <v>57658497</v>
      </c>
      <c r="V720" s="168">
        <v>2332270567</v>
      </c>
      <c r="W720" s="165">
        <v>2085305538</v>
      </c>
      <c r="X720" s="165">
        <v>291605586</v>
      </c>
      <c r="Y720" s="165">
        <v>74677979</v>
      </c>
      <c r="Z720" s="165">
        <v>111223720.97</v>
      </c>
      <c r="AA720" s="165">
        <v>20953542.5</v>
      </c>
      <c r="AB720" s="165">
        <v>1831943</v>
      </c>
      <c r="AC720" s="165">
        <v>216.83333333333334</v>
      </c>
      <c r="AD720" s="165">
        <v>164046628.47</v>
      </c>
      <c r="AE720" s="165">
        <v>756556.31884704065</v>
      </c>
      <c r="AF720" s="166">
        <v>-44640557</v>
      </c>
      <c r="AG720" s="124">
        <v>-65366144.530000001</v>
      </c>
      <c r="AH720" s="125">
        <v>-2.0833333333333144</v>
      </c>
      <c r="AI720" s="133">
        <v>0</v>
      </c>
      <c r="AJ720" s="133">
        <v>0</v>
      </c>
      <c r="AK720" s="126">
        <v>0.05</v>
      </c>
      <c r="AL720" s="126">
        <v>-0.27805768785704332</v>
      </c>
      <c r="AM720" s="14">
        <v>0</v>
      </c>
      <c r="AN720" s="122">
        <v>-1</v>
      </c>
      <c r="AO720" s="131">
        <v>481246.08146174345</v>
      </c>
      <c r="AP720" s="131">
        <v>512945.6770330515</v>
      </c>
      <c r="AQ720" s="131">
        <v>31699.595571308048</v>
      </c>
      <c r="AR720" s="130">
        <v>6.5869825838421825E-2</v>
      </c>
    </row>
    <row r="721" spans="1:44" ht="28.8" x14ac:dyDescent="0.3">
      <c r="A721" s="136" t="s">
        <v>984</v>
      </c>
      <c r="B721" s="137" t="s">
        <v>5492</v>
      </c>
      <c r="C721" s="134">
        <v>2019</v>
      </c>
      <c r="D721" s="149" t="s">
        <v>1161</v>
      </c>
      <c r="E721" s="135" t="s">
        <v>1152</v>
      </c>
      <c r="F721" s="384" t="s">
        <v>985</v>
      </c>
      <c r="G721" s="138" t="s">
        <v>4773</v>
      </c>
      <c r="H721" s="138" t="s">
        <v>3577</v>
      </c>
      <c r="I721" s="138" t="s">
        <v>3557</v>
      </c>
      <c r="J721" s="135" t="s">
        <v>4774</v>
      </c>
      <c r="K721" s="164">
        <v>1194977028</v>
      </c>
      <c r="L721" s="165">
        <v>953207263</v>
      </c>
      <c r="M721" s="165">
        <v>75071467</v>
      </c>
      <c r="N721" s="165">
        <v>6904315</v>
      </c>
      <c r="O721" s="165">
        <v>163088721</v>
      </c>
      <c r="P721" s="165">
        <v>43005724</v>
      </c>
      <c r="Q721" s="165">
        <v>11617</v>
      </c>
      <c r="R721" s="165">
        <v>370.41666666666669</v>
      </c>
      <c r="S721" s="165">
        <v>379708675</v>
      </c>
      <c r="T721" s="165">
        <v>1025085.286839145</v>
      </c>
      <c r="U721" s="166">
        <v>166698298</v>
      </c>
      <c r="V721" s="168">
        <v>787554559</v>
      </c>
      <c r="W721" s="165">
        <v>767032955</v>
      </c>
      <c r="X721" s="165">
        <v>73319468</v>
      </c>
      <c r="Y721" s="165">
        <v>7191463</v>
      </c>
      <c r="Z721" s="165">
        <v>163734194</v>
      </c>
      <c r="AA721" s="165">
        <v>50448552</v>
      </c>
      <c r="AB721" s="165">
        <v>2646</v>
      </c>
      <c r="AC721" s="165">
        <v>352.08333333333331</v>
      </c>
      <c r="AD721" s="165">
        <v>168578991</v>
      </c>
      <c r="AE721" s="165">
        <v>478804.23479289946</v>
      </c>
      <c r="AF721" s="166">
        <v>-52797864</v>
      </c>
      <c r="AG721" s="124">
        <v>-211129684</v>
      </c>
      <c r="AH721" s="125">
        <v>-18.333333333333371</v>
      </c>
      <c r="AI721" s="133">
        <v>0</v>
      </c>
      <c r="AJ721" s="133">
        <v>0</v>
      </c>
      <c r="AK721" s="126">
        <v>0.15</v>
      </c>
      <c r="AL721" s="126">
        <v>-0.53291278816419263</v>
      </c>
      <c r="AM721" s="14">
        <v>0</v>
      </c>
      <c r="AN721" s="122">
        <v>-1</v>
      </c>
      <c r="AO721" s="131">
        <v>440284.51113610796</v>
      </c>
      <c r="AP721" s="131">
        <v>465043.86461538466</v>
      </c>
      <c r="AQ721" s="131">
        <v>24759.353479276702</v>
      </c>
      <c r="AR721" s="130">
        <v>5.6234895511967364E-2</v>
      </c>
    </row>
    <row r="722" spans="1:44" ht="28.8" x14ac:dyDescent="0.3">
      <c r="A722" s="136" t="s">
        <v>986</v>
      </c>
      <c r="B722" s="137" t="s">
        <v>5493</v>
      </c>
      <c r="C722" s="134">
        <v>2020</v>
      </c>
      <c r="D722" s="149" t="s">
        <v>1161</v>
      </c>
      <c r="E722" s="135" t="s">
        <v>1152</v>
      </c>
      <c r="F722" s="384" t="s">
        <v>985</v>
      </c>
      <c r="G722" s="138" t="s">
        <v>4773</v>
      </c>
      <c r="H722" s="138" t="s">
        <v>1348</v>
      </c>
      <c r="I722" s="138" t="s">
        <v>1217</v>
      </c>
      <c r="J722" s="135" t="s">
        <v>4774</v>
      </c>
      <c r="K722" s="164">
        <v>992898202</v>
      </c>
      <c r="L722" s="165">
        <v>962025186</v>
      </c>
      <c r="M722" s="165">
        <v>23308454</v>
      </c>
      <c r="N722" s="165">
        <v>148716365</v>
      </c>
      <c r="O722" s="165">
        <v>190756316</v>
      </c>
      <c r="P722" s="165">
        <v>50335962</v>
      </c>
      <c r="Q722" s="165">
        <v>0</v>
      </c>
      <c r="R722" s="165">
        <v>512.08333333333337</v>
      </c>
      <c r="S722" s="165">
        <v>397373205</v>
      </c>
      <c r="T722" s="165">
        <v>775993.24003254669</v>
      </c>
      <c r="U722" s="166">
        <v>7564562</v>
      </c>
      <c r="V722" s="168">
        <v>1096952348</v>
      </c>
      <c r="W722" s="165">
        <v>1070924272</v>
      </c>
      <c r="X722" s="165">
        <v>0</v>
      </c>
      <c r="Y722" s="165">
        <v>161283270</v>
      </c>
      <c r="Z722" s="165">
        <v>191162375</v>
      </c>
      <c r="AA722" s="165">
        <v>58100757</v>
      </c>
      <c r="AB722" s="165">
        <v>0</v>
      </c>
      <c r="AC722" s="165">
        <v>480.58333333333331</v>
      </c>
      <c r="AD722" s="165">
        <v>436574478</v>
      </c>
      <c r="AE722" s="165">
        <v>908426.17235997925</v>
      </c>
      <c r="AF722" s="166">
        <v>26028076</v>
      </c>
      <c r="AG722" s="124">
        <v>39201273</v>
      </c>
      <c r="AH722" s="125">
        <v>-31.500000000000057</v>
      </c>
      <c r="AI722" s="133">
        <v>1</v>
      </c>
      <c r="AJ722" s="133">
        <v>1</v>
      </c>
      <c r="AK722" s="126">
        <v>0.1</v>
      </c>
      <c r="AL722" s="126">
        <v>0.17066247896695597</v>
      </c>
      <c r="AM722" s="14">
        <v>1</v>
      </c>
      <c r="AN722" s="122">
        <v>0</v>
      </c>
      <c r="AO722" s="131">
        <v>372510.29975589906</v>
      </c>
      <c r="AP722" s="131">
        <v>397771.54499739903</v>
      </c>
      <c r="AQ722" s="131">
        <v>25261.245241499972</v>
      </c>
      <c r="AR722" s="130">
        <v>6.7813548398670598E-2</v>
      </c>
    </row>
    <row r="723" spans="1:44" ht="28.8" x14ac:dyDescent="0.3">
      <c r="A723" s="136" t="s">
        <v>987</v>
      </c>
      <c r="B723" s="137" t="s">
        <v>5494</v>
      </c>
      <c r="C723" s="134">
        <v>2018</v>
      </c>
      <c r="D723" s="149" t="s">
        <v>1187</v>
      </c>
      <c r="E723" s="135" t="s">
        <v>1175</v>
      </c>
      <c r="F723" s="384" t="s">
        <v>985</v>
      </c>
      <c r="G723" s="138" t="s">
        <v>4773</v>
      </c>
      <c r="H723" s="138" t="s">
        <v>1401</v>
      </c>
      <c r="I723" s="138" t="s">
        <v>1217</v>
      </c>
      <c r="J723" s="135" t="s">
        <v>4774</v>
      </c>
      <c r="K723" s="164">
        <v>1223930000</v>
      </c>
      <c r="L723" s="165">
        <v>1115078000</v>
      </c>
      <c r="M723" s="165">
        <v>109125000</v>
      </c>
      <c r="N723" s="165">
        <v>209689000</v>
      </c>
      <c r="O723" s="165">
        <v>99987000</v>
      </c>
      <c r="P723" s="165">
        <v>29137000</v>
      </c>
      <c r="Q723" s="165">
        <v>5330000</v>
      </c>
      <c r="R723" s="165">
        <v>456.25</v>
      </c>
      <c r="S723" s="165">
        <v>343870000</v>
      </c>
      <c r="T723" s="165">
        <v>753687.67123287672</v>
      </c>
      <c r="U723" s="166">
        <v>-273000</v>
      </c>
      <c r="V723" s="168">
        <v>1518203231</v>
      </c>
      <c r="W723" s="165">
        <v>1267290304</v>
      </c>
      <c r="X723" s="165">
        <v>131666525</v>
      </c>
      <c r="Y723" s="165">
        <v>97925478</v>
      </c>
      <c r="Z723" s="165">
        <v>94769982.670000002</v>
      </c>
      <c r="AA723" s="165">
        <v>28491354.400000002</v>
      </c>
      <c r="AB723" s="165">
        <v>8502748</v>
      </c>
      <c r="AC723" s="165">
        <v>451.91666666666669</v>
      </c>
      <c r="AD723" s="165">
        <v>348935965.06999999</v>
      </c>
      <c r="AE723" s="165">
        <v>772124.57695740357</v>
      </c>
      <c r="AF723" s="166">
        <v>119246402</v>
      </c>
      <c r="AG723" s="124">
        <v>5065965.0699999928</v>
      </c>
      <c r="AH723" s="125">
        <v>-4.3333333333333144</v>
      </c>
      <c r="AI723" s="133">
        <v>0</v>
      </c>
      <c r="AJ723" s="133">
        <v>0</v>
      </c>
      <c r="AK723" s="126">
        <v>0.3</v>
      </c>
      <c r="AL723" s="126">
        <v>2.4462268302730683E-2</v>
      </c>
      <c r="AM723" s="14">
        <v>0</v>
      </c>
      <c r="AN723" s="122">
        <v>-1</v>
      </c>
      <c r="AO723" s="131">
        <v>219149.5890410959</v>
      </c>
      <c r="AP723" s="131">
        <v>209706.76600405679</v>
      </c>
      <c r="AQ723" s="131">
        <v>-9442.8230370391102</v>
      </c>
      <c r="AR723" s="130">
        <v>-4.3088481609100171E-2</v>
      </c>
    </row>
    <row r="724" spans="1:44" ht="28.8" x14ac:dyDescent="0.3">
      <c r="A724" s="136" t="s">
        <v>988</v>
      </c>
      <c r="B724" s="137" t="s">
        <v>5495</v>
      </c>
      <c r="C724" s="134">
        <v>2019</v>
      </c>
      <c r="D724" s="149" t="s">
        <v>1187</v>
      </c>
      <c r="E724" s="135" t="s">
        <v>1175</v>
      </c>
      <c r="F724" s="384" t="s">
        <v>985</v>
      </c>
      <c r="G724" s="138" t="s">
        <v>4773</v>
      </c>
      <c r="H724" s="138" t="s">
        <v>1573</v>
      </c>
      <c r="I724" s="138" t="s">
        <v>1566</v>
      </c>
      <c r="J724" s="135" t="s">
        <v>4774</v>
      </c>
      <c r="K724" s="164">
        <v>712153232</v>
      </c>
      <c r="L724" s="165">
        <v>592802298</v>
      </c>
      <c r="M724" s="165">
        <v>61246846</v>
      </c>
      <c r="N724" s="165">
        <v>32545749</v>
      </c>
      <c r="O724" s="165">
        <v>29692311</v>
      </c>
      <c r="P724" s="165">
        <v>7510671</v>
      </c>
      <c r="Q724" s="165">
        <v>500406</v>
      </c>
      <c r="R724" s="165">
        <v>221.41666666666666</v>
      </c>
      <c r="S724" s="165">
        <v>128353225</v>
      </c>
      <c r="T724" s="165">
        <v>579690.89198344003</v>
      </c>
      <c r="U724" s="166">
        <v>58104088</v>
      </c>
      <c r="V724" s="168">
        <v>734393024</v>
      </c>
      <c r="W724" s="165">
        <v>578900049</v>
      </c>
      <c r="X724" s="165">
        <v>84579234</v>
      </c>
      <c r="Y724" s="165">
        <v>47518251</v>
      </c>
      <c r="Z724" s="165">
        <v>28754634</v>
      </c>
      <c r="AA724" s="165">
        <v>8609443.379999999</v>
      </c>
      <c r="AB724" s="165">
        <v>3124385</v>
      </c>
      <c r="AC724" s="165">
        <v>179.58333333333334</v>
      </c>
      <c r="AD724" s="165">
        <v>158920454.38</v>
      </c>
      <c r="AE724" s="165">
        <v>884939.88517865422</v>
      </c>
      <c r="AF724" s="166">
        <v>70913741</v>
      </c>
      <c r="AG724" s="124">
        <v>30567229.379999995</v>
      </c>
      <c r="AH724" s="125">
        <v>-41.833333333333314</v>
      </c>
      <c r="AI724" s="133">
        <v>1</v>
      </c>
      <c r="AJ724" s="133">
        <v>1</v>
      </c>
      <c r="AK724" s="126">
        <v>0.15</v>
      </c>
      <c r="AL724" s="126">
        <v>0.5265720149578339</v>
      </c>
      <c r="AM724" s="14">
        <v>1</v>
      </c>
      <c r="AN724" s="122">
        <v>0</v>
      </c>
      <c r="AO724" s="131">
        <v>134101.51750094091</v>
      </c>
      <c r="AP724" s="131">
        <v>160118.61160092807</v>
      </c>
      <c r="AQ724" s="131">
        <v>26017.094099987153</v>
      </c>
      <c r="AR724" s="130">
        <v>0.19401043765074921</v>
      </c>
    </row>
    <row r="725" spans="1:44" ht="28.8" x14ac:dyDescent="0.3">
      <c r="A725" s="136" t="s">
        <v>989</v>
      </c>
      <c r="B725" s="137" t="s">
        <v>5496</v>
      </c>
      <c r="C725" s="134">
        <v>2020</v>
      </c>
      <c r="D725" s="149" t="s">
        <v>1187</v>
      </c>
      <c r="E725" s="135" t="s">
        <v>1175</v>
      </c>
      <c r="F725" s="384" t="s">
        <v>985</v>
      </c>
      <c r="G725" s="138" t="s">
        <v>4773</v>
      </c>
      <c r="H725" s="138" t="s">
        <v>2902</v>
      </c>
      <c r="I725" s="138" t="s">
        <v>1566</v>
      </c>
      <c r="J725" s="135" t="s">
        <v>4798</v>
      </c>
      <c r="K725" s="164">
        <v>5590948294</v>
      </c>
      <c r="L725" s="165">
        <v>2385042623</v>
      </c>
      <c r="M725" s="165">
        <v>1116564294</v>
      </c>
      <c r="N725" s="165">
        <v>154438825</v>
      </c>
      <c r="O725" s="165">
        <v>998023632</v>
      </c>
      <c r="P725" s="165">
        <v>274723384</v>
      </c>
      <c r="Q725" s="165">
        <v>2861441</v>
      </c>
      <c r="R725" s="165">
        <v>1726.9166666666667</v>
      </c>
      <c r="S725" s="165">
        <v>3519388659</v>
      </c>
      <c r="T725" s="191">
        <v>2037960.9085557109</v>
      </c>
      <c r="U725" s="166">
        <v>2089341377</v>
      </c>
      <c r="V725" s="168">
        <v>6217510776</v>
      </c>
      <c r="W725" s="165">
        <v>3243774301</v>
      </c>
      <c r="X725" s="165">
        <v>1633038038</v>
      </c>
      <c r="Y725" s="165">
        <v>135350566</v>
      </c>
      <c r="Z725" s="165">
        <v>1102200272.1700001</v>
      </c>
      <c r="AA725" s="165">
        <v>317628596.35000002</v>
      </c>
      <c r="AB725" s="165">
        <v>2512943</v>
      </c>
      <c r="AC725" s="165">
        <v>1779.25</v>
      </c>
      <c r="AD725" s="165">
        <v>2898390814.52</v>
      </c>
      <c r="AE725" s="165">
        <v>1628995.8210032317</v>
      </c>
      <c r="AF725" s="166">
        <v>1340698437</v>
      </c>
      <c r="AG725" s="124">
        <v>-620997844.48000002</v>
      </c>
      <c r="AH725" s="125">
        <v>52.333333333333258</v>
      </c>
      <c r="AI725" s="133">
        <v>0</v>
      </c>
      <c r="AJ725" s="133">
        <v>0</v>
      </c>
      <c r="AK725" s="126">
        <v>0.1</v>
      </c>
      <c r="AL725" s="126">
        <v>-0.20067366748462312</v>
      </c>
      <c r="AM725" s="14">
        <v>0</v>
      </c>
      <c r="AN725" s="122">
        <v>-1</v>
      </c>
      <c r="AO725" s="131">
        <v>577922.28847174637</v>
      </c>
      <c r="AP725" s="131">
        <v>619474.65065055504</v>
      </c>
      <c r="AQ725" s="131">
        <v>41552.36217880866</v>
      </c>
      <c r="AR725" s="130">
        <v>7.1899566788969915E-2</v>
      </c>
    </row>
    <row r="726" spans="1:44" ht="28.8" x14ac:dyDescent="0.3">
      <c r="A726" s="136" t="s">
        <v>990</v>
      </c>
      <c r="B726" s="137" t="s">
        <v>5497</v>
      </c>
      <c r="C726" s="134">
        <v>2020</v>
      </c>
      <c r="D726" s="149" t="s">
        <v>1149</v>
      </c>
      <c r="E726" s="135" t="s">
        <v>1140</v>
      </c>
      <c r="F726" s="384" t="s">
        <v>991</v>
      </c>
      <c r="G726" s="138" t="s">
        <v>4773</v>
      </c>
      <c r="H726" s="138" t="s">
        <v>3028</v>
      </c>
      <c r="I726" s="138" t="s">
        <v>1566</v>
      </c>
      <c r="J726" s="135" t="s">
        <v>4778</v>
      </c>
      <c r="K726" s="164">
        <v>2603994199</v>
      </c>
      <c r="L726" s="165">
        <v>949918662</v>
      </c>
      <c r="M726" s="165">
        <v>1331528306</v>
      </c>
      <c r="N726" s="165">
        <v>103919151</v>
      </c>
      <c r="O726" s="165">
        <v>1030217694</v>
      </c>
      <c r="P726" s="165">
        <v>291438978</v>
      </c>
      <c r="Q726" s="165">
        <v>3103144</v>
      </c>
      <c r="R726" s="165">
        <v>2061.3333333333335</v>
      </c>
      <c r="S726" s="165">
        <v>1751226198</v>
      </c>
      <c r="T726" s="165">
        <v>849559.92787839577</v>
      </c>
      <c r="U726" s="166">
        <v>322547231</v>
      </c>
      <c r="V726" s="168">
        <v>3307929057</v>
      </c>
      <c r="W726" s="165">
        <v>1126361841</v>
      </c>
      <c r="X726" s="165">
        <v>1614022912</v>
      </c>
      <c r="Y726" s="165">
        <v>117020819</v>
      </c>
      <c r="Z726" s="165">
        <v>1270615468</v>
      </c>
      <c r="AA726" s="165">
        <v>355206910</v>
      </c>
      <c r="AB726" s="165">
        <v>3175015</v>
      </c>
      <c r="AC726" s="165">
        <v>2090.8333333333335</v>
      </c>
      <c r="AD726" s="165">
        <v>2313562516</v>
      </c>
      <c r="AE726" s="165">
        <v>1106526.5122359504</v>
      </c>
      <c r="AF726" s="166">
        <v>567544304</v>
      </c>
      <c r="AG726" s="124">
        <v>562336318</v>
      </c>
      <c r="AH726" s="125">
        <v>29.5</v>
      </c>
      <c r="AI726" s="133">
        <v>1</v>
      </c>
      <c r="AJ726" s="133">
        <v>1</v>
      </c>
      <c r="AK726" s="126">
        <v>0.1</v>
      </c>
      <c r="AL726" s="126">
        <v>0.30247022125914058</v>
      </c>
      <c r="AM726" s="14">
        <v>1</v>
      </c>
      <c r="AN726" s="122">
        <v>0</v>
      </c>
      <c r="AO726" s="131">
        <v>499782.19307891326</v>
      </c>
      <c r="AP726" s="131">
        <v>607707.67700278992</v>
      </c>
      <c r="AQ726" s="131">
        <v>107925.48392387666</v>
      </c>
      <c r="AR726" s="130">
        <v>0.21594503649479901</v>
      </c>
    </row>
    <row r="727" spans="1:44" ht="28.8" x14ac:dyDescent="0.3">
      <c r="A727" s="136" t="s">
        <v>992</v>
      </c>
      <c r="B727" s="137" t="s">
        <v>5498</v>
      </c>
      <c r="C727" s="134">
        <v>2019</v>
      </c>
      <c r="D727" s="149" t="s">
        <v>1149</v>
      </c>
      <c r="E727" s="135" t="s">
        <v>1140</v>
      </c>
      <c r="F727" s="384" t="s">
        <v>991</v>
      </c>
      <c r="G727" s="138" t="s">
        <v>4773</v>
      </c>
      <c r="H727" s="138" t="s">
        <v>3108</v>
      </c>
      <c r="I727" s="138" t="s">
        <v>1566</v>
      </c>
      <c r="J727" s="135" t="s">
        <v>4778</v>
      </c>
      <c r="K727" s="164">
        <v>601232059</v>
      </c>
      <c r="L727" s="165">
        <v>431088654</v>
      </c>
      <c r="M727" s="165">
        <v>161821154</v>
      </c>
      <c r="N727" s="165">
        <v>19977902</v>
      </c>
      <c r="O727" s="165">
        <v>146590370</v>
      </c>
      <c r="P727" s="165">
        <v>39061357</v>
      </c>
      <c r="Q727" s="165">
        <v>2009541</v>
      </c>
      <c r="R727" s="165">
        <v>384.16666666666669</v>
      </c>
      <c r="S727" s="165">
        <v>215961421</v>
      </c>
      <c r="T727" s="165">
        <v>562155.54273318872</v>
      </c>
      <c r="U727" s="166">
        <v>8322251</v>
      </c>
      <c r="V727" s="168">
        <v>909391385</v>
      </c>
      <c r="W727" s="165">
        <v>628083405</v>
      </c>
      <c r="X727" s="165">
        <v>200215188</v>
      </c>
      <c r="Y727" s="165">
        <v>18576565</v>
      </c>
      <c r="Z727" s="165">
        <v>189711800</v>
      </c>
      <c r="AA727" s="165">
        <v>57327791</v>
      </c>
      <c r="AB727" s="165">
        <v>2189894</v>
      </c>
      <c r="AC727" s="165">
        <v>384.16666666666669</v>
      </c>
      <c r="AD727" s="165">
        <v>348898842</v>
      </c>
      <c r="AE727" s="165">
        <v>908196.5518438177</v>
      </c>
      <c r="AF727" s="166">
        <v>81092792</v>
      </c>
      <c r="AG727" s="124">
        <v>132937421</v>
      </c>
      <c r="AH727" s="125">
        <v>0</v>
      </c>
      <c r="AI727" s="133">
        <v>1</v>
      </c>
      <c r="AJ727" s="133">
        <v>1</v>
      </c>
      <c r="AK727" s="126">
        <v>0.15</v>
      </c>
      <c r="AL727" s="126">
        <v>0.6155609709013985</v>
      </c>
      <c r="AM727" s="14">
        <v>1</v>
      </c>
      <c r="AN727" s="122">
        <v>0</v>
      </c>
      <c r="AO727" s="131">
        <v>381580.13882863341</v>
      </c>
      <c r="AP727" s="131">
        <v>493826.81127982645</v>
      </c>
      <c r="AQ727" s="131">
        <v>112246.67245119304</v>
      </c>
      <c r="AR727" s="130">
        <v>0.29416277481256103</v>
      </c>
    </row>
    <row r="728" spans="1:44" ht="43.2" x14ac:dyDescent="0.3">
      <c r="A728" s="136" t="s">
        <v>993</v>
      </c>
      <c r="B728" s="137" t="s">
        <v>1115</v>
      </c>
      <c r="C728" s="134">
        <v>2020</v>
      </c>
      <c r="D728" s="149" t="s">
        <v>1114</v>
      </c>
      <c r="E728" s="135" t="s">
        <v>1108</v>
      </c>
      <c r="F728" s="384" t="s">
        <v>573</v>
      </c>
      <c r="G728" s="138" t="s">
        <v>4787</v>
      </c>
      <c r="H728" s="138" t="s">
        <v>1219</v>
      </c>
      <c r="I728" s="138" t="s">
        <v>1217</v>
      </c>
      <c r="J728" s="135" t="s">
        <v>4774</v>
      </c>
      <c r="K728" s="164">
        <v>1322351593</v>
      </c>
      <c r="L728" s="165">
        <v>1109446631</v>
      </c>
      <c r="M728" s="165">
        <v>190532743</v>
      </c>
      <c r="N728" s="165">
        <v>264695584</v>
      </c>
      <c r="O728" s="165">
        <v>268965315.26999998</v>
      </c>
      <c r="P728" s="165">
        <v>71908533.650000006</v>
      </c>
      <c r="Q728" s="165">
        <v>9606191</v>
      </c>
      <c r="R728" s="165">
        <v>786.75</v>
      </c>
      <c r="S728" s="165">
        <v>637547842.91999996</v>
      </c>
      <c r="T728" s="165">
        <v>810356.33037178265</v>
      </c>
      <c r="U728" s="166">
        <v>22372219</v>
      </c>
      <c r="V728" s="168">
        <v>1005403618</v>
      </c>
      <c r="W728" s="165">
        <v>1220594436</v>
      </c>
      <c r="X728" s="165">
        <v>204701724</v>
      </c>
      <c r="Y728" s="165">
        <v>336534020</v>
      </c>
      <c r="Z728" s="165">
        <v>279919910.30000001</v>
      </c>
      <c r="AA728" s="165">
        <v>73907185.13000001</v>
      </c>
      <c r="AB728" s="165">
        <v>33373756</v>
      </c>
      <c r="AC728" s="165">
        <v>762.91666666666663</v>
      </c>
      <c r="AD728" s="165">
        <v>303842329.43000001</v>
      </c>
      <c r="AE728" s="165">
        <v>398264.11285199347</v>
      </c>
      <c r="AF728" s="166">
        <v>-419892542</v>
      </c>
      <c r="AG728" s="124">
        <v>-333705513.48999995</v>
      </c>
      <c r="AH728" s="125">
        <v>-23.833333333333371</v>
      </c>
      <c r="AI728" s="133">
        <v>0</v>
      </c>
      <c r="AJ728" s="133">
        <v>0</v>
      </c>
      <c r="AK728" s="126">
        <v>0.1</v>
      </c>
      <c r="AL728" s="126">
        <v>-0.50853211697624423</v>
      </c>
      <c r="AM728" s="14">
        <v>0</v>
      </c>
      <c r="AN728" s="122">
        <v>-1</v>
      </c>
      <c r="AO728" s="131">
        <v>341868.84686367965</v>
      </c>
      <c r="AP728" s="131">
        <v>366907.58313489897</v>
      </c>
      <c r="AQ728" s="131">
        <v>25038.736271219328</v>
      </c>
      <c r="AR728" s="130">
        <v>7.3240766162011584E-2</v>
      </c>
    </row>
    <row r="729" spans="1:44" ht="28.8" x14ac:dyDescent="0.3">
      <c r="A729" s="136" t="s">
        <v>994</v>
      </c>
      <c r="B729" s="137" t="s">
        <v>1164</v>
      </c>
      <c r="C729" s="134">
        <v>2020</v>
      </c>
      <c r="D729" s="149" t="s">
        <v>1163</v>
      </c>
      <c r="E729" s="135" t="s">
        <v>1152</v>
      </c>
      <c r="F729" s="384" t="s">
        <v>124</v>
      </c>
      <c r="G729" s="138" t="s">
        <v>4787</v>
      </c>
      <c r="H729" s="138" t="s">
        <v>3713</v>
      </c>
      <c r="I729" s="138" t="s">
        <v>3673</v>
      </c>
      <c r="J729" s="135" t="s">
        <v>4774</v>
      </c>
      <c r="K729" s="164">
        <v>2908755992</v>
      </c>
      <c r="L729" s="165">
        <v>2487729252</v>
      </c>
      <c r="M729" s="165">
        <v>328405349</v>
      </c>
      <c r="N729" s="165">
        <v>19357577</v>
      </c>
      <c r="O729" s="165">
        <v>115318122</v>
      </c>
      <c r="P729" s="165">
        <v>33031534</v>
      </c>
      <c r="Q729" s="165">
        <v>281898</v>
      </c>
      <c r="R729" s="165">
        <v>405.41666666666669</v>
      </c>
      <c r="S729" s="165">
        <v>260610522</v>
      </c>
      <c r="T729" s="165">
        <v>642821.43144912634</v>
      </c>
      <c r="U729" s="166">
        <v>92621391</v>
      </c>
      <c r="V729" s="168">
        <v>2822045713</v>
      </c>
      <c r="W729" s="165">
        <v>2373012856</v>
      </c>
      <c r="X729" s="165">
        <v>306429875</v>
      </c>
      <c r="Y729" s="165">
        <v>20365310</v>
      </c>
      <c r="Z729" s="165">
        <v>89031191</v>
      </c>
      <c r="AA729" s="165">
        <v>26337211</v>
      </c>
      <c r="AB729" s="165">
        <v>466064</v>
      </c>
      <c r="AC729" s="165">
        <v>360.25</v>
      </c>
      <c r="AD729" s="165">
        <v>278802758</v>
      </c>
      <c r="AE729" s="165">
        <v>773914.66481609992</v>
      </c>
      <c r="AF729" s="166">
        <v>142602982</v>
      </c>
      <c r="AG729" s="124">
        <v>18192236</v>
      </c>
      <c r="AH729" s="125">
        <v>-45.166666666666686</v>
      </c>
      <c r="AI729" s="133">
        <v>1</v>
      </c>
      <c r="AJ729" s="133">
        <v>1</v>
      </c>
      <c r="AK729" s="126">
        <v>0.1</v>
      </c>
      <c r="AL729" s="126">
        <v>0.20393413144300432</v>
      </c>
      <c r="AM729" s="14">
        <v>1</v>
      </c>
      <c r="AN729" s="122">
        <v>0</v>
      </c>
      <c r="AO729" s="131">
        <v>284443.46639260021</v>
      </c>
      <c r="AP729" s="131">
        <v>247137.24080499652</v>
      </c>
      <c r="AQ729" s="131">
        <v>-37306.225587603694</v>
      </c>
      <c r="AR729" s="130">
        <v>-0.13115515030361835</v>
      </c>
    </row>
    <row r="730" spans="1:44" ht="57.6" x14ac:dyDescent="0.3">
      <c r="A730" s="136" t="s">
        <v>995</v>
      </c>
      <c r="B730" s="137" t="s">
        <v>1162</v>
      </c>
      <c r="C730" s="134">
        <v>2020</v>
      </c>
      <c r="D730" s="149" t="s">
        <v>1161</v>
      </c>
      <c r="E730" s="135" t="s">
        <v>1152</v>
      </c>
      <c r="F730" s="384" t="s">
        <v>985</v>
      </c>
      <c r="G730" s="138" t="s">
        <v>4787</v>
      </c>
      <c r="H730" s="138" t="s">
        <v>2900</v>
      </c>
      <c r="I730" s="138" t="s">
        <v>1566</v>
      </c>
      <c r="J730" s="135" t="s">
        <v>4798</v>
      </c>
      <c r="K730" s="164">
        <v>4312441266</v>
      </c>
      <c r="L730" s="165">
        <v>1965736288</v>
      </c>
      <c r="M730" s="165">
        <v>1804997454</v>
      </c>
      <c r="N730" s="165">
        <v>225856571</v>
      </c>
      <c r="O730" s="165">
        <v>1887563976</v>
      </c>
      <c r="P730" s="165">
        <v>483232831</v>
      </c>
      <c r="Q730" s="165">
        <v>13509120</v>
      </c>
      <c r="R730" s="165">
        <v>2847.75</v>
      </c>
      <c r="S730" s="165">
        <v>3151870022</v>
      </c>
      <c r="T730" s="165">
        <v>1106793.0899833201</v>
      </c>
      <c r="U730" s="166">
        <v>541707524</v>
      </c>
      <c r="V730" s="168">
        <v>5534648865</v>
      </c>
      <c r="W730" s="165">
        <v>2705435459</v>
      </c>
      <c r="X730" s="165">
        <v>1878606102</v>
      </c>
      <c r="Y730" s="165">
        <v>220691526</v>
      </c>
      <c r="Z730" s="165">
        <v>2100040214.02</v>
      </c>
      <c r="AA730" s="165">
        <v>590072248.93999994</v>
      </c>
      <c r="AB730" s="165">
        <v>11466058</v>
      </c>
      <c r="AC730" s="165">
        <v>2816.5833333333335</v>
      </c>
      <c r="AD730" s="165">
        <v>3872877350.96</v>
      </c>
      <c r="AE730" s="165">
        <v>1375026.7230249415</v>
      </c>
      <c r="AF730" s="166">
        <v>950607304</v>
      </c>
      <c r="AG730" s="124">
        <v>721007328.96000004</v>
      </c>
      <c r="AH730" s="125">
        <v>-31.166666666666515</v>
      </c>
      <c r="AI730" s="133">
        <v>1</v>
      </c>
      <c r="AJ730" s="133">
        <v>1</v>
      </c>
      <c r="AK730" s="126">
        <v>0.1</v>
      </c>
      <c r="AL730" s="126">
        <v>0.24235210033701948</v>
      </c>
      <c r="AM730" s="14">
        <v>1</v>
      </c>
      <c r="AN730" s="122">
        <v>0</v>
      </c>
      <c r="AO730" s="131">
        <v>662826.43350013171</v>
      </c>
      <c r="AP730" s="131">
        <v>745598.46647060558</v>
      </c>
      <c r="AQ730" s="131">
        <v>82772.032970473869</v>
      </c>
      <c r="AR730" s="130">
        <v>0.12487738687998085</v>
      </c>
    </row>
    <row r="731" spans="1:44" ht="28.8" x14ac:dyDescent="0.3">
      <c r="A731" s="136" t="s">
        <v>996</v>
      </c>
      <c r="B731" s="137" t="s">
        <v>5499</v>
      </c>
      <c r="C731" s="134">
        <v>2019</v>
      </c>
      <c r="D731" s="149" t="s">
        <v>1125</v>
      </c>
      <c r="E731" s="135" t="s">
        <v>1117</v>
      </c>
      <c r="F731" s="384" t="s">
        <v>251</v>
      </c>
      <c r="G731" s="138" t="s">
        <v>4773</v>
      </c>
      <c r="H731" s="138" t="s">
        <v>2967</v>
      </c>
      <c r="I731" s="138" t="s">
        <v>1566</v>
      </c>
      <c r="J731" s="135" t="s">
        <v>4798</v>
      </c>
      <c r="K731" s="164">
        <v>683411300</v>
      </c>
      <c r="L731" s="165">
        <v>341662450</v>
      </c>
      <c r="M731" s="165">
        <v>247790472</v>
      </c>
      <c r="N731" s="165">
        <v>18022304</v>
      </c>
      <c r="O731" s="165">
        <v>158973869</v>
      </c>
      <c r="P731" s="165">
        <v>40042107</v>
      </c>
      <c r="Q731" s="165">
        <v>5491113</v>
      </c>
      <c r="R731" s="165">
        <v>414.25</v>
      </c>
      <c r="S731" s="165">
        <v>316487771</v>
      </c>
      <c r="T731" s="165">
        <v>764001.86119493062</v>
      </c>
      <c r="U731" s="166">
        <v>93958378</v>
      </c>
      <c r="V731" s="168">
        <v>880428962</v>
      </c>
      <c r="W731" s="165">
        <v>485774922</v>
      </c>
      <c r="X731" s="165">
        <v>310031552</v>
      </c>
      <c r="Y731" s="165">
        <v>14039324</v>
      </c>
      <c r="Z731" s="165">
        <v>177172580</v>
      </c>
      <c r="AA731" s="165">
        <v>52750947</v>
      </c>
      <c r="AB731" s="165">
        <v>5814983</v>
      </c>
      <c r="AC731" s="165">
        <v>389.33333333333331</v>
      </c>
      <c r="AD731" s="165">
        <v>334400322</v>
      </c>
      <c r="AE731" s="165">
        <v>858904.93664383562</v>
      </c>
      <c r="AF731" s="166">
        <v>84622488</v>
      </c>
      <c r="AG731" s="124">
        <v>17912551</v>
      </c>
      <c r="AH731" s="125">
        <v>-24.916666666666686</v>
      </c>
      <c r="AI731" s="133">
        <v>0</v>
      </c>
      <c r="AJ731" s="133">
        <v>1</v>
      </c>
      <c r="AK731" s="126">
        <v>0.15</v>
      </c>
      <c r="AL731" s="126">
        <v>0.12421838868298041</v>
      </c>
      <c r="AM731" s="14">
        <v>0</v>
      </c>
      <c r="AN731" s="122">
        <v>-1</v>
      </c>
      <c r="AO731" s="131">
        <v>383763.11164755584</v>
      </c>
      <c r="AP731" s="131">
        <v>455066.55821917811</v>
      </c>
      <c r="AQ731" s="131">
        <v>71303.446571622277</v>
      </c>
      <c r="AR731" s="130">
        <v>0.18580067861526683</v>
      </c>
    </row>
    <row r="732" spans="1:44" ht="43.2" x14ac:dyDescent="0.3">
      <c r="A732" s="136" t="s">
        <v>997</v>
      </c>
      <c r="B732" s="137" t="s">
        <v>5500</v>
      </c>
      <c r="C732" s="134">
        <v>2019</v>
      </c>
      <c r="D732" s="149" t="s">
        <v>1125</v>
      </c>
      <c r="E732" s="135" t="s">
        <v>1117</v>
      </c>
      <c r="F732" s="384" t="s">
        <v>251</v>
      </c>
      <c r="G732" s="138" t="s">
        <v>4773</v>
      </c>
      <c r="H732" s="138" t="s">
        <v>2264</v>
      </c>
      <c r="I732" s="138" t="s">
        <v>1566</v>
      </c>
      <c r="J732" s="135" t="s">
        <v>4778</v>
      </c>
      <c r="K732" s="164">
        <v>588136459</v>
      </c>
      <c r="L732" s="165">
        <v>556419411</v>
      </c>
      <c r="M732" s="165">
        <v>12719665</v>
      </c>
      <c r="N732" s="165">
        <v>7331858</v>
      </c>
      <c r="O732" s="165">
        <v>41941487</v>
      </c>
      <c r="P732" s="165">
        <v>10893908</v>
      </c>
      <c r="Q732" s="165">
        <v>923064</v>
      </c>
      <c r="R732" s="165">
        <v>93.333333333333329</v>
      </c>
      <c r="S732" s="165">
        <v>80087700</v>
      </c>
      <c r="T732" s="165">
        <v>858082.5</v>
      </c>
      <c r="U732" s="166">
        <v>18997383</v>
      </c>
      <c r="V732" s="168">
        <v>1213766513</v>
      </c>
      <c r="W732" s="165">
        <v>1142262478</v>
      </c>
      <c r="X732" s="165">
        <v>4466544</v>
      </c>
      <c r="Y732" s="165">
        <v>9729330</v>
      </c>
      <c r="Z732" s="165">
        <v>97678571.269999996</v>
      </c>
      <c r="AA732" s="165">
        <v>18534677.02</v>
      </c>
      <c r="AB732" s="165">
        <v>1092441</v>
      </c>
      <c r="AC732" s="165">
        <v>190.16666666666666</v>
      </c>
      <c r="AD732" s="165">
        <v>194072510.28999999</v>
      </c>
      <c r="AE732" s="165">
        <v>1020539.0549868536</v>
      </c>
      <c r="AF732" s="166">
        <v>67037491</v>
      </c>
      <c r="AG732" s="124">
        <v>113984810.28999999</v>
      </c>
      <c r="AH732" s="125">
        <v>96.833333333333329</v>
      </c>
      <c r="AI732" s="133">
        <v>1</v>
      </c>
      <c r="AJ732" s="133">
        <v>1</v>
      </c>
      <c r="AK732" s="126">
        <v>0.15</v>
      </c>
      <c r="AL732" s="126">
        <v>0.18932509403233388</v>
      </c>
      <c r="AM732" s="14">
        <v>1</v>
      </c>
      <c r="AN732" s="122">
        <v>0</v>
      </c>
      <c r="AO732" s="131">
        <v>449373.07500000001</v>
      </c>
      <c r="AP732" s="131">
        <v>513647.17582822085</v>
      </c>
      <c r="AQ732" s="131">
        <v>64274.100828220835</v>
      </c>
      <c r="AR732" s="130">
        <v>0.14303060063894746</v>
      </c>
    </row>
    <row r="733" spans="1:44" ht="28.8" x14ac:dyDescent="0.3">
      <c r="A733" s="136" t="s">
        <v>998</v>
      </c>
      <c r="B733" s="137" t="s">
        <v>5501</v>
      </c>
      <c r="C733" s="134">
        <v>2019</v>
      </c>
      <c r="D733" s="149" t="s">
        <v>1125</v>
      </c>
      <c r="E733" s="135" t="s">
        <v>1117</v>
      </c>
      <c r="F733" s="384" t="s">
        <v>163</v>
      </c>
      <c r="G733" s="138" t="s">
        <v>4773</v>
      </c>
      <c r="H733" s="138" t="s">
        <v>2341</v>
      </c>
      <c r="I733" s="138" t="s">
        <v>1566</v>
      </c>
      <c r="J733" s="135" t="s">
        <v>4778</v>
      </c>
      <c r="K733" s="164">
        <v>3743307956</v>
      </c>
      <c r="L733" s="165">
        <v>2886979417</v>
      </c>
      <c r="M733" s="165">
        <v>778403423</v>
      </c>
      <c r="N733" s="165">
        <v>30047640</v>
      </c>
      <c r="O733" s="165">
        <v>386049715</v>
      </c>
      <c r="P733" s="165">
        <v>109020989</v>
      </c>
      <c r="Q733" s="165">
        <v>2023141</v>
      </c>
      <c r="R733" s="165">
        <v>893.75</v>
      </c>
      <c r="S733" s="165">
        <v>605066601</v>
      </c>
      <c r="T733" s="165">
        <v>676997.59552447556</v>
      </c>
      <c r="U733" s="166">
        <v>77925116</v>
      </c>
      <c r="V733" s="168">
        <v>4220541960</v>
      </c>
      <c r="W733" s="165">
        <v>3315358580</v>
      </c>
      <c r="X733" s="165">
        <v>906804538</v>
      </c>
      <c r="Y733" s="165">
        <v>36021903</v>
      </c>
      <c r="Z733" s="165">
        <v>415813162.87</v>
      </c>
      <c r="AA733" s="165">
        <v>130214165.08000001</v>
      </c>
      <c r="AB733" s="165">
        <v>1874673</v>
      </c>
      <c r="AC733" s="165">
        <v>880.25</v>
      </c>
      <c r="AD733" s="165">
        <v>582302745.95000005</v>
      </c>
      <c r="AE733" s="165">
        <v>661519.73410962801</v>
      </c>
      <c r="AF733" s="166">
        <v>-1621158</v>
      </c>
      <c r="AG733" s="124">
        <v>-22763855.049999952</v>
      </c>
      <c r="AH733" s="125">
        <v>-13.5</v>
      </c>
      <c r="AI733" s="133">
        <v>0</v>
      </c>
      <c r="AJ733" s="133">
        <v>0</v>
      </c>
      <c r="AK733" s="126">
        <v>0.15</v>
      </c>
      <c r="AL733" s="126">
        <v>-2.2862518271852039E-2</v>
      </c>
      <c r="AM733" s="14">
        <v>0</v>
      </c>
      <c r="AN733" s="122">
        <v>-1</v>
      </c>
      <c r="AO733" s="131">
        <v>431943.73706293706</v>
      </c>
      <c r="AP733" s="131">
        <v>472380.75872763421</v>
      </c>
      <c r="AQ733" s="131">
        <v>40437.021664697153</v>
      </c>
      <c r="AR733" s="130">
        <v>9.361640925657233E-2</v>
      </c>
    </row>
    <row r="734" spans="1:44" ht="28.8" x14ac:dyDescent="0.3">
      <c r="A734" s="136" t="s">
        <v>999</v>
      </c>
      <c r="B734" s="137" t="s">
        <v>5502</v>
      </c>
      <c r="C734" s="134">
        <v>2019</v>
      </c>
      <c r="D734" s="149" t="s">
        <v>1125</v>
      </c>
      <c r="E734" s="135" t="s">
        <v>1117</v>
      </c>
      <c r="F734" s="384" t="s">
        <v>978</v>
      </c>
      <c r="G734" s="138" t="s">
        <v>4773</v>
      </c>
      <c r="H734" s="138" t="s">
        <v>2268</v>
      </c>
      <c r="I734" s="138" t="s">
        <v>1566</v>
      </c>
      <c r="J734" s="135" t="s">
        <v>4774</v>
      </c>
      <c r="K734" s="164">
        <v>1622530853</v>
      </c>
      <c r="L734" s="165">
        <v>1134462448</v>
      </c>
      <c r="M734" s="165">
        <v>100457035</v>
      </c>
      <c r="N734" s="165">
        <v>34146382</v>
      </c>
      <c r="O734" s="165">
        <v>117559734</v>
      </c>
      <c r="P734" s="165">
        <v>24454209</v>
      </c>
      <c r="Q734" s="165">
        <v>493889</v>
      </c>
      <c r="R734" s="165">
        <v>301</v>
      </c>
      <c r="S734" s="165">
        <v>564265584</v>
      </c>
      <c r="T734" s="165">
        <v>1874636.4916943521</v>
      </c>
      <c r="U734" s="166">
        <v>387611370</v>
      </c>
      <c r="V734" s="168">
        <v>1920761524</v>
      </c>
      <c r="W734" s="165">
        <v>1367643694</v>
      </c>
      <c r="X734" s="165">
        <v>208646975</v>
      </c>
      <c r="Y734" s="165">
        <v>26835991</v>
      </c>
      <c r="Z734" s="165">
        <v>88967539.120000005</v>
      </c>
      <c r="AA734" s="165">
        <v>23520334.940000001</v>
      </c>
      <c r="AB734" s="165">
        <v>375601</v>
      </c>
      <c r="AC734" s="165">
        <v>228.08333333333334</v>
      </c>
      <c r="AD734" s="165">
        <v>484170321.06</v>
      </c>
      <c r="AE734" s="165">
        <v>2122778.1705224696</v>
      </c>
      <c r="AF734" s="166">
        <v>344470855</v>
      </c>
      <c r="AG734" s="124">
        <v>-80095262.939999998</v>
      </c>
      <c r="AH734" s="125">
        <v>-72.916666666666657</v>
      </c>
      <c r="AI734" s="133">
        <v>0</v>
      </c>
      <c r="AJ734" s="133">
        <v>0</v>
      </c>
      <c r="AK734" s="126">
        <v>0.15</v>
      </c>
      <c r="AL734" s="126">
        <v>0.13236789176124475</v>
      </c>
      <c r="AM734" s="14">
        <v>0</v>
      </c>
      <c r="AN734" s="122">
        <v>-1</v>
      </c>
      <c r="AO734" s="131">
        <v>390563.90033222589</v>
      </c>
      <c r="AP734" s="131">
        <v>390065.93695286813</v>
      </c>
      <c r="AQ734" s="131">
        <v>-497.96337935776683</v>
      </c>
      <c r="AR734" s="130">
        <v>-1.2749856782313662E-3</v>
      </c>
    </row>
    <row r="735" spans="1:44" ht="28.8" x14ac:dyDescent="0.3">
      <c r="A735" s="136" t="s">
        <v>1000</v>
      </c>
      <c r="B735" s="137" t="s">
        <v>5503</v>
      </c>
      <c r="C735" s="134">
        <v>2019</v>
      </c>
      <c r="D735" s="149" t="s">
        <v>1125</v>
      </c>
      <c r="E735" s="135" t="s">
        <v>1117</v>
      </c>
      <c r="F735" s="384" t="s">
        <v>978</v>
      </c>
      <c r="G735" s="138" t="s">
        <v>4773</v>
      </c>
      <c r="H735" s="138" t="s">
        <v>2427</v>
      </c>
      <c r="I735" s="138" t="s">
        <v>1566</v>
      </c>
      <c r="J735" s="135" t="s">
        <v>4774</v>
      </c>
      <c r="K735" s="164">
        <v>4157574734</v>
      </c>
      <c r="L735" s="165">
        <v>2750992963</v>
      </c>
      <c r="M735" s="165">
        <v>791865805</v>
      </c>
      <c r="N735" s="165">
        <v>131336936</v>
      </c>
      <c r="O735" s="165">
        <v>415972020</v>
      </c>
      <c r="P735" s="165">
        <v>103701203</v>
      </c>
      <c r="Q735" s="165">
        <v>7970394</v>
      </c>
      <c r="R735" s="165">
        <v>739.91666666666663</v>
      </c>
      <c r="S735" s="165">
        <v>1273696519</v>
      </c>
      <c r="T735" s="165">
        <v>1721405.3641175809</v>
      </c>
      <c r="U735" s="166">
        <v>614715966</v>
      </c>
      <c r="V735" s="168">
        <v>6364703150</v>
      </c>
      <c r="W735" s="165">
        <v>4045559340</v>
      </c>
      <c r="X735" s="165">
        <v>1027655849</v>
      </c>
      <c r="Y735" s="165">
        <v>137182545</v>
      </c>
      <c r="Z735" s="165">
        <v>571678229.92999995</v>
      </c>
      <c r="AA735" s="165">
        <v>162813416.36000001</v>
      </c>
      <c r="AB735" s="165">
        <v>10239769</v>
      </c>
      <c r="AC735" s="165">
        <v>774.83333333333337</v>
      </c>
      <c r="AD735" s="165">
        <v>2173401921.29</v>
      </c>
      <c r="AE735" s="165">
        <v>2804992.8001161539</v>
      </c>
      <c r="AF735" s="166">
        <v>1291487961</v>
      </c>
      <c r="AG735" s="124">
        <v>899705402.28999996</v>
      </c>
      <c r="AH735" s="125">
        <v>34.916666666666742</v>
      </c>
      <c r="AI735" s="133">
        <v>1</v>
      </c>
      <c r="AJ735" s="133">
        <v>1</v>
      </c>
      <c r="AK735" s="126">
        <v>0.15</v>
      </c>
      <c r="AL735" s="126">
        <v>0.62947836992909068</v>
      </c>
      <c r="AM735" s="14">
        <v>1</v>
      </c>
      <c r="AN735" s="122">
        <v>0</v>
      </c>
      <c r="AO735" s="131">
        <v>562187.66077260952</v>
      </c>
      <c r="AP735" s="131">
        <v>737807.99732845766</v>
      </c>
      <c r="AQ735" s="131">
        <v>175620.33655584813</v>
      </c>
      <c r="AR735" s="130">
        <v>0.31238739091942125</v>
      </c>
    </row>
    <row r="736" spans="1:44" ht="28.8" x14ac:dyDescent="0.3">
      <c r="A736" s="136" t="s">
        <v>1001</v>
      </c>
      <c r="B736" s="137" t="s">
        <v>5504</v>
      </c>
      <c r="C736" s="134">
        <v>2019</v>
      </c>
      <c r="D736" s="149" t="s">
        <v>1125</v>
      </c>
      <c r="E736" s="135" t="s">
        <v>1117</v>
      </c>
      <c r="F736" s="384" t="s">
        <v>251</v>
      </c>
      <c r="G736" s="138" t="s">
        <v>4773</v>
      </c>
      <c r="H736" s="138" t="s">
        <v>1348</v>
      </c>
      <c r="I736" s="138" t="s">
        <v>1217</v>
      </c>
      <c r="J736" s="135" t="s">
        <v>4774</v>
      </c>
      <c r="K736" s="164">
        <v>1002330540</v>
      </c>
      <c r="L736" s="165">
        <v>840837938</v>
      </c>
      <c r="M736" s="165">
        <v>498990</v>
      </c>
      <c r="N736" s="165">
        <v>115666092</v>
      </c>
      <c r="O736" s="165">
        <v>66160040</v>
      </c>
      <c r="P736" s="165">
        <v>17912099</v>
      </c>
      <c r="Q736" s="165">
        <v>0</v>
      </c>
      <c r="R736" s="165">
        <v>255</v>
      </c>
      <c r="S736" s="165">
        <v>360731843</v>
      </c>
      <c r="T736" s="165">
        <v>1414634.6784313726</v>
      </c>
      <c r="U736" s="166">
        <v>160993612</v>
      </c>
      <c r="V736" s="168">
        <v>1914101018</v>
      </c>
      <c r="W736" s="165">
        <v>1447384038</v>
      </c>
      <c r="X736" s="165">
        <v>0</v>
      </c>
      <c r="Y736" s="165">
        <v>217907027</v>
      </c>
      <c r="Z736" s="165">
        <v>67626400.859999999</v>
      </c>
      <c r="AA736" s="165">
        <v>19593303.359999999</v>
      </c>
      <c r="AB736" s="165">
        <v>0</v>
      </c>
      <c r="AC736" s="165">
        <v>281.58333333333331</v>
      </c>
      <c r="AD736" s="165">
        <v>771843711.22000003</v>
      </c>
      <c r="AE736" s="165">
        <v>2741084.5027049426</v>
      </c>
      <c r="AF736" s="166">
        <v>466716980</v>
      </c>
      <c r="AG736" s="124">
        <v>411111868.22000003</v>
      </c>
      <c r="AH736" s="125">
        <v>26.583333333333314</v>
      </c>
      <c r="AI736" s="133">
        <v>1</v>
      </c>
      <c r="AJ736" s="133">
        <v>1</v>
      </c>
      <c r="AK736" s="126">
        <v>0.15</v>
      </c>
      <c r="AL736" s="126">
        <v>0.93766245006802751</v>
      </c>
      <c r="AM736" s="14">
        <v>1</v>
      </c>
      <c r="AN736" s="122">
        <v>0</v>
      </c>
      <c r="AO736" s="131">
        <v>259451.13725490196</v>
      </c>
      <c r="AP736" s="131">
        <v>240164.78553418172</v>
      </c>
      <c r="AQ736" s="131">
        <v>-19286.351720720239</v>
      </c>
      <c r="AR736" s="130">
        <v>-7.4335198237238997E-2</v>
      </c>
    </row>
    <row r="737" spans="1:44" ht="43.2" x14ac:dyDescent="0.3">
      <c r="A737" s="136" t="s">
        <v>1002</v>
      </c>
      <c r="B737" s="137" t="s">
        <v>5505</v>
      </c>
      <c r="C737" s="134">
        <v>2019</v>
      </c>
      <c r="D737" s="149" t="s">
        <v>1125</v>
      </c>
      <c r="E737" s="135" t="s">
        <v>1117</v>
      </c>
      <c r="F737" s="384" t="s">
        <v>978</v>
      </c>
      <c r="G737" s="138" t="s">
        <v>4773</v>
      </c>
      <c r="H737" s="138" t="s">
        <v>4653</v>
      </c>
      <c r="I737" s="138" t="s">
        <v>4612</v>
      </c>
      <c r="J737" s="135" t="s">
        <v>4805</v>
      </c>
      <c r="K737" s="164">
        <v>1244372898</v>
      </c>
      <c r="L737" s="165">
        <v>421154502</v>
      </c>
      <c r="M737" s="165">
        <v>865186520</v>
      </c>
      <c r="N737" s="165">
        <v>62232341</v>
      </c>
      <c r="O737" s="165">
        <v>482066647.03999996</v>
      </c>
      <c r="P737" s="165">
        <v>128990590.80000001</v>
      </c>
      <c r="Q737" s="165">
        <v>16400399</v>
      </c>
      <c r="R737" s="165">
        <v>1552.4166666666667</v>
      </c>
      <c r="S737" s="165">
        <v>647721853.83999991</v>
      </c>
      <c r="T737" s="165">
        <v>417234.54002254544</v>
      </c>
      <c r="U737" s="166">
        <v>-41968124</v>
      </c>
      <c r="V737" s="168">
        <v>1441668906</v>
      </c>
      <c r="W737" s="165">
        <v>517755639</v>
      </c>
      <c r="X737" s="165">
        <v>928359014</v>
      </c>
      <c r="Y737" s="165">
        <v>65785830</v>
      </c>
      <c r="Z737" s="165">
        <v>530223001.57999998</v>
      </c>
      <c r="AA737" s="165">
        <v>157767913.06</v>
      </c>
      <c r="AB737" s="165">
        <v>22944500</v>
      </c>
      <c r="AC737" s="165">
        <v>1596.9166666666667</v>
      </c>
      <c r="AD737" s="165">
        <v>772275497.63999987</v>
      </c>
      <c r="AE737" s="165">
        <v>483604.13148671907</v>
      </c>
      <c r="AF737" s="166">
        <v>-4445747</v>
      </c>
      <c r="AG737" s="124">
        <v>124553643.79999995</v>
      </c>
      <c r="AH737" s="125">
        <v>44.5</v>
      </c>
      <c r="AI737" s="133">
        <v>1</v>
      </c>
      <c r="AJ737" s="133">
        <v>1</v>
      </c>
      <c r="AK737" s="126">
        <v>0.15</v>
      </c>
      <c r="AL737" s="126">
        <v>0.15907021983366953</v>
      </c>
      <c r="AM737" s="14">
        <v>1</v>
      </c>
      <c r="AN737" s="122">
        <v>0</v>
      </c>
      <c r="AO737" s="131">
        <v>310526.58567180199</v>
      </c>
      <c r="AP737" s="131">
        <v>332029.22397119447</v>
      </c>
      <c r="AQ737" s="131">
        <v>21502.638299392478</v>
      </c>
      <c r="AR737" s="130">
        <v>6.924572417164554E-2</v>
      </c>
    </row>
    <row r="738" spans="1:44" ht="28.8" x14ac:dyDescent="0.3">
      <c r="A738" s="136" t="s">
        <v>1003</v>
      </c>
      <c r="B738" s="137" t="s">
        <v>5506</v>
      </c>
      <c r="C738" s="134">
        <v>2019</v>
      </c>
      <c r="D738" s="149" t="s">
        <v>1125</v>
      </c>
      <c r="E738" s="135" t="s">
        <v>1117</v>
      </c>
      <c r="F738" s="384" t="s">
        <v>163</v>
      </c>
      <c r="G738" s="138" t="s">
        <v>4773</v>
      </c>
      <c r="H738" s="138" t="s">
        <v>3336</v>
      </c>
      <c r="I738" s="138" t="s">
        <v>1566</v>
      </c>
      <c r="J738" s="135" t="s">
        <v>4778</v>
      </c>
      <c r="K738" s="164">
        <v>2962801906</v>
      </c>
      <c r="L738" s="165">
        <v>2058904321</v>
      </c>
      <c r="M738" s="165">
        <v>1830593273</v>
      </c>
      <c r="N738" s="165">
        <v>58010071</v>
      </c>
      <c r="O738" s="165">
        <v>372202155</v>
      </c>
      <c r="P738" s="165">
        <v>97652829</v>
      </c>
      <c r="Q738" s="165">
        <v>5320059</v>
      </c>
      <c r="R738" s="165">
        <v>815.83333333333337</v>
      </c>
      <c r="S738" s="165">
        <v>-393510574</v>
      </c>
      <c r="T738" s="165">
        <v>-482341.86802860058</v>
      </c>
      <c r="U738" s="166">
        <v>-926695688</v>
      </c>
      <c r="V738" s="168">
        <v>3716529171</v>
      </c>
      <c r="W738" s="165">
        <v>2421421760</v>
      </c>
      <c r="X738" s="165">
        <v>2064906587</v>
      </c>
      <c r="Y738" s="165">
        <v>48551006</v>
      </c>
      <c r="Z738" s="165">
        <v>394634586.88</v>
      </c>
      <c r="AA738" s="165">
        <v>117329089.16</v>
      </c>
      <c r="AB738" s="165">
        <v>4584852</v>
      </c>
      <c r="AC738" s="165">
        <v>755.33333333333337</v>
      </c>
      <c r="AD738" s="165">
        <v>-204699641.96000001</v>
      </c>
      <c r="AE738" s="165">
        <v>-271005.70427184465</v>
      </c>
      <c r="AF738" s="166">
        <v>-769799176</v>
      </c>
      <c r="AG738" s="124">
        <v>188810932.03999999</v>
      </c>
      <c r="AH738" s="125">
        <v>-60.5</v>
      </c>
      <c r="AI738" s="133">
        <v>0</v>
      </c>
      <c r="AJ738" s="133">
        <v>0</v>
      </c>
      <c r="AK738" s="126">
        <v>0.15</v>
      </c>
      <c r="AL738" s="126">
        <v>0.43814601871490022</v>
      </c>
      <c r="AM738" s="14">
        <v>1</v>
      </c>
      <c r="AN738" s="122">
        <v>0</v>
      </c>
      <c r="AO738" s="131">
        <v>456223.27477017365</v>
      </c>
      <c r="AP738" s="131">
        <v>522464.14856134151</v>
      </c>
      <c r="AQ738" s="131">
        <v>66240.873791167862</v>
      </c>
      <c r="AR738" s="130">
        <v>0.14519398166289799</v>
      </c>
    </row>
    <row r="739" spans="1:44" ht="28.8" x14ac:dyDescent="0.3">
      <c r="A739" s="136" t="s">
        <v>1004</v>
      </c>
      <c r="B739" s="137" t="s">
        <v>5507</v>
      </c>
      <c r="C739" s="134">
        <v>2018</v>
      </c>
      <c r="D739" s="149" t="s">
        <v>1125</v>
      </c>
      <c r="E739" s="135" t="s">
        <v>1117</v>
      </c>
      <c r="F739" s="384" t="s">
        <v>163</v>
      </c>
      <c r="G739" s="138" t="s">
        <v>4773</v>
      </c>
      <c r="H739" s="138" t="s">
        <v>3227</v>
      </c>
      <c r="I739" s="138" t="s">
        <v>1566</v>
      </c>
      <c r="J739" s="135" t="s">
        <v>4774</v>
      </c>
      <c r="K739" s="164">
        <v>995364622</v>
      </c>
      <c r="L739" s="165">
        <v>701443539</v>
      </c>
      <c r="M739" s="165">
        <v>267770545.99999997</v>
      </c>
      <c r="N739" s="165">
        <v>8079723</v>
      </c>
      <c r="O739" s="165">
        <v>109613843</v>
      </c>
      <c r="P739" s="165">
        <v>31340451.999999996</v>
      </c>
      <c r="Q739" s="165">
        <v>170000</v>
      </c>
      <c r="R739" s="165">
        <v>233.08333333333337</v>
      </c>
      <c r="S739" s="165">
        <v>175354555.00000003</v>
      </c>
      <c r="T739" s="165">
        <v>752325.58455488028</v>
      </c>
      <c r="U739" s="166">
        <v>26150537.00000003</v>
      </c>
      <c r="V739" s="168">
        <v>1173707470</v>
      </c>
      <c r="W739" s="165">
        <v>876336219</v>
      </c>
      <c r="X739" s="165">
        <v>233785729</v>
      </c>
      <c r="Y739" s="165">
        <v>12048694</v>
      </c>
      <c r="Z739" s="165">
        <v>119350785.59</v>
      </c>
      <c r="AA739" s="165">
        <v>22546061.729999997</v>
      </c>
      <c r="AB739" s="165">
        <v>0</v>
      </c>
      <c r="AC739" s="165">
        <v>186.33333333333334</v>
      </c>
      <c r="AD739" s="165">
        <v>217531063.31999999</v>
      </c>
      <c r="AE739" s="165">
        <v>1167429.6779248656</v>
      </c>
      <c r="AF739" s="166">
        <v>63585522</v>
      </c>
      <c r="AG739" s="124">
        <v>42176508.319999963</v>
      </c>
      <c r="AH739" s="125">
        <v>-46.750000000000028</v>
      </c>
      <c r="AI739" s="133">
        <v>1</v>
      </c>
      <c r="AJ739" s="133">
        <v>0</v>
      </c>
      <c r="AK739" s="126">
        <v>0.3</v>
      </c>
      <c r="AL739" s="126">
        <v>0.55176124677297289</v>
      </c>
      <c r="AM739" s="14">
        <v>1</v>
      </c>
      <c r="AN739" s="122">
        <v>0</v>
      </c>
      <c r="AO739" s="131">
        <v>470277.48158741504</v>
      </c>
      <c r="AP739" s="131">
        <v>640522.999588551</v>
      </c>
      <c r="AQ739" s="131">
        <v>170245.51800113596</v>
      </c>
      <c r="AR739" s="130">
        <v>0.362010780159991</v>
      </c>
    </row>
    <row r="740" spans="1:44" ht="28.8" x14ac:dyDescent="0.3">
      <c r="A740" s="136" t="s">
        <v>1005</v>
      </c>
      <c r="B740" s="137" t="s">
        <v>5508</v>
      </c>
      <c r="C740" s="134">
        <v>2020</v>
      </c>
      <c r="D740" s="149" t="s">
        <v>1111</v>
      </c>
      <c r="E740" s="135" t="s">
        <v>1108</v>
      </c>
      <c r="F740" s="384" t="s">
        <v>1006</v>
      </c>
      <c r="G740" s="138" t="s">
        <v>4773</v>
      </c>
      <c r="H740" s="138" t="s">
        <v>2723</v>
      </c>
      <c r="I740" s="138" t="s">
        <v>1566</v>
      </c>
      <c r="J740" s="135" t="s">
        <v>4774</v>
      </c>
      <c r="K740" s="164">
        <v>446839349</v>
      </c>
      <c r="L740" s="165">
        <v>315867235</v>
      </c>
      <c r="M740" s="165">
        <v>100294736</v>
      </c>
      <c r="N740" s="165">
        <v>16960465</v>
      </c>
      <c r="O740" s="165">
        <v>109110668.61</v>
      </c>
      <c r="P740" s="165">
        <v>20155311.289999999</v>
      </c>
      <c r="Q740" s="165">
        <v>1405655</v>
      </c>
      <c r="R740" s="165">
        <v>128.5</v>
      </c>
      <c r="S740" s="165">
        <v>178309477.90000001</v>
      </c>
      <c r="T740" s="165">
        <v>1387622.3961089496</v>
      </c>
      <c r="U740" s="166">
        <v>30677378</v>
      </c>
      <c r="V740" s="168">
        <v>728552586</v>
      </c>
      <c r="W740" s="165">
        <v>559004739</v>
      </c>
      <c r="X740" s="165">
        <v>166241770</v>
      </c>
      <c r="Y740" s="165">
        <v>17842916</v>
      </c>
      <c r="Z740" s="165">
        <v>160953734.43000001</v>
      </c>
      <c r="AA740" s="165">
        <v>27988460.84</v>
      </c>
      <c r="AB740" s="165">
        <v>70310</v>
      </c>
      <c r="AC740" s="165">
        <v>147.5</v>
      </c>
      <c r="AD740" s="165">
        <v>210161498.27000001</v>
      </c>
      <c r="AE740" s="165">
        <v>1424823.7170847459</v>
      </c>
      <c r="AF740" s="166">
        <v>3306077</v>
      </c>
      <c r="AG740" s="124">
        <v>31852020.370000005</v>
      </c>
      <c r="AH740" s="125">
        <v>19</v>
      </c>
      <c r="AI740" s="133">
        <v>0</v>
      </c>
      <c r="AJ740" s="133">
        <v>0</v>
      </c>
      <c r="AK740" s="126">
        <v>0.1</v>
      </c>
      <c r="AL740" s="126">
        <v>2.6809397138587654E-2</v>
      </c>
      <c r="AM740" s="14">
        <v>0</v>
      </c>
      <c r="AN740" s="122">
        <v>-1</v>
      </c>
      <c r="AO740" s="131">
        <v>849110.26155642024</v>
      </c>
      <c r="AP740" s="131">
        <v>1091211.7588474576</v>
      </c>
      <c r="AQ740" s="131">
        <v>242101.49729103735</v>
      </c>
      <c r="AR740" s="130">
        <v>0.28512374452672962</v>
      </c>
    </row>
    <row r="741" spans="1:44" ht="28.8" x14ac:dyDescent="0.3">
      <c r="A741" s="136" t="s">
        <v>1007</v>
      </c>
      <c r="B741" s="137" t="s">
        <v>5509</v>
      </c>
      <c r="C741" s="134">
        <v>2019</v>
      </c>
      <c r="D741" s="149" t="s">
        <v>1111</v>
      </c>
      <c r="E741" s="135" t="s">
        <v>1108</v>
      </c>
      <c r="F741" s="384" t="s">
        <v>1006</v>
      </c>
      <c r="G741" s="138" t="s">
        <v>4773</v>
      </c>
      <c r="H741" s="138" t="s">
        <v>3388</v>
      </c>
      <c r="I741" s="138" t="s">
        <v>1566</v>
      </c>
      <c r="J741" s="135" t="s">
        <v>4774</v>
      </c>
      <c r="K741" s="164">
        <v>1311461164</v>
      </c>
      <c r="L741" s="165">
        <v>1009251690</v>
      </c>
      <c r="M741" s="165">
        <v>302334999</v>
      </c>
      <c r="N741" s="165">
        <v>54209447</v>
      </c>
      <c r="O741" s="165">
        <v>392394170.19</v>
      </c>
      <c r="P741" s="165">
        <v>113789152.08</v>
      </c>
      <c r="Q741" s="165">
        <v>3928601</v>
      </c>
      <c r="R741" s="165">
        <v>822.41666666666663</v>
      </c>
      <c r="S741" s="165">
        <v>564195845.26999998</v>
      </c>
      <c r="T741" s="165">
        <v>686021.90123011451</v>
      </c>
      <c r="U741" s="166">
        <v>-125525</v>
      </c>
      <c r="V741" s="168">
        <v>4340180233</v>
      </c>
      <c r="W741" s="165">
        <v>4001186429</v>
      </c>
      <c r="X741" s="165">
        <v>433889748</v>
      </c>
      <c r="Y741" s="165">
        <v>55877958</v>
      </c>
      <c r="Z741" s="165">
        <v>662322025.98000002</v>
      </c>
      <c r="AA741" s="165">
        <v>203308387.78999999</v>
      </c>
      <c r="AB741" s="165">
        <v>4145137</v>
      </c>
      <c r="AC741" s="165">
        <v>1136</v>
      </c>
      <c r="AD741" s="165">
        <v>830757564.76999998</v>
      </c>
      <c r="AE741" s="165">
        <v>731300.67321302812</v>
      </c>
      <c r="AF741" s="166">
        <v>-94895944</v>
      </c>
      <c r="AG741" s="124">
        <v>266561719.5</v>
      </c>
      <c r="AH741" s="125">
        <v>313.58333333333337</v>
      </c>
      <c r="AI741" s="133">
        <v>0</v>
      </c>
      <c r="AJ741" s="133">
        <v>0</v>
      </c>
      <c r="AK741" s="126">
        <v>0.15</v>
      </c>
      <c r="AL741" s="126">
        <v>6.6001930842149559E-2</v>
      </c>
      <c r="AM741" s="14">
        <v>0</v>
      </c>
      <c r="AN741" s="122">
        <v>-1</v>
      </c>
      <c r="AO741" s="131">
        <v>477123.31971628335</v>
      </c>
      <c r="AP741" s="131">
        <v>583029.95244718308</v>
      </c>
      <c r="AQ741" s="131">
        <v>105906.63273089973</v>
      </c>
      <c r="AR741" s="130">
        <v>0.2219690976200368</v>
      </c>
    </row>
    <row r="742" spans="1:44" ht="28.8" x14ac:dyDescent="0.3">
      <c r="A742" s="136" t="s">
        <v>1008</v>
      </c>
      <c r="B742" s="137" t="s">
        <v>5510</v>
      </c>
      <c r="C742" s="134">
        <v>2019</v>
      </c>
      <c r="D742" s="149" t="s">
        <v>1111</v>
      </c>
      <c r="E742" s="135" t="s">
        <v>1108</v>
      </c>
      <c r="F742" s="384" t="s">
        <v>1006</v>
      </c>
      <c r="G742" s="138" t="s">
        <v>4773</v>
      </c>
      <c r="H742" s="138" t="s">
        <v>3060</v>
      </c>
      <c r="I742" s="138" t="s">
        <v>1566</v>
      </c>
      <c r="J742" s="135" t="s">
        <v>4774</v>
      </c>
      <c r="K742" s="164">
        <v>1356699354</v>
      </c>
      <c r="L742" s="165">
        <v>869499977</v>
      </c>
      <c r="M742" s="165">
        <v>453651833</v>
      </c>
      <c r="N742" s="165">
        <v>25441519</v>
      </c>
      <c r="O742" s="165">
        <v>263726106.25</v>
      </c>
      <c r="P742" s="165">
        <v>70555421.609999999</v>
      </c>
      <c r="Q742" s="165">
        <v>1099055</v>
      </c>
      <c r="R742" s="165">
        <v>660.58333333333337</v>
      </c>
      <c r="S742" s="165">
        <v>394369645.86000001</v>
      </c>
      <c r="T742" s="165">
        <v>597002.11307177995</v>
      </c>
      <c r="U742" s="166">
        <v>33547544</v>
      </c>
      <c r="V742" s="168">
        <v>1271440398</v>
      </c>
      <c r="W742" s="165">
        <v>1002596747</v>
      </c>
      <c r="X742" s="165">
        <v>224663916</v>
      </c>
      <c r="Y742" s="165">
        <v>19511842</v>
      </c>
      <c r="Z742" s="165">
        <v>220320094</v>
      </c>
      <c r="AA742" s="165">
        <v>68330083</v>
      </c>
      <c r="AB742" s="165">
        <v>1014077</v>
      </c>
      <c r="AC742" s="165">
        <v>556.83333333333337</v>
      </c>
      <c r="AD742" s="165">
        <v>353355831</v>
      </c>
      <c r="AE742" s="165">
        <v>634580.95959293621</v>
      </c>
      <c r="AF742" s="166">
        <v>44179735</v>
      </c>
      <c r="AG742" s="124">
        <v>-41013814.860000014</v>
      </c>
      <c r="AH742" s="125">
        <v>-103.75</v>
      </c>
      <c r="AI742" s="133">
        <v>0</v>
      </c>
      <c r="AJ742" s="133">
        <v>0</v>
      </c>
      <c r="AK742" s="126">
        <v>0.15</v>
      </c>
      <c r="AL742" s="126">
        <v>6.2945924931488095E-2</v>
      </c>
      <c r="AM742" s="14">
        <v>0</v>
      </c>
      <c r="AN742" s="122">
        <v>-1</v>
      </c>
      <c r="AO742" s="131">
        <v>399232.15276901727</v>
      </c>
      <c r="AP742" s="131">
        <v>395666.13708470517</v>
      </c>
      <c r="AQ742" s="131">
        <v>-3566.0156843120931</v>
      </c>
      <c r="AR742" s="130">
        <v>-8.9321855957209539E-3</v>
      </c>
    </row>
    <row r="743" spans="1:44" ht="28.8" x14ac:dyDescent="0.3">
      <c r="A743" s="136" t="s">
        <v>1009</v>
      </c>
      <c r="B743" s="137" t="s">
        <v>5511</v>
      </c>
      <c r="C743" s="134">
        <v>2019</v>
      </c>
      <c r="D743" s="149" t="s">
        <v>1111</v>
      </c>
      <c r="E743" s="135" t="s">
        <v>1108</v>
      </c>
      <c r="F743" s="384" t="s">
        <v>1006</v>
      </c>
      <c r="G743" s="138" t="s">
        <v>4773</v>
      </c>
      <c r="H743" s="138" t="s">
        <v>1401</v>
      </c>
      <c r="I743" s="138" t="s">
        <v>1217</v>
      </c>
      <c r="J743" s="135" t="s">
        <v>4774</v>
      </c>
      <c r="K743" s="164">
        <v>1727688510</v>
      </c>
      <c r="L743" s="165">
        <v>1524814188</v>
      </c>
      <c r="M743" s="165">
        <v>71025406</v>
      </c>
      <c r="N743" s="165">
        <v>49282006</v>
      </c>
      <c r="O743" s="165">
        <v>81033950.770000011</v>
      </c>
      <c r="P743" s="165">
        <v>24792105.059999999</v>
      </c>
      <c r="Q743" s="165">
        <v>1088822</v>
      </c>
      <c r="R743" s="165">
        <v>358</v>
      </c>
      <c r="S743" s="165">
        <v>288045799.82999998</v>
      </c>
      <c r="T743" s="165">
        <v>804597.20622905018</v>
      </c>
      <c r="U743" s="166">
        <v>131848916</v>
      </c>
      <c r="V743" s="168">
        <v>2410326387</v>
      </c>
      <c r="W743" s="165">
        <v>1637762115</v>
      </c>
      <c r="X743" s="165">
        <v>611907167</v>
      </c>
      <c r="Y743" s="165">
        <v>49422306</v>
      </c>
      <c r="Z743" s="165">
        <v>151877083</v>
      </c>
      <c r="AA743" s="165">
        <v>43275506.310000002</v>
      </c>
      <c r="AB743" s="165">
        <v>1259497</v>
      </c>
      <c r="AC743" s="165">
        <v>417.66666666666669</v>
      </c>
      <c r="AD743" s="165">
        <v>406491497.31</v>
      </c>
      <c r="AE743" s="165">
        <v>973243.80840383074</v>
      </c>
      <c r="AF743" s="166">
        <v>160657105</v>
      </c>
      <c r="AG743" s="124">
        <v>118445697.48000002</v>
      </c>
      <c r="AH743" s="125">
        <v>59.666666666666686</v>
      </c>
      <c r="AI743" s="133">
        <v>1</v>
      </c>
      <c r="AJ743" s="133">
        <v>1</v>
      </c>
      <c r="AK743" s="126">
        <v>0.15</v>
      </c>
      <c r="AL743" s="126">
        <v>0.20960375937669506</v>
      </c>
      <c r="AM743" s="14">
        <v>1</v>
      </c>
      <c r="AN743" s="122">
        <v>0</v>
      </c>
      <c r="AO743" s="131">
        <v>226351.81779329613</v>
      </c>
      <c r="AP743" s="131">
        <v>363632.28172386269</v>
      </c>
      <c r="AQ743" s="131">
        <v>137280.46393056656</v>
      </c>
      <c r="AR743" s="130">
        <v>0.60649154607598832</v>
      </c>
    </row>
    <row r="744" spans="1:44" ht="28.8" x14ac:dyDescent="0.3">
      <c r="A744" s="136" t="s">
        <v>1010</v>
      </c>
      <c r="B744" s="137" t="s">
        <v>5512</v>
      </c>
      <c r="C744" s="134">
        <v>2020</v>
      </c>
      <c r="D744" s="149" t="s">
        <v>4845</v>
      </c>
      <c r="E744" s="135" t="s">
        <v>1117</v>
      </c>
      <c r="F744" s="384" t="s">
        <v>1011</v>
      </c>
      <c r="G744" s="138" t="s">
        <v>4796</v>
      </c>
      <c r="H744" s="138" t="s">
        <v>3007</v>
      </c>
      <c r="I744" s="138" t="s">
        <v>1566</v>
      </c>
      <c r="J744" s="135" t="s">
        <v>4778</v>
      </c>
      <c r="K744" s="164">
        <v>1620958057</v>
      </c>
      <c r="L744" s="165">
        <v>953006879</v>
      </c>
      <c r="M744" s="165">
        <v>494320392</v>
      </c>
      <c r="N744" s="165">
        <v>26100345</v>
      </c>
      <c r="O744" s="165">
        <v>295846034.90999997</v>
      </c>
      <c r="P744" s="165">
        <v>74150289.299999997</v>
      </c>
      <c r="Q744" s="165">
        <v>1920127</v>
      </c>
      <c r="R744" s="165">
        <v>571.66666666666663</v>
      </c>
      <c r="S744" s="165">
        <v>571647582.20999992</v>
      </c>
      <c r="T744" s="165">
        <v>999966.61611078714</v>
      </c>
      <c r="U744" s="166">
        <v>173630786</v>
      </c>
      <c r="V744" s="168">
        <v>1775562427</v>
      </c>
      <c r="W744" s="165">
        <v>1127608426</v>
      </c>
      <c r="X744" s="165">
        <v>541276637</v>
      </c>
      <c r="Y744" s="165">
        <v>28232003</v>
      </c>
      <c r="Z744" s="165">
        <v>357285537.15999997</v>
      </c>
      <c r="AA744" s="165">
        <v>87779469.74000001</v>
      </c>
      <c r="AB744" s="165">
        <v>1898457</v>
      </c>
      <c r="AC744" s="165">
        <v>615.66666666666663</v>
      </c>
      <c r="AD744" s="165">
        <v>581872830.89999998</v>
      </c>
      <c r="AE744" s="165">
        <v>945110.17471575527</v>
      </c>
      <c r="AF744" s="166">
        <v>106677364</v>
      </c>
      <c r="AG744" s="124">
        <v>10225248.690000057</v>
      </c>
      <c r="AH744" s="125">
        <v>44</v>
      </c>
      <c r="AI744" s="133">
        <v>0</v>
      </c>
      <c r="AJ744" s="133">
        <v>0</v>
      </c>
      <c r="AK744" s="126">
        <v>0.05</v>
      </c>
      <c r="AL744" s="126">
        <v>-5.4858281169425371E-2</v>
      </c>
      <c r="AM744" s="14">
        <v>0</v>
      </c>
      <c r="AN744" s="122">
        <v>-1</v>
      </c>
      <c r="AO744" s="131">
        <v>517514.92987172009</v>
      </c>
      <c r="AP744" s="131">
        <v>580323.01650243637</v>
      </c>
      <c r="AQ744" s="131">
        <v>62808.08663071628</v>
      </c>
      <c r="AR744" s="130">
        <v>0.12136478197118872</v>
      </c>
    </row>
    <row r="745" spans="1:44" ht="43.2" x14ac:dyDescent="0.3">
      <c r="A745" s="136" t="s">
        <v>1012</v>
      </c>
      <c r="B745" s="137" t="s">
        <v>5513</v>
      </c>
      <c r="C745" s="134">
        <v>2019</v>
      </c>
      <c r="D745" s="149" t="s">
        <v>4845</v>
      </c>
      <c r="E745" s="135" t="s">
        <v>1117</v>
      </c>
      <c r="F745" s="384" t="s">
        <v>1011</v>
      </c>
      <c r="G745" s="138" t="s">
        <v>4773</v>
      </c>
      <c r="H745" s="138" t="s">
        <v>3007</v>
      </c>
      <c r="I745" s="138" t="s">
        <v>1566</v>
      </c>
      <c r="J745" s="135" t="s">
        <v>4778</v>
      </c>
      <c r="K745" s="164">
        <v>1209728479</v>
      </c>
      <c r="L745" s="165">
        <v>933170967</v>
      </c>
      <c r="M745" s="165">
        <v>265841515</v>
      </c>
      <c r="N745" s="165">
        <v>17688658</v>
      </c>
      <c r="O745" s="165">
        <v>154299225</v>
      </c>
      <c r="P745" s="165">
        <v>45559224</v>
      </c>
      <c r="Q745" s="165">
        <v>949457</v>
      </c>
      <c r="R745" s="165">
        <v>520.16666666666663</v>
      </c>
      <c r="S745" s="165">
        <v>229212561</v>
      </c>
      <c r="T745" s="165">
        <v>440652.15187439928</v>
      </c>
      <c r="U745" s="166">
        <v>10715997</v>
      </c>
      <c r="V745" s="168">
        <v>1308539339</v>
      </c>
      <c r="W745" s="165">
        <v>1064009043</v>
      </c>
      <c r="X745" s="165">
        <v>229361405</v>
      </c>
      <c r="Y745" s="165">
        <v>13012470</v>
      </c>
      <c r="Z745" s="165">
        <v>153109616.40000001</v>
      </c>
      <c r="AA745" s="165">
        <v>45370649.840000004</v>
      </c>
      <c r="AB745" s="165">
        <v>877525</v>
      </c>
      <c r="AC745" s="165">
        <v>422.33333333333331</v>
      </c>
      <c r="AD745" s="165">
        <v>227539152.24000001</v>
      </c>
      <c r="AE745" s="165">
        <v>538766.73774269933</v>
      </c>
      <c r="AF745" s="166">
        <v>15168891</v>
      </c>
      <c r="AG745" s="124">
        <v>-1673408.7599999905</v>
      </c>
      <c r="AH745" s="125">
        <v>-97.833333333333314</v>
      </c>
      <c r="AI745" s="133">
        <v>1</v>
      </c>
      <c r="AJ745" s="133">
        <v>1</v>
      </c>
      <c r="AK745" s="126">
        <v>0.15</v>
      </c>
      <c r="AL745" s="126">
        <v>0.2226576904254296</v>
      </c>
      <c r="AM745" s="14">
        <v>1</v>
      </c>
      <c r="AN745" s="122">
        <v>0</v>
      </c>
      <c r="AO745" s="131">
        <v>296634.20378083951</v>
      </c>
      <c r="AP745" s="131">
        <v>362532.63551696925</v>
      </c>
      <c r="AQ745" s="131">
        <v>65898.431736129744</v>
      </c>
      <c r="AR745" s="130">
        <v>0.22215385446520219</v>
      </c>
    </row>
    <row r="746" spans="1:44" ht="28.8" x14ac:dyDescent="0.3">
      <c r="A746" s="136" t="s">
        <v>1013</v>
      </c>
      <c r="B746" s="137" t="s">
        <v>5514</v>
      </c>
      <c r="C746" s="134">
        <v>2019</v>
      </c>
      <c r="D746" s="149" t="s">
        <v>4845</v>
      </c>
      <c r="E746" s="135" t="s">
        <v>1117</v>
      </c>
      <c r="F746" s="384" t="s">
        <v>1011</v>
      </c>
      <c r="G746" s="138" t="s">
        <v>4773</v>
      </c>
      <c r="H746" s="138" t="s">
        <v>1780</v>
      </c>
      <c r="I746" s="138" t="s">
        <v>1566</v>
      </c>
      <c r="J746" s="135" t="s">
        <v>4774</v>
      </c>
      <c r="K746" s="164">
        <v>2869190363</v>
      </c>
      <c r="L746" s="165">
        <v>1838724514</v>
      </c>
      <c r="M746" s="165">
        <v>1639389698</v>
      </c>
      <c r="N746" s="165">
        <v>206650114</v>
      </c>
      <c r="O746" s="165">
        <v>306207055.08999997</v>
      </c>
      <c r="P746" s="165">
        <v>84848800.439999998</v>
      </c>
      <c r="Q746" s="165">
        <v>12859563</v>
      </c>
      <c r="R746" s="165">
        <v>742</v>
      </c>
      <c r="S746" s="165">
        <v>1641683.5299999714</v>
      </c>
      <c r="T746" s="165">
        <v>2212.5114959568346</v>
      </c>
      <c r="U746" s="166">
        <v>-608923849</v>
      </c>
      <c r="V746" s="168">
        <v>5558742555</v>
      </c>
      <c r="W746" s="165">
        <v>3157774067</v>
      </c>
      <c r="X746" s="165">
        <v>1879202271</v>
      </c>
      <c r="Y746" s="165">
        <v>207590796</v>
      </c>
      <c r="Z746" s="165">
        <v>367309882.69000006</v>
      </c>
      <c r="AA746" s="165">
        <v>100941680.71000001</v>
      </c>
      <c r="AB746" s="165">
        <v>11096136</v>
      </c>
      <c r="AC746" s="165">
        <v>735.33333333333337</v>
      </c>
      <c r="AD746" s="165">
        <v>1208704712.4000001</v>
      </c>
      <c r="AE746" s="165">
        <v>1643750.7421577517</v>
      </c>
      <c r="AF746" s="166">
        <v>521766217</v>
      </c>
      <c r="AG746" s="124">
        <v>1207063028.8700001</v>
      </c>
      <c r="AH746" s="125">
        <v>-6.6666666666666288</v>
      </c>
      <c r="AI746" s="133">
        <v>1</v>
      </c>
      <c r="AJ746" s="133">
        <v>0</v>
      </c>
      <c r="AK746" s="126">
        <v>0.15</v>
      </c>
      <c r="AL746" s="126">
        <v>741.93482967308614</v>
      </c>
      <c r="AM746" s="14">
        <v>1</v>
      </c>
      <c r="AN746" s="122">
        <v>0</v>
      </c>
      <c r="AO746" s="131">
        <v>412677.97181940696</v>
      </c>
      <c r="AP746" s="131">
        <v>499514.79966908437</v>
      </c>
      <c r="AQ746" s="131">
        <v>86836.827849677415</v>
      </c>
      <c r="AR746" s="130">
        <v>0.21042273583645099</v>
      </c>
    </row>
    <row r="747" spans="1:44" ht="28.8" x14ac:dyDescent="0.3">
      <c r="A747" s="136" t="s">
        <v>1014</v>
      </c>
      <c r="B747" s="137" t="s">
        <v>5515</v>
      </c>
      <c r="C747" s="134">
        <v>2020</v>
      </c>
      <c r="D747" s="149" t="s">
        <v>4845</v>
      </c>
      <c r="E747" s="135" t="s">
        <v>1117</v>
      </c>
      <c r="F747" s="384" t="s">
        <v>1011</v>
      </c>
      <c r="G747" s="138" t="s">
        <v>4773</v>
      </c>
      <c r="H747" s="138" t="s">
        <v>2554</v>
      </c>
      <c r="I747" s="138" t="s">
        <v>1566</v>
      </c>
      <c r="J747" s="135" t="s">
        <v>4778</v>
      </c>
      <c r="K747" s="164">
        <v>9718988879</v>
      </c>
      <c r="L747" s="165">
        <v>3203360526</v>
      </c>
      <c r="M747" s="165">
        <v>5481695813</v>
      </c>
      <c r="N747" s="165">
        <v>935044597</v>
      </c>
      <c r="O747" s="165">
        <v>495918989.72000003</v>
      </c>
      <c r="P747" s="165">
        <v>144203880.22</v>
      </c>
      <c r="Q747" s="165">
        <v>452603</v>
      </c>
      <c r="R747" s="165">
        <v>956</v>
      </c>
      <c r="S747" s="165">
        <v>2609552609.9400001</v>
      </c>
      <c r="T747" s="165">
        <v>2729657.5417782427</v>
      </c>
      <c r="U747" s="166">
        <v>1033932540</v>
      </c>
      <c r="V747" s="168">
        <v>12332192533</v>
      </c>
      <c r="W747" s="165">
        <v>3137732239</v>
      </c>
      <c r="X747" s="165">
        <v>7271697080</v>
      </c>
      <c r="Y747" s="165">
        <v>656127173</v>
      </c>
      <c r="Z747" s="165">
        <v>1243947139.45</v>
      </c>
      <c r="AA747" s="165">
        <v>151339953.88</v>
      </c>
      <c r="AB747" s="165">
        <v>177102084</v>
      </c>
      <c r="AC747" s="165">
        <v>955</v>
      </c>
      <c r="AD747" s="165">
        <v>4151279564.3299999</v>
      </c>
      <c r="AE747" s="165">
        <v>4346889.5961570684</v>
      </c>
      <c r="AF747" s="166">
        <v>1922763214</v>
      </c>
      <c r="AG747" s="124">
        <v>1541726954.3899999</v>
      </c>
      <c r="AH747" s="125">
        <v>-1</v>
      </c>
      <c r="AI747" s="133">
        <v>1</v>
      </c>
      <c r="AJ747" s="133">
        <v>1</v>
      </c>
      <c r="AK747" s="126">
        <v>0.1</v>
      </c>
      <c r="AL747" s="126">
        <v>0.59246701694308501</v>
      </c>
      <c r="AM747" s="14">
        <v>1</v>
      </c>
      <c r="AN747" s="122">
        <v>0</v>
      </c>
      <c r="AO747" s="131">
        <v>518743.71309623437</v>
      </c>
      <c r="AP747" s="131">
        <v>1302562.4496858639</v>
      </c>
      <c r="AQ747" s="131">
        <v>783818.73658962955</v>
      </c>
      <c r="AR747" s="130">
        <v>1.5109941900042267</v>
      </c>
    </row>
    <row r="748" spans="1:44" ht="28.8" x14ac:dyDescent="0.3">
      <c r="A748" s="136" t="s">
        <v>1015</v>
      </c>
      <c r="B748" s="137" t="s">
        <v>5516</v>
      </c>
      <c r="C748" s="134">
        <v>2019</v>
      </c>
      <c r="D748" s="149" t="s">
        <v>4845</v>
      </c>
      <c r="E748" s="135" t="s">
        <v>1117</v>
      </c>
      <c r="F748" s="384" t="s">
        <v>211</v>
      </c>
      <c r="G748" s="138" t="s">
        <v>4773</v>
      </c>
      <c r="H748" s="138" t="s">
        <v>3390</v>
      </c>
      <c r="I748" s="138" t="s">
        <v>1566</v>
      </c>
      <c r="J748" s="135" t="s">
        <v>4778</v>
      </c>
      <c r="K748" s="164">
        <v>36972309798</v>
      </c>
      <c r="L748" s="165">
        <v>30874049826</v>
      </c>
      <c r="M748" s="165">
        <v>3699023499</v>
      </c>
      <c r="N748" s="165">
        <v>99656621</v>
      </c>
      <c r="O748" s="165">
        <v>1740590331.52</v>
      </c>
      <c r="P748" s="165">
        <v>531532274</v>
      </c>
      <c r="Q748" s="165">
        <v>0</v>
      </c>
      <c r="R748" s="165">
        <v>3799.3333333333335</v>
      </c>
      <c r="S748" s="165">
        <v>4771015699.5200005</v>
      </c>
      <c r="T748" s="165">
        <v>1255750.7543919988</v>
      </c>
      <c r="U748" s="166">
        <v>2399236473</v>
      </c>
      <c r="V748" s="168">
        <v>30505239449</v>
      </c>
      <c r="W748" s="165">
        <v>25746958384</v>
      </c>
      <c r="X748" s="165">
        <v>4130638578</v>
      </c>
      <c r="Y748" s="165">
        <v>135402614</v>
      </c>
      <c r="Z748" s="165">
        <v>1967920027.7600002</v>
      </c>
      <c r="AA748" s="165">
        <v>605648633.49000001</v>
      </c>
      <c r="AB748" s="165">
        <v>0</v>
      </c>
      <c r="AC748" s="165">
        <v>3458.3333333333335</v>
      </c>
      <c r="AD748" s="165">
        <v>3336613762.25</v>
      </c>
      <c r="AE748" s="165">
        <v>964803.97944578307</v>
      </c>
      <c r="AF748" s="166">
        <v>627642487</v>
      </c>
      <c r="AG748" s="124">
        <v>-1434401937.2700005</v>
      </c>
      <c r="AH748" s="125">
        <v>-341</v>
      </c>
      <c r="AI748" s="133">
        <v>0</v>
      </c>
      <c r="AJ748" s="133">
        <v>0</v>
      </c>
      <c r="AK748" s="126">
        <v>0.15</v>
      </c>
      <c r="AL748" s="126">
        <v>-0.23169149610302842</v>
      </c>
      <c r="AM748" s="14">
        <v>0</v>
      </c>
      <c r="AN748" s="122">
        <v>-1</v>
      </c>
      <c r="AO748" s="131">
        <v>458130.46100719424</v>
      </c>
      <c r="AP748" s="131">
        <v>569037.11646072299</v>
      </c>
      <c r="AQ748" s="131">
        <v>110906.65545352874</v>
      </c>
      <c r="AR748" s="130">
        <v>0.24208531170291936</v>
      </c>
    </row>
    <row r="749" spans="1:44" ht="43.2" x14ac:dyDescent="0.3">
      <c r="A749" s="136" t="s">
        <v>1016</v>
      </c>
      <c r="B749" s="137" t="s">
        <v>5517</v>
      </c>
      <c r="C749" s="134">
        <v>2019</v>
      </c>
      <c r="D749" s="149" t="s">
        <v>4845</v>
      </c>
      <c r="E749" s="135" t="s">
        <v>1117</v>
      </c>
      <c r="F749" s="384" t="s">
        <v>1011</v>
      </c>
      <c r="G749" s="138" t="s">
        <v>4773</v>
      </c>
      <c r="H749" s="138" t="s">
        <v>2925</v>
      </c>
      <c r="I749" s="138" t="s">
        <v>1566</v>
      </c>
      <c r="J749" s="135" t="s">
        <v>4778</v>
      </c>
      <c r="K749" s="164">
        <v>484858709</v>
      </c>
      <c r="L749" s="165">
        <v>156869836</v>
      </c>
      <c r="M749" s="165">
        <v>279695348</v>
      </c>
      <c r="N749" s="165">
        <v>8198896</v>
      </c>
      <c r="O749" s="165">
        <v>173859234.37</v>
      </c>
      <c r="P749" s="165">
        <v>50962744.240000002</v>
      </c>
      <c r="Q749" s="165">
        <v>2392976</v>
      </c>
      <c r="R749" s="165">
        <v>550.83333333333337</v>
      </c>
      <c r="S749" s="165">
        <v>283707375.61000001</v>
      </c>
      <c r="T749" s="165">
        <v>515051.21139485628</v>
      </c>
      <c r="U749" s="166">
        <v>48293525</v>
      </c>
      <c r="V749" s="168">
        <v>434986603</v>
      </c>
      <c r="W749" s="165">
        <v>168521946</v>
      </c>
      <c r="X749" s="165">
        <v>265952168</v>
      </c>
      <c r="Y749" s="165">
        <v>12019610</v>
      </c>
      <c r="Z749" s="165">
        <v>128086026.69999999</v>
      </c>
      <c r="AA749" s="165">
        <v>37497877.590000004</v>
      </c>
      <c r="AB749" s="165">
        <v>2238389</v>
      </c>
      <c r="AC749" s="165">
        <v>398.33333333333331</v>
      </c>
      <c r="AD749" s="165">
        <v>180354392.28999999</v>
      </c>
      <c r="AE749" s="165">
        <v>452772.53294560668</v>
      </c>
      <c r="AF749" s="166">
        <v>512489</v>
      </c>
      <c r="AG749" s="124">
        <v>-103352983.32000002</v>
      </c>
      <c r="AH749" s="125">
        <v>-152.50000000000006</v>
      </c>
      <c r="AI749" s="133">
        <v>0</v>
      </c>
      <c r="AJ749" s="133">
        <v>0</v>
      </c>
      <c r="AK749" s="126">
        <v>0.15</v>
      </c>
      <c r="AL749" s="126">
        <v>-0.12091745207238713</v>
      </c>
      <c r="AM749" s="14">
        <v>0</v>
      </c>
      <c r="AN749" s="122">
        <v>-1</v>
      </c>
      <c r="AO749" s="131">
        <v>315629.47238124051</v>
      </c>
      <c r="AP749" s="131">
        <v>321554.87874476984</v>
      </c>
      <c r="AQ749" s="131">
        <v>5925.4063635293278</v>
      </c>
      <c r="AR749" s="130">
        <v>1.877329869997757E-2</v>
      </c>
    </row>
    <row r="750" spans="1:44" ht="28.8" x14ac:dyDescent="0.3">
      <c r="A750" s="136" t="s">
        <v>1017</v>
      </c>
      <c r="B750" s="137" t="s">
        <v>5518</v>
      </c>
      <c r="C750" s="134">
        <v>2019</v>
      </c>
      <c r="D750" s="149" t="s">
        <v>4845</v>
      </c>
      <c r="E750" s="135" t="s">
        <v>1117</v>
      </c>
      <c r="F750" s="384" t="s">
        <v>1011</v>
      </c>
      <c r="G750" s="138" t="s">
        <v>4773</v>
      </c>
      <c r="H750" s="138" t="s">
        <v>3507</v>
      </c>
      <c r="I750" s="138" t="s">
        <v>1566</v>
      </c>
      <c r="J750" s="135" t="s">
        <v>4778</v>
      </c>
      <c r="K750" s="164">
        <v>234600121</v>
      </c>
      <c r="L750" s="165">
        <v>156915201</v>
      </c>
      <c r="M750" s="165">
        <v>82582121</v>
      </c>
      <c r="N750" s="165">
        <v>3725154</v>
      </c>
      <c r="O750" s="165">
        <v>71408271</v>
      </c>
      <c r="P750" s="165">
        <v>21529085</v>
      </c>
      <c r="Q750" s="165">
        <v>253833</v>
      </c>
      <c r="R750" s="165">
        <v>301.16666666666669</v>
      </c>
      <c r="S750" s="165">
        <v>92019142</v>
      </c>
      <c r="T750" s="165">
        <v>305542.25345877145</v>
      </c>
      <c r="U750" s="166">
        <v>-4897201</v>
      </c>
      <c r="V750" s="168">
        <v>863345219</v>
      </c>
      <c r="W750" s="165">
        <v>435579196</v>
      </c>
      <c r="X750" s="165">
        <v>420829829</v>
      </c>
      <c r="Y750" s="165">
        <v>2263762</v>
      </c>
      <c r="Z750" s="165">
        <v>149457703.91</v>
      </c>
      <c r="AA750" s="165">
        <v>45178891.710000001</v>
      </c>
      <c r="AB750" s="165">
        <v>301709</v>
      </c>
      <c r="AC750" s="165">
        <v>359</v>
      </c>
      <c r="AD750" s="165">
        <v>204138260.62</v>
      </c>
      <c r="AE750" s="165">
        <v>568630.25242339831</v>
      </c>
      <c r="AF750" s="166">
        <v>6936194</v>
      </c>
      <c r="AG750" s="124">
        <v>112119118.62</v>
      </c>
      <c r="AH750" s="125">
        <v>57.833333333333314</v>
      </c>
      <c r="AI750" s="133">
        <v>1</v>
      </c>
      <c r="AJ750" s="133">
        <v>0</v>
      </c>
      <c r="AK750" s="126">
        <v>0.15</v>
      </c>
      <c r="AL750" s="126">
        <v>0.86105276766142813</v>
      </c>
      <c r="AM750" s="14">
        <v>1</v>
      </c>
      <c r="AN750" s="122">
        <v>0</v>
      </c>
      <c r="AO750" s="131">
        <v>237105.49308245711</v>
      </c>
      <c r="AP750" s="131">
        <v>416316.72398328688</v>
      </c>
      <c r="AQ750" s="131">
        <v>179211.23090082977</v>
      </c>
      <c r="AR750" s="130">
        <v>0.75582909771941176</v>
      </c>
    </row>
    <row r="751" spans="1:44" ht="28.8" x14ac:dyDescent="0.3">
      <c r="A751" s="136" t="s">
        <v>1018</v>
      </c>
      <c r="B751" s="137" t="s">
        <v>5519</v>
      </c>
      <c r="C751" s="134">
        <v>2018</v>
      </c>
      <c r="D751" s="149" t="s">
        <v>4845</v>
      </c>
      <c r="E751" s="135" t="s">
        <v>1117</v>
      </c>
      <c r="F751" s="384" t="s">
        <v>1011</v>
      </c>
      <c r="G751" s="138" t="s">
        <v>4773</v>
      </c>
      <c r="H751" s="138" t="s">
        <v>2392</v>
      </c>
      <c r="I751" s="138" t="s">
        <v>1566</v>
      </c>
      <c r="J751" s="135" t="s">
        <v>4778</v>
      </c>
      <c r="K751" s="164">
        <v>2170024481</v>
      </c>
      <c r="L751" s="165">
        <v>1055516443.9999999</v>
      </c>
      <c r="M751" s="165">
        <v>591815833</v>
      </c>
      <c r="N751" s="165">
        <v>47296402</v>
      </c>
      <c r="O751" s="165">
        <v>336828074</v>
      </c>
      <c r="P751" s="165">
        <v>99340451.289999992</v>
      </c>
      <c r="Q751" s="165">
        <v>6664685</v>
      </c>
      <c r="R751" s="165">
        <v>1222</v>
      </c>
      <c r="S751" s="165">
        <v>1012821816.29</v>
      </c>
      <c r="T751" s="165">
        <v>828823.09025368246</v>
      </c>
      <c r="U751" s="166">
        <v>522692204</v>
      </c>
      <c r="V751" s="168">
        <v>25329691498</v>
      </c>
      <c r="W751" s="165">
        <v>3841874260</v>
      </c>
      <c r="X751" s="165">
        <v>2703311538</v>
      </c>
      <c r="Y751" s="165">
        <v>105601278</v>
      </c>
      <c r="Z751" s="165">
        <v>600756296.75999999</v>
      </c>
      <c r="AA751" s="165">
        <v>181472703.75</v>
      </c>
      <c r="AB751" s="165">
        <v>9882904</v>
      </c>
      <c r="AC751" s="165">
        <v>1512.3333333333333</v>
      </c>
      <c r="AD751" s="165">
        <v>19682218882.509998</v>
      </c>
      <c r="AE751" s="165">
        <v>13014471.379221952</v>
      </c>
      <c r="AF751" s="166">
        <v>18784505700</v>
      </c>
      <c r="AG751" s="124">
        <v>18669397066.219997</v>
      </c>
      <c r="AH751" s="125">
        <v>290.33333333333326</v>
      </c>
      <c r="AI751" s="133">
        <v>1</v>
      </c>
      <c r="AJ751" s="133">
        <v>1</v>
      </c>
      <c r="AK751" s="126">
        <v>0.3</v>
      </c>
      <c r="AL751" s="126">
        <v>14.702351366683089</v>
      </c>
      <c r="AM751" s="14">
        <v>1</v>
      </c>
      <c r="AN751" s="122">
        <v>0</v>
      </c>
      <c r="AO751" s="131">
        <v>275636.72176759411</v>
      </c>
      <c r="AP751" s="131">
        <v>397238.01857615163</v>
      </c>
      <c r="AQ751" s="131">
        <v>121601.29680855753</v>
      </c>
      <c r="AR751" s="130">
        <v>0.44116508144762689</v>
      </c>
    </row>
    <row r="752" spans="1:44" ht="28.8" x14ac:dyDescent="0.3">
      <c r="A752" s="136" t="s">
        <v>1019</v>
      </c>
      <c r="B752" s="137" t="s">
        <v>5520</v>
      </c>
      <c r="C752" s="134">
        <v>2019</v>
      </c>
      <c r="D752" s="149" t="s">
        <v>4845</v>
      </c>
      <c r="E752" s="135" t="s">
        <v>1117</v>
      </c>
      <c r="F752" s="384" t="s">
        <v>1011</v>
      </c>
      <c r="G752" s="138" t="s">
        <v>4773</v>
      </c>
      <c r="H752" s="138" t="s">
        <v>2333</v>
      </c>
      <c r="I752" s="138" t="s">
        <v>1566</v>
      </c>
      <c r="J752" s="135" t="s">
        <v>4778</v>
      </c>
      <c r="K752" s="164">
        <v>644141789</v>
      </c>
      <c r="L752" s="165">
        <v>529697445</v>
      </c>
      <c r="M752" s="165">
        <v>68611909</v>
      </c>
      <c r="N752" s="165">
        <v>31860238</v>
      </c>
      <c r="O752" s="165">
        <v>37863571</v>
      </c>
      <c r="P752" s="165">
        <v>11164345</v>
      </c>
      <c r="Q752" s="165">
        <v>1957442</v>
      </c>
      <c r="R752" s="165">
        <v>75.916666666666671</v>
      </c>
      <c r="S752" s="165">
        <v>128678031</v>
      </c>
      <c r="T752" s="165">
        <v>1694990.5290889132</v>
      </c>
      <c r="U752" s="166">
        <v>45832435</v>
      </c>
      <c r="V752" s="168">
        <v>1998113608</v>
      </c>
      <c r="W752" s="165">
        <v>1701402769</v>
      </c>
      <c r="X752" s="165">
        <v>145253339</v>
      </c>
      <c r="Y752" s="165">
        <v>73738210</v>
      </c>
      <c r="Z752" s="165">
        <v>78986273.050000012</v>
      </c>
      <c r="AA752" s="165">
        <v>6976922.1200000001</v>
      </c>
      <c r="AB752" s="165">
        <v>4562586</v>
      </c>
      <c r="AC752" s="165">
        <v>93</v>
      </c>
      <c r="AD752" s="165">
        <v>315721491.17000002</v>
      </c>
      <c r="AE752" s="165">
        <v>3394854.7437634412</v>
      </c>
      <c r="AF752" s="166">
        <v>151457500</v>
      </c>
      <c r="AG752" s="124">
        <v>187043460.17000002</v>
      </c>
      <c r="AH752" s="125">
        <v>17.083333333333329</v>
      </c>
      <c r="AI752" s="133">
        <v>1</v>
      </c>
      <c r="AJ752" s="133">
        <v>1</v>
      </c>
      <c r="AK752" s="126">
        <v>0.15</v>
      </c>
      <c r="AL752" s="126">
        <v>1.002875343498232</v>
      </c>
      <c r="AM752" s="14">
        <v>1</v>
      </c>
      <c r="AN752" s="122">
        <v>0</v>
      </c>
      <c r="AO752" s="131">
        <v>498751.75850713497</v>
      </c>
      <c r="AP752" s="131">
        <v>849314.7639784948</v>
      </c>
      <c r="AQ752" s="131">
        <v>350563.00547135982</v>
      </c>
      <c r="AR752" s="130">
        <v>0.70288074075300688</v>
      </c>
    </row>
    <row r="753" spans="1:44" ht="28.8" x14ac:dyDescent="0.3">
      <c r="A753" s="136" t="s">
        <v>1020</v>
      </c>
      <c r="B753" s="137" t="s">
        <v>5521</v>
      </c>
      <c r="C753" s="134">
        <v>2018</v>
      </c>
      <c r="D753" s="149" t="s">
        <v>4845</v>
      </c>
      <c r="E753" s="135" t="s">
        <v>1117</v>
      </c>
      <c r="F753" s="384" t="s">
        <v>1011</v>
      </c>
      <c r="G753" s="138" t="s">
        <v>4773</v>
      </c>
      <c r="H753" s="138" t="s">
        <v>2996</v>
      </c>
      <c r="I753" s="138" t="s">
        <v>1566</v>
      </c>
      <c r="J753" s="135" t="s">
        <v>4774</v>
      </c>
      <c r="K753" s="164">
        <v>2387438000</v>
      </c>
      <c r="L753" s="165">
        <v>1944712660</v>
      </c>
      <c r="M753" s="165">
        <v>197615210</v>
      </c>
      <c r="N753" s="165">
        <v>52817350</v>
      </c>
      <c r="O753" s="165">
        <v>179057405.59999999</v>
      </c>
      <c r="P753" s="165">
        <v>51440238.889999993</v>
      </c>
      <c r="Q753" s="165">
        <v>5156260</v>
      </c>
      <c r="R753" s="165">
        <v>305.66666666666669</v>
      </c>
      <c r="S753" s="165">
        <v>533581384.49000001</v>
      </c>
      <c r="T753" s="165">
        <v>1745631.5741221374</v>
      </c>
      <c r="U753" s="166">
        <v>245110130</v>
      </c>
      <c r="V753" s="168">
        <v>3506203140</v>
      </c>
      <c r="W753" s="165">
        <v>2994974006</v>
      </c>
      <c r="X753" s="165">
        <v>194730570</v>
      </c>
      <c r="Y753" s="165">
        <v>74081727</v>
      </c>
      <c r="Z753" s="165">
        <v>270548935.26000005</v>
      </c>
      <c r="AA753" s="165">
        <v>77882545.409999996</v>
      </c>
      <c r="AB753" s="165">
        <v>2703807</v>
      </c>
      <c r="AC753" s="165">
        <v>420</v>
      </c>
      <c r="AD753" s="165">
        <v>741715578.66999996</v>
      </c>
      <c r="AE753" s="165">
        <v>1765989.4730238095</v>
      </c>
      <c r="AF753" s="166">
        <v>316498564</v>
      </c>
      <c r="AG753" s="124">
        <v>208134194.17999995</v>
      </c>
      <c r="AH753" s="125">
        <v>114.33333333333331</v>
      </c>
      <c r="AI753" s="133">
        <v>0</v>
      </c>
      <c r="AJ753" s="133">
        <v>0</v>
      </c>
      <c r="AK753" s="126">
        <v>0.3</v>
      </c>
      <c r="AL753" s="126">
        <v>1.1662197424626042E-2</v>
      </c>
      <c r="AM753" s="14">
        <v>0</v>
      </c>
      <c r="AN753" s="122">
        <v>-1</v>
      </c>
      <c r="AO753" s="131">
        <v>585793.03904034896</v>
      </c>
      <c r="AP753" s="131">
        <v>644164.13157142873</v>
      </c>
      <c r="AQ753" s="131">
        <v>58371.092531079776</v>
      </c>
      <c r="AR753" s="130">
        <v>9.964456495881846E-2</v>
      </c>
    </row>
    <row r="754" spans="1:44" ht="28.8" x14ac:dyDescent="0.3">
      <c r="A754" s="136" t="s">
        <v>1021</v>
      </c>
      <c r="B754" s="137" t="s">
        <v>5522</v>
      </c>
      <c r="C754" s="134">
        <v>2018</v>
      </c>
      <c r="D754" s="149" t="s">
        <v>4845</v>
      </c>
      <c r="E754" s="135" t="s">
        <v>1117</v>
      </c>
      <c r="F754" s="384" t="s">
        <v>1011</v>
      </c>
      <c r="G754" s="138" t="s">
        <v>4773</v>
      </c>
      <c r="H754" s="138" t="s">
        <v>2411</v>
      </c>
      <c r="I754" s="138" t="s">
        <v>1566</v>
      </c>
      <c r="J754" s="135" t="s">
        <v>4798</v>
      </c>
      <c r="K754" s="164">
        <v>2306433000</v>
      </c>
      <c r="L754" s="165">
        <v>1469019990</v>
      </c>
      <c r="M754" s="165">
        <v>666988220</v>
      </c>
      <c r="N754" s="165">
        <v>41515460</v>
      </c>
      <c r="O754" s="165">
        <v>429004500</v>
      </c>
      <c r="P754" s="165">
        <v>116285586.62</v>
      </c>
      <c r="Q754" s="165">
        <v>7463960</v>
      </c>
      <c r="R754" s="165">
        <v>1256.0833333333335</v>
      </c>
      <c r="S754" s="165">
        <v>764694296.62</v>
      </c>
      <c r="T754" s="165">
        <v>608792.64641677169</v>
      </c>
      <c r="U754" s="166">
        <v>170424790</v>
      </c>
      <c r="V754" s="168">
        <v>2688971292</v>
      </c>
      <c r="W754" s="165">
        <v>1638964053</v>
      </c>
      <c r="X754" s="165">
        <v>753598369</v>
      </c>
      <c r="Y754" s="165">
        <v>59762987</v>
      </c>
      <c r="Z754" s="165">
        <v>426781080</v>
      </c>
      <c r="AA754" s="165">
        <v>132158629</v>
      </c>
      <c r="AB754" s="165">
        <v>4553679</v>
      </c>
      <c r="AC754" s="165">
        <v>1090.3333333333333</v>
      </c>
      <c r="AD754" s="165">
        <v>919665245</v>
      </c>
      <c r="AE754" s="165">
        <v>843471.64017120155</v>
      </c>
      <c r="AF754" s="166">
        <v>296408870</v>
      </c>
      <c r="AG754" s="124">
        <v>154970948.38</v>
      </c>
      <c r="AH754" s="125">
        <v>-165.75000000000023</v>
      </c>
      <c r="AI754" s="133">
        <v>1</v>
      </c>
      <c r="AJ754" s="133">
        <v>1</v>
      </c>
      <c r="AK754" s="126">
        <v>0.3</v>
      </c>
      <c r="AL754" s="126">
        <v>0.38548262696666913</v>
      </c>
      <c r="AM754" s="14">
        <v>1</v>
      </c>
      <c r="AN754" s="122">
        <v>0</v>
      </c>
      <c r="AO754" s="131">
        <v>341541.4316990645</v>
      </c>
      <c r="AP754" s="131">
        <v>391422.57413634978</v>
      </c>
      <c r="AQ754" s="131">
        <v>49881.142437285278</v>
      </c>
      <c r="AR754" s="130">
        <v>0.14604711993254171</v>
      </c>
    </row>
    <row r="755" spans="1:44" ht="28.8" x14ac:dyDescent="0.3">
      <c r="A755" s="136" t="s">
        <v>1022</v>
      </c>
      <c r="B755" s="137" t="s">
        <v>5523</v>
      </c>
      <c r="C755" s="134">
        <v>2020</v>
      </c>
      <c r="D755" s="149" t="s">
        <v>1122</v>
      </c>
      <c r="E755" s="135" t="s">
        <v>1117</v>
      </c>
      <c r="F755" s="384" t="s">
        <v>353</v>
      </c>
      <c r="G755" s="138" t="s">
        <v>4773</v>
      </c>
      <c r="H755" s="138" t="s">
        <v>3569</v>
      </c>
      <c r="I755" s="138" t="s">
        <v>3557</v>
      </c>
      <c r="J755" s="135" t="s">
        <v>4774</v>
      </c>
      <c r="K755" s="164">
        <v>5225884490</v>
      </c>
      <c r="L755" s="165">
        <v>2188097006</v>
      </c>
      <c r="M755" s="165">
        <v>2958760478</v>
      </c>
      <c r="N755" s="165">
        <v>37376305</v>
      </c>
      <c r="O755" s="165">
        <v>259202392.86000001</v>
      </c>
      <c r="P755" s="165">
        <v>60295400.270000003</v>
      </c>
      <c r="Q755" s="165">
        <v>0</v>
      </c>
      <c r="R755" s="165">
        <v>1324.9166666666667</v>
      </c>
      <c r="S755" s="165">
        <v>435901104.13</v>
      </c>
      <c r="T755" s="165">
        <v>329002.65737216175</v>
      </c>
      <c r="U755" s="166">
        <v>79027006</v>
      </c>
      <c r="V755" s="168">
        <v>7475411466</v>
      </c>
      <c r="W755" s="165">
        <v>4115134807</v>
      </c>
      <c r="X755" s="165">
        <v>3137923825</v>
      </c>
      <c r="Y755" s="165">
        <v>178676088</v>
      </c>
      <c r="Z755" s="165">
        <v>448999997</v>
      </c>
      <c r="AA755" s="165">
        <v>135591642</v>
      </c>
      <c r="AB755" s="165">
        <v>0</v>
      </c>
      <c r="AC755" s="165">
        <v>1969.6666666666667</v>
      </c>
      <c r="AD755" s="165">
        <v>985620561</v>
      </c>
      <c r="AE755" s="165">
        <v>500399.67557962431</v>
      </c>
      <c r="AF755" s="166">
        <v>222352834</v>
      </c>
      <c r="AG755" s="124">
        <v>549719456.87</v>
      </c>
      <c r="AH755" s="125">
        <v>644.75</v>
      </c>
      <c r="AI755" s="133">
        <v>1</v>
      </c>
      <c r="AJ755" s="133">
        <v>1</v>
      </c>
      <c r="AK755" s="126">
        <v>0.1</v>
      </c>
      <c r="AL755" s="126">
        <v>0.52095937461417496</v>
      </c>
      <c r="AM755" s="14">
        <v>1</v>
      </c>
      <c r="AN755" s="122">
        <v>0</v>
      </c>
      <c r="AO755" s="131">
        <v>195636.75163972576</v>
      </c>
      <c r="AP755" s="131">
        <v>227957.3516669487</v>
      </c>
      <c r="AQ755" s="131">
        <v>32320.600027222943</v>
      </c>
      <c r="AR755" s="130">
        <v>0.16520720036664094</v>
      </c>
    </row>
    <row r="756" spans="1:44" ht="28.8" x14ac:dyDescent="0.3">
      <c r="A756" s="136" t="s">
        <v>1023</v>
      </c>
      <c r="B756" s="137" t="s">
        <v>5524</v>
      </c>
      <c r="C756" s="134">
        <v>2020</v>
      </c>
      <c r="D756" s="149" t="s">
        <v>1122</v>
      </c>
      <c r="E756" s="135" t="s">
        <v>1117</v>
      </c>
      <c r="F756" s="384" t="s">
        <v>353</v>
      </c>
      <c r="G756" s="138" t="s">
        <v>4773</v>
      </c>
      <c r="H756" s="138" t="s">
        <v>1454</v>
      </c>
      <c r="I756" s="138" t="s">
        <v>1217</v>
      </c>
      <c r="J756" s="135" t="s">
        <v>4774</v>
      </c>
      <c r="K756" s="164">
        <v>591103326</v>
      </c>
      <c r="L756" s="165">
        <v>554913258</v>
      </c>
      <c r="M756" s="165">
        <v>0</v>
      </c>
      <c r="N756" s="165">
        <v>114664777</v>
      </c>
      <c r="O756" s="165">
        <v>47967518.590000004</v>
      </c>
      <c r="P756" s="165">
        <v>10013027.84</v>
      </c>
      <c r="Q756" s="165">
        <v>4399562</v>
      </c>
      <c r="R756" s="165">
        <v>161.08333333333334</v>
      </c>
      <c r="S756" s="165">
        <v>213234953.43000001</v>
      </c>
      <c r="T756" s="165">
        <v>1323755.5308639421</v>
      </c>
      <c r="U756" s="166">
        <v>36190068</v>
      </c>
      <c r="V756" s="168">
        <v>634108508</v>
      </c>
      <c r="W756" s="165">
        <v>590592270</v>
      </c>
      <c r="X756" s="165">
        <v>0</v>
      </c>
      <c r="Y756" s="165">
        <v>73907112</v>
      </c>
      <c r="Z756" s="165">
        <v>52858591.520000003</v>
      </c>
      <c r="AA756" s="165">
        <v>10297822.99</v>
      </c>
      <c r="AB756" s="165">
        <v>4278043</v>
      </c>
      <c r="AC756" s="165">
        <v>156.83333333333334</v>
      </c>
      <c r="AD756" s="165">
        <v>184857807.51000002</v>
      </c>
      <c r="AE756" s="165">
        <v>1178689.5271625931</v>
      </c>
      <c r="AF756" s="166">
        <v>43516238</v>
      </c>
      <c r="AG756" s="124">
        <v>-28377145.919999987</v>
      </c>
      <c r="AH756" s="125">
        <v>-4.25</v>
      </c>
      <c r="AI756" s="133">
        <v>0</v>
      </c>
      <c r="AJ756" s="133">
        <v>0</v>
      </c>
      <c r="AK756" s="126">
        <v>0.1</v>
      </c>
      <c r="AL756" s="126">
        <v>-0.10958669989465497</v>
      </c>
      <c r="AM756" s="14">
        <v>0</v>
      </c>
      <c r="AN756" s="122">
        <v>-1</v>
      </c>
      <c r="AO756" s="131">
        <v>297780.76724262803</v>
      </c>
      <c r="AP756" s="131">
        <v>337036.71532412327</v>
      </c>
      <c r="AQ756" s="131">
        <v>39255.94808149524</v>
      </c>
      <c r="AR756" s="130">
        <v>0.13182835293560102</v>
      </c>
    </row>
    <row r="757" spans="1:44" ht="28.8" x14ac:dyDescent="0.3">
      <c r="A757" s="136" t="s">
        <v>1024</v>
      </c>
      <c r="B757" s="137" t="s">
        <v>5525</v>
      </c>
      <c r="C757" s="134">
        <v>2020</v>
      </c>
      <c r="D757" s="149" t="s">
        <v>1122</v>
      </c>
      <c r="E757" s="135" t="s">
        <v>1117</v>
      </c>
      <c r="F757" s="384" t="s">
        <v>353</v>
      </c>
      <c r="G757" s="138" t="s">
        <v>4773</v>
      </c>
      <c r="H757" s="138" t="s">
        <v>4328</v>
      </c>
      <c r="I757" s="138" t="s">
        <v>4255</v>
      </c>
      <c r="J757" s="135" t="s">
        <v>4774</v>
      </c>
      <c r="K757" s="164">
        <v>1323436384</v>
      </c>
      <c r="L757" s="165">
        <v>917124692</v>
      </c>
      <c r="M757" s="165">
        <v>356948705</v>
      </c>
      <c r="N757" s="165">
        <v>57883448</v>
      </c>
      <c r="O757" s="165">
        <v>190040852.19999999</v>
      </c>
      <c r="P757" s="165">
        <v>53972786.049999997</v>
      </c>
      <c r="Q757" s="165">
        <v>571075</v>
      </c>
      <c r="R757" s="165">
        <v>395.66666666666669</v>
      </c>
      <c r="S757" s="165">
        <v>351831148.25</v>
      </c>
      <c r="T757" s="165">
        <v>889210.98967986519</v>
      </c>
      <c r="U757" s="166">
        <v>49362987</v>
      </c>
      <c r="V757" s="168">
        <v>1463935525</v>
      </c>
      <c r="W757" s="165">
        <v>813584573</v>
      </c>
      <c r="X757" s="165">
        <v>349187654</v>
      </c>
      <c r="Y757" s="165">
        <v>69817188</v>
      </c>
      <c r="Z757" s="165">
        <v>183318368.61000001</v>
      </c>
      <c r="AA757" s="165">
        <v>54231047.879999995</v>
      </c>
      <c r="AB757" s="165">
        <v>711222</v>
      </c>
      <c r="AC757" s="165">
        <v>351.83333333333331</v>
      </c>
      <c r="AD757" s="165">
        <v>609241124.49000001</v>
      </c>
      <c r="AE757" s="165">
        <v>1731618.5442633824</v>
      </c>
      <c r="AF757" s="166">
        <v>301163298</v>
      </c>
      <c r="AG757" s="124">
        <v>257409976.24000001</v>
      </c>
      <c r="AH757" s="125">
        <v>-43.833333333333371</v>
      </c>
      <c r="AI757" s="133">
        <v>1</v>
      </c>
      <c r="AJ757" s="133">
        <v>1</v>
      </c>
      <c r="AK757" s="126">
        <v>0.1</v>
      </c>
      <c r="AL757" s="126">
        <v>0.94736520294244242</v>
      </c>
      <c r="AM757" s="14">
        <v>1</v>
      </c>
      <c r="AN757" s="122">
        <v>0</v>
      </c>
      <c r="AO757" s="131">
        <v>480305.43942712713</v>
      </c>
      <c r="AP757" s="131">
        <v>521037.52328754152</v>
      </c>
      <c r="AQ757" s="131">
        <v>40732.083860414394</v>
      </c>
      <c r="AR757" s="130">
        <v>8.4804544185459685E-2</v>
      </c>
    </row>
    <row r="758" spans="1:44" ht="28.8" x14ac:dyDescent="0.3">
      <c r="A758" s="136" t="s">
        <v>1025</v>
      </c>
      <c r="B758" s="137" t="s">
        <v>5526</v>
      </c>
      <c r="C758" s="134">
        <v>2020</v>
      </c>
      <c r="D758" s="149" t="s">
        <v>1122</v>
      </c>
      <c r="E758" s="135" t="s">
        <v>1117</v>
      </c>
      <c r="F758" s="384" t="s">
        <v>353</v>
      </c>
      <c r="G758" s="138" t="s">
        <v>4796</v>
      </c>
      <c r="H758" s="138" t="s">
        <v>1223</v>
      </c>
      <c r="I758" s="138" t="s">
        <v>1217</v>
      </c>
      <c r="J758" s="135" t="s">
        <v>5527</v>
      </c>
      <c r="K758" s="164">
        <v>1032199330</v>
      </c>
      <c r="L758" s="165">
        <v>993702220</v>
      </c>
      <c r="M758" s="165">
        <v>0</v>
      </c>
      <c r="N758" s="165">
        <v>0</v>
      </c>
      <c r="O758" s="165">
        <v>22117941.75</v>
      </c>
      <c r="P758" s="165">
        <v>5669312.1600000001</v>
      </c>
      <c r="Q758" s="165">
        <v>0</v>
      </c>
      <c r="R758" s="165">
        <v>136.41666666666666</v>
      </c>
      <c r="S758" s="165">
        <v>66284363.909999996</v>
      </c>
      <c r="T758" s="165">
        <v>485896.37563836289</v>
      </c>
      <c r="U758" s="166">
        <v>38497110</v>
      </c>
      <c r="V758" s="168">
        <v>1076747811</v>
      </c>
      <c r="W758" s="165">
        <v>1042184446</v>
      </c>
      <c r="X758" s="165">
        <v>0</v>
      </c>
      <c r="Y758" s="165">
        <v>0</v>
      </c>
      <c r="Z758" s="165">
        <v>25938557</v>
      </c>
      <c r="AA758" s="165">
        <v>7258395</v>
      </c>
      <c r="AB758" s="165">
        <v>0</v>
      </c>
      <c r="AC758" s="165">
        <v>145.75</v>
      </c>
      <c r="AD758" s="165">
        <v>67760317</v>
      </c>
      <c r="AE758" s="165">
        <v>464907.83533447684</v>
      </c>
      <c r="AF758" s="166">
        <v>34563365</v>
      </c>
      <c r="AG758" s="124">
        <v>1475953.0900000036</v>
      </c>
      <c r="AH758" s="125">
        <v>9.3333333333333428</v>
      </c>
      <c r="AI758" s="133">
        <v>0</v>
      </c>
      <c r="AJ758" s="133">
        <v>0</v>
      </c>
      <c r="AK758" s="126">
        <v>0.05</v>
      </c>
      <c r="AL758" s="126">
        <v>-4.3195506004798712E-2</v>
      </c>
      <c r="AM758" s="14">
        <v>0</v>
      </c>
      <c r="AN758" s="122">
        <v>-1</v>
      </c>
      <c r="AO758" s="131">
        <v>162135.18692730606</v>
      </c>
      <c r="AP758" s="131">
        <v>177966.08576329332</v>
      </c>
      <c r="AQ758" s="131">
        <v>15830.89883598726</v>
      </c>
      <c r="AR758" s="130">
        <v>9.7640118323514269E-2</v>
      </c>
    </row>
    <row r="759" spans="1:44" ht="43.2" x14ac:dyDescent="0.3">
      <c r="A759" s="136" t="s">
        <v>1026</v>
      </c>
      <c r="B759" s="137" t="s">
        <v>5528</v>
      </c>
      <c r="C759" s="134">
        <v>2018</v>
      </c>
      <c r="D759" s="149" t="s">
        <v>4943</v>
      </c>
      <c r="E759" s="135" t="s">
        <v>1140</v>
      </c>
      <c r="F759" s="384" t="s">
        <v>353</v>
      </c>
      <c r="G759" s="138" t="s">
        <v>4773</v>
      </c>
      <c r="H759" s="138" t="s">
        <v>2975</v>
      </c>
      <c r="I759" s="138" t="s">
        <v>1566</v>
      </c>
      <c r="J759" s="135" t="s">
        <v>4778</v>
      </c>
      <c r="K759" s="164">
        <v>4749599000</v>
      </c>
      <c r="L759" s="165">
        <v>2777341030.0000005</v>
      </c>
      <c r="M759" s="165">
        <v>1599080187</v>
      </c>
      <c r="N759" s="165">
        <v>65965820.000000007</v>
      </c>
      <c r="O759" s="165">
        <v>1094309190</v>
      </c>
      <c r="P759" s="165">
        <v>291163864.44000006</v>
      </c>
      <c r="Q759" s="165">
        <v>13905450</v>
      </c>
      <c r="R759" s="165">
        <v>2901.1666666666674</v>
      </c>
      <c r="S759" s="165">
        <v>1838522107.4399996</v>
      </c>
      <c r="T759" s="165">
        <v>633718.19639455364</v>
      </c>
      <c r="U759" s="166">
        <v>373177782.99999952</v>
      </c>
      <c r="V759" s="168">
        <v>6636792186</v>
      </c>
      <c r="W759" s="165">
        <v>4744706387</v>
      </c>
      <c r="X759" s="165">
        <v>1878253619</v>
      </c>
      <c r="Y759" s="165">
        <v>187054079</v>
      </c>
      <c r="Z759" s="165">
        <v>1208727902.8999999</v>
      </c>
      <c r="AA759" s="165">
        <v>361718331.81999999</v>
      </c>
      <c r="AB759" s="165">
        <v>4577789</v>
      </c>
      <c r="AC759" s="165">
        <v>2707.1666666666665</v>
      </c>
      <c r="AD759" s="165">
        <v>1775910282.7199998</v>
      </c>
      <c r="AE759" s="165">
        <v>656003.3058129655</v>
      </c>
      <c r="AF759" s="166">
        <v>13832180</v>
      </c>
      <c r="AG759" s="124">
        <v>-62611824.71999979</v>
      </c>
      <c r="AH759" s="125">
        <v>-194.00000000000091</v>
      </c>
      <c r="AI759" s="133">
        <v>0</v>
      </c>
      <c r="AJ759" s="133">
        <v>1</v>
      </c>
      <c r="AK759" s="126">
        <v>0.3</v>
      </c>
      <c r="AL759" s="126">
        <v>3.5165646181536392E-2</v>
      </c>
      <c r="AM759" s="14">
        <v>0</v>
      </c>
      <c r="AN759" s="122">
        <v>-1</v>
      </c>
      <c r="AO759" s="131">
        <v>377196.25093353237</v>
      </c>
      <c r="AP759" s="131">
        <v>446491.86833712982</v>
      </c>
      <c r="AQ759" s="131">
        <v>69295.617403597455</v>
      </c>
      <c r="AR759" s="130">
        <v>0.18371237050234734</v>
      </c>
    </row>
    <row r="760" spans="1:44" ht="28.8" x14ac:dyDescent="0.3">
      <c r="A760" s="136" t="s">
        <v>1027</v>
      </c>
      <c r="B760" s="137" t="s">
        <v>5529</v>
      </c>
      <c r="C760" s="134">
        <v>2019</v>
      </c>
      <c r="D760" s="149" t="s">
        <v>4873</v>
      </c>
      <c r="E760" s="135" t="s">
        <v>1140</v>
      </c>
      <c r="F760" s="384" t="s">
        <v>1028</v>
      </c>
      <c r="G760" s="138" t="s">
        <v>4773</v>
      </c>
      <c r="H760" s="138" t="s">
        <v>2707</v>
      </c>
      <c r="I760" s="138" t="s">
        <v>1566</v>
      </c>
      <c r="J760" s="135" t="s">
        <v>4774</v>
      </c>
      <c r="K760" s="164">
        <v>2207299751</v>
      </c>
      <c r="L760" s="165">
        <v>1458163931</v>
      </c>
      <c r="M760" s="165">
        <v>571761954</v>
      </c>
      <c r="N760" s="165">
        <v>46230234</v>
      </c>
      <c r="O760" s="165">
        <v>234141419</v>
      </c>
      <c r="P760" s="165">
        <v>70430756</v>
      </c>
      <c r="Q760" s="165">
        <v>4289441</v>
      </c>
      <c r="R760" s="165">
        <v>627.66666666666663</v>
      </c>
      <c r="S760" s="165">
        <v>532465716</v>
      </c>
      <c r="T760" s="165">
        <v>848325.62294211367</v>
      </c>
      <c r="U760" s="166">
        <v>177373866</v>
      </c>
      <c r="V760" s="168">
        <v>2537731781</v>
      </c>
      <c r="W760" s="165">
        <v>1971341628</v>
      </c>
      <c r="X760" s="165">
        <v>487368153</v>
      </c>
      <c r="Y760" s="165">
        <v>59231862</v>
      </c>
      <c r="Z760" s="165">
        <v>348185548</v>
      </c>
      <c r="AA760" s="165">
        <v>101161714</v>
      </c>
      <c r="AB760" s="165">
        <v>3870326</v>
      </c>
      <c r="AC760" s="165">
        <v>751.91666666666663</v>
      </c>
      <c r="AD760" s="165">
        <v>591471450</v>
      </c>
      <c r="AE760" s="165">
        <v>786618.3530976394</v>
      </c>
      <c r="AF760" s="166">
        <v>79022000</v>
      </c>
      <c r="AG760" s="124">
        <v>59005734</v>
      </c>
      <c r="AH760" s="125">
        <v>124.25</v>
      </c>
      <c r="AI760" s="133">
        <v>0</v>
      </c>
      <c r="AJ760" s="133">
        <v>0</v>
      </c>
      <c r="AK760" s="126">
        <v>0.15</v>
      </c>
      <c r="AL760" s="126">
        <v>-7.2740075915660785E-2</v>
      </c>
      <c r="AM760" s="14">
        <v>0</v>
      </c>
      <c r="AN760" s="122">
        <v>-1</v>
      </c>
      <c r="AO760" s="131">
        <v>373034.65586829529</v>
      </c>
      <c r="AP760" s="131">
        <v>463064.01152609999</v>
      </c>
      <c r="AQ760" s="131">
        <v>90029.355657804699</v>
      </c>
      <c r="AR760" s="130">
        <v>0.24134314129138379</v>
      </c>
    </row>
    <row r="761" spans="1:44" ht="43.2" x14ac:dyDescent="0.3">
      <c r="A761" s="136" t="s">
        <v>1029</v>
      </c>
      <c r="B761" s="137" t="s">
        <v>5530</v>
      </c>
      <c r="C761" s="134">
        <v>2019</v>
      </c>
      <c r="D761" s="149" t="s">
        <v>1111</v>
      </c>
      <c r="E761" s="135" t="s">
        <v>1108</v>
      </c>
      <c r="F761" s="384" t="s">
        <v>1030</v>
      </c>
      <c r="G761" s="138" t="s">
        <v>4773</v>
      </c>
      <c r="H761" s="138" t="s">
        <v>2717</v>
      </c>
      <c r="I761" s="138" t="s">
        <v>1566</v>
      </c>
      <c r="J761" s="135" t="s">
        <v>4774</v>
      </c>
      <c r="K761" s="164">
        <v>1292210750</v>
      </c>
      <c r="L761" s="165">
        <v>1050681426</v>
      </c>
      <c r="M761" s="165">
        <v>213464164</v>
      </c>
      <c r="N761" s="165">
        <v>1575771</v>
      </c>
      <c r="O761" s="165">
        <v>194432774.66999999</v>
      </c>
      <c r="P761" s="165">
        <v>55554526.850000001</v>
      </c>
      <c r="Q761" s="165">
        <v>0</v>
      </c>
      <c r="R761" s="165">
        <v>529.25</v>
      </c>
      <c r="S761" s="165">
        <v>279628232.51999998</v>
      </c>
      <c r="T761" s="165">
        <v>528348.1011242324</v>
      </c>
      <c r="U761" s="166">
        <v>28065160</v>
      </c>
      <c r="V761" s="168">
        <v>1324119591</v>
      </c>
      <c r="W761" s="165">
        <v>1279594857</v>
      </c>
      <c r="X761" s="165">
        <v>179204045</v>
      </c>
      <c r="Y761" s="165">
        <v>2213325</v>
      </c>
      <c r="Z761" s="165">
        <v>174239901.72999999</v>
      </c>
      <c r="AA761" s="165">
        <v>52785596.239999995</v>
      </c>
      <c r="AB761" s="165">
        <v>0</v>
      </c>
      <c r="AC761" s="165">
        <v>445.41666666666669</v>
      </c>
      <c r="AD761" s="165">
        <v>94559511.969999984</v>
      </c>
      <c r="AE761" s="165">
        <v>212294.50769691294</v>
      </c>
      <c r="AF761" s="166">
        <v>-134679311</v>
      </c>
      <c r="AG761" s="124">
        <v>-185068720.55000001</v>
      </c>
      <c r="AH761" s="125">
        <v>-83.833333333333314</v>
      </c>
      <c r="AI761" s="133">
        <v>0</v>
      </c>
      <c r="AJ761" s="133">
        <v>0</v>
      </c>
      <c r="AK761" s="126">
        <v>0.15</v>
      </c>
      <c r="AL761" s="126">
        <v>-0.59819196851469703</v>
      </c>
      <c r="AM761" s="14">
        <v>0</v>
      </c>
      <c r="AN761" s="122">
        <v>-1</v>
      </c>
      <c r="AO761" s="131">
        <v>367374.1609258384</v>
      </c>
      <c r="AP761" s="131">
        <v>391184.06375304016</v>
      </c>
      <c r="AQ761" s="131">
        <v>23809.90282720176</v>
      </c>
      <c r="AR761" s="130">
        <v>6.481104377944602E-2</v>
      </c>
    </row>
    <row r="762" spans="1:44" ht="43.2" x14ac:dyDescent="0.3">
      <c r="A762" s="136" t="s">
        <v>1031</v>
      </c>
      <c r="B762" s="137" t="s">
        <v>5531</v>
      </c>
      <c r="C762" s="134">
        <v>2019</v>
      </c>
      <c r="D762" s="149" t="s">
        <v>1111</v>
      </c>
      <c r="E762" s="135" t="s">
        <v>1108</v>
      </c>
      <c r="F762" s="384" t="s">
        <v>1030</v>
      </c>
      <c r="G762" s="138" t="s">
        <v>4773</v>
      </c>
      <c r="H762" s="138" t="s">
        <v>2463</v>
      </c>
      <c r="I762" s="138" t="s">
        <v>1566</v>
      </c>
      <c r="J762" s="135" t="s">
        <v>4774</v>
      </c>
      <c r="K762" s="164">
        <v>416221299</v>
      </c>
      <c r="L762" s="165">
        <v>149604962</v>
      </c>
      <c r="M762" s="165">
        <v>119141441</v>
      </c>
      <c r="N762" s="165">
        <v>9503770</v>
      </c>
      <c r="O762" s="165">
        <v>63919127.129999995</v>
      </c>
      <c r="P762" s="165">
        <v>19427440.620000001</v>
      </c>
      <c r="Q762" s="165">
        <v>957159</v>
      </c>
      <c r="R762" s="165">
        <v>156.83333333333334</v>
      </c>
      <c r="S762" s="165">
        <v>241282392.75</v>
      </c>
      <c r="T762" s="165">
        <v>1538463.7157279488</v>
      </c>
      <c r="U762" s="166">
        <v>147474896</v>
      </c>
      <c r="V762" s="168">
        <v>361990566</v>
      </c>
      <c r="W762" s="165">
        <v>124192971</v>
      </c>
      <c r="X762" s="165">
        <v>131677453</v>
      </c>
      <c r="Y762" s="165">
        <v>10590497</v>
      </c>
      <c r="Z762" s="165">
        <v>65577933.539999999</v>
      </c>
      <c r="AA762" s="165">
        <v>13026779.510000002</v>
      </c>
      <c r="AB762" s="165">
        <v>1182586</v>
      </c>
      <c r="AC762" s="165">
        <v>150.91666666666666</v>
      </c>
      <c r="AD762" s="165">
        <v>196497938.04999998</v>
      </c>
      <c r="AE762" s="165">
        <v>1302029.4072887907</v>
      </c>
      <c r="AF762" s="166">
        <v>106120142</v>
      </c>
      <c r="AG762" s="124">
        <v>-44784454.700000018</v>
      </c>
      <c r="AH762" s="125">
        <v>-5.9166666666666856</v>
      </c>
      <c r="AI762" s="133">
        <v>0</v>
      </c>
      <c r="AJ762" s="133">
        <v>0</v>
      </c>
      <c r="AK762" s="126">
        <v>0.15</v>
      </c>
      <c r="AL762" s="126">
        <v>-0.15368208357880553</v>
      </c>
      <c r="AM762" s="14">
        <v>0</v>
      </c>
      <c r="AN762" s="122">
        <v>-1</v>
      </c>
      <c r="AO762" s="131">
        <v>407560.85311370878</v>
      </c>
      <c r="AP762" s="131">
        <v>434530.7578575373</v>
      </c>
      <c r="AQ762" s="131">
        <v>26969.90474382852</v>
      </c>
      <c r="AR762" s="130">
        <v>6.6173933383891326E-2</v>
      </c>
    </row>
    <row r="763" spans="1:44" ht="43.2" x14ac:dyDescent="0.3">
      <c r="A763" s="136" t="s">
        <v>1032</v>
      </c>
      <c r="B763" s="137" t="s">
        <v>5532</v>
      </c>
      <c r="C763" s="134">
        <v>2019</v>
      </c>
      <c r="D763" s="149" t="s">
        <v>1111</v>
      </c>
      <c r="E763" s="135" t="s">
        <v>1108</v>
      </c>
      <c r="F763" s="384" t="s">
        <v>1030</v>
      </c>
      <c r="G763" s="138" t="s">
        <v>4773</v>
      </c>
      <c r="H763" s="138" t="s">
        <v>3328</v>
      </c>
      <c r="I763" s="138" t="s">
        <v>1566</v>
      </c>
      <c r="J763" s="135" t="s">
        <v>4774</v>
      </c>
      <c r="K763" s="164">
        <v>3103361991</v>
      </c>
      <c r="L763" s="165">
        <v>2977192640</v>
      </c>
      <c r="M763" s="165">
        <v>82024591</v>
      </c>
      <c r="N763" s="165">
        <v>98947722</v>
      </c>
      <c r="O763" s="165">
        <v>313220651.70999998</v>
      </c>
      <c r="P763" s="165">
        <v>98685554.719999999</v>
      </c>
      <c r="Q763" s="165">
        <v>0</v>
      </c>
      <c r="R763" s="165">
        <v>527.25</v>
      </c>
      <c r="S763" s="165">
        <v>554998688.42999995</v>
      </c>
      <c r="T763" s="165">
        <v>1052629.0913798008</v>
      </c>
      <c r="U763" s="166">
        <v>44144760</v>
      </c>
      <c r="V763" s="168">
        <v>1272957201</v>
      </c>
      <c r="W763" s="165">
        <v>983312575</v>
      </c>
      <c r="X763" s="165">
        <v>185110734</v>
      </c>
      <c r="Y763" s="165">
        <v>101239127</v>
      </c>
      <c r="Z763" s="165">
        <v>319186978</v>
      </c>
      <c r="AA763" s="165">
        <v>87448539</v>
      </c>
      <c r="AB763" s="165">
        <v>0</v>
      </c>
      <c r="AC763" s="165">
        <v>404.66666666666669</v>
      </c>
      <c r="AD763" s="165">
        <v>612408536</v>
      </c>
      <c r="AE763" s="165">
        <v>1513365.410214168</v>
      </c>
      <c r="AF763" s="166">
        <v>104533892</v>
      </c>
      <c r="AG763" s="124">
        <v>57409847.570000052</v>
      </c>
      <c r="AH763" s="125">
        <v>-122.58333333333331</v>
      </c>
      <c r="AI763" s="133">
        <v>1</v>
      </c>
      <c r="AJ763" s="133">
        <v>1</v>
      </c>
      <c r="AK763" s="126">
        <v>0.15</v>
      </c>
      <c r="AL763" s="126">
        <v>0.43770053894292404</v>
      </c>
      <c r="AM763" s="14">
        <v>1</v>
      </c>
      <c r="AN763" s="122">
        <v>0</v>
      </c>
      <c r="AO763" s="131">
        <v>594064.77327643428</v>
      </c>
      <c r="AP763" s="131">
        <v>788765.18451400322</v>
      </c>
      <c r="AQ763" s="131">
        <v>194700.41123756894</v>
      </c>
      <c r="AR763" s="130">
        <v>0.32774273108930774</v>
      </c>
    </row>
    <row r="764" spans="1:44" ht="43.2" x14ac:dyDescent="0.3">
      <c r="A764" s="136" t="s">
        <v>1033</v>
      </c>
      <c r="B764" s="137" t="s">
        <v>5533</v>
      </c>
      <c r="C764" s="134">
        <v>2020</v>
      </c>
      <c r="D764" s="149" t="s">
        <v>1111</v>
      </c>
      <c r="E764" s="135" t="s">
        <v>1108</v>
      </c>
      <c r="F764" s="384" t="s">
        <v>1030</v>
      </c>
      <c r="G764" s="138" t="s">
        <v>4773</v>
      </c>
      <c r="H764" s="138" t="s">
        <v>2743</v>
      </c>
      <c r="I764" s="138" t="s">
        <v>1566</v>
      </c>
      <c r="J764" s="135" t="s">
        <v>4778</v>
      </c>
      <c r="K764" s="164">
        <v>2309377152</v>
      </c>
      <c r="L764" s="165">
        <v>1219961516</v>
      </c>
      <c r="M764" s="165">
        <v>718012588</v>
      </c>
      <c r="N764" s="165">
        <v>84527430</v>
      </c>
      <c r="O764" s="165">
        <v>797497405.03999996</v>
      </c>
      <c r="P764" s="165">
        <v>241577770.32999998</v>
      </c>
      <c r="Q764" s="165">
        <v>9191390</v>
      </c>
      <c r="R764" s="165">
        <v>2088.1666666666665</v>
      </c>
      <c r="S764" s="165">
        <v>1504197043.3699999</v>
      </c>
      <c r="T764" s="165">
        <v>720343.38416633406</v>
      </c>
      <c r="U764" s="166">
        <v>371403048</v>
      </c>
      <c r="V764" s="168">
        <v>3002994294</v>
      </c>
      <c r="W764" s="165">
        <v>1597953933</v>
      </c>
      <c r="X764" s="165">
        <v>892246654</v>
      </c>
      <c r="Y764" s="165">
        <v>79892634</v>
      </c>
      <c r="Z764" s="165">
        <v>983071038.05999994</v>
      </c>
      <c r="AA764" s="165">
        <v>299827138.03000003</v>
      </c>
      <c r="AB764" s="165">
        <v>7711722</v>
      </c>
      <c r="AC764" s="165">
        <v>2227.9166666666665</v>
      </c>
      <c r="AD764" s="165">
        <v>1883296239.0899999</v>
      </c>
      <c r="AE764" s="165">
        <v>845317.18231082847</v>
      </c>
      <c r="AF764" s="166">
        <v>512793707</v>
      </c>
      <c r="AG764" s="124">
        <v>379099195.72000003</v>
      </c>
      <c r="AH764" s="125">
        <v>139.75</v>
      </c>
      <c r="AI764" s="133">
        <v>1</v>
      </c>
      <c r="AJ764" s="133">
        <v>1</v>
      </c>
      <c r="AK764" s="126">
        <v>0.1</v>
      </c>
      <c r="AL764" s="126">
        <v>0.173491981004948</v>
      </c>
      <c r="AM764" s="14">
        <v>1</v>
      </c>
      <c r="AN764" s="122">
        <v>0</v>
      </c>
      <c r="AO764" s="131">
        <v>381912.71691595501</v>
      </c>
      <c r="AP764" s="131">
        <v>441251.26077127364</v>
      </c>
      <c r="AQ764" s="131">
        <v>59338.543855318625</v>
      </c>
      <c r="AR764" s="130">
        <v>0.15537200314902555</v>
      </c>
    </row>
    <row r="765" spans="1:44" ht="43.2" x14ac:dyDescent="0.3">
      <c r="A765" s="136" t="s">
        <v>1034</v>
      </c>
      <c r="B765" s="137" t="s">
        <v>5534</v>
      </c>
      <c r="C765" s="134">
        <v>2019</v>
      </c>
      <c r="D765" s="149" t="s">
        <v>5182</v>
      </c>
      <c r="E765" s="135" t="s">
        <v>1108</v>
      </c>
      <c r="F765" s="384" t="s">
        <v>1030</v>
      </c>
      <c r="G765" s="138" t="s">
        <v>4773</v>
      </c>
      <c r="H765" s="138" t="s">
        <v>2264</v>
      </c>
      <c r="I765" s="138" t="s">
        <v>1566</v>
      </c>
      <c r="J765" s="135" t="s">
        <v>4778</v>
      </c>
      <c r="K765" s="164">
        <v>8463723888</v>
      </c>
      <c r="L765" s="165">
        <v>6744581335</v>
      </c>
      <c r="M765" s="165">
        <v>1232894707</v>
      </c>
      <c r="N765" s="165">
        <v>57797730</v>
      </c>
      <c r="O765" s="165">
        <v>201996157.05000001</v>
      </c>
      <c r="P765" s="165">
        <v>57237434.129999995</v>
      </c>
      <c r="Q765" s="165">
        <v>2494525</v>
      </c>
      <c r="R765" s="165">
        <v>459.41666666666669</v>
      </c>
      <c r="S765" s="165">
        <v>805773692.17999995</v>
      </c>
      <c r="T765" s="165">
        <v>1753906.095802648</v>
      </c>
      <c r="U765" s="166">
        <v>486247846</v>
      </c>
      <c r="V765" s="168">
        <v>12575652891</v>
      </c>
      <c r="W765" s="165">
        <v>10533233702</v>
      </c>
      <c r="X765" s="165">
        <v>1323575002</v>
      </c>
      <c r="Y765" s="165">
        <v>55888297</v>
      </c>
      <c r="Z765" s="165">
        <v>246074107</v>
      </c>
      <c r="AA765" s="165">
        <v>70192452</v>
      </c>
      <c r="AB765" s="165">
        <v>2432618</v>
      </c>
      <c r="AC765" s="165">
        <v>422.25</v>
      </c>
      <c r="AD765" s="165">
        <v>1093431661</v>
      </c>
      <c r="AE765" s="165">
        <v>2589536.2013025461</v>
      </c>
      <c r="AF765" s="166">
        <v>718844187</v>
      </c>
      <c r="AG765" s="124">
        <v>287657968.82000005</v>
      </c>
      <c r="AH765" s="125">
        <v>-37.166666666666686</v>
      </c>
      <c r="AI765" s="133">
        <v>1</v>
      </c>
      <c r="AJ765" s="133">
        <v>1</v>
      </c>
      <c r="AK765" s="126">
        <v>0.15</v>
      </c>
      <c r="AL765" s="126">
        <v>0.47643947415428922</v>
      </c>
      <c r="AM765" s="14">
        <v>1</v>
      </c>
      <c r="AN765" s="122">
        <v>0</v>
      </c>
      <c r="AO765" s="131">
        <v>439679.64531108289</v>
      </c>
      <c r="AP765" s="131">
        <v>582768.75547661341</v>
      </c>
      <c r="AQ765" s="131">
        <v>143089.11016553052</v>
      </c>
      <c r="AR765" s="130">
        <v>0.32543946869383023</v>
      </c>
    </row>
    <row r="766" spans="1:44" ht="43.2" x14ac:dyDescent="0.3">
      <c r="A766" s="136" t="s">
        <v>1035</v>
      </c>
      <c r="B766" s="137" t="s">
        <v>5535</v>
      </c>
      <c r="C766" s="134">
        <v>2020</v>
      </c>
      <c r="D766" s="149" t="s">
        <v>1109</v>
      </c>
      <c r="E766" s="135" t="s">
        <v>1108</v>
      </c>
      <c r="F766" s="384" t="s">
        <v>1030</v>
      </c>
      <c r="G766" s="138" t="s">
        <v>4773</v>
      </c>
      <c r="H766" s="138" t="s">
        <v>4651</v>
      </c>
      <c r="I766" s="138" t="s">
        <v>4612</v>
      </c>
      <c r="J766" s="135" t="s">
        <v>4805</v>
      </c>
      <c r="K766" s="164">
        <v>728358253</v>
      </c>
      <c r="L766" s="165">
        <v>701212400</v>
      </c>
      <c r="M766" s="165">
        <v>386385913</v>
      </c>
      <c r="N766" s="165">
        <v>48002345</v>
      </c>
      <c r="O766" s="165">
        <v>438865891.44</v>
      </c>
      <c r="P766" s="165">
        <v>131408395.16</v>
      </c>
      <c r="Q766" s="165">
        <v>5691546</v>
      </c>
      <c r="R766" s="165">
        <v>1003.4166666666666</v>
      </c>
      <c r="S766" s="165">
        <v>264728117.59999999</v>
      </c>
      <c r="T766" s="165">
        <v>263826.70967527613</v>
      </c>
      <c r="U766" s="166">
        <v>-359240060</v>
      </c>
      <c r="V766" s="168">
        <v>767736274</v>
      </c>
      <c r="W766" s="165">
        <v>693711591</v>
      </c>
      <c r="X766" s="165">
        <v>779429198</v>
      </c>
      <c r="Y766" s="165">
        <v>49150601</v>
      </c>
      <c r="Z766" s="165">
        <v>454494709.26999998</v>
      </c>
      <c r="AA766" s="165">
        <v>136037228.03999999</v>
      </c>
      <c r="AB766" s="165">
        <v>4963163</v>
      </c>
      <c r="AC766" s="165">
        <v>1000.4166666666666</v>
      </c>
      <c r="AD766" s="165">
        <v>-60758813.690000027</v>
      </c>
      <c r="AE766" s="165">
        <v>-60733.508061641012</v>
      </c>
      <c r="AF766" s="166">
        <v>-705404515</v>
      </c>
      <c r="AG766" s="124">
        <v>-325486931.29000002</v>
      </c>
      <c r="AH766" s="125">
        <v>-3</v>
      </c>
      <c r="AI766" s="133">
        <v>0</v>
      </c>
      <c r="AJ766" s="133">
        <v>0</v>
      </c>
      <c r="AK766" s="126">
        <v>0.1</v>
      </c>
      <c r="AL766" s="126">
        <v>-1.2302022793673923</v>
      </c>
      <c r="AM766" s="14">
        <v>0</v>
      </c>
      <c r="AN766" s="122">
        <v>-1</v>
      </c>
      <c r="AO766" s="131">
        <v>437371.53868283366</v>
      </c>
      <c r="AP766" s="131">
        <v>454305.41534693877</v>
      </c>
      <c r="AQ766" s="131">
        <v>16933.876664105104</v>
      </c>
      <c r="AR766" s="130">
        <v>3.871737222568794E-2</v>
      </c>
    </row>
    <row r="767" spans="1:44" ht="43.2" x14ac:dyDescent="0.3">
      <c r="A767" s="136" t="s">
        <v>1036</v>
      </c>
      <c r="B767" s="137" t="s">
        <v>5536</v>
      </c>
      <c r="C767" s="134">
        <v>2020</v>
      </c>
      <c r="D767" s="149" t="s">
        <v>5537</v>
      </c>
      <c r="E767" s="135" t="s">
        <v>1108</v>
      </c>
      <c r="F767" s="384" t="s">
        <v>1030</v>
      </c>
      <c r="G767" s="138" t="s">
        <v>4796</v>
      </c>
      <c r="H767" s="138" t="s">
        <v>2566</v>
      </c>
      <c r="I767" s="138" t="s">
        <v>1566</v>
      </c>
      <c r="J767" s="135" t="s">
        <v>4778</v>
      </c>
      <c r="K767" s="164">
        <v>595368150</v>
      </c>
      <c r="L767" s="165">
        <v>348445680</v>
      </c>
      <c r="M767" s="165">
        <v>256435699</v>
      </c>
      <c r="N767" s="165">
        <v>14969151</v>
      </c>
      <c r="O767" s="165">
        <v>161377792</v>
      </c>
      <c r="P767" s="165">
        <v>48710411</v>
      </c>
      <c r="Q767" s="165">
        <v>1769239</v>
      </c>
      <c r="R767" s="165">
        <v>422.58333333333331</v>
      </c>
      <c r="S767" s="165">
        <v>217313364</v>
      </c>
      <c r="T767" s="165">
        <v>514249.72746992705</v>
      </c>
      <c r="U767" s="166">
        <v>-9513229</v>
      </c>
      <c r="V767" s="168">
        <v>638804364</v>
      </c>
      <c r="W767" s="165">
        <v>381399968</v>
      </c>
      <c r="X767" s="165">
        <v>267803942</v>
      </c>
      <c r="Y767" s="165">
        <v>15756205</v>
      </c>
      <c r="Z767" s="165">
        <v>158755496.31999999</v>
      </c>
      <c r="AA767" s="165">
        <v>46215227.020000003</v>
      </c>
      <c r="AB767" s="165">
        <v>1591603</v>
      </c>
      <c r="AC767" s="165">
        <v>400.58333333333331</v>
      </c>
      <c r="AD767" s="165">
        <v>211918985.34</v>
      </c>
      <c r="AE767" s="165">
        <v>529025.96714790934</v>
      </c>
      <c r="AF767" s="166">
        <v>-10399546</v>
      </c>
      <c r="AG767" s="124">
        <v>-5394378.6599999964</v>
      </c>
      <c r="AH767" s="125">
        <v>-22</v>
      </c>
      <c r="AI767" s="133">
        <v>0</v>
      </c>
      <c r="AJ767" s="133">
        <v>0</v>
      </c>
      <c r="AK767" s="126">
        <v>0.05</v>
      </c>
      <c r="AL767" s="126">
        <v>2.8733588250984488E-2</v>
      </c>
      <c r="AM767" s="14">
        <v>0</v>
      </c>
      <c r="AN767" s="122">
        <v>-1</v>
      </c>
      <c r="AO767" s="131">
        <v>381883.94872806157</v>
      </c>
      <c r="AP767" s="131">
        <v>396310.78756812983</v>
      </c>
      <c r="AQ767" s="131">
        <v>14426.83884006826</v>
      </c>
      <c r="AR767" s="130">
        <v>3.7778070767623628E-2</v>
      </c>
    </row>
    <row r="768" spans="1:44" ht="43.2" x14ac:dyDescent="0.3">
      <c r="A768" s="136" t="s">
        <v>1037</v>
      </c>
      <c r="B768" s="137" t="s">
        <v>5538</v>
      </c>
      <c r="C768" s="134">
        <v>2019</v>
      </c>
      <c r="D768" s="149" t="s">
        <v>1109</v>
      </c>
      <c r="E768" s="135" t="s">
        <v>1108</v>
      </c>
      <c r="F768" s="384" t="s">
        <v>1038</v>
      </c>
      <c r="G768" s="138" t="s">
        <v>4773</v>
      </c>
      <c r="H768" s="138" t="s">
        <v>3569</v>
      </c>
      <c r="I768" s="138" t="s">
        <v>3557</v>
      </c>
      <c r="J768" s="135" t="s">
        <v>4805</v>
      </c>
      <c r="K768" s="164">
        <v>1875640064</v>
      </c>
      <c r="L768" s="165">
        <v>1489974748</v>
      </c>
      <c r="M768" s="165">
        <v>364771073</v>
      </c>
      <c r="N768" s="165">
        <v>16971242</v>
      </c>
      <c r="O768" s="165">
        <v>570400000</v>
      </c>
      <c r="P768" s="165">
        <v>141742438.49000001</v>
      </c>
      <c r="Q768" s="165">
        <v>585849</v>
      </c>
      <c r="R768" s="165">
        <v>1368.6666666666667</v>
      </c>
      <c r="S768" s="165">
        <v>750593772.49000001</v>
      </c>
      <c r="T768" s="165">
        <v>548412.40074768628</v>
      </c>
      <c r="U768" s="166">
        <v>20894243</v>
      </c>
      <c r="V768" s="168">
        <v>1933229483</v>
      </c>
      <c r="W768" s="165">
        <v>1513431862</v>
      </c>
      <c r="X768" s="165">
        <v>443686026</v>
      </c>
      <c r="Y768" s="165">
        <v>36643907</v>
      </c>
      <c r="Z768" s="165">
        <v>424930828.40000004</v>
      </c>
      <c r="AA768" s="165">
        <v>159049403.09</v>
      </c>
      <c r="AB768" s="165">
        <v>985814</v>
      </c>
      <c r="AC768" s="165">
        <v>1319.5</v>
      </c>
      <c r="AD768" s="165">
        <v>597721547.49000001</v>
      </c>
      <c r="AE768" s="165">
        <v>452990.94163698371</v>
      </c>
      <c r="AF768" s="166">
        <v>-23888405</v>
      </c>
      <c r="AG768" s="124">
        <v>-152872225</v>
      </c>
      <c r="AH768" s="125">
        <v>-49.166666666666742</v>
      </c>
      <c r="AI768" s="133">
        <v>0</v>
      </c>
      <c r="AJ768" s="133">
        <v>0</v>
      </c>
      <c r="AK768" s="126">
        <v>0.15</v>
      </c>
      <c r="AL768" s="126">
        <v>-0.17399581045213419</v>
      </c>
      <c r="AM768" s="14">
        <v>0</v>
      </c>
      <c r="AN768" s="122">
        <v>-1</v>
      </c>
      <c r="AO768" s="131">
        <v>416755.96687773988</v>
      </c>
      <c r="AP768" s="131">
        <v>322039.27881773404</v>
      </c>
      <c r="AQ768" s="131">
        <v>-94716.688060005836</v>
      </c>
      <c r="AR768" s="130">
        <v>-0.2272713424347732</v>
      </c>
    </row>
    <row r="769" spans="1:44" ht="43.2" x14ac:dyDescent="0.3">
      <c r="A769" s="136" t="s">
        <v>1039</v>
      </c>
      <c r="B769" s="137" t="s">
        <v>5539</v>
      </c>
      <c r="C769" s="134">
        <v>2019</v>
      </c>
      <c r="D769" s="149" t="s">
        <v>1109</v>
      </c>
      <c r="E769" s="135" t="s">
        <v>1108</v>
      </c>
      <c r="F769" s="384" t="s">
        <v>1038</v>
      </c>
      <c r="G769" s="138" t="s">
        <v>4773</v>
      </c>
      <c r="H769" s="138" t="s">
        <v>1740</v>
      </c>
      <c r="I769" s="138" t="s">
        <v>1566</v>
      </c>
      <c r="J769" s="135" t="s">
        <v>4778</v>
      </c>
      <c r="K769" s="164">
        <v>2216484676</v>
      </c>
      <c r="L769" s="165">
        <v>1481170262</v>
      </c>
      <c r="M769" s="165">
        <v>647325882</v>
      </c>
      <c r="N769" s="165">
        <v>42569313</v>
      </c>
      <c r="O769" s="165">
        <v>796300000</v>
      </c>
      <c r="P769" s="165">
        <v>60833627.700000003</v>
      </c>
      <c r="Q769" s="165">
        <v>243466</v>
      </c>
      <c r="R769" s="165">
        <v>2095.8333333333335</v>
      </c>
      <c r="S769" s="165">
        <v>987934938.70000005</v>
      </c>
      <c r="T769" s="165">
        <v>471380.48765009939</v>
      </c>
      <c r="U769" s="166">
        <v>87988532</v>
      </c>
      <c r="V769" s="168">
        <v>2722159806</v>
      </c>
      <c r="W769" s="165">
        <v>1909685627</v>
      </c>
      <c r="X769" s="165">
        <v>760256448</v>
      </c>
      <c r="Y769" s="165">
        <v>50192373</v>
      </c>
      <c r="Z769" s="165">
        <v>903230004.69000006</v>
      </c>
      <c r="AA769" s="165">
        <v>67364958.050000012</v>
      </c>
      <c r="AB769" s="165">
        <v>488086</v>
      </c>
      <c r="AC769" s="165">
        <v>2183.0833333333335</v>
      </c>
      <c r="AD769" s="165">
        <v>1073493152.74</v>
      </c>
      <c r="AE769" s="165">
        <v>491732.55841813947</v>
      </c>
      <c r="AF769" s="166">
        <v>52217731</v>
      </c>
      <c r="AG769" s="124">
        <v>85558214.039999962</v>
      </c>
      <c r="AH769" s="125">
        <v>87.25</v>
      </c>
      <c r="AI769" s="133">
        <v>0</v>
      </c>
      <c r="AJ769" s="133">
        <v>0</v>
      </c>
      <c r="AK769" s="126">
        <v>0.15</v>
      </c>
      <c r="AL769" s="126">
        <v>4.3175461080283695E-2</v>
      </c>
      <c r="AM769" s="14">
        <v>0</v>
      </c>
      <c r="AN769" s="122">
        <v>-1</v>
      </c>
      <c r="AO769" s="131">
        <v>379944.33399602381</v>
      </c>
      <c r="AP769" s="131">
        <v>413740.50678627321</v>
      </c>
      <c r="AQ769" s="131">
        <v>33796.172790249402</v>
      </c>
      <c r="AR769" s="130">
        <v>8.8950327103977989E-2</v>
      </c>
    </row>
    <row r="770" spans="1:44" ht="43.2" x14ac:dyDescent="0.3">
      <c r="A770" s="136" t="s">
        <v>1040</v>
      </c>
      <c r="B770" s="137" t="s">
        <v>5540</v>
      </c>
      <c r="C770" s="134">
        <v>2019</v>
      </c>
      <c r="D770" s="149" t="s">
        <v>1109</v>
      </c>
      <c r="E770" s="135" t="s">
        <v>1108</v>
      </c>
      <c r="F770" s="384" t="s">
        <v>1038</v>
      </c>
      <c r="G770" s="138" t="s">
        <v>4773</v>
      </c>
      <c r="H770" s="138" t="s">
        <v>2297</v>
      </c>
      <c r="I770" s="138" t="s">
        <v>1566</v>
      </c>
      <c r="J770" s="135" t="s">
        <v>4798</v>
      </c>
      <c r="K770" s="164">
        <v>1585384865</v>
      </c>
      <c r="L770" s="165">
        <v>884382083</v>
      </c>
      <c r="M770" s="165">
        <v>214203657</v>
      </c>
      <c r="N770" s="165">
        <v>29166661</v>
      </c>
      <c r="O770" s="165">
        <v>220219515.72</v>
      </c>
      <c r="P770" s="165">
        <v>22927882.261</v>
      </c>
      <c r="Q770" s="165">
        <v>3620</v>
      </c>
      <c r="R770" s="165">
        <v>537.91666666666663</v>
      </c>
      <c r="S770" s="165">
        <v>759116803.98100007</v>
      </c>
      <c r="T770" s="165">
        <v>1411216.3668120839</v>
      </c>
      <c r="U770" s="166">
        <v>486799125</v>
      </c>
      <c r="V770" s="168">
        <v>2438363351</v>
      </c>
      <c r="W770" s="165">
        <v>1373573550</v>
      </c>
      <c r="X770" s="165">
        <v>358902159</v>
      </c>
      <c r="Y770" s="165">
        <v>48864239</v>
      </c>
      <c r="Z770" s="165">
        <v>264179189.13999999</v>
      </c>
      <c r="AA770" s="165">
        <v>25134473.010000002</v>
      </c>
      <c r="AB770" s="165">
        <v>5038</v>
      </c>
      <c r="AC770" s="165">
        <v>593.25</v>
      </c>
      <c r="AD770" s="165">
        <v>1044070581.15</v>
      </c>
      <c r="AE770" s="165">
        <v>1759916.6981036663</v>
      </c>
      <c r="AF770" s="166">
        <v>705887642</v>
      </c>
      <c r="AG770" s="124">
        <v>284953777.16899991</v>
      </c>
      <c r="AH770" s="125">
        <v>55.333333333333371</v>
      </c>
      <c r="AI770" s="133">
        <v>1</v>
      </c>
      <c r="AJ770" s="133">
        <v>0</v>
      </c>
      <c r="AK770" s="126">
        <v>0.15</v>
      </c>
      <c r="AL770" s="126">
        <v>0.24709203876369412</v>
      </c>
      <c r="AM770" s="14">
        <v>1</v>
      </c>
      <c r="AN770" s="122">
        <v>0</v>
      </c>
      <c r="AO770" s="131">
        <v>409393.36772114644</v>
      </c>
      <c r="AP770" s="131">
        <v>445308.36770332907</v>
      </c>
      <c r="AQ770" s="131">
        <v>35914.999982182635</v>
      </c>
      <c r="AR770" s="130">
        <v>8.7727361540076876E-2</v>
      </c>
    </row>
    <row r="771" spans="1:44" ht="28.8" x14ac:dyDescent="0.3">
      <c r="A771" s="136" t="s">
        <v>1041</v>
      </c>
      <c r="B771" s="137" t="s">
        <v>5541</v>
      </c>
      <c r="C771" s="134">
        <v>2019</v>
      </c>
      <c r="D771" s="149" t="s">
        <v>5187</v>
      </c>
      <c r="E771" s="135" t="s">
        <v>1131</v>
      </c>
      <c r="F771" s="384" t="s">
        <v>454</v>
      </c>
      <c r="G771" s="138" t="s">
        <v>4773</v>
      </c>
      <c r="H771" s="138" t="s">
        <v>3339</v>
      </c>
      <c r="I771" s="138" t="s">
        <v>1566</v>
      </c>
      <c r="J771" s="135" t="s">
        <v>4778</v>
      </c>
      <c r="K771" s="164">
        <v>468228788</v>
      </c>
      <c r="L771" s="165">
        <v>374525744</v>
      </c>
      <c r="M771" s="165">
        <v>85142203</v>
      </c>
      <c r="N771" s="165">
        <v>13282349</v>
      </c>
      <c r="O771" s="165">
        <v>90813086</v>
      </c>
      <c r="P771" s="165">
        <v>26771397.859999999</v>
      </c>
      <c r="Q771" s="165">
        <v>841233</v>
      </c>
      <c r="R771" s="165">
        <v>296.83333333333331</v>
      </c>
      <c r="S771" s="165">
        <v>140268906.86000001</v>
      </c>
      <c r="T771" s="165">
        <v>472551.0618528917</v>
      </c>
      <c r="U771" s="166">
        <v>8560841</v>
      </c>
      <c r="V771" s="168">
        <v>604327042</v>
      </c>
      <c r="W771" s="165">
        <v>496844813</v>
      </c>
      <c r="X771" s="165">
        <v>89918714</v>
      </c>
      <c r="Y771" s="165">
        <v>9220476</v>
      </c>
      <c r="Z771" s="165">
        <v>95219757.400000006</v>
      </c>
      <c r="AA771" s="165">
        <v>28681370.789999999</v>
      </c>
      <c r="AB771" s="165">
        <v>762521</v>
      </c>
      <c r="AC771" s="165">
        <v>257.16666666666669</v>
      </c>
      <c r="AD771" s="165">
        <v>151447640.19</v>
      </c>
      <c r="AE771" s="165">
        <v>588908.51661697985</v>
      </c>
      <c r="AF771" s="166">
        <v>17563515</v>
      </c>
      <c r="AG771" s="124">
        <v>11178733.329999983</v>
      </c>
      <c r="AH771" s="125">
        <v>-39.666666666666629</v>
      </c>
      <c r="AI771" s="133">
        <v>1</v>
      </c>
      <c r="AJ771" s="133">
        <v>0</v>
      </c>
      <c r="AK771" s="126">
        <v>0.15</v>
      </c>
      <c r="AL771" s="126">
        <v>0.24623256585224884</v>
      </c>
      <c r="AM771" s="14">
        <v>1</v>
      </c>
      <c r="AN771" s="122">
        <v>0</v>
      </c>
      <c r="AO771" s="131">
        <v>305939.64963503653</v>
      </c>
      <c r="AP771" s="131">
        <v>370264.77278029814</v>
      </c>
      <c r="AQ771" s="131">
        <v>64325.123145261605</v>
      </c>
      <c r="AR771" s="130">
        <v>0.21025428780479016</v>
      </c>
    </row>
    <row r="772" spans="1:44" ht="28.8" x14ac:dyDescent="0.3">
      <c r="A772" s="136" t="s">
        <v>1042</v>
      </c>
      <c r="B772" s="137" t="s">
        <v>5542</v>
      </c>
      <c r="C772" s="134">
        <v>2019</v>
      </c>
      <c r="D772" s="149" t="s">
        <v>5187</v>
      </c>
      <c r="E772" s="135" t="s">
        <v>1131</v>
      </c>
      <c r="F772" s="384" t="s">
        <v>454</v>
      </c>
      <c r="G772" s="138" t="s">
        <v>4773</v>
      </c>
      <c r="H772" s="138" t="s">
        <v>3237</v>
      </c>
      <c r="I772" s="138" t="s">
        <v>1566</v>
      </c>
      <c r="J772" s="135" t="s">
        <v>4774</v>
      </c>
      <c r="K772" s="164">
        <v>423430052</v>
      </c>
      <c r="L772" s="165">
        <v>345446035</v>
      </c>
      <c r="M772" s="165">
        <v>63253486</v>
      </c>
      <c r="N772" s="165">
        <v>2495260</v>
      </c>
      <c r="O772" s="165">
        <v>33805862.950000003</v>
      </c>
      <c r="P772" s="165">
        <v>10087043.049999999</v>
      </c>
      <c r="Q772" s="165">
        <v>0</v>
      </c>
      <c r="R772" s="165">
        <v>99.25</v>
      </c>
      <c r="S772" s="165">
        <v>61118697</v>
      </c>
      <c r="T772" s="165">
        <v>615805.51133501262</v>
      </c>
      <c r="U772" s="166">
        <v>14730531</v>
      </c>
      <c r="V772" s="168">
        <v>600156179</v>
      </c>
      <c r="W772" s="165">
        <v>485908480</v>
      </c>
      <c r="X772" s="165">
        <v>113964780</v>
      </c>
      <c r="Y772" s="165">
        <v>8676108</v>
      </c>
      <c r="Z772" s="165">
        <v>70196576.420000002</v>
      </c>
      <c r="AA772" s="165">
        <v>13744709.18</v>
      </c>
      <c r="AB772" s="165">
        <v>0</v>
      </c>
      <c r="AC772" s="165">
        <v>135.75</v>
      </c>
      <c r="AD772" s="165">
        <v>92900312.599999994</v>
      </c>
      <c r="AE772" s="165">
        <v>684348.52744014724</v>
      </c>
      <c r="AF772" s="166">
        <v>282919</v>
      </c>
      <c r="AG772" s="124">
        <v>31781615.599999994</v>
      </c>
      <c r="AH772" s="125">
        <v>36.5</v>
      </c>
      <c r="AI772" s="133">
        <v>0</v>
      </c>
      <c r="AJ772" s="133">
        <v>0</v>
      </c>
      <c r="AK772" s="126">
        <v>0.15</v>
      </c>
      <c r="AL772" s="126">
        <v>0.11130627915297486</v>
      </c>
      <c r="AM772" s="14">
        <v>0</v>
      </c>
      <c r="AN772" s="122">
        <v>-1</v>
      </c>
      <c r="AO772" s="131">
        <v>340613.22871536529</v>
      </c>
      <c r="AP772" s="131">
        <v>517101.85208103131</v>
      </c>
      <c r="AQ772" s="131">
        <v>176488.62336566602</v>
      </c>
      <c r="AR772" s="130">
        <v>0.51814964448474021</v>
      </c>
    </row>
    <row r="773" spans="1:44" ht="28.8" x14ac:dyDescent="0.3">
      <c r="A773" s="136" t="s">
        <v>1043</v>
      </c>
      <c r="B773" s="137" t="s">
        <v>5543</v>
      </c>
      <c r="C773" s="134">
        <v>2019</v>
      </c>
      <c r="D773" s="149" t="s">
        <v>5187</v>
      </c>
      <c r="E773" s="135" t="s">
        <v>1131</v>
      </c>
      <c r="F773" s="384" t="s">
        <v>454</v>
      </c>
      <c r="G773" s="138" t="s">
        <v>4773</v>
      </c>
      <c r="H773" s="138" t="s">
        <v>3058</v>
      </c>
      <c r="I773" s="138" t="s">
        <v>1566</v>
      </c>
      <c r="J773" s="135" t="s">
        <v>4778</v>
      </c>
      <c r="K773" s="164">
        <v>792262160</v>
      </c>
      <c r="L773" s="165">
        <v>371785607</v>
      </c>
      <c r="M773" s="165">
        <v>319038324</v>
      </c>
      <c r="N773" s="165">
        <v>16810045</v>
      </c>
      <c r="O773" s="165">
        <v>247549170.09999999</v>
      </c>
      <c r="P773" s="165">
        <v>73530411.520000011</v>
      </c>
      <c r="Q773" s="165">
        <v>1484880</v>
      </c>
      <c r="R773" s="165">
        <v>724.83333333333337</v>
      </c>
      <c r="S773" s="165">
        <v>440812735.62</v>
      </c>
      <c r="T773" s="165">
        <v>608157.37266498047</v>
      </c>
      <c r="U773" s="166">
        <v>101438229</v>
      </c>
      <c r="V773" s="168">
        <v>846138373</v>
      </c>
      <c r="W773" s="165">
        <v>427543978</v>
      </c>
      <c r="X773" s="165">
        <v>399173797</v>
      </c>
      <c r="Y773" s="165">
        <v>22819368</v>
      </c>
      <c r="Z773" s="165">
        <v>316289557.79999995</v>
      </c>
      <c r="AA773" s="165">
        <v>93049719.450000003</v>
      </c>
      <c r="AB773" s="165">
        <v>2878161</v>
      </c>
      <c r="AC773" s="165">
        <v>689.33333333333337</v>
      </c>
      <c r="AD773" s="165">
        <v>454457404.24999994</v>
      </c>
      <c r="AE773" s="165">
        <v>659270.89591392642</v>
      </c>
      <c r="AF773" s="166">
        <v>19420598</v>
      </c>
      <c r="AG773" s="124">
        <v>13644668.629999936</v>
      </c>
      <c r="AH773" s="125">
        <v>-35.5</v>
      </c>
      <c r="AI773" s="133">
        <v>0</v>
      </c>
      <c r="AJ773" s="133">
        <v>0</v>
      </c>
      <c r="AK773" s="126">
        <v>0.15</v>
      </c>
      <c r="AL773" s="126">
        <v>8.4046551964009009E-2</v>
      </c>
      <c r="AM773" s="14">
        <v>0</v>
      </c>
      <c r="AN773" s="122">
        <v>-1</v>
      </c>
      <c r="AO773" s="131">
        <v>341525.64281444007</v>
      </c>
      <c r="AP773" s="131">
        <v>458833.98133462272</v>
      </c>
      <c r="AQ773" s="131">
        <v>117308.33852018265</v>
      </c>
      <c r="AR773" s="130">
        <v>0.34348325224855625</v>
      </c>
    </row>
    <row r="774" spans="1:44" ht="28.8" x14ac:dyDescent="0.3">
      <c r="A774" s="136" t="s">
        <v>1044</v>
      </c>
      <c r="B774" s="137" t="s">
        <v>5544</v>
      </c>
      <c r="C774" s="134">
        <v>2020</v>
      </c>
      <c r="D774" s="149" t="s">
        <v>1137</v>
      </c>
      <c r="E774" s="135" t="s">
        <v>1131</v>
      </c>
      <c r="F774" s="384" t="s">
        <v>454</v>
      </c>
      <c r="G774" s="138" t="s">
        <v>4796</v>
      </c>
      <c r="H774" s="138" t="s">
        <v>2463</v>
      </c>
      <c r="I774" s="138" t="s">
        <v>1566</v>
      </c>
      <c r="J774" s="135" t="s">
        <v>4774</v>
      </c>
      <c r="K774" s="164">
        <v>887860908</v>
      </c>
      <c r="L774" s="165">
        <v>875494530</v>
      </c>
      <c r="M774" s="165">
        <v>33257562</v>
      </c>
      <c r="N774" s="165">
        <v>4768012</v>
      </c>
      <c r="O774" s="165">
        <v>21702298.859999999</v>
      </c>
      <c r="P774" s="165">
        <v>3790844.47</v>
      </c>
      <c r="Q774" s="165">
        <v>344553</v>
      </c>
      <c r="R774" s="165">
        <v>73.083333333333329</v>
      </c>
      <c r="S774" s="165">
        <v>9714524.3300000001</v>
      </c>
      <c r="T774" s="165">
        <v>132923.93610034208</v>
      </c>
      <c r="U774" s="166">
        <v>-20891184</v>
      </c>
      <c r="V774" s="168">
        <v>880535414</v>
      </c>
      <c r="W774" s="165">
        <v>753186890</v>
      </c>
      <c r="X774" s="165">
        <v>48441273</v>
      </c>
      <c r="Y774" s="165">
        <v>4738211</v>
      </c>
      <c r="Z774" s="165">
        <v>30897935.739999998</v>
      </c>
      <c r="AA774" s="165">
        <v>5870714.8499999996</v>
      </c>
      <c r="AB774" s="165">
        <v>301334</v>
      </c>
      <c r="AC774" s="165">
        <v>65.5</v>
      </c>
      <c r="AD774" s="165">
        <v>120715446.58999999</v>
      </c>
      <c r="AE774" s="165">
        <v>1842983.9174045799</v>
      </c>
      <c r="AF774" s="166">
        <v>78907251</v>
      </c>
      <c r="AG774" s="124">
        <v>111000922.25999999</v>
      </c>
      <c r="AH774" s="125">
        <v>-7.5833333333333286</v>
      </c>
      <c r="AI774" s="133">
        <v>1</v>
      </c>
      <c r="AJ774" s="133">
        <v>1</v>
      </c>
      <c r="AK774" s="126">
        <v>0.05</v>
      </c>
      <c r="AL774" s="126">
        <v>12.864951038917443</v>
      </c>
      <c r="AM774" s="14">
        <v>1</v>
      </c>
      <c r="AN774" s="122">
        <v>0</v>
      </c>
      <c r="AO774" s="131">
        <v>296952.7780159635</v>
      </c>
      <c r="AP774" s="131">
        <v>471724.20977099234</v>
      </c>
      <c r="AQ774" s="131">
        <v>174771.43175502884</v>
      </c>
      <c r="AR774" s="130">
        <v>0.58854957654456941</v>
      </c>
    </row>
    <row r="775" spans="1:44" ht="28.8" x14ac:dyDescent="0.3">
      <c r="A775" s="136" t="s">
        <v>1045</v>
      </c>
      <c r="B775" s="137" t="s">
        <v>5545</v>
      </c>
      <c r="C775" s="134">
        <v>2020</v>
      </c>
      <c r="D775" s="149" t="s">
        <v>1118</v>
      </c>
      <c r="E775" s="135" t="s">
        <v>1117</v>
      </c>
      <c r="F775" s="384" t="s">
        <v>553</v>
      </c>
      <c r="G775" s="138" t="s">
        <v>4773</v>
      </c>
      <c r="H775" s="138" t="s">
        <v>4960</v>
      </c>
      <c r="I775" s="138" t="s">
        <v>4612</v>
      </c>
      <c r="J775" s="135" t="s">
        <v>4778</v>
      </c>
      <c r="K775" s="164">
        <v>558950481</v>
      </c>
      <c r="L775" s="165">
        <v>115260777</v>
      </c>
      <c r="M775" s="165">
        <v>426876118</v>
      </c>
      <c r="N775" s="165">
        <v>23589049</v>
      </c>
      <c r="O775" s="165">
        <v>141988985.03999999</v>
      </c>
      <c r="P775" s="165">
        <v>36986044.779999994</v>
      </c>
      <c r="Q775" s="165">
        <v>656920</v>
      </c>
      <c r="R775" s="165">
        <v>446.66666666666669</v>
      </c>
      <c r="S775" s="165">
        <v>220034584.81999999</v>
      </c>
      <c r="T775" s="165">
        <v>492614.74213432835</v>
      </c>
      <c r="U775" s="166">
        <v>16813586</v>
      </c>
      <c r="V775" s="168">
        <v>599648295</v>
      </c>
      <c r="W775" s="165">
        <v>433718169</v>
      </c>
      <c r="X775" s="165">
        <v>152695852</v>
      </c>
      <c r="Y775" s="165">
        <v>10092632</v>
      </c>
      <c r="Z775" s="165">
        <v>152410751.67000002</v>
      </c>
      <c r="AA775" s="165">
        <v>42978102.689999998</v>
      </c>
      <c r="AB775" s="165">
        <v>977895</v>
      </c>
      <c r="AC775" s="165">
        <v>430.91666666666669</v>
      </c>
      <c r="AD775" s="165">
        <v>219693655.36000001</v>
      </c>
      <c r="AE775" s="165">
        <v>509828.63359504932</v>
      </c>
      <c r="AF775" s="166">
        <v>13234274</v>
      </c>
      <c r="AG775" s="124">
        <v>-340929.45999997854</v>
      </c>
      <c r="AH775" s="125">
        <v>-15.75</v>
      </c>
      <c r="AI775" s="133">
        <v>0</v>
      </c>
      <c r="AJ775" s="133">
        <v>0</v>
      </c>
      <c r="AK775" s="126">
        <v>0.1</v>
      </c>
      <c r="AL775" s="126">
        <v>3.4943919867278073E-2</v>
      </c>
      <c r="AM775" s="14">
        <v>0</v>
      </c>
      <c r="AN775" s="122">
        <v>-1</v>
      </c>
      <c r="AO775" s="131">
        <v>317885.78740298504</v>
      </c>
      <c r="AP775" s="131">
        <v>353689.61903693678</v>
      </c>
      <c r="AQ775" s="131">
        <v>35803.831633951748</v>
      </c>
      <c r="AR775" s="130">
        <v>0.11263111800768577</v>
      </c>
    </row>
    <row r="776" spans="1:44" ht="28.8" x14ac:dyDescent="0.3">
      <c r="A776" s="136" t="s">
        <v>1046</v>
      </c>
      <c r="B776" s="137" t="s">
        <v>5546</v>
      </c>
      <c r="C776" s="134">
        <v>2020</v>
      </c>
      <c r="D776" s="149" t="s">
        <v>1118</v>
      </c>
      <c r="E776" s="135" t="s">
        <v>1117</v>
      </c>
      <c r="F776" s="384" t="s">
        <v>553</v>
      </c>
      <c r="G776" s="138" t="s">
        <v>4773</v>
      </c>
      <c r="H776" s="138" t="s">
        <v>4651</v>
      </c>
      <c r="I776" s="138" t="s">
        <v>4612</v>
      </c>
      <c r="J776" s="135" t="s">
        <v>4780</v>
      </c>
      <c r="K776" s="164">
        <v>4417044438</v>
      </c>
      <c r="L776" s="165">
        <v>2459794923</v>
      </c>
      <c r="M776" s="165">
        <v>1761415654</v>
      </c>
      <c r="N776" s="165">
        <v>188099347</v>
      </c>
      <c r="O776" s="165">
        <v>1358409589.4200001</v>
      </c>
      <c r="P776" s="165">
        <v>357158627.39999998</v>
      </c>
      <c r="Q776" s="165">
        <v>61747742</v>
      </c>
      <c r="R776" s="165">
        <v>3704.8333333333335</v>
      </c>
      <c r="S776" s="165">
        <v>2161249166.8200002</v>
      </c>
      <c r="T776" s="165">
        <v>583359.35043951601</v>
      </c>
      <c r="U776" s="166">
        <v>195833861</v>
      </c>
      <c r="V776" s="168">
        <v>4415176809</v>
      </c>
      <c r="W776" s="165">
        <v>2185756379</v>
      </c>
      <c r="X776" s="165">
        <v>2009544952</v>
      </c>
      <c r="Y776" s="165">
        <v>204175814</v>
      </c>
      <c r="Z776" s="165">
        <v>1213420879.47</v>
      </c>
      <c r="AA776" s="165">
        <v>369651943.96999997</v>
      </c>
      <c r="AB776" s="165">
        <v>65020129</v>
      </c>
      <c r="AC776" s="165">
        <v>2927.9166666666665</v>
      </c>
      <c r="AD776" s="165">
        <v>2072144244.4400001</v>
      </c>
      <c r="AE776" s="165">
        <v>707719.67933058215</v>
      </c>
      <c r="AF776" s="166">
        <v>219875478</v>
      </c>
      <c r="AG776" s="124">
        <v>-89104922.380000114</v>
      </c>
      <c r="AH776" s="125">
        <v>-776.91666666666697</v>
      </c>
      <c r="AI776" s="133">
        <v>1</v>
      </c>
      <c r="AJ776" s="133">
        <v>1</v>
      </c>
      <c r="AK776" s="126">
        <v>0.1</v>
      </c>
      <c r="AL776" s="126">
        <v>0.21317962933138901</v>
      </c>
      <c r="AM776" s="14">
        <v>1</v>
      </c>
      <c r="AN776" s="122">
        <v>0</v>
      </c>
      <c r="AO776" s="131">
        <v>366658.75822214223</v>
      </c>
      <c r="AP776" s="131">
        <v>414431.49434011674</v>
      </c>
      <c r="AQ776" s="131">
        <v>47772.736117974506</v>
      </c>
      <c r="AR776" s="130">
        <v>0.13029209052475754</v>
      </c>
    </row>
    <row r="777" spans="1:44" ht="28.8" x14ac:dyDescent="0.3">
      <c r="A777" s="136" t="s">
        <v>1047</v>
      </c>
      <c r="B777" s="137" t="s">
        <v>5547</v>
      </c>
      <c r="C777" s="134">
        <v>2019</v>
      </c>
      <c r="D777" s="149" t="s">
        <v>1118</v>
      </c>
      <c r="E777" s="135" t="s">
        <v>1117</v>
      </c>
      <c r="F777" s="384" t="s">
        <v>553</v>
      </c>
      <c r="G777" s="138" t="s">
        <v>4773</v>
      </c>
      <c r="H777" s="138" t="s">
        <v>1401</v>
      </c>
      <c r="I777" s="138" t="s">
        <v>1217</v>
      </c>
      <c r="J777" s="135" t="s">
        <v>4774</v>
      </c>
      <c r="K777" s="164">
        <v>5383395925</v>
      </c>
      <c r="L777" s="165">
        <v>4739374149</v>
      </c>
      <c r="M777" s="165">
        <v>314064163</v>
      </c>
      <c r="N777" s="165">
        <v>325812232</v>
      </c>
      <c r="O777" s="165">
        <v>328458096.95999998</v>
      </c>
      <c r="P777" s="165">
        <v>89375732.320000008</v>
      </c>
      <c r="Q777" s="165">
        <v>0</v>
      </c>
      <c r="R777" s="165">
        <v>1154.0833333333333</v>
      </c>
      <c r="S777" s="165">
        <v>1073603674.2800001</v>
      </c>
      <c r="T777" s="165">
        <v>930265.29650949535</v>
      </c>
      <c r="U777" s="166">
        <v>329957613</v>
      </c>
      <c r="V777" s="168">
        <v>5342554282</v>
      </c>
      <c r="W777" s="165">
        <v>4609046873</v>
      </c>
      <c r="X777" s="165">
        <v>334275173</v>
      </c>
      <c r="Y777" s="165">
        <v>192259042</v>
      </c>
      <c r="Z777" s="165">
        <v>369561230.64999998</v>
      </c>
      <c r="AA777" s="165">
        <v>112469593.52</v>
      </c>
      <c r="AB777" s="165">
        <v>46538588</v>
      </c>
      <c r="AC777" s="165">
        <v>1000.9166666666666</v>
      </c>
      <c r="AD777" s="165">
        <v>1120060690.1700001</v>
      </c>
      <c r="AE777" s="165">
        <v>1119034.9081708435</v>
      </c>
      <c r="AF777" s="166">
        <v>399232236</v>
      </c>
      <c r="AG777" s="124">
        <v>46457015.889999986</v>
      </c>
      <c r="AH777" s="125">
        <v>-153.16666666666663</v>
      </c>
      <c r="AI777" s="133">
        <v>1</v>
      </c>
      <c r="AJ777" s="133">
        <v>1</v>
      </c>
      <c r="AK777" s="126">
        <v>0.15</v>
      </c>
      <c r="AL777" s="126">
        <v>0.20292018846666626</v>
      </c>
      <c r="AM777" s="14">
        <v>1</v>
      </c>
      <c r="AN777" s="122">
        <v>0</v>
      </c>
      <c r="AO777" s="131">
        <v>284605.18185572966</v>
      </c>
      <c r="AP777" s="131">
        <v>369222.77643826493</v>
      </c>
      <c r="AQ777" s="131">
        <v>84617.594582535268</v>
      </c>
      <c r="AR777" s="130">
        <v>0.29731572008210705</v>
      </c>
    </row>
    <row r="778" spans="1:44" ht="28.8" x14ac:dyDescent="0.3">
      <c r="A778" s="136" t="s">
        <v>1048</v>
      </c>
      <c r="B778" s="137" t="s">
        <v>5548</v>
      </c>
      <c r="C778" s="134">
        <v>2020</v>
      </c>
      <c r="D778" s="149" t="s">
        <v>1118</v>
      </c>
      <c r="E778" s="135" t="s">
        <v>1117</v>
      </c>
      <c r="F778" s="384" t="s">
        <v>142</v>
      </c>
      <c r="G778" s="138" t="s">
        <v>4773</v>
      </c>
      <c r="H778" s="138" t="s">
        <v>3336</v>
      </c>
      <c r="I778" s="138" t="s">
        <v>1566</v>
      </c>
      <c r="J778" s="135" t="s">
        <v>4778</v>
      </c>
      <c r="K778" s="164">
        <v>3777093746</v>
      </c>
      <c r="L778" s="165">
        <v>3048380660</v>
      </c>
      <c r="M778" s="165">
        <v>746017507</v>
      </c>
      <c r="N778" s="165">
        <v>13615869</v>
      </c>
      <c r="O778" s="165">
        <v>471428470.42000002</v>
      </c>
      <c r="P778" s="165">
        <v>122480226.02</v>
      </c>
      <c r="Q778" s="165">
        <v>786268</v>
      </c>
      <c r="R778" s="165">
        <v>843.08333333333337</v>
      </c>
      <c r="S778" s="165">
        <v>591006412.44000006</v>
      </c>
      <c r="T778" s="165">
        <v>701005.92559849762</v>
      </c>
      <c r="U778" s="166">
        <v>-17304421</v>
      </c>
      <c r="V778" s="168">
        <v>5046097896</v>
      </c>
      <c r="W778" s="165">
        <v>4249772625</v>
      </c>
      <c r="X778" s="165">
        <v>790344758</v>
      </c>
      <c r="Y778" s="165">
        <v>14559605</v>
      </c>
      <c r="Z778" s="165">
        <v>519895944</v>
      </c>
      <c r="AA778" s="165">
        <v>155997610</v>
      </c>
      <c r="AB778" s="165">
        <v>726628</v>
      </c>
      <c r="AC778" s="165">
        <v>817.75</v>
      </c>
      <c r="AD778" s="165">
        <v>697160300</v>
      </c>
      <c r="AE778" s="165">
        <v>852534.76001222862</v>
      </c>
      <c r="AF778" s="166">
        <v>5980513</v>
      </c>
      <c r="AG778" s="124">
        <v>106153887.55999994</v>
      </c>
      <c r="AH778" s="125">
        <v>-25.333333333333371</v>
      </c>
      <c r="AI778" s="133">
        <v>1</v>
      </c>
      <c r="AJ778" s="133">
        <v>1</v>
      </c>
      <c r="AK778" s="126">
        <v>0.1</v>
      </c>
      <c r="AL778" s="126">
        <v>0.21615912721308916</v>
      </c>
      <c r="AM778" s="14">
        <v>1</v>
      </c>
      <c r="AN778" s="122">
        <v>0</v>
      </c>
      <c r="AO778" s="131">
        <v>559171.85381437186</v>
      </c>
      <c r="AP778" s="131">
        <v>635763.91806786915</v>
      </c>
      <c r="AQ778" s="131">
        <v>76592.064253497287</v>
      </c>
      <c r="AR778" s="130">
        <v>0.13697410506452901</v>
      </c>
    </row>
    <row r="779" spans="1:44" ht="28.8" x14ac:dyDescent="0.3">
      <c r="A779" s="136" t="s">
        <v>1049</v>
      </c>
      <c r="B779" s="137" t="s">
        <v>5549</v>
      </c>
      <c r="C779" s="134">
        <v>2019</v>
      </c>
      <c r="D779" s="149" t="s">
        <v>1118</v>
      </c>
      <c r="E779" s="135" t="s">
        <v>1117</v>
      </c>
      <c r="F779" s="384" t="s">
        <v>553</v>
      </c>
      <c r="G779" s="138" t="s">
        <v>4773</v>
      </c>
      <c r="H779" s="138" t="s">
        <v>2463</v>
      </c>
      <c r="I779" s="138" t="s">
        <v>1566</v>
      </c>
      <c r="J779" s="135" t="s">
        <v>4774</v>
      </c>
      <c r="K779" s="164">
        <v>2369346983</v>
      </c>
      <c r="L779" s="165">
        <v>1297269678</v>
      </c>
      <c r="M779" s="165">
        <v>949685531</v>
      </c>
      <c r="N779" s="165">
        <v>92956566</v>
      </c>
      <c r="O779" s="165">
        <v>278648235</v>
      </c>
      <c r="P779" s="165">
        <v>75334342</v>
      </c>
      <c r="Q779" s="165">
        <v>8982107</v>
      </c>
      <c r="R779" s="165">
        <v>619.33333333333337</v>
      </c>
      <c r="S779" s="165">
        <v>578313024</v>
      </c>
      <c r="T779" s="165">
        <v>933766.99246501608</v>
      </c>
      <c r="U779" s="166">
        <v>122391774</v>
      </c>
      <c r="V779" s="168">
        <v>3382090848</v>
      </c>
      <c r="W779" s="165">
        <v>1744479739</v>
      </c>
      <c r="X779" s="165">
        <v>1203873590</v>
      </c>
      <c r="Y779" s="165">
        <v>128825240</v>
      </c>
      <c r="Z779" s="165">
        <v>391120757.28999996</v>
      </c>
      <c r="AA779" s="165">
        <v>117867457.12</v>
      </c>
      <c r="AB779" s="165">
        <v>9850422</v>
      </c>
      <c r="AC779" s="165">
        <v>648.41666666666663</v>
      </c>
      <c r="AD779" s="165">
        <v>1081401395.4099998</v>
      </c>
      <c r="AE779" s="165">
        <v>1667756.939329135</v>
      </c>
      <c r="AF779" s="166">
        <v>433737519</v>
      </c>
      <c r="AG779" s="124">
        <v>503088371.40999985</v>
      </c>
      <c r="AH779" s="125">
        <v>29.083333333333258</v>
      </c>
      <c r="AI779" s="133">
        <v>1</v>
      </c>
      <c r="AJ779" s="133">
        <v>1</v>
      </c>
      <c r="AK779" s="126">
        <v>0.15</v>
      </c>
      <c r="AL779" s="126">
        <v>0.78605257827758512</v>
      </c>
      <c r="AM779" s="14">
        <v>1</v>
      </c>
      <c r="AN779" s="122">
        <v>0</v>
      </c>
      <c r="AO779" s="131">
        <v>449916.41819160385</v>
      </c>
      <c r="AP779" s="131">
        <v>603193.55962986755</v>
      </c>
      <c r="AQ779" s="131">
        <v>153277.1414382637</v>
      </c>
      <c r="AR779" s="130">
        <v>0.34067914670539601</v>
      </c>
    </row>
    <row r="780" spans="1:44" ht="28.8" x14ac:dyDescent="0.3">
      <c r="A780" s="136" t="s">
        <v>1050</v>
      </c>
      <c r="B780" s="137" t="s">
        <v>5550</v>
      </c>
      <c r="C780" s="134">
        <v>2020</v>
      </c>
      <c r="D780" s="149" t="s">
        <v>1118</v>
      </c>
      <c r="E780" s="135" t="s">
        <v>1117</v>
      </c>
      <c r="F780" s="384" t="s">
        <v>553</v>
      </c>
      <c r="G780" s="138" t="s">
        <v>4773</v>
      </c>
      <c r="H780" s="138" t="s">
        <v>3336</v>
      </c>
      <c r="I780" s="138" t="s">
        <v>1566</v>
      </c>
      <c r="J780" s="135" t="s">
        <v>4774</v>
      </c>
      <c r="K780" s="164">
        <v>1105050189</v>
      </c>
      <c r="L780" s="165">
        <v>766770397</v>
      </c>
      <c r="M780" s="165">
        <v>99284729</v>
      </c>
      <c r="N780" s="165">
        <v>6342748</v>
      </c>
      <c r="O780" s="165">
        <v>119139180.28</v>
      </c>
      <c r="P780" s="165">
        <v>23554988.359999999</v>
      </c>
      <c r="Q780" s="165">
        <v>48233</v>
      </c>
      <c r="R780" s="165">
        <v>184.5</v>
      </c>
      <c r="S780" s="165">
        <v>388080212.63999999</v>
      </c>
      <c r="T780" s="165">
        <v>2103415.7866666666</v>
      </c>
      <c r="U780" s="166">
        <v>238995063</v>
      </c>
      <c r="V780" s="168">
        <v>1404456297</v>
      </c>
      <c r="W780" s="165">
        <v>1011037999</v>
      </c>
      <c r="X780" s="165">
        <v>124067608</v>
      </c>
      <c r="Y780" s="165">
        <v>6979715</v>
      </c>
      <c r="Z780" s="165">
        <v>148596896</v>
      </c>
      <c r="AA780" s="165">
        <v>30729486</v>
      </c>
      <c r="AB780" s="165">
        <v>104844</v>
      </c>
      <c r="AC780" s="165">
        <v>228.58333333333334</v>
      </c>
      <c r="AD780" s="165">
        <v>455761631</v>
      </c>
      <c r="AE780" s="165">
        <v>1993853.2890995259</v>
      </c>
      <c r="AF780" s="166">
        <v>269350690</v>
      </c>
      <c r="AG780" s="124">
        <v>67681418.360000014</v>
      </c>
      <c r="AH780" s="125">
        <v>44.083333333333343</v>
      </c>
      <c r="AI780" s="133">
        <v>0</v>
      </c>
      <c r="AJ780" s="133">
        <v>0</v>
      </c>
      <c r="AK780" s="126">
        <v>0.1</v>
      </c>
      <c r="AL780" s="126">
        <v>-5.208789461450225E-2</v>
      </c>
      <c r="AM780" s="14">
        <v>0</v>
      </c>
      <c r="AN780" s="122">
        <v>-1</v>
      </c>
      <c r="AO780" s="131">
        <v>645740.81452574523</v>
      </c>
      <c r="AP780" s="131">
        <v>650077.56179365655</v>
      </c>
      <c r="AQ780" s="131">
        <v>4336.7472679113271</v>
      </c>
      <c r="AR780" s="130">
        <v>6.715925601042283E-3</v>
      </c>
    </row>
    <row r="781" spans="1:44" ht="43.2" x14ac:dyDescent="0.3">
      <c r="A781" s="136" t="s">
        <v>1051</v>
      </c>
      <c r="B781" s="137" t="s">
        <v>5551</v>
      </c>
      <c r="C781" s="134">
        <v>2020</v>
      </c>
      <c r="D781" s="149" t="s">
        <v>1118</v>
      </c>
      <c r="E781" s="135" t="s">
        <v>1117</v>
      </c>
      <c r="F781" s="384" t="s">
        <v>553</v>
      </c>
      <c r="G781" s="138" t="s">
        <v>4773</v>
      </c>
      <c r="H781" s="138" t="s">
        <v>3058</v>
      </c>
      <c r="I781" s="138" t="s">
        <v>1566</v>
      </c>
      <c r="J781" s="135" t="s">
        <v>4774</v>
      </c>
      <c r="K781" s="164">
        <v>737446901</v>
      </c>
      <c r="L781" s="165">
        <v>574592193</v>
      </c>
      <c r="M781" s="165">
        <v>136119755</v>
      </c>
      <c r="N781" s="165">
        <v>6513371</v>
      </c>
      <c r="O781" s="165">
        <v>132669828.69</v>
      </c>
      <c r="P781" s="165">
        <v>25920725.18</v>
      </c>
      <c r="Q781" s="165">
        <v>0</v>
      </c>
      <c r="R781" s="165">
        <v>206.41666666666666</v>
      </c>
      <c r="S781" s="165">
        <v>191838877.87</v>
      </c>
      <c r="T781" s="165">
        <v>929376.88108195399</v>
      </c>
      <c r="U781" s="166">
        <v>26734953</v>
      </c>
      <c r="V781" s="168">
        <v>317159074</v>
      </c>
      <c r="W781" s="165">
        <v>226988989</v>
      </c>
      <c r="X781" s="165">
        <v>133153461</v>
      </c>
      <c r="Y781" s="165">
        <v>7177216</v>
      </c>
      <c r="Z781" s="165">
        <v>135333879.41999999</v>
      </c>
      <c r="AA781" s="165">
        <v>24724933.960000001</v>
      </c>
      <c r="AB781" s="165">
        <v>0</v>
      </c>
      <c r="AC781" s="165">
        <v>152.91666666666666</v>
      </c>
      <c r="AD781" s="165">
        <v>124252653.38</v>
      </c>
      <c r="AE781" s="165">
        <v>812551.41174931882</v>
      </c>
      <c r="AF781" s="166">
        <v>-42983376</v>
      </c>
      <c r="AG781" s="124">
        <v>-67586224.49000001</v>
      </c>
      <c r="AH781" s="125">
        <v>-53.5</v>
      </c>
      <c r="AI781" s="133">
        <v>0</v>
      </c>
      <c r="AJ781" s="133">
        <v>0</v>
      </c>
      <c r="AK781" s="126">
        <v>0.1</v>
      </c>
      <c r="AL781" s="126">
        <v>-0.12570300866533279</v>
      </c>
      <c r="AM781" s="14">
        <v>0</v>
      </c>
      <c r="AN781" s="122">
        <v>-1</v>
      </c>
      <c r="AO781" s="131">
        <v>642728.27786838915</v>
      </c>
      <c r="AP781" s="131">
        <v>885017.19511716615</v>
      </c>
      <c r="AQ781" s="131">
        <v>242288.917248777</v>
      </c>
      <c r="AR781" s="130">
        <v>0.37696943730611809</v>
      </c>
    </row>
    <row r="782" spans="1:44" ht="28.8" x14ac:dyDescent="0.3">
      <c r="A782" s="136" t="s">
        <v>1052</v>
      </c>
      <c r="B782" s="137" t="s">
        <v>5552</v>
      </c>
      <c r="C782" s="134">
        <v>2019</v>
      </c>
      <c r="D782" s="149" t="s">
        <v>1118</v>
      </c>
      <c r="E782" s="135" t="s">
        <v>1117</v>
      </c>
      <c r="F782" s="384" t="s">
        <v>553</v>
      </c>
      <c r="G782" s="138" t="s">
        <v>4773</v>
      </c>
      <c r="H782" s="138" t="s">
        <v>2264</v>
      </c>
      <c r="I782" s="138" t="s">
        <v>1566</v>
      </c>
      <c r="J782" s="135" t="s">
        <v>4774</v>
      </c>
      <c r="K782" s="164">
        <v>2579320936</v>
      </c>
      <c r="L782" s="165">
        <v>1966397221</v>
      </c>
      <c r="M782" s="165">
        <v>321851824</v>
      </c>
      <c r="N782" s="165">
        <v>45617247</v>
      </c>
      <c r="O782" s="165">
        <v>217972697.43000001</v>
      </c>
      <c r="P782" s="165">
        <v>63928999.680000007</v>
      </c>
      <c r="Q782" s="165">
        <v>3551769</v>
      </c>
      <c r="R782" s="165">
        <v>497.91666666666669</v>
      </c>
      <c r="S782" s="165">
        <v>622142604.11000013</v>
      </c>
      <c r="T782" s="165">
        <v>1249491.422480335</v>
      </c>
      <c r="U782" s="166">
        <v>291071891</v>
      </c>
      <c r="V782" s="168">
        <v>3731530431</v>
      </c>
      <c r="W782" s="165">
        <v>2692769798</v>
      </c>
      <c r="X782" s="165">
        <v>549744283</v>
      </c>
      <c r="Y782" s="165">
        <v>43933878</v>
      </c>
      <c r="Z782" s="165">
        <v>323527214.06</v>
      </c>
      <c r="AA782" s="165">
        <v>102169782.78</v>
      </c>
      <c r="AB782" s="165">
        <v>3565078</v>
      </c>
      <c r="AC782" s="165">
        <v>500</v>
      </c>
      <c r="AD782" s="165">
        <v>962212302.83999991</v>
      </c>
      <c r="AE782" s="165">
        <v>1924424.6056799998</v>
      </c>
      <c r="AF782" s="166">
        <v>489016350</v>
      </c>
      <c r="AG782" s="124">
        <v>340069698.72999978</v>
      </c>
      <c r="AH782" s="125">
        <v>2.0833333333333144</v>
      </c>
      <c r="AI782" s="133">
        <v>1</v>
      </c>
      <c r="AJ782" s="133">
        <v>0</v>
      </c>
      <c r="AK782" s="126">
        <v>0.15</v>
      </c>
      <c r="AL782" s="126">
        <v>0.54016632623215632</v>
      </c>
      <c r="AM782" s="14">
        <v>1</v>
      </c>
      <c r="AN782" s="122">
        <v>0</v>
      </c>
      <c r="AO782" s="131">
        <v>437769.43416903768</v>
      </c>
      <c r="AP782" s="131">
        <v>647054.42812000006</v>
      </c>
      <c r="AQ782" s="131">
        <v>209284.99395096238</v>
      </c>
      <c r="AR782" s="130">
        <v>0.4780712804863172</v>
      </c>
    </row>
    <row r="783" spans="1:44" ht="28.8" x14ac:dyDescent="0.3">
      <c r="A783" s="136" t="s">
        <v>1053</v>
      </c>
      <c r="B783" s="137" t="s">
        <v>5553</v>
      </c>
      <c r="C783" s="134">
        <v>2019</v>
      </c>
      <c r="D783" s="149" t="s">
        <v>1118</v>
      </c>
      <c r="E783" s="135" t="s">
        <v>1117</v>
      </c>
      <c r="F783" s="384" t="s">
        <v>553</v>
      </c>
      <c r="G783" s="138" t="s">
        <v>4773</v>
      </c>
      <c r="H783" s="138" t="s">
        <v>3058</v>
      </c>
      <c r="I783" s="138" t="s">
        <v>1566</v>
      </c>
      <c r="J783" s="135" t="s">
        <v>4774</v>
      </c>
      <c r="K783" s="164">
        <v>3503892652</v>
      </c>
      <c r="L783" s="165">
        <v>2829946942</v>
      </c>
      <c r="M783" s="165">
        <v>439675256</v>
      </c>
      <c r="N783" s="165">
        <v>79010832</v>
      </c>
      <c r="O783" s="165">
        <v>355826429.19</v>
      </c>
      <c r="P783" s="165">
        <v>101329237.83</v>
      </c>
      <c r="Q783" s="165">
        <v>12094384</v>
      </c>
      <c r="R783" s="165">
        <v>614</v>
      </c>
      <c r="S783" s="165">
        <v>782531337.0200001</v>
      </c>
      <c r="T783" s="165">
        <v>1274481.0049185669</v>
      </c>
      <c r="U783" s="166">
        <v>234270454</v>
      </c>
      <c r="V783" s="168">
        <v>3196168161</v>
      </c>
      <c r="W783" s="165">
        <v>2332263065</v>
      </c>
      <c r="X783" s="165">
        <v>411127004</v>
      </c>
      <c r="Y783" s="165">
        <v>74140419</v>
      </c>
      <c r="Z783" s="165">
        <v>389603095.52000004</v>
      </c>
      <c r="AA783" s="165">
        <v>119198307.80999999</v>
      </c>
      <c r="AB783" s="165">
        <v>11435122</v>
      </c>
      <c r="AC783" s="165">
        <v>647</v>
      </c>
      <c r="AD783" s="165">
        <v>1047155036.3299999</v>
      </c>
      <c r="AE783" s="165">
        <v>1618477.6450231839</v>
      </c>
      <c r="AF783" s="166">
        <v>452778092</v>
      </c>
      <c r="AG783" s="124">
        <v>264623699.30999982</v>
      </c>
      <c r="AH783" s="125">
        <v>33</v>
      </c>
      <c r="AI783" s="133">
        <v>1</v>
      </c>
      <c r="AJ783" s="133">
        <v>1</v>
      </c>
      <c r="AK783" s="126">
        <v>0.15</v>
      </c>
      <c r="AL783" s="126">
        <v>0.26991116383845659</v>
      </c>
      <c r="AM783" s="14">
        <v>1</v>
      </c>
      <c r="AN783" s="122">
        <v>0</v>
      </c>
      <c r="AO783" s="131">
        <v>579521.87164495117</v>
      </c>
      <c r="AP783" s="131">
        <v>602168.61749613611</v>
      </c>
      <c r="AQ783" s="131">
        <v>22646.74585118494</v>
      </c>
      <c r="AR783" s="130">
        <v>3.9078328117113204E-2</v>
      </c>
    </row>
    <row r="784" spans="1:44" ht="28.8" x14ac:dyDescent="0.3">
      <c r="A784" s="136" t="s">
        <v>1054</v>
      </c>
      <c r="B784" s="137" t="s">
        <v>5554</v>
      </c>
      <c r="C784" s="134">
        <v>2019</v>
      </c>
      <c r="D784" s="149" t="s">
        <v>4804</v>
      </c>
      <c r="E784" s="135" t="s">
        <v>1117</v>
      </c>
      <c r="F784" s="384" t="s">
        <v>154</v>
      </c>
      <c r="G784" s="138" t="s">
        <v>4773</v>
      </c>
      <c r="H784" s="138" t="s">
        <v>2397</v>
      </c>
      <c r="I784" s="138" t="s">
        <v>1566</v>
      </c>
      <c r="J784" s="135" t="s">
        <v>4778</v>
      </c>
      <c r="K784" s="164">
        <v>16118378663</v>
      </c>
      <c r="L784" s="165">
        <v>11268865004</v>
      </c>
      <c r="M784" s="165">
        <v>1030859779</v>
      </c>
      <c r="N784" s="165">
        <v>235451751</v>
      </c>
      <c r="O784" s="165">
        <v>775572473</v>
      </c>
      <c r="P784" s="165">
        <v>213624099.94</v>
      </c>
      <c r="Q784" s="165">
        <v>8057894</v>
      </c>
      <c r="R784" s="165">
        <v>1250.75</v>
      </c>
      <c r="S784" s="165">
        <v>5051360097.9399996</v>
      </c>
      <c r="T784" s="165">
        <v>4038664.8794243452</v>
      </c>
      <c r="U784" s="166">
        <v>3818653880</v>
      </c>
      <c r="V784" s="168">
        <v>27148900139</v>
      </c>
      <c r="W784" s="165">
        <v>13532252876</v>
      </c>
      <c r="X784" s="165">
        <v>2230104644</v>
      </c>
      <c r="Y784" s="165">
        <v>412407747</v>
      </c>
      <c r="Z784" s="165">
        <v>1314019351.0100002</v>
      </c>
      <c r="AA784" s="165">
        <v>357997913.81</v>
      </c>
      <c r="AB784" s="165">
        <v>12869364</v>
      </c>
      <c r="AC784" s="165">
        <v>1758.25</v>
      </c>
      <c r="AD784" s="165">
        <v>13483836994.82</v>
      </c>
      <c r="AE784" s="165">
        <v>7668896.3428522674</v>
      </c>
      <c r="AF784" s="166">
        <v>11386542619</v>
      </c>
      <c r="AG784" s="124">
        <v>8432476896.8800001</v>
      </c>
      <c r="AH784" s="125">
        <v>507.5</v>
      </c>
      <c r="AI784" s="133">
        <v>1</v>
      </c>
      <c r="AJ784" s="133">
        <v>1</v>
      </c>
      <c r="AK784" s="126">
        <v>0.15</v>
      </c>
      <c r="AL784" s="126">
        <v>0.89886919758492079</v>
      </c>
      <c r="AM784" s="14">
        <v>1</v>
      </c>
      <c r="AN784" s="122">
        <v>0</v>
      </c>
      <c r="AO784" s="131">
        <v>620085.92684389371</v>
      </c>
      <c r="AP784" s="131">
        <v>747345.00270723749</v>
      </c>
      <c r="AQ784" s="131">
        <v>127259.07586334378</v>
      </c>
      <c r="AR784" s="130">
        <v>0.20522813106090898</v>
      </c>
    </row>
    <row r="785" spans="1:44" ht="28.8" x14ac:dyDescent="0.3">
      <c r="A785" s="136" t="s">
        <v>1055</v>
      </c>
      <c r="B785" s="137" t="s">
        <v>5555</v>
      </c>
      <c r="C785" s="134">
        <v>2020</v>
      </c>
      <c r="D785" s="149" t="s">
        <v>4804</v>
      </c>
      <c r="E785" s="135" t="s">
        <v>1117</v>
      </c>
      <c r="F785" s="384" t="s">
        <v>154</v>
      </c>
      <c r="G785" s="138" t="s">
        <v>4773</v>
      </c>
      <c r="H785" s="138" t="s">
        <v>2975</v>
      </c>
      <c r="I785" s="138" t="s">
        <v>1566</v>
      </c>
      <c r="J785" s="135" t="s">
        <v>4774</v>
      </c>
      <c r="K785" s="164">
        <v>693705669</v>
      </c>
      <c r="L785" s="165">
        <v>401462447</v>
      </c>
      <c r="M785" s="165">
        <v>281225922</v>
      </c>
      <c r="N785" s="165">
        <v>3900620</v>
      </c>
      <c r="O785" s="165">
        <v>76784696</v>
      </c>
      <c r="P785" s="165">
        <v>11321048</v>
      </c>
      <c r="Q785" s="165">
        <v>202099</v>
      </c>
      <c r="R785" s="165">
        <v>118.91666666666667</v>
      </c>
      <c r="S785" s="165">
        <v>103225763</v>
      </c>
      <c r="T785" s="165">
        <v>868051.26559215132</v>
      </c>
      <c r="U785" s="166">
        <v>11017300</v>
      </c>
      <c r="V785" s="168">
        <v>569831518</v>
      </c>
      <c r="W785" s="165">
        <v>467511250</v>
      </c>
      <c r="X785" s="165">
        <v>94170003</v>
      </c>
      <c r="Y785" s="165">
        <v>4529489</v>
      </c>
      <c r="Z785" s="165">
        <v>58004586</v>
      </c>
      <c r="AA785" s="165">
        <v>11347486.130000001</v>
      </c>
      <c r="AB785" s="165">
        <v>768921</v>
      </c>
      <c r="AC785" s="165">
        <v>126.91666666666667</v>
      </c>
      <c r="AD785" s="165">
        <v>82800747.129999995</v>
      </c>
      <c r="AE785" s="165">
        <v>652402.4724622455</v>
      </c>
      <c r="AF785" s="166">
        <v>8150265</v>
      </c>
      <c r="AG785" s="124">
        <v>-20425015.870000005</v>
      </c>
      <c r="AH785" s="125">
        <v>8</v>
      </c>
      <c r="AI785" s="133">
        <v>0</v>
      </c>
      <c r="AJ785" s="133">
        <v>0</v>
      </c>
      <c r="AK785" s="126">
        <v>0.1</v>
      </c>
      <c r="AL785" s="126">
        <v>-0.24842864408227872</v>
      </c>
      <c r="AM785" s="14">
        <v>0</v>
      </c>
      <c r="AN785" s="122">
        <v>-1</v>
      </c>
      <c r="AO785" s="131">
        <v>645701.71829011908</v>
      </c>
      <c r="AP785" s="131">
        <v>457028.91135915951</v>
      </c>
      <c r="AQ785" s="131">
        <v>-188672.80693095957</v>
      </c>
      <c r="AR785" s="130">
        <v>-0.29219808711456352</v>
      </c>
    </row>
    <row r="786" spans="1:44" ht="28.8" x14ac:dyDescent="0.3">
      <c r="A786" s="136" t="s">
        <v>1056</v>
      </c>
      <c r="B786" s="137" t="s">
        <v>5556</v>
      </c>
      <c r="C786" s="134">
        <v>2018</v>
      </c>
      <c r="D786" s="149" t="s">
        <v>4758</v>
      </c>
      <c r="E786" s="135" t="s">
        <v>1140</v>
      </c>
      <c r="F786" s="384" t="s">
        <v>1057</v>
      </c>
      <c r="G786" s="138" t="s">
        <v>4773</v>
      </c>
      <c r="H786" s="138" t="s">
        <v>3334</v>
      </c>
      <c r="I786" s="138" t="s">
        <v>1566</v>
      </c>
      <c r="J786" s="135" t="s">
        <v>4778</v>
      </c>
      <c r="K786" s="164">
        <v>9831026000</v>
      </c>
      <c r="L786" s="165">
        <v>7988405660</v>
      </c>
      <c r="M786" s="165">
        <v>1753861137.9999998</v>
      </c>
      <c r="N786" s="165">
        <v>51480950</v>
      </c>
      <c r="O786" s="165">
        <v>1025404910</v>
      </c>
      <c r="P786" s="165">
        <v>293490230.82000005</v>
      </c>
      <c r="Q786" s="165">
        <v>6592080</v>
      </c>
      <c r="R786" s="165">
        <v>2034.083333333333</v>
      </c>
      <c r="S786" s="165">
        <v>1465727372.8200002</v>
      </c>
      <c r="T786" s="165">
        <v>720583.73853250872</v>
      </c>
      <c r="U786" s="166">
        <v>88759202.000000238</v>
      </c>
      <c r="V786" s="168">
        <v>20455318445</v>
      </c>
      <c r="W786" s="165">
        <v>18067811019</v>
      </c>
      <c r="X786" s="165">
        <v>2204833298</v>
      </c>
      <c r="Y786" s="165">
        <v>72835882</v>
      </c>
      <c r="Z786" s="165">
        <v>1326865381</v>
      </c>
      <c r="AA786" s="165">
        <v>393272835</v>
      </c>
      <c r="AB786" s="165">
        <v>3168319</v>
      </c>
      <c r="AC786" s="165">
        <v>2369.0833333333335</v>
      </c>
      <c r="AD786" s="165">
        <v>1978816545</v>
      </c>
      <c r="AE786" s="165">
        <v>835266.75366703013</v>
      </c>
      <c r="AF786" s="166">
        <v>182674128</v>
      </c>
      <c r="AG786" s="124">
        <v>513089172.17999983</v>
      </c>
      <c r="AH786" s="125">
        <v>335.00000000000045</v>
      </c>
      <c r="AI786" s="133">
        <v>0</v>
      </c>
      <c r="AJ786" s="133">
        <v>1</v>
      </c>
      <c r="AK786" s="126">
        <v>0.3</v>
      </c>
      <c r="AL786" s="126">
        <v>0.15915292509930912</v>
      </c>
      <c r="AM786" s="14">
        <v>0</v>
      </c>
      <c r="AN786" s="122">
        <v>-1</v>
      </c>
      <c r="AO786" s="131">
        <v>504111.55393502401</v>
      </c>
      <c r="AP786" s="131">
        <v>560075.43606880296</v>
      </c>
      <c r="AQ786" s="131">
        <v>55963.882133778941</v>
      </c>
      <c r="AR786" s="130">
        <v>0.11101487695914281</v>
      </c>
    </row>
    <row r="787" spans="1:44" ht="28.8" x14ac:dyDescent="0.3">
      <c r="A787" s="136" t="s">
        <v>1058</v>
      </c>
      <c r="B787" s="137" t="s">
        <v>5557</v>
      </c>
      <c r="C787" s="134">
        <v>2018</v>
      </c>
      <c r="D787" s="149" t="s">
        <v>4758</v>
      </c>
      <c r="E787" s="135" t="s">
        <v>1140</v>
      </c>
      <c r="F787" s="384" t="s">
        <v>1057</v>
      </c>
      <c r="G787" s="138" t="s">
        <v>4773</v>
      </c>
      <c r="H787" s="138" t="s">
        <v>3058</v>
      </c>
      <c r="I787" s="138" t="s">
        <v>1566</v>
      </c>
      <c r="J787" s="135" t="s">
        <v>4778</v>
      </c>
      <c r="K787" s="164">
        <v>633946000</v>
      </c>
      <c r="L787" s="165">
        <v>292228010</v>
      </c>
      <c r="M787" s="165">
        <v>331961040</v>
      </c>
      <c r="N787" s="165">
        <v>36462820</v>
      </c>
      <c r="O787" s="165">
        <v>196752300</v>
      </c>
      <c r="P787" s="165">
        <v>57980995.829999998</v>
      </c>
      <c r="Q787" s="165">
        <v>3745564</v>
      </c>
      <c r="R787" s="165">
        <v>450.5</v>
      </c>
      <c r="S787" s="165">
        <v>304698629.82999998</v>
      </c>
      <c r="T787" s="165">
        <v>676356.5590011098</v>
      </c>
      <c r="U787" s="166">
        <v>9756950</v>
      </c>
      <c r="V787" s="168">
        <v>1509003681</v>
      </c>
      <c r="W787" s="165">
        <v>1138297879</v>
      </c>
      <c r="X787" s="165">
        <v>239504175</v>
      </c>
      <c r="Y787" s="165">
        <v>39274399</v>
      </c>
      <c r="Z787" s="165">
        <v>312660808.82999998</v>
      </c>
      <c r="AA787" s="165">
        <v>91965253.439999998</v>
      </c>
      <c r="AB787" s="165">
        <v>869962</v>
      </c>
      <c r="AC787" s="165">
        <v>484.75</v>
      </c>
      <c r="AD787" s="165">
        <v>575972050.26999998</v>
      </c>
      <c r="AE787" s="165">
        <v>1188183.7034966478</v>
      </c>
      <c r="AF787" s="166">
        <v>131201627</v>
      </c>
      <c r="AG787" s="124">
        <v>271273420.44</v>
      </c>
      <c r="AH787" s="125">
        <v>34.25</v>
      </c>
      <c r="AI787" s="133">
        <v>1</v>
      </c>
      <c r="AJ787" s="133">
        <v>1</v>
      </c>
      <c r="AK787" s="126">
        <v>0.3</v>
      </c>
      <c r="AL787" s="126">
        <v>0.75674159203837665</v>
      </c>
      <c r="AM787" s="14">
        <v>1</v>
      </c>
      <c r="AN787" s="122">
        <v>0</v>
      </c>
      <c r="AO787" s="131">
        <v>436742.06437291898</v>
      </c>
      <c r="AP787" s="131">
        <v>644993.93260443525</v>
      </c>
      <c r="AQ787" s="131">
        <v>208251.86823151627</v>
      </c>
      <c r="AR787" s="130">
        <v>0.47683034271161295</v>
      </c>
    </row>
    <row r="788" spans="1:44" ht="28.8" x14ac:dyDescent="0.3">
      <c r="A788" s="136" t="s">
        <v>1059</v>
      </c>
      <c r="B788" s="137" t="s">
        <v>5558</v>
      </c>
      <c r="C788" s="134">
        <v>2019</v>
      </c>
      <c r="D788" s="149" t="s">
        <v>4758</v>
      </c>
      <c r="E788" s="135" t="s">
        <v>1140</v>
      </c>
      <c r="F788" s="384" t="s">
        <v>154</v>
      </c>
      <c r="G788" s="138" t="s">
        <v>4773</v>
      </c>
      <c r="H788" s="138" t="s">
        <v>3569</v>
      </c>
      <c r="I788" s="138" t="s">
        <v>3557</v>
      </c>
      <c r="J788" s="135" t="s">
        <v>4778</v>
      </c>
      <c r="K788" s="164">
        <v>940015125</v>
      </c>
      <c r="L788" s="165">
        <v>384303299</v>
      </c>
      <c r="M788" s="165">
        <v>698256789</v>
      </c>
      <c r="N788" s="165">
        <v>77577760</v>
      </c>
      <c r="O788" s="165">
        <v>238790245</v>
      </c>
      <c r="P788" s="165">
        <v>74310412</v>
      </c>
      <c r="Q788" s="165">
        <v>0</v>
      </c>
      <c r="R788" s="165">
        <v>593.33333333333337</v>
      </c>
      <c r="S788" s="165">
        <v>248133454</v>
      </c>
      <c r="T788" s="165">
        <v>418202.45056179771</v>
      </c>
      <c r="U788" s="166">
        <v>-142544963</v>
      </c>
      <c r="V788" s="168">
        <v>3099653669</v>
      </c>
      <c r="W788" s="165">
        <v>1427004750</v>
      </c>
      <c r="X788" s="165">
        <v>1368040272</v>
      </c>
      <c r="Y788" s="165">
        <v>21401075</v>
      </c>
      <c r="Z788" s="165">
        <v>332986312</v>
      </c>
      <c r="AA788" s="165">
        <v>105266760</v>
      </c>
      <c r="AB788" s="165">
        <v>4548152</v>
      </c>
      <c r="AC788" s="165">
        <v>599.91666666666663</v>
      </c>
      <c r="AD788" s="165">
        <v>768810946</v>
      </c>
      <c r="AE788" s="165">
        <v>1281529.5668842895</v>
      </c>
      <c r="AF788" s="166">
        <v>304608647</v>
      </c>
      <c r="AG788" s="124">
        <v>520677492</v>
      </c>
      <c r="AH788" s="125">
        <v>6.5833333333332575</v>
      </c>
      <c r="AI788" s="133">
        <v>1</v>
      </c>
      <c r="AJ788" s="133">
        <v>1</v>
      </c>
      <c r="AK788" s="126">
        <v>0.15</v>
      </c>
      <c r="AL788" s="126">
        <v>2.0643760456209668</v>
      </c>
      <c r="AM788" s="14">
        <v>1</v>
      </c>
      <c r="AN788" s="122">
        <v>0</v>
      </c>
      <c r="AO788" s="131">
        <v>402455.46910112357</v>
      </c>
      <c r="AP788" s="131">
        <v>555054.27753854706</v>
      </c>
      <c r="AQ788" s="131">
        <v>152598.80843742349</v>
      </c>
      <c r="AR788" s="130">
        <v>0.37916942408125287</v>
      </c>
    </row>
    <row r="789" spans="1:44" ht="28.8" x14ac:dyDescent="0.3">
      <c r="A789" s="136" t="s">
        <v>1060</v>
      </c>
      <c r="B789" s="137" t="s">
        <v>5559</v>
      </c>
      <c r="C789" s="134">
        <v>2018</v>
      </c>
      <c r="D789" s="149" t="s">
        <v>4758</v>
      </c>
      <c r="E789" s="135" t="s">
        <v>1140</v>
      </c>
      <c r="F789" s="384" t="s">
        <v>1057</v>
      </c>
      <c r="G789" s="138" t="s">
        <v>4773</v>
      </c>
      <c r="H789" s="138" t="s">
        <v>3622</v>
      </c>
      <c r="I789" s="138" t="s">
        <v>3557</v>
      </c>
      <c r="J789" s="135" t="s">
        <v>4778</v>
      </c>
      <c r="K789" s="164">
        <v>4249568311</v>
      </c>
      <c r="L789" s="165">
        <v>3591219611</v>
      </c>
      <c r="M789" s="165">
        <v>580409696</v>
      </c>
      <c r="N789" s="165">
        <v>58170448</v>
      </c>
      <c r="O789" s="165">
        <v>526072479</v>
      </c>
      <c r="P789" s="165">
        <v>106642547</v>
      </c>
      <c r="Q789" s="165">
        <v>8173208</v>
      </c>
      <c r="R789" s="165">
        <v>1070.25</v>
      </c>
      <c r="S789" s="165">
        <v>776997686</v>
      </c>
      <c r="T789" s="165">
        <v>725996.43634664803</v>
      </c>
      <c r="U789" s="166">
        <v>77939004</v>
      </c>
      <c r="V789" s="168">
        <v>3510291387</v>
      </c>
      <c r="W789" s="165">
        <v>3274983976</v>
      </c>
      <c r="X789" s="165">
        <v>509074338</v>
      </c>
      <c r="Y789" s="165">
        <v>35753115</v>
      </c>
      <c r="Z789" s="165">
        <v>690824608.21000004</v>
      </c>
      <c r="AA789" s="165">
        <v>231915509.34999999</v>
      </c>
      <c r="AB789" s="165">
        <v>5631395</v>
      </c>
      <c r="AC789" s="165">
        <v>1481.4166666666667</v>
      </c>
      <c r="AD789" s="165">
        <v>690357700.56000006</v>
      </c>
      <c r="AE789" s="165">
        <v>466011.83589582046</v>
      </c>
      <c r="AF789" s="166">
        <v>-273766927</v>
      </c>
      <c r="AG789" s="124">
        <v>-86639985.439999938</v>
      </c>
      <c r="AH789" s="125">
        <v>411.16666666666674</v>
      </c>
      <c r="AI789" s="133">
        <v>0</v>
      </c>
      <c r="AJ789" s="133">
        <v>0</v>
      </c>
      <c r="AK789" s="126">
        <v>0.3</v>
      </c>
      <c r="AL789" s="126">
        <v>-0.35810726564995266</v>
      </c>
      <c r="AM789" s="14">
        <v>0</v>
      </c>
      <c r="AN789" s="122">
        <v>-1</v>
      </c>
      <c r="AO789" s="131">
        <v>491541.67624386825</v>
      </c>
      <c r="AP789" s="131">
        <v>466327.01234854024</v>
      </c>
      <c r="AQ789" s="131">
        <v>-25214.663895328005</v>
      </c>
      <c r="AR789" s="130">
        <v>-5.1297102797074445E-2</v>
      </c>
    </row>
    <row r="790" spans="1:44" ht="28.8" x14ac:dyDescent="0.3">
      <c r="A790" s="136" t="s">
        <v>1061</v>
      </c>
      <c r="B790" s="137" t="s">
        <v>5560</v>
      </c>
      <c r="C790" s="134">
        <v>2019</v>
      </c>
      <c r="D790" s="149" t="s">
        <v>4758</v>
      </c>
      <c r="E790" s="135" t="s">
        <v>1140</v>
      </c>
      <c r="F790" s="384" t="s">
        <v>154</v>
      </c>
      <c r="G790" s="138" t="s">
        <v>4773</v>
      </c>
      <c r="H790" s="138" t="s">
        <v>3411</v>
      </c>
      <c r="I790" s="138" t="s">
        <v>1566</v>
      </c>
      <c r="J790" s="135" t="s">
        <v>4774</v>
      </c>
      <c r="K790" s="164">
        <v>744350190</v>
      </c>
      <c r="L790" s="165">
        <v>370774392</v>
      </c>
      <c r="M790" s="165">
        <v>278462352</v>
      </c>
      <c r="N790" s="165">
        <v>3639114</v>
      </c>
      <c r="O790" s="165">
        <v>191097463</v>
      </c>
      <c r="P790" s="165">
        <v>56395048</v>
      </c>
      <c r="Q790" s="165">
        <v>43675</v>
      </c>
      <c r="R790" s="165">
        <v>416.75</v>
      </c>
      <c r="S790" s="165">
        <v>346288746</v>
      </c>
      <c r="T790" s="165">
        <v>830926.8050389922</v>
      </c>
      <c r="U790" s="166">
        <v>95113446</v>
      </c>
      <c r="V790" s="168">
        <v>1015690360</v>
      </c>
      <c r="W790" s="165">
        <v>585932691</v>
      </c>
      <c r="X790" s="165">
        <v>413710221</v>
      </c>
      <c r="Y790" s="165">
        <v>3487204</v>
      </c>
      <c r="Z790" s="165">
        <v>261821452.60000002</v>
      </c>
      <c r="AA790" s="165">
        <v>75493901.429999992</v>
      </c>
      <c r="AB790" s="165">
        <v>34760</v>
      </c>
      <c r="AC790" s="165">
        <v>411.5</v>
      </c>
      <c r="AD790" s="165">
        <v>356884766.03000003</v>
      </c>
      <c r="AE790" s="165">
        <v>867277.68172539503</v>
      </c>
      <c r="AF790" s="166">
        <v>16047448</v>
      </c>
      <c r="AG790" s="124">
        <v>10596020.030000031</v>
      </c>
      <c r="AH790" s="125">
        <v>-5.25</v>
      </c>
      <c r="AI790" s="133">
        <v>0</v>
      </c>
      <c r="AJ790" s="133">
        <v>0</v>
      </c>
      <c r="AK790" s="126">
        <v>0.15</v>
      </c>
      <c r="AL790" s="126">
        <v>4.374737890573055E-2</v>
      </c>
      <c r="AM790" s="14">
        <v>0</v>
      </c>
      <c r="AN790" s="122">
        <v>-1</v>
      </c>
      <c r="AO790" s="131">
        <v>458542.20275944809</v>
      </c>
      <c r="AP790" s="131">
        <v>636261.12417982996</v>
      </c>
      <c r="AQ790" s="131">
        <v>177718.92142038187</v>
      </c>
      <c r="AR790" s="130">
        <v>0.38757375079303991</v>
      </c>
    </row>
    <row r="791" spans="1:44" ht="43.2" x14ac:dyDescent="0.3">
      <c r="A791" s="136" t="s">
        <v>1062</v>
      </c>
      <c r="B791" s="137" t="s">
        <v>5561</v>
      </c>
      <c r="C791" s="134">
        <v>2019</v>
      </c>
      <c r="D791" s="149" t="s">
        <v>4758</v>
      </c>
      <c r="E791" s="135" t="s">
        <v>1140</v>
      </c>
      <c r="F791" s="384" t="s">
        <v>154</v>
      </c>
      <c r="G791" s="138" t="s">
        <v>4773</v>
      </c>
      <c r="H791" s="138" t="s">
        <v>2975</v>
      </c>
      <c r="I791" s="138" t="s">
        <v>1566</v>
      </c>
      <c r="J791" s="135" t="s">
        <v>4774</v>
      </c>
      <c r="K791" s="164">
        <v>910094264</v>
      </c>
      <c r="L791" s="165">
        <v>621298077</v>
      </c>
      <c r="M791" s="165">
        <v>238657359</v>
      </c>
      <c r="N791" s="165">
        <v>29705787</v>
      </c>
      <c r="O791" s="165">
        <v>200439653</v>
      </c>
      <c r="P791" s="165">
        <v>57833392</v>
      </c>
      <c r="Q791" s="165">
        <v>17599</v>
      </c>
      <c r="R791" s="165">
        <v>351.08333333333331</v>
      </c>
      <c r="S791" s="165">
        <v>338135259</v>
      </c>
      <c r="T791" s="165">
        <v>963119.65535248048</v>
      </c>
      <c r="U791" s="166">
        <v>50138828</v>
      </c>
      <c r="V791" s="168">
        <v>1363967712</v>
      </c>
      <c r="W791" s="165">
        <v>967744530</v>
      </c>
      <c r="X791" s="165">
        <v>132531304</v>
      </c>
      <c r="Y791" s="165">
        <v>16113994</v>
      </c>
      <c r="Z791" s="165">
        <v>213041711</v>
      </c>
      <c r="AA791" s="165">
        <v>61474327</v>
      </c>
      <c r="AB791" s="165">
        <v>15568</v>
      </c>
      <c r="AC791" s="165">
        <v>296</v>
      </c>
      <c r="AD791" s="165">
        <v>554337478</v>
      </c>
      <c r="AE791" s="165">
        <v>1872761.75</v>
      </c>
      <c r="AF791" s="166">
        <v>263691878</v>
      </c>
      <c r="AG791" s="124">
        <v>216202219</v>
      </c>
      <c r="AH791" s="125">
        <v>-55.083333333333314</v>
      </c>
      <c r="AI791" s="133">
        <v>1</v>
      </c>
      <c r="AJ791" s="133">
        <v>1</v>
      </c>
      <c r="AK791" s="126">
        <v>0.15</v>
      </c>
      <c r="AL791" s="126">
        <v>0.94447463568545564</v>
      </c>
      <c r="AM791" s="14">
        <v>1</v>
      </c>
      <c r="AN791" s="122">
        <v>0</v>
      </c>
      <c r="AO791" s="131">
        <v>570917.59696178499</v>
      </c>
      <c r="AP791" s="131">
        <v>719735.51013513515</v>
      </c>
      <c r="AQ791" s="131">
        <v>148817.91317335016</v>
      </c>
      <c r="AR791" s="130">
        <v>0.2606644355775769</v>
      </c>
    </row>
    <row r="792" spans="1:44" ht="28.8" x14ac:dyDescent="0.3">
      <c r="A792" s="136" t="s">
        <v>1063</v>
      </c>
      <c r="B792" s="137" t="s">
        <v>5562</v>
      </c>
      <c r="C792" s="134">
        <v>2020</v>
      </c>
      <c r="D792" s="149" t="s">
        <v>1132</v>
      </c>
      <c r="E792" s="135" t="s">
        <v>1131</v>
      </c>
      <c r="F792" s="384" t="s">
        <v>969</v>
      </c>
      <c r="G792" s="138" t="s">
        <v>4773</v>
      </c>
      <c r="H792" s="138" t="s">
        <v>1722</v>
      </c>
      <c r="I792" s="138" t="s">
        <v>1566</v>
      </c>
      <c r="J792" s="135" t="s">
        <v>4798</v>
      </c>
      <c r="K792" s="164">
        <v>2261858892</v>
      </c>
      <c r="L792" s="165">
        <v>2003325440</v>
      </c>
      <c r="M792" s="165">
        <v>235276533</v>
      </c>
      <c r="N792" s="165">
        <v>17552886</v>
      </c>
      <c r="O792" s="165">
        <v>105990613.63</v>
      </c>
      <c r="P792" s="165">
        <v>30907984.859999999</v>
      </c>
      <c r="Q792" s="165">
        <v>1371054</v>
      </c>
      <c r="R792" s="165">
        <v>344.08333333333331</v>
      </c>
      <c r="S792" s="165">
        <v>179079457.49000001</v>
      </c>
      <c r="T792" s="165">
        <v>520453.7393751514</v>
      </c>
      <c r="U792" s="166">
        <v>23256919</v>
      </c>
      <c r="V792" s="168">
        <v>2525284454</v>
      </c>
      <c r="W792" s="165">
        <v>2265910454</v>
      </c>
      <c r="X792" s="165">
        <v>263772264</v>
      </c>
      <c r="Y792" s="165">
        <v>15996549</v>
      </c>
      <c r="Z792" s="165">
        <v>114698044.72</v>
      </c>
      <c r="AA792" s="165">
        <v>33178171.620000001</v>
      </c>
      <c r="AB792" s="165">
        <v>1568550</v>
      </c>
      <c r="AC792" s="165">
        <v>335.83333333333331</v>
      </c>
      <c r="AD792" s="165">
        <v>161043051.34</v>
      </c>
      <c r="AE792" s="165">
        <v>479532.6590769231</v>
      </c>
      <c r="AF792" s="166">
        <v>-4398264</v>
      </c>
      <c r="AG792" s="124">
        <v>-18036406.150000006</v>
      </c>
      <c r="AH792" s="125">
        <v>-8.25</v>
      </c>
      <c r="AI792" s="133">
        <v>0</v>
      </c>
      <c r="AJ792" s="133">
        <v>0</v>
      </c>
      <c r="AK792" s="126">
        <v>0.1</v>
      </c>
      <c r="AL792" s="126">
        <v>-7.8625777576312617E-2</v>
      </c>
      <c r="AM792" s="14">
        <v>0</v>
      </c>
      <c r="AN792" s="122">
        <v>-1</v>
      </c>
      <c r="AO792" s="131">
        <v>308037.62740615162</v>
      </c>
      <c r="AP792" s="131">
        <v>341532.63936476427</v>
      </c>
      <c r="AQ792" s="131">
        <v>33495.011958612653</v>
      </c>
      <c r="AR792" s="130">
        <v>0.10873675479407918</v>
      </c>
    </row>
    <row r="793" spans="1:44" ht="28.8" x14ac:dyDescent="0.3">
      <c r="A793" s="136" t="s">
        <v>1064</v>
      </c>
      <c r="B793" s="137" t="s">
        <v>5563</v>
      </c>
      <c r="C793" s="134">
        <v>2020</v>
      </c>
      <c r="D793" s="149" t="s">
        <v>1132</v>
      </c>
      <c r="E793" s="135" t="s">
        <v>1131</v>
      </c>
      <c r="F793" s="384" t="s">
        <v>775</v>
      </c>
      <c r="G793" s="138" t="s">
        <v>4773</v>
      </c>
      <c r="H793" s="138" t="s">
        <v>1870</v>
      </c>
      <c r="I793" s="138" t="s">
        <v>1566</v>
      </c>
      <c r="J793" s="135" t="s">
        <v>4798</v>
      </c>
      <c r="K793" s="164">
        <v>1692967010</v>
      </c>
      <c r="L793" s="165">
        <v>1598806714</v>
      </c>
      <c r="M793" s="165">
        <v>58119410</v>
      </c>
      <c r="N793" s="165">
        <v>9985602</v>
      </c>
      <c r="O793" s="165">
        <v>92021886.679999992</v>
      </c>
      <c r="P793" s="165">
        <v>27304640.380000003</v>
      </c>
      <c r="Q793" s="165">
        <v>2963343</v>
      </c>
      <c r="R793" s="165">
        <v>195.91666666666666</v>
      </c>
      <c r="S793" s="165">
        <v>168316358.06</v>
      </c>
      <c r="T793" s="165">
        <v>859122.20192258619</v>
      </c>
      <c r="U793" s="166">
        <v>36040886</v>
      </c>
      <c r="V793" s="168">
        <v>2036244224</v>
      </c>
      <c r="W793" s="165">
        <v>1936424912</v>
      </c>
      <c r="X793" s="165">
        <v>64332984</v>
      </c>
      <c r="Y793" s="165">
        <v>8975726</v>
      </c>
      <c r="Z793" s="165">
        <v>113535003.59</v>
      </c>
      <c r="AA793" s="165">
        <v>32763468.850000001</v>
      </c>
      <c r="AB793" s="165">
        <v>1822185</v>
      </c>
      <c r="AC793" s="165">
        <v>212.75</v>
      </c>
      <c r="AD793" s="165">
        <v>192582711.44</v>
      </c>
      <c r="AE793" s="165">
        <v>905206.63426556985</v>
      </c>
      <c r="AF793" s="166">
        <v>35486328</v>
      </c>
      <c r="AG793" s="124">
        <v>24266353.379999995</v>
      </c>
      <c r="AH793" s="125">
        <v>16.833333333333343</v>
      </c>
      <c r="AI793" s="133">
        <v>0</v>
      </c>
      <c r="AJ793" s="133">
        <v>1</v>
      </c>
      <c r="AK793" s="126">
        <v>0.1</v>
      </c>
      <c r="AL793" s="126">
        <v>5.3641298059810438E-2</v>
      </c>
      <c r="AM793" s="14">
        <v>0</v>
      </c>
      <c r="AN793" s="122">
        <v>-1</v>
      </c>
      <c r="AO793" s="131">
        <v>469699.12384517223</v>
      </c>
      <c r="AP793" s="131">
        <v>533654.54096357233</v>
      </c>
      <c r="AQ793" s="131">
        <v>63955.417118400102</v>
      </c>
      <c r="AR793" s="130">
        <v>0.13616252164754261</v>
      </c>
    </row>
    <row r="794" spans="1:44" ht="28.8" x14ac:dyDescent="0.3">
      <c r="A794" s="136" t="s">
        <v>1065</v>
      </c>
      <c r="B794" s="137" t="s">
        <v>5564</v>
      </c>
      <c r="C794" s="134">
        <v>2020</v>
      </c>
      <c r="D794" s="149" t="s">
        <v>1132</v>
      </c>
      <c r="E794" s="135" t="s">
        <v>1131</v>
      </c>
      <c r="F794" s="384" t="s">
        <v>775</v>
      </c>
      <c r="G794" s="138" t="s">
        <v>4773</v>
      </c>
      <c r="H794" s="138" t="s">
        <v>1454</v>
      </c>
      <c r="I794" s="138" t="s">
        <v>1217</v>
      </c>
      <c r="J794" s="135" t="s">
        <v>4774</v>
      </c>
      <c r="K794" s="164">
        <v>674321654</v>
      </c>
      <c r="L794" s="165">
        <v>495478256</v>
      </c>
      <c r="M794" s="165">
        <v>0</v>
      </c>
      <c r="N794" s="165">
        <v>95608866</v>
      </c>
      <c r="O794" s="165">
        <v>50558325.109999999</v>
      </c>
      <c r="P794" s="165">
        <v>14958991.780000001</v>
      </c>
      <c r="Q794" s="165">
        <v>4032517</v>
      </c>
      <c r="R794" s="165">
        <v>181.58333333333334</v>
      </c>
      <c r="S794" s="165">
        <v>344002097.88999999</v>
      </c>
      <c r="T794" s="165">
        <v>1894458.5473519962</v>
      </c>
      <c r="U794" s="166">
        <v>178843398</v>
      </c>
      <c r="V794" s="168">
        <v>677085956</v>
      </c>
      <c r="W794" s="165">
        <v>488214187</v>
      </c>
      <c r="X794" s="165">
        <v>579875</v>
      </c>
      <c r="Y794" s="165">
        <v>100657633</v>
      </c>
      <c r="Z794" s="165">
        <v>51734007.25</v>
      </c>
      <c r="AA794" s="165">
        <v>15447211.57</v>
      </c>
      <c r="AB794" s="165">
        <v>3822532</v>
      </c>
      <c r="AC794" s="165">
        <v>178.5</v>
      </c>
      <c r="AD794" s="165">
        <v>359953277.81999999</v>
      </c>
      <c r="AE794" s="165">
        <v>2016544.9737815126</v>
      </c>
      <c r="AF794" s="166">
        <v>188291894</v>
      </c>
      <c r="AG794" s="124">
        <v>15951179.930000007</v>
      </c>
      <c r="AH794" s="125">
        <v>-3.0833333333333428</v>
      </c>
      <c r="AI794" s="133">
        <v>0</v>
      </c>
      <c r="AJ794" s="133">
        <v>1</v>
      </c>
      <c r="AK794" s="126">
        <v>0.1</v>
      </c>
      <c r="AL794" s="126">
        <v>6.4443964741271342E-2</v>
      </c>
      <c r="AM794" s="14">
        <v>0</v>
      </c>
      <c r="AN794" s="122">
        <v>-1</v>
      </c>
      <c r="AO794" s="131">
        <v>278430.42740706744</v>
      </c>
      <c r="AP794" s="131">
        <v>289826.37114845938</v>
      </c>
      <c r="AQ794" s="131">
        <v>11395.943741391937</v>
      </c>
      <c r="AR794" s="130">
        <v>4.0929232654342673E-2</v>
      </c>
    </row>
    <row r="795" spans="1:44" ht="28.8" x14ac:dyDescent="0.3">
      <c r="A795" s="136" t="s">
        <v>1066</v>
      </c>
      <c r="B795" s="137" t="s">
        <v>5565</v>
      </c>
      <c r="C795" s="134">
        <v>2020</v>
      </c>
      <c r="D795" s="149" t="s">
        <v>1132</v>
      </c>
      <c r="E795" s="135" t="s">
        <v>1131</v>
      </c>
      <c r="F795" s="384" t="s">
        <v>775</v>
      </c>
      <c r="G795" s="138" t="s">
        <v>4796</v>
      </c>
      <c r="H795" s="138" t="s">
        <v>1796</v>
      </c>
      <c r="I795" s="138" t="s">
        <v>1566</v>
      </c>
      <c r="J795" s="135" t="s">
        <v>4778</v>
      </c>
      <c r="K795" s="164">
        <v>3046127487</v>
      </c>
      <c r="L795" s="165">
        <v>2275471512</v>
      </c>
      <c r="M795" s="165">
        <v>682539073</v>
      </c>
      <c r="N795" s="165">
        <v>63451434</v>
      </c>
      <c r="O795" s="165">
        <v>523598932.67999995</v>
      </c>
      <c r="P795" s="165">
        <v>155150936.72</v>
      </c>
      <c r="Q795" s="165">
        <v>4386292</v>
      </c>
      <c r="R795" s="165">
        <v>1451.8333333333333</v>
      </c>
      <c r="S795" s="165">
        <v>834704497.39999998</v>
      </c>
      <c r="T795" s="165">
        <v>574931.34937435423</v>
      </c>
      <c r="U795" s="166">
        <v>88116902</v>
      </c>
      <c r="V795" s="168">
        <v>3719699737</v>
      </c>
      <c r="W795" s="165">
        <v>2943124938</v>
      </c>
      <c r="X795" s="165">
        <v>774635850</v>
      </c>
      <c r="Y795" s="165">
        <v>60201641</v>
      </c>
      <c r="Z795" s="165">
        <v>579895575.93999994</v>
      </c>
      <c r="AA795" s="165">
        <v>172403417.27999997</v>
      </c>
      <c r="AB795" s="165">
        <v>4302811</v>
      </c>
      <c r="AC795" s="165">
        <v>1366.9166666666667</v>
      </c>
      <c r="AD795" s="165">
        <v>818742394.21999991</v>
      </c>
      <c r="AE795" s="165">
        <v>598970.23292324564</v>
      </c>
      <c r="AF795" s="166">
        <v>1938949</v>
      </c>
      <c r="AG795" s="124">
        <v>-15962103.180000067</v>
      </c>
      <c r="AH795" s="125">
        <v>-84.916666666666515</v>
      </c>
      <c r="AI795" s="133">
        <v>0</v>
      </c>
      <c r="AJ795" s="133">
        <v>0</v>
      </c>
      <c r="AK795" s="126">
        <v>0.05</v>
      </c>
      <c r="AL795" s="126">
        <v>4.1811739784236801E-2</v>
      </c>
      <c r="AM795" s="14">
        <v>0</v>
      </c>
      <c r="AN795" s="122">
        <v>-1</v>
      </c>
      <c r="AO795" s="131">
        <v>360646.72208472044</v>
      </c>
      <c r="AP795" s="131">
        <v>424236.23186490271</v>
      </c>
      <c r="AQ795" s="131">
        <v>63589.50978018227</v>
      </c>
      <c r="AR795" s="130">
        <v>0.17632077566822946</v>
      </c>
    </row>
    <row r="796" spans="1:44" ht="28.8" x14ac:dyDescent="0.3">
      <c r="A796" s="136" t="s">
        <v>1067</v>
      </c>
      <c r="B796" s="137" t="s">
        <v>5566</v>
      </c>
      <c r="C796" s="134">
        <v>2020</v>
      </c>
      <c r="D796" s="149" t="s">
        <v>1132</v>
      </c>
      <c r="E796" s="135" t="s">
        <v>1131</v>
      </c>
      <c r="F796" s="384" t="s">
        <v>367</v>
      </c>
      <c r="G796" s="138" t="s">
        <v>4773</v>
      </c>
      <c r="H796" s="138" t="s">
        <v>3227</v>
      </c>
      <c r="I796" s="138" t="s">
        <v>1566</v>
      </c>
      <c r="J796" s="135" t="s">
        <v>4774</v>
      </c>
      <c r="K796" s="164">
        <v>1614633599</v>
      </c>
      <c r="L796" s="165">
        <v>1224265935</v>
      </c>
      <c r="M796" s="165">
        <v>446274274</v>
      </c>
      <c r="N796" s="165">
        <v>7728727</v>
      </c>
      <c r="O796" s="165">
        <v>154223026.69999999</v>
      </c>
      <c r="P796" s="165">
        <v>45884697.63000001</v>
      </c>
      <c r="Q796" s="165">
        <v>43068</v>
      </c>
      <c r="R796" s="165">
        <v>460.16666666666669</v>
      </c>
      <c r="S796" s="165">
        <v>151972909.32999998</v>
      </c>
      <c r="T796" s="165">
        <v>330256.23179282865</v>
      </c>
      <c r="U796" s="166">
        <v>-55906610</v>
      </c>
      <c r="V796" s="168">
        <v>1499537368</v>
      </c>
      <c r="W796" s="165">
        <v>1215930102</v>
      </c>
      <c r="X796" s="165">
        <v>505748783</v>
      </c>
      <c r="Y796" s="165">
        <v>11005802</v>
      </c>
      <c r="Z796" s="165">
        <v>201776250.69</v>
      </c>
      <c r="AA796" s="165">
        <v>59004974.210000001</v>
      </c>
      <c r="AB796" s="165">
        <v>0</v>
      </c>
      <c r="AC796" s="165">
        <v>499.66666666666669</v>
      </c>
      <c r="AD796" s="165">
        <v>49645509.899999999</v>
      </c>
      <c r="AE796" s="165">
        <v>99357.257971981307</v>
      </c>
      <c r="AF796" s="166">
        <v>-222141517</v>
      </c>
      <c r="AG796" s="124">
        <v>-102327399.42999998</v>
      </c>
      <c r="AH796" s="125">
        <v>39.5</v>
      </c>
      <c r="AI796" s="133">
        <v>0</v>
      </c>
      <c r="AJ796" s="133">
        <v>0</v>
      </c>
      <c r="AK796" s="126">
        <v>0.1</v>
      </c>
      <c r="AL796" s="126">
        <v>-0.69915098952107579</v>
      </c>
      <c r="AM796" s="122">
        <v>0</v>
      </c>
      <c r="AN796" s="122">
        <v>-1</v>
      </c>
      <c r="AO796" s="131">
        <v>335146.01963056857</v>
      </c>
      <c r="AP796" s="131">
        <v>403821.71585723816</v>
      </c>
      <c r="AQ796" s="131">
        <v>68675.696226669592</v>
      </c>
      <c r="AR796" s="130">
        <v>0.20491276101793132</v>
      </c>
    </row>
    <row r="797" spans="1:44" ht="57.6" x14ac:dyDescent="0.3">
      <c r="A797" s="136" t="s">
        <v>1068</v>
      </c>
      <c r="B797" s="137" t="s">
        <v>5567</v>
      </c>
      <c r="C797" s="134">
        <v>2019</v>
      </c>
      <c r="D797" s="149" t="s">
        <v>4772</v>
      </c>
      <c r="E797" s="135" t="s">
        <v>1152</v>
      </c>
      <c r="F797" s="384" t="s">
        <v>775</v>
      </c>
      <c r="G797" s="138" t="s">
        <v>4773</v>
      </c>
      <c r="H797" s="138" t="s">
        <v>2900</v>
      </c>
      <c r="I797" s="138" t="s">
        <v>1566</v>
      </c>
      <c r="J797" s="135" t="s">
        <v>4778</v>
      </c>
      <c r="K797" s="164">
        <v>735055584</v>
      </c>
      <c r="L797" s="165">
        <v>398822344</v>
      </c>
      <c r="M797" s="165">
        <v>213545617</v>
      </c>
      <c r="N797" s="165">
        <v>13182510</v>
      </c>
      <c r="O797" s="165">
        <v>118003022</v>
      </c>
      <c r="P797" s="165">
        <v>31426178</v>
      </c>
      <c r="Q797" s="165">
        <v>1011003</v>
      </c>
      <c r="R797" s="165">
        <v>159.83333333333334</v>
      </c>
      <c r="S797" s="165">
        <v>286310336</v>
      </c>
      <c r="T797" s="165">
        <v>1791305.5432742438</v>
      </c>
      <c r="U797" s="166">
        <v>122687623</v>
      </c>
      <c r="V797" s="168">
        <v>442444196</v>
      </c>
      <c r="W797" s="165">
        <v>241154922</v>
      </c>
      <c r="X797" s="165">
        <v>174571246</v>
      </c>
      <c r="Y797" s="165">
        <v>17655757</v>
      </c>
      <c r="Z797" s="165">
        <v>97055644</v>
      </c>
      <c r="AA797" s="165">
        <v>28500954</v>
      </c>
      <c r="AB797" s="165">
        <v>975178</v>
      </c>
      <c r="AC797" s="165">
        <v>144.66666666666666</v>
      </c>
      <c r="AD797" s="165">
        <v>170905561</v>
      </c>
      <c r="AE797" s="165">
        <v>1181374.84562212</v>
      </c>
      <c r="AF797" s="166">
        <v>26718028</v>
      </c>
      <c r="AG797" s="124">
        <v>-115404775</v>
      </c>
      <c r="AH797" s="125">
        <v>-15.166666666666686</v>
      </c>
      <c r="AI797" s="133">
        <v>0</v>
      </c>
      <c r="AJ797" s="133">
        <v>0</v>
      </c>
      <c r="AK797" s="126">
        <v>0.15</v>
      </c>
      <c r="AL797" s="186">
        <v>-0.34049506149576247</v>
      </c>
      <c r="AM797" s="14">
        <v>0</v>
      </c>
      <c r="AN797" s="153">
        <v>-1</v>
      </c>
      <c r="AO797" s="131">
        <v>738287.93743482791</v>
      </c>
      <c r="AP797" s="131">
        <v>670891.54838709685</v>
      </c>
      <c r="AQ797" s="131">
        <v>-67396.389047731063</v>
      </c>
      <c r="AR797" s="130">
        <v>-9.1287403776227127E-2</v>
      </c>
    </row>
    <row r="798" spans="1:44" ht="28.8" x14ac:dyDescent="0.3">
      <c r="A798" s="136" t="s">
        <v>1069</v>
      </c>
      <c r="B798" s="137" t="s">
        <v>5568</v>
      </c>
      <c r="C798" s="134">
        <v>2019</v>
      </c>
      <c r="D798" s="149" t="s">
        <v>4772</v>
      </c>
      <c r="E798" s="135" t="s">
        <v>1152</v>
      </c>
      <c r="F798" s="384" t="s">
        <v>775</v>
      </c>
      <c r="G798" s="138" t="s">
        <v>4773</v>
      </c>
      <c r="H798" s="138" t="s">
        <v>2717</v>
      </c>
      <c r="I798" s="138" t="s">
        <v>1566</v>
      </c>
      <c r="J798" s="135" t="s">
        <v>4774</v>
      </c>
      <c r="K798" s="164">
        <v>825276735</v>
      </c>
      <c r="L798" s="165">
        <v>747105780</v>
      </c>
      <c r="M798" s="165">
        <v>58440735</v>
      </c>
      <c r="N798" s="165">
        <v>2066145</v>
      </c>
      <c r="O798" s="165">
        <v>14647611</v>
      </c>
      <c r="P798" s="165">
        <v>3983905</v>
      </c>
      <c r="Q798" s="165">
        <v>0</v>
      </c>
      <c r="R798" s="165">
        <v>60.666666666666664</v>
      </c>
      <c r="S798" s="165">
        <v>40427881</v>
      </c>
      <c r="T798" s="165">
        <v>666393.64285714284</v>
      </c>
      <c r="U798" s="166">
        <v>19730220</v>
      </c>
      <c r="V798" s="168">
        <v>897138214</v>
      </c>
      <c r="W798" s="165">
        <v>730806750</v>
      </c>
      <c r="X798" s="165">
        <v>109117233</v>
      </c>
      <c r="Y798" s="165">
        <v>2595615</v>
      </c>
      <c r="Z798" s="165">
        <v>62136041</v>
      </c>
      <c r="AA798" s="165">
        <v>11028569</v>
      </c>
      <c r="AB798" s="165">
        <v>0</v>
      </c>
      <c r="AC798" s="165">
        <v>101.33333333333333</v>
      </c>
      <c r="AD798" s="165">
        <v>132974456</v>
      </c>
      <c r="AE798" s="165">
        <v>1312247.9210526317</v>
      </c>
      <c r="AF798" s="166">
        <v>57214231</v>
      </c>
      <c r="AG798" s="124">
        <v>92546575</v>
      </c>
      <c r="AH798" s="125">
        <v>40.666666666666664</v>
      </c>
      <c r="AI798" s="133">
        <v>1</v>
      </c>
      <c r="AJ798" s="133">
        <v>0</v>
      </c>
      <c r="AK798" s="126">
        <v>0.15</v>
      </c>
      <c r="AL798" s="186">
        <v>0.96917833729625613</v>
      </c>
      <c r="AM798" s="14">
        <v>1</v>
      </c>
      <c r="AN798" s="153">
        <v>0</v>
      </c>
      <c r="AO798" s="131">
        <v>241444.13736263738</v>
      </c>
      <c r="AP798" s="131">
        <v>613184.61513157899</v>
      </c>
      <c r="AQ798" s="131">
        <v>371740.47776894161</v>
      </c>
      <c r="AR798" s="130">
        <v>1.5396541901144007</v>
      </c>
    </row>
    <row r="799" spans="1:44" ht="57.6" x14ac:dyDescent="0.3">
      <c r="A799" s="136" t="s">
        <v>1070</v>
      </c>
      <c r="B799" s="137" t="s">
        <v>5569</v>
      </c>
      <c r="C799" s="134">
        <v>2019</v>
      </c>
      <c r="D799" s="149" t="s">
        <v>1181</v>
      </c>
      <c r="E799" s="135" t="s">
        <v>1175</v>
      </c>
      <c r="F799" s="384" t="s">
        <v>404</v>
      </c>
      <c r="G799" s="138" t="s">
        <v>4773</v>
      </c>
      <c r="H799" s="138" t="s">
        <v>3569</v>
      </c>
      <c r="I799" s="138" t="s">
        <v>3557</v>
      </c>
      <c r="J799" s="135" t="s">
        <v>4778</v>
      </c>
      <c r="K799" s="164">
        <v>673645044</v>
      </c>
      <c r="L799" s="165">
        <v>470153793</v>
      </c>
      <c r="M799" s="165">
        <v>180998859</v>
      </c>
      <c r="N799" s="165">
        <v>11700078</v>
      </c>
      <c r="O799" s="165">
        <v>89519967</v>
      </c>
      <c r="P799" s="165">
        <v>23947662</v>
      </c>
      <c r="Q799" s="165">
        <v>624357</v>
      </c>
      <c r="R799" s="165">
        <v>381.58333333333331</v>
      </c>
      <c r="S799" s="165">
        <v>148284456</v>
      </c>
      <c r="T799" s="165">
        <v>388603.07316007867</v>
      </c>
      <c r="U799" s="166">
        <v>22492392</v>
      </c>
      <c r="V799" s="168">
        <v>1655519549</v>
      </c>
      <c r="W799" s="165">
        <v>1148986108</v>
      </c>
      <c r="X799" s="165">
        <v>502362270</v>
      </c>
      <c r="Y799" s="165">
        <v>34224348</v>
      </c>
      <c r="Z799" s="165">
        <v>284558614.58000004</v>
      </c>
      <c r="AA799" s="165">
        <v>81976266.539999992</v>
      </c>
      <c r="AB799" s="165">
        <v>485086</v>
      </c>
      <c r="AC799" s="165">
        <v>445.16666666666669</v>
      </c>
      <c r="AD799" s="165">
        <v>405415486.12</v>
      </c>
      <c r="AE799" s="165">
        <v>910704.94822912768</v>
      </c>
      <c r="AF799" s="166">
        <v>4171171</v>
      </c>
      <c r="AG799" s="124">
        <v>257131030.12</v>
      </c>
      <c r="AH799" s="125">
        <v>63.583333333333371</v>
      </c>
      <c r="AI799" s="133">
        <v>1</v>
      </c>
      <c r="AJ799" s="133">
        <v>0</v>
      </c>
      <c r="AK799" s="126">
        <v>0.15</v>
      </c>
      <c r="AL799" s="186">
        <v>1.3435351398536297</v>
      </c>
      <c r="AM799" s="14">
        <v>1</v>
      </c>
      <c r="AN799" s="153">
        <v>0</v>
      </c>
      <c r="AO799" s="131">
        <v>234601.35488097838</v>
      </c>
      <c r="AP799" s="131">
        <v>639218.15330587805</v>
      </c>
      <c r="AQ799" s="131">
        <v>404616.79842489969</v>
      </c>
      <c r="AR799" s="130">
        <v>1.7246993250749818</v>
      </c>
    </row>
    <row r="800" spans="1:44" ht="28.8" x14ac:dyDescent="0.3">
      <c r="A800" s="136" t="s">
        <v>1071</v>
      </c>
      <c r="B800" s="137" t="s">
        <v>5570</v>
      </c>
      <c r="C800" s="134">
        <v>2020</v>
      </c>
      <c r="D800" s="149" t="s">
        <v>1181</v>
      </c>
      <c r="E800" s="135" t="s">
        <v>1175</v>
      </c>
      <c r="F800" s="384" t="s">
        <v>404</v>
      </c>
      <c r="G800" s="138" t="s">
        <v>4796</v>
      </c>
      <c r="H800" s="138" t="s">
        <v>4491</v>
      </c>
      <c r="I800" s="138" t="s">
        <v>4255</v>
      </c>
      <c r="J800" s="135" t="s">
        <v>4778</v>
      </c>
      <c r="K800" s="164">
        <v>1131817960</v>
      </c>
      <c r="L800" s="165">
        <v>946973858</v>
      </c>
      <c r="M800" s="165">
        <v>124404067</v>
      </c>
      <c r="N800" s="165">
        <v>38693637</v>
      </c>
      <c r="O800" s="165">
        <v>199471576.14999998</v>
      </c>
      <c r="P800" s="165">
        <v>63935627.979999989</v>
      </c>
      <c r="Q800" s="165">
        <v>168275</v>
      </c>
      <c r="R800" s="165">
        <v>441.5</v>
      </c>
      <c r="S800" s="165">
        <v>362709151.13</v>
      </c>
      <c r="T800" s="165">
        <v>821538.28115515283</v>
      </c>
      <c r="U800" s="166">
        <v>60440035</v>
      </c>
      <c r="V800" s="168">
        <v>1309141977</v>
      </c>
      <c r="W800" s="165">
        <v>1130193538</v>
      </c>
      <c r="X800" s="165">
        <v>135645097</v>
      </c>
      <c r="Y800" s="165">
        <v>41970284</v>
      </c>
      <c r="Z800" s="165">
        <v>238102669.08000001</v>
      </c>
      <c r="AA800" s="165">
        <v>63748824.130000003</v>
      </c>
      <c r="AB800" s="165">
        <v>324882</v>
      </c>
      <c r="AC800" s="165">
        <v>404.66666666666669</v>
      </c>
      <c r="AD800" s="165">
        <v>387450001.21000004</v>
      </c>
      <c r="AE800" s="165">
        <v>957454.69821252069</v>
      </c>
      <c r="AF800" s="166">
        <v>43303342</v>
      </c>
      <c r="AG800" s="124">
        <v>24740850.080000043</v>
      </c>
      <c r="AH800" s="125">
        <v>-36.833333333333314</v>
      </c>
      <c r="AI800" s="133">
        <v>1</v>
      </c>
      <c r="AJ800" s="133">
        <v>1</v>
      </c>
      <c r="AK800" s="126">
        <v>0.05</v>
      </c>
      <c r="AL800" s="186">
        <v>0.16544137176419826</v>
      </c>
      <c r="AM800" s="14">
        <v>1</v>
      </c>
      <c r="AN800" s="153">
        <v>0</v>
      </c>
      <c r="AO800" s="131">
        <v>451804.24949037365</v>
      </c>
      <c r="AP800" s="131">
        <v>588392.09822075779</v>
      </c>
      <c r="AQ800" s="131">
        <v>136587.84873038414</v>
      </c>
      <c r="AR800" s="130">
        <v>0.30231643213726422</v>
      </c>
    </row>
    <row r="801" spans="1:44" ht="28.8" x14ac:dyDescent="0.3">
      <c r="A801" s="136" t="s">
        <v>1072</v>
      </c>
      <c r="B801" s="137" t="s">
        <v>5571</v>
      </c>
      <c r="C801" s="134">
        <v>2020</v>
      </c>
      <c r="D801" s="149" t="s">
        <v>1181</v>
      </c>
      <c r="E801" s="135" t="s">
        <v>1175</v>
      </c>
      <c r="F801" s="384" t="s">
        <v>404</v>
      </c>
      <c r="G801" s="138" t="s">
        <v>4773</v>
      </c>
      <c r="H801" s="138" t="s">
        <v>4288</v>
      </c>
      <c r="I801" s="138" t="s">
        <v>4255</v>
      </c>
      <c r="J801" s="135" t="s">
        <v>4780</v>
      </c>
      <c r="K801" s="164">
        <v>658693062</v>
      </c>
      <c r="L801" s="165">
        <v>754247276</v>
      </c>
      <c r="M801" s="165">
        <v>0</v>
      </c>
      <c r="N801" s="165">
        <v>0</v>
      </c>
      <c r="O801" s="165">
        <v>332326520</v>
      </c>
      <c r="P801" s="165">
        <v>98341754</v>
      </c>
      <c r="Q801" s="165">
        <v>177042</v>
      </c>
      <c r="R801" s="165">
        <v>733.83333333333337</v>
      </c>
      <c r="S801" s="165">
        <v>335291102</v>
      </c>
      <c r="T801" s="165">
        <v>456903.61389961385</v>
      </c>
      <c r="U801" s="166">
        <v>-95554214</v>
      </c>
      <c r="V801" s="168">
        <v>774676516</v>
      </c>
      <c r="W801" s="165">
        <v>854778632</v>
      </c>
      <c r="X801" s="165">
        <v>0</v>
      </c>
      <c r="Y801" s="165">
        <v>0</v>
      </c>
      <c r="Z801" s="165">
        <v>379025520.77999997</v>
      </c>
      <c r="AA801" s="165">
        <v>120076353.64999999</v>
      </c>
      <c r="AB801" s="165">
        <v>165360</v>
      </c>
      <c r="AC801" s="165">
        <v>697.66666666666663</v>
      </c>
      <c r="AD801" s="165">
        <v>419165118.42999995</v>
      </c>
      <c r="AE801" s="165">
        <v>600810.01208313426</v>
      </c>
      <c r="AF801" s="166">
        <v>-80102116</v>
      </c>
      <c r="AG801" s="124">
        <v>83874016.429999948</v>
      </c>
      <c r="AH801" s="125">
        <v>-36.166666666666742</v>
      </c>
      <c r="AI801" s="133">
        <v>1</v>
      </c>
      <c r="AJ801" s="133">
        <v>1</v>
      </c>
      <c r="AK801" s="126">
        <v>0.1</v>
      </c>
      <c r="AL801" s="126">
        <v>0.31496008534491549</v>
      </c>
      <c r="AM801" s="187">
        <v>1</v>
      </c>
      <c r="AN801" s="122">
        <v>0</v>
      </c>
      <c r="AO801" s="131">
        <v>452863.75652963883</v>
      </c>
      <c r="AP801" s="131">
        <v>543275.94951743912</v>
      </c>
      <c r="AQ801" s="131">
        <v>90412.192987800285</v>
      </c>
      <c r="AR801" s="130">
        <v>0.19964545999583216</v>
      </c>
    </row>
    <row r="802" spans="1:44" ht="28.8" x14ac:dyDescent="0.3">
      <c r="A802" s="136" t="s">
        <v>1073</v>
      </c>
      <c r="B802" s="137" t="s">
        <v>5572</v>
      </c>
      <c r="C802" s="134">
        <v>2019</v>
      </c>
      <c r="D802" s="149" t="s">
        <v>1181</v>
      </c>
      <c r="E802" s="135" t="s">
        <v>1175</v>
      </c>
      <c r="F802" s="384" t="s">
        <v>404</v>
      </c>
      <c r="G802" s="138" t="s">
        <v>4773</v>
      </c>
      <c r="H802" s="138" t="s">
        <v>1748</v>
      </c>
      <c r="I802" s="138" t="s">
        <v>1566</v>
      </c>
      <c r="J802" s="135" t="s">
        <v>4778</v>
      </c>
      <c r="K802" s="164">
        <v>676854731</v>
      </c>
      <c r="L802" s="165">
        <v>430478756</v>
      </c>
      <c r="M802" s="165">
        <v>195008210</v>
      </c>
      <c r="N802" s="165">
        <v>8701999</v>
      </c>
      <c r="O802" s="165">
        <v>138147068</v>
      </c>
      <c r="P802" s="165">
        <v>34945856</v>
      </c>
      <c r="Q802" s="165">
        <v>1239391</v>
      </c>
      <c r="R802" s="165">
        <v>391.75</v>
      </c>
      <c r="S802" s="165">
        <v>234402079</v>
      </c>
      <c r="T802" s="165">
        <v>598346.08551372052</v>
      </c>
      <c r="U802" s="166">
        <v>51367765</v>
      </c>
      <c r="V802" s="168">
        <v>599247302</v>
      </c>
      <c r="W802" s="165">
        <v>387073196</v>
      </c>
      <c r="X802" s="165">
        <v>170585273</v>
      </c>
      <c r="Y802" s="165">
        <v>8655975</v>
      </c>
      <c r="Z802" s="165">
        <v>115565150.42</v>
      </c>
      <c r="AA802" s="165">
        <v>32704507.259999998</v>
      </c>
      <c r="AB802" s="165">
        <v>1148498</v>
      </c>
      <c r="AC802" s="165">
        <v>249</v>
      </c>
      <c r="AD802" s="165">
        <v>199662963.68000001</v>
      </c>
      <c r="AE802" s="165">
        <v>801859.29188755027</v>
      </c>
      <c r="AF802" s="166">
        <v>41588833</v>
      </c>
      <c r="AG802" s="124">
        <v>-34739115.319999993</v>
      </c>
      <c r="AH802" s="125">
        <v>-142.75</v>
      </c>
      <c r="AI802" s="133">
        <v>1</v>
      </c>
      <c r="AJ802" s="133">
        <v>1</v>
      </c>
      <c r="AK802" s="126">
        <v>0.15</v>
      </c>
      <c r="AL802" s="126">
        <v>0.34012623028922961</v>
      </c>
      <c r="AM802" s="14">
        <v>1</v>
      </c>
      <c r="AN802" s="122">
        <v>0</v>
      </c>
      <c r="AO802" s="131">
        <v>352640.88832163368</v>
      </c>
      <c r="AP802" s="131">
        <v>464117.06995983934</v>
      </c>
      <c r="AQ802" s="131">
        <v>111476.18163820566</v>
      </c>
      <c r="AR802" s="130">
        <v>0.31611813981290626</v>
      </c>
    </row>
    <row r="803" spans="1:44" ht="28.8" x14ac:dyDescent="0.3">
      <c r="A803" s="136" t="s">
        <v>1074</v>
      </c>
      <c r="B803" s="137" t="s">
        <v>5573</v>
      </c>
      <c r="C803" s="134">
        <v>2020</v>
      </c>
      <c r="D803" s="149" t="s">
        <v>1181</v>
      </c>
      <c r="E803" s="135" t="s">
        <v>1175</v>
      </c>
      <c r="F803" s="384" t="s">
        <v>404</v>
      </c>
      <c r="G803" s="138" t="s">
        <v>4796</v>
      </c>
      <c r="H803" s="138" t="s">
        <v>2734</v>
      </c>
      <c r="I803" s="138" t="s">
        <v>1566</v>
      </c>
      <c r="J803" s="135" t="s">
        <v>4774</v>
      </c>
      <c r="K803" s="164">
        <v>712810176</v>
      </c>
      <c r="L803" s="165">
        <v>705578365</v>
      </c>
      <c r="M803" s="165">
        <v>137798369</v>
      </c>
      <c r="N803" s="165">
        <v>16258273</v>
      </c>
      <c r="O803" s="165">
        <v>388164456</v>
      </c>
      <c r="P803" s="165">
        <v>101886458</v>
      </c>
      <c r="Q803" s="165">
        <v>240887</v>
      </c>
      <c r="R803" s="165">
        <v>554.16666666666663</v>
      </c>
      <c r="S803" s="165">
        <v>375983516</v>
      </c>
      <c r="T803" s="165">
        <v>678466.495037594</v>
      </c>
      <c r="U803" s="166">
        <v>-130566558</v>
      </c>
      <c r="V803" s="168">
        <v>1013897550</v>
      </c>
      <c r="W803" s="165">
        <v>894447328</v>
      </c>
      <c r="X803" s="165">
        <v>101188224</v>
      </c>
      <c r="Y803" s="165">
        <v>13159735</v>
      </c>
      <c r="Z803" s="165">
        <v>347920858.80000001</v>
      </c>
      <c r="AA803" s="165">
        <v>102340843.98999999</v>
      </c>
      <c r="AB803" s="165">
        <v>210343</v>
      </c>
      <c r="AC803" s="165">
        <v>521.25</v>
      </c>
      <c r="AD803" s="165">
        <v>481893778.79000002</v>
      </c>
      <c r="AE803" s="165">
        <v>924496.45811031177</v>
      </c>
      <c r="AF803" s="166">
        <v>18261998</v>
      </c>
      <c r="AG803" s="124">
        <v>105910262.79000002</v>
      </c>
      <c r="AH803" s="125">
        <v>-32.916666666666629</v>
      </c>
      <c r="AI803" s="133">
        <v>1</v>
      </c>
      <c r="AJ803" s="133">
        <v>1</v>
      </c>
      <c r="AK803" s="126">
        <v>0.05</v>
      </c>
      <c r="AL803" s="126">
        <v>0.36262654088300605</v>
      </c>
      <c r="AM803" s="14">
        <v>1</v>
      </c>
      <c r="AN803" s="122">
        <v>0</v>
      </c>
      <c r="AO803" s="131">
        <v>700447.1386466166</v>
      </c>
      <c r="AP803" s="131">
        <v>667474.06964028778</v>
      </c>
      <c r="AQ803" s="131">
        <v>-32973.06900632882</v>
      </c>
      <c r="AR803" s="130">
        <v>-4.7074314658545724E-2</v>
      </c>
    </row>
    <row r="804" spans="1:44" ht="28.8" x14ac:dyDescent="0.3">
      <c r="A804" s="136" t="s">
        <v>1075</v>
      </c>
      <c r="B804" s="137" t="s">
        <v>5574</v>
      </c>
      <c r="C804" s="134">
        <v>2019</v>
      </c>
      <c r="D804" s="149" t="s">
        <v>1181</v>
      </c>
      <c r="E804" s="135" t="s">
        <v>1175</v>
      </c>
      <c r="F804" s="384" t="s">
        <v>272</v>
      </c>
      <c r="G804" s="138" t="s">
        <v>4773</v>
      </c>
      <c r="H804" s="138" t="s">
        <v>2717</v>
      </c>
      <c r="I804" s="138" t="s">
        <v>1566</v>
      </c>
      <c r="J804" s="135" t="s">
        <v>4774</v>
      </c>
      <c r="K804" s="164">
        <v>1064998274</v>
      </c>
      <c r="L804" s="165">
        <v>820600592</v>
      </c>
      <c r="M804" s="165">
        <v>170324217</v>
      </c>
      <c r="N804" s="165">
        <v>10533364</v>
      </c>
      <c r="O804" s="165">
        <v>33468429</v>
      </c>
      <c r="P804" s="165">
        <v>9350344</v>
      </c>
      <c r="Q804" s="165">
        <v>2034808</v>
      </c>
      <c r="R804" s="165">
        <v>104</v>
      </c>
      <c r="S804" s="165">
        <v>129460410</v>
      </c>
      <c r="T804" s="165">
        <v>1244811.6346153845</v>
      </c>
      <c r="U804" s="166">
        <v>74073465</v>
      </c>
      <c r="V804" s="168">
        <v>1592494146</v>
      </c>
      <c r="W804" s="165">
        <v>1229879905</v>
      </c>
      <c r="X804" s="165">
        <v>223085604</v>
      </c>
      <c r="Y804" s="165">
        <v>12021766</v>
      </c>
      <c r="Z804" s="165">
        <v>40003624.75</v>
      </c>
      <c r="AA804" s="165">
        <v>8499666.1499999985</v>
      </c>
      <c r="AB804" s="165">
        <v>1949029</v>
      </c>
      <c r="AC804" s="165">
        <v>112.75</v>
      </c>
      <c r="AD804" s="165">
        <v>202002722.90000001</v>
      </c>
      <c r="AE804" s="165">
        <v>1791598.4292682928</v>
      </c>
      <c r="AF804" s="166">
        <v>139528637</v>
      </c>
      <c r="AG804" s="124">
        <v>72542312.900000006</v>
      </c>
      <c r="AH804" s="125">
        <v>8.75</v>
      </c>
      <c r="AI804" s="133">
        <v>1</v>
      </c>
      <c r="AJ804" s="133">
        <v>0</v>
      </c>
      <c r="AK804" s="126">
        <v>0.15</v>
      </c>
      <c r="AL804" s="126">
        <v>0.43925264419324228</v>
      </c>
      <c r="AM804" s="14">
        <v>1</v>
      </c>
      <c r="AN804" s="122">
        <v>0</v>
      </c>
      <c r="AO804" s="131">
        <v>321811.81730769231</v>
      </c>
      <c r="AP804" s="131">
        <v>354799.33259423502</v>
      </c>
      <c r="AQ804" s="131">
        <v>32987.515286542708</v>
      </c>
      <c r="AR804" s="130">
        <v>0.10250560579943691</v>
      </c>
    </row>
    <row r="805" spans="1:44" ht="57.6" x14ac:dyDescent="0.3">
      <c r="A805" s="136" t="s">
        <v>1076</v>
      </c>
      <c r="B805" s="137" t="s">
        <v>5575</v>
      </c>
      <c r="C805" s="134">
        <v>2020</v>
      </c>
      <c r="D805" s="149" t="s">
        <v>1181</v>
      </c>
      <c r="E805" s="135" t="s">
        <v>1175</v>
      </c>
      <c r="F805" s="384" t="s">
        <v>399</v>
      </c>
      <c r="G805" s="138" t="s">
        <v>4773</v>
      </c>
      <c r="H805" s="138" t="s">
        <v>4286</v>
      </c>
      <c r="I805" s="138" t="s">
        <v>4255</v>
      </c>
      <c r="J805" s="135" t="s">
        <v>4780</v>
      </c>
      <c r="K805" s="164">
        <v>542328241</v>
      </c>
      <c r="L805" s="165">
        <v>627050943</v>
      </c>
      <c r="M805" s="165">
        <v>16732</v>
      </c>
      <c r="N805" s="165">
        <v>11012093</v>
      </c>
      <c r="O805" s="165">
        <v>274694737</v>
      </c>
      <c r="P805" s="165">
        <v>81308454</v>
      </c>
      <c r="Q805" s="165">
        <v>16732</v>
      </c>
      <c r="R805" s="165">
        <v>624.75</v>
      </c>
      <c r="S805" s="165">
        <v>282292582</v>
      </c>
      <c r="T805" s="165">
        <v>451848.87074829935</v>
      </c>
      <c r="U805" s="166">
        <v>-84739434</v>
      </c>
      <c r="V805" s="168">
        <v>650047633</v>
      </c>
      <c r="W805" s="165">
        <v>737707304</v>
      </c>
      <c r="X805" s="165">
        <v>14763</v>
      </c>
      <c r="Y805" s="165">
        <v>10885722</v>
      </c>
      <c r="Z805" s="165">
        <v>310638166.17000002</v>
      </c>
      <c r="AA805" s="165">
        <v>98356599.75</v>
      </c>
      <c r="AB805" s="165">
        <v>14763</v>
      </c>
      <c r="AC805" s="165">
        <v>597</v>
      </c>
      <c r="AD805" s="165">
        <v>332220816.92000002</v>
      </c>
      <c r="AE805" s="165">
        <v>556483.78043551091</v>
      </c>
      <c r="AF805" s="166">
        <v>-87674434</v>
      </c>
      <c r="AG805" s="124">
        <v>49928234.920000017</v>
      </c>
      <c r="AH805" s="125">
        <v>-27.75</v>
      </c>
      <c r="AI805" s="133">
        <v>1</v>
      </c>
      <c r="AJ805" s="133">
        <v>1</v>
      </c>
      <c r="AK805" s="126">
        <v>0.1</v>
      </c>
      <c r="AL805" s="126">
        <v>0.23157059129084478</v>
      </c>
      <c r="AM805" s="122">
        <v>1</v>
      </c>
      <c r="AN805" s="122">
        <v>0</v>
      </c>
      <c r="AO805" s="131">
        <v>439687.45418167266</v>
      </c>
      <c r="AP805" s="131">
        <v>520331.93663316587</v>
      </c>
      <c r="AQ805" s="131">
        <v>80644.482451493212</v>
      </c>
      <c r="AR805" s="130">
        <v>0.18341319881774942</v>
      </c>
    </row>
    <row r="806" spans="1:44" ht="57.6" x14ac:dyDescent="0.3">
      <c r="A806" s="136" t="s">
        <v>1077</v>
      </c>
      <c r="B806" s="137" t="s">
        <v>5576</v>
      </c>
      <c r="C806" s="134">
        <v>2019</v>
      </c>
      <c r="D806" s="149" t="s">
        <v>1155</v>
      </c>
      <c r="E806" s="135" t="s">
        <v>1152</v>
      </c>
      <c r="F806" s="384" t="s">
        <v>1078</v>
      </c>
      <c r="G806" s="138" t="s">
        <v>4773</v>
      </c>
      <c r="H806" s="138" t="s">
        <v>3539</v>
      </c>
      <c r="I806" s="138" t="s">
        <v>1566</v>
      </c>
      <c r="J806" s="135" t="s">
        <v>4774</v>
      </c>
      <c r="K806" s="164">
        <v>618125027</v>
      </c>
      <c r="L806" s="165">
        <v>390736251</v>
      </c>
      <c r="M806" s="165">
        <v>337135735</v>
      </c>
      <c r="N806" s="165">
        <v>3423109</v>
      </c>
      <c r="O806" s="165">
        <v>187189514</v>
      </c>
      <c r="P806" s="165">
        <v>50131101</v>
      </c>
      <c r="Q806" s="165">
        <v>0</v>
      </c>
      <c r="R806" s="165">
        <v>505.75</v>
      </c>
      <c r="S806" s="165">
        <v>130996765</v>
      </c>
      <c r="T806" s="165">
        <v>259014.85912011864</v>
      </c>
      <c r="U806" s="166">
        <v>-109746959</v>
      </c>
      <c r="V806" s="168">
        <v>685918764</v>
      </c>
      <c r="W806" s="165">
        <v>427634558</v>
      </c>
      <c r="X806" s="165">
        <v>284057462</v>
      </c>
      <c r="Y806" s="165">
        <v>3630711</v>
      </c>
      <c r="Z806" s="165">
        <v>165885831</v>
      </c>
      <c r="AA806" s="165">
        <v>51680997</v>
      </c>
      <c r="AB806" s="165">
        <v>0</v>
      </c>
      <c r="AC806" s="165">
        <v>434.5</v>
      </c>
      <c r="AD806" s="165">
        <v>195424283</v>
      </c>
      <c r="AE806" s="165">
        <v>449768.20023014961</v>
      </c>
      <c r="AF806" s="166">
        <v>-25773256</v>
      </c>
      <c r="AG806" s="124">
        <v>64427518</v>
      </c>
      <c r="AH806" s="125">
        <v>-71.25</v>
      </c>
      <c r="AI806" s="133">
        <v>1</v>
      </c>
      <c r="AJ806" s="133">
        <v>1</v>
      </c>
      <c r="AK806" s="126">
        <v>0.15</v>
      </c>
      <c r="AL806" s="186">
        <v>0.73645712836707533</v>
      </c>
      <c r="AM806" s="14">
        <v>1</v>
      </c>
      <c r="AN806" s="153">
        <v>0</v>
      </c>
      <c r="AO806" s="131">
        <v>370122.6178942165</v>
      </c>
      <c r="AP806" s="131">
        <v>381785.57192174916</v>
      </c>
      <c r="AQ806" s="131">
        <v>11662.954027532658</v>
      </c>
      <c r="AR806" s="130">
        <v>3.1511054617218814E-2</v>
      </c>
    </row>
    <row r="807" spans="1:44" ht="28.8" x14ac:dyDescent="0.3">
      <c r="A807" s="136" t="s">
        <v>1079</v>
      </c>
      <c r="B807" s="137" t="s">
        <v>5577</v>
      </c>
      <c r="C807" s="134">
        <v>2019</v>
      </c>
      <c r="D807" s="149" t="s">
        <v>1155</v>
      </c>
      <c r="E807" s="135" t="s">
        <v>1152</v>
      </c>
      <c r="F807" s="384" t="s">
        <v>1078</v>
      </c>
      <c r="G807" s="138" t="s">
        <v>4773</v>
      </c>
      <c r="H807" s="138" t="s">
        <v>1597</v>
      </c>
      <c r="I807" s="138" t="s">
        <v>1566</v>
      </c>
      <c r="J807" s="135" t="s">
        <v>4778</v>
      </c>
      <c r="K807" s="164">
        <v>1698313905</v>
      </c>
      <c r="L807" s="165">
        <v>1329186022</v>
      </c>
      <c r="M807" s="165">
        <v>599905230</v>
      </c>
      <c r="N807" s="165">
        <v>2492835</v>
      </c>
      <c r="O807" s="165">
        <v>244135648</v>
      </c>
      <c r="P807" s="165">
        <v>73627356</v>
      </c>
      <c r="Q807" s="165">
        <v>833</v>
      </c>
      <c r="R807" s="165">
        <v>590.25</v>
      </c>
      <c r="S807" s="165">
        <v>89479325</v>
      </c>
      <c r="T807" s="165">
        <v>151595.63744176197</v>
      </c>
      <c r="U807" s="166">
        <v>-230777347</v>
      </c>
      <c r="V807" s="168">
        <v>4823027701</v>
      </c>
      <c r="W807" s="165">
        <v>3766667392</v>
      </c>
      <c r="X807" s="165">
        <v>1470429491</v>
      </c>
      <c r="Y807" s="165">
        <v>2627175</v>
      </c>
      <c r="Z807" s="165">
        <v>438951170</v>
      </c>
      <c r="AA807" s="165">
        <v>130003366</v>
      </c>
      <c r="AB807" s="165">
        <v>706</v>
      </c>
      <c r="AC807" s="165">
        <v>714.5</v>
      </c>
      <c r="AD807" s="165">
        <v>157513235</v>
      </c>
      <c r="AE807" s="165">
        <v>220452.3932820154</v>
      </c>
      <c r="AF807" s="166">
        <v>-414069182</v>
      </c>
      <c r="AG807" s="124">
        <v>68033910</v>
      </c>
      <c r="AH807" s="125">
        <v>124.25</v>
      </c>
      <c r="AI807" s="133">
        <v>1</v>
      </c>
      <c r="AJ807" s="133">
        <v>0</v>
      </c>
      <c r="AK807" s="126">
        <v>0.15</v>
      </c>
      <c r="AL807" s="126">
        <v>0.45421326101463078</v>
      </c>
      <c r="AM807" s="187">
        <v>1</v>
      </c>
      <c r="AN807" s="122">
        <v>0</v>
      </c>
      <c r="AO807" s="131">
        <v>413613.97373994073</v>
      </c>
      <c r="AP807" s="131">
        <v>614347.33379986009</v>
      </c>
      <c r="AQ807" s="131">
        <v>200733.36005991936</v>
      </c>
      <c r="AR807" s="130">
        <v>0.48531571176105914</v>
      </c>
    </row>
    <row r="808" spans="1:44" ht="28.8" x14ac:dyDescent="0.3">
      <c r="A808" s="136" t="s">
        <v>1080</v>
      </c>
      <c r="B808" s="137" t="s">
        <v>5578</v>
      </c>
      <c r="C808" s="134">
        <v>2019</v>
      </c>
      <c r="D808" s="149" t="s">
        <v>1155</v>
      </c>
      <c r="E808" s="135" t="s">
        <v>1152</v>
      </c>
      <c r="F808" s="384" t="s">
        <v>1078</v>
      </c>
      <c r="G808" s="138" t="s">
        <v>4773</v>
      </c>
      <c r="H808" s="138" t="s">
        <v>3098</v>
      </c>
      <c r="I808" s="138" t="s">
        <v>1566</v>
      </c>
      <c r="J808" s="135" t="s">
        <v>4774</v>
      </c>
      <c r="K808" s="164">
        <v>1161072386</v>
      </c>
      <c r="L808" s="165">
        <v>791291442</v>
      </c>
      <c r="M808" s="165">
        <v>295051476</v>
      </c>
      <c r="N808" s="165">
        <v>37612093</v>
      </c>
      <c r="O808" s="165">
        <v>189460655</v>
      </c>
      <c r="P808" s="165">
        <v>51031515</v>
      </c>
      <c r="Q808" s="165">
        <v>5297211</v>
      </c>
      <c r="R808" s="165">
        <v>353.25</v>
      </c>
      <c r="S808" s="165">
        <v>358130942</v>
      </c>
      <c r="T808" s="165">
        <v>1013817.2455767869</v>
      </c>
      <c r="U808" s="166">
        <v>74729468</v>
      </c>
      <c r="V808" s="168">
        <v>1110099250</v>
      </c>
      <c r="W808" s="165">
        <v>732821434</v>
      </c>
      <c r="X808" s="165">
        <v>299716713</v>
      </c>
      <c r="Y808" s="165">
        <v>24085139</v>
      </c>
      <c r="Z808" s="165">
        <v>118136033</v>
      </c>
      <c r="AA808" s="165">
        <v>27774048</v>
      </c>
      <c r="AB808" s="165">
        <v>4720027</v>
      </c>
      <c r="AC808" s="165">
        <v>189.25</v>
      </c>
      <c r="AD808" s="165">
        <v>252276350</v>
      </c>
      <c r="AE808" s="165">
        <v>1333032.2324966975</v>
      </c>
      <c r="AF808" s="166">
        <v>77561103</v>
      </c>
      <c r="AG808" s="124">
        <v>-105854592</v>
      </c>
      <c r="AH808" s="125">
        <v>-164</v>
      </c>
      <c r="AI808" s="133">
        <v>1</v>
      </c>
      <c r="AJ808" s="133">
        <v>1</v>
      </c>
      <c r="AK808" s="126">
        <v>0.15</v>
      </c>
      <c r="AL808" s="126">
        <v>0.31486441959830525</v>
      </c>
      <c r="AM808" s="14">
        <v>1</v>
      </c>
      <c r="AN808" s="122">
        <v>0</v>
      </c>
      <c r="AO808" s="131">
        <v>536335.89525831561</v>
      </c>
      <c r="AP808" s="131">
        <v>624232.6710700132</v>
      </c>
      <c r="AQ808" s="131">
        <v>87896.775811697589</v>
      </c>
      <c r="AR808" s="130">
        <v>0.16388382092040255</v>
      </c>
    </row>
    <row r="809" spans="1:44" ht="28.8" x14ac:dyDescent="0.3">
      <c r="A809" s="136" t="s">
        <v>1081</v>
      </c>
      <c r="B809" s="137" t="s">
        <v>5579</v>
      </c>
      <c r="C809" s="134">
        <v>2020</v>
      </c>
      <c r="D809" s="149" t="s">
        <v>1155</v>
      </c>
      <c r="E809" s="135" t="s">
        <v>1152</v>
      </c>
      <c r="F809" s="384" t="s">
        <v>1078</v>
      </c>
      <c r="G809" s="138" t="s">
        <v>4773</v>
      </c>
      <c r="H809" s="138" t="s">
        <v>2931</v>
      </c>
      <c r="I809" s="138" t="s">
        <v>1566</v>
      </c>
      <c r="J809" s="135" t="s">
        <v>4778</v>
      </c>
      <c r="K809" s="164">
        <v>956441587</v>
      </c>
      <c r="L809" s="165">
        <v>374725277</v>
      </c>
      <c r="M809" s="165">
        <v>346748797</v>
      </c>
      <c r="N809" s="165">
        <v>9626117</v>
      </c>
      <c r="O809" s="165">
        <v>113402671</v>
      </c>
      <c r="P809" s="165">
        <v>22674189</v>
      </c>
      <c r="Q809" s="165">
        <v>0</v>
      </c>
      <c r="R809" s="165">
        <v>252.91666666666666</v>
      </c>
      <c r="S809" s="165">
        <v>380670490</v>
      </c>
      <c r="T809" s="165">
        <v>1505122.200988468</v>
      </c>
      <c r="U809" s="166">
        <v>234967513</v>
      </c>
      <c r="V809" s="168">
        <v>603229499</v>
      </c>
      <c r="W809" s="165">
        <v>469987102</v>
      </c>
      <c r="X809" s="165">
        <v>110932287</v>
      </c>
      <c r="Y809" s="165">
        <v>13051204</v>
      </c>
      <c r="Z809" s="165">
        <v>128148610</v>
      </c>
      <c r="AA809" s="165">
        <v>25928221</v>
      </c>
      <c r="AB809" s="165">
        <v>0</v>
      </c>
      <c r="AC809" s="165">
        <v>245.33333333333334</v>
      </c>
      <c r="AD809" s="165">
        <v>189438145</v>
      </c>
      <c r="AE809" s="165">
        <v>772166.35190217383</v>
      </c>
      <c r="AF809" s="166">
        <v>22310110</v>
      </c>
      <c r="AG809" s="124">
        <v>-191232345</v>
      </c>
      <c r="AH809" s="125">
        <v>-7.5833333333333144</v>
      </c>
      <c r="AI809" s="133">
        <v>0</v>
      </c>
      <c r="AJ809" s="133">
        <v>0</v>
      </c>
      <c r="AK809" s="126">
        <v>0.1</v>
      </c>
      <c r="AL809" s="126">
        <v>-0.48697431344777187</v>
      </c>
      <c r="AM809" s="14">
        <v>0</v>
      </c>
      <c r="AN809" s="122">
        <v>-1</v>
      </c>
      <c r="AO809" s="131">
        <v>448379.58879736409</v>
      </c>
      <c r="AP809" s="131">
        <v>522344.8777173913</v>
      </c>
      <c r="AQ809" s="131">
        <v>73965.288920027204</v>
      </c>
      <c r="AR809" s="130">
        <v>0.16496132020285681</v>
      </c>
    </row>
    <row r="810" spans="1:44" ht="28.8" x14ac:dyDescent="0.3">
      <c r="A810" s="136" t="s">
        <v>1082</v>
      </c>
      <c r="B810" s="137" t="s">
        <v>5580</v>
      </c>
      <c r="C810" s="134">
        <v>2019</v>
      </c>
      <c r="D810" s="149" t="s">
        <v>1155</v>
      </c>
      <c r="E810" s="135" t="s">
        <v>1152</v>
      </c>
      <c r="F810" s="384" t="s">
        <v>1078</v>
      </c>
      <c r="G810" s="138" t="s">
        <v>4773</v>
      </c>
      <c r="H810" s="138" t="s">
        <v>1740</v>
      </c>
      <c r="I810" s="138" t="s">
        <v>1566</v>
      </c>
      <c r="J810" s="135" t="s">
        <v>4778</v>
      </c>
      <c r="K810" s="164">
        <v>3308408458</v>
      </c>
      <c r="L810" s="165">
        <v>1602742820</v>
      </c>
      <c r="M810" s="165">
        <v>1288481764</v>
      </c>
      <c r="N810" s="165">
        <v>73369790</v>
      </c>
      <c r="O810" s="165">
        <v>456257327</v>
      </c>
      <c r="P810" s="165">
        <v>120265964</v>
      </c>
      <c r="Q810" s="165">
        <v>2864431</v>
      </c>
      <c r="R810" s="165">
        <v>886.25</v>
      </c>
      <c r="S810" s="165">
        <v>1069941386</v>
      </c>
      <c r="T810" s="165">
        <v>1207268.1365303244</v>
      </c>
      <c r="U810" s="166">
        <v>417183874</v>
      </c>
      <c r="V810" s="168">
        <v>4053805248</v>
      </c>
      <c r="W810" s="165">
        <v>1984708388</v>
      </c>
      <c r="X810" s="165">
        <v>1714015924</v>
      </c>
      <c r="Y810" s="165">
        <v>114170293</v>
      </c>
      <c r="Z810" s="165">
        <v>613164768</v>
      </c>
      <c r="AA810" s="165">
        <v>183819468</v>
      </c>
      <c r="AB810" s="165">
        <v>2617316</v>
      </c>
      <c r="AC810" s="165">
        <v>883.58333333333337</v>
      </c>
      <c r="AD810" s="165">
        <v>1268852781</v>
      </c>
      <c r="AE810" s="165">
        <v>1436030.6867867585</v>
      </c>
      <c r="AF810" s="166">
        <v>355080936</v>
      </c>
      <c r="AG810" s="124">
        <v>198911395</v>
      </c>
      <c r="AH810" s="125">
        <v>-2.6666666666666288</v>
      </c>
      <c r="AI810" s="133">
        <v>1</v>
      </c>
      <c r="AJ810" s="133">
        <v>1</v>
      </c>
      <c r="AK810" s="126">
        <v>0.15</v>
      </c>
      <c r="AL810" s="126">
        <v>0.18948777195429023</v>
      </c>
      <c r="AM810" s="14">
        <v>1</v>
      </c>
      <c r="AN810" s="122">
        <v>0</v>
      </c>
      <c r="AO810" s="131">
        <v>514817.85839210154</v>
      </c>
      <c r="AP810" s="131">
        <v>693952.39234179002</v>
      </c>
      <c r="AQ810" s="131">
        <v>179134.53394968848</v>
      </c>
      <c r="AR810" s="130">
        <v>0.34795710954776937</v>
      </c>
    </row>
    <row r="811" spans="1:44" ht="28.8" x14ac:dyDescent="0.3">
      <c r="A811" s="136" t="s">
        <v>1083</v>
      </c>
      <c r="B811" s="137" t="s">
        <v>5581</v>
      </c>
      <c r="C811" s="134">
        <v>2019</v>
      </c>
      <c r="D811" s="149" t="s">
        <v>1155</v>
      </c>
      <c r="E811" s="135" t="s">
        <v>1152</v>
      </c>
      <c r="F811" s="384" t="s">
        <v>1078</v>
      </c>
      <c r="G811" s="138" t="s">
        <v>4773</v>
      </c>
      <c r="H811" s="138" t="s">
        <v>3311</v>
      </c>
      <c r="I811" s="138" t="s">
        <v>1566</v>
      </c>
      <c r="J811" s="135" t="s">
        <v>4778</v>
      </c>
      <c r="K811" s="164">
        <v>5513028908</v>
      </c>
      <c r="L811" s="165">
        <v>2150281918</v>
      </c>
      <c r="M811" s="165">
        <v>1986854927</v>
      </c>
      <c r="N811" s="165">
        <v>116169939</v>
      </c>
      <c r="O811" s="165">
        <v>1017204037</v>
      </c>
      <c r="P811" s="165">
        <v>250841050</v>
      </c>
      <c r="Q811" s="165">
        <v>3733944</v>
      </c>
      <c r="R811" s="165">
        <v>1163</v>
      </c>
      <c r="S811" s="165">
        <v>2763841033</v>
      </c>
      <c r="T811" s="165">
        <v>2376475.5227858988</v>
      </c>
      <c r="U811" s="166">
        <v>1375892063</v>
      </c>
      <c r="V811" s="168">
        <v>4405744060</v>
      </c>
      <c r="W811" s="165">
        <v>1524199916</v>
      </c>
      <c r="X811" s="165">
        <v>2020278063</v>
      </c>
      <c r="Y811" s="165">
        <v>138789141</v>
      </c>
      <c r="Z811" s="165">
        <v>925937914</v>
      </c>
      <c r="AA811" s="165">
        <v>258565783</v>
      </c>
      <c r="AB811" s="165">
        <v>23836128</v>
      </c>
      <c r="AC811" s="165">
        <v>991.5</v>
      </c>
      <c r="AD811" s="165">
        <v>2208395047</v>
      </c>
      <c r="AE811" s="165">
        <v>2227327.329299042</v>
      </c>
      <c r="AF811" s="166">
        <v>861266081</v>
      </c>
      <c r="AG811" s="11">
        <v>-555445986</v>
      </c>
      <c r="AH811" s="12">
        <v>-171.5</v>
      </c>
      <c r="AI811" s="133">
        <v>0</v>
      </c>
      <c r="AJ811" s="133">
        <v>0</v>
      </c>
      <c r="AK811" s="126">
        <v>0.15</v>
      </c>
      <c r="AL811" s="13">
        <v>-6.2760246737151304E-2</v>
      </c>
      <c r="AM811" s="14">
        <v>0</v>
      </c>
      <c r="AN811" s="14">
        <v>-1</v>
      </c>
      <c r="AO811" s="82">
        <v>874638.03697334474</v>
      </c>
      <c r="AP811" s="82">
        <v>933875.8587997983</v>
      </c>
      <c r="AQ811" s="82">
        <v>59237.821826453554</v>
      </c>
      <c r="AR811" s="129">
        <v>6.7728385140262137E-2</v>
      </c>
    </row>
    <row r="812" spans="1:44" ht="43.2" x14ac:dyDescent="0.3">
      <c r="A812" s="136" t="s">
        <v>1084</v>
      </c>
      <c r="B812" s="137" t="s">
        <v>5582</v>
      </c>
      <c r="C812" s="134">
        <v>2019</v>
      </c>
      <c r="D812" s="149" t="s">
        <v>1155</v>
      </c>
      <c r="E812" s="135" t="s">
        <v>1152</v>
      </c>
      <c r="F812" s="384" t="s">
        <v>1078</v>
      </c>
      <c r="G812" s="138" t="s">
        <v>4773</v>
      </c>
      <c r="H812" s="138" t="s">
        <v>3336</v>
      </c>
      <c r="I812" s="138" t="s">
        <v>1566</v>
      </c>
      <c r="J812" s="135" t="s">
        <v>4774</v>
      </c>
      <c r="K812" s="164">
        <v>434811546</v>
      </c>
      <c r="L812" s="165">
        <v>341921784</v>
      </c>
      <c r="M812" s="165">
        <v>70376247</v>
      </c>
      <c r="N812" s="165">
        <v>2605674</v>
      </c>
      <c r="O812" s="165">
        <v>46480484</v>
      </c>
      <c r="P812" s="165">
        <v>12350536</v>
      </c>
      <c r="Q812" s="165">
        <v>486559</v>
      </c>
      <c r="R812" s="165">
        <v>86.083333333333329</v>
      </c>
      <c r="S812" s="165">
        <v>84436768</v>
      </c>
      <c r="T812" s="165">
        <v>980872.42594385287</v>
      </c>
      <c r="U812" s="166">
        <v>22513515</v>
      </c>
      <c r="V812" s="168">
        <v>600037281</v>
      </c>
      <c r="W812" s="165">
        <v>460617822</v>
      </c>
      <c r="X812" s="165">
        <v>86654369</v>
      </c>
      <c r="Y812" s="165">
        <v>3822139</v>
      </c>
      <c r="Z812" s="165">
        <v>70473769</v>
      </c>
      <c r="AA812" s="165">
        <v>12634843</v>
      </c>
      <c r="AB812" s="165">
        <v>427609</v>
      </c>
      <c r="AC812" s="165">
        <v>108.75</v>
      </c>
      <c r="AD812" s="165">
        <v>140123450</v>
      </c>
      <c r="AE812" s="165">
        <v>1288491.4942528736</v>
      </c>
      <c r="AF812" s="166">
        <v>52765090</v>
      </c>
      <c r="AG812" s="11">
        <v>55686682</v>
      </c>
      <c r="AH812" s="12">
        <v>22.666666666666671</v>
      </c>
      <c r="AI812" s="133">
        <v>1</v>
      </c>
      <c r="AJ812" s="133">
        <v>1</v>
      </c>
      <c r="AK812" s="126">
        <v>0.15</v>
      </c>
      <c r="AL812" s="13">
        <v>0.31361780654799309</v>
      </c>
      <c r="AM812" s="14">
        <v>1</v>
      </c>
      <c r="AN812" s="14">
        <v>0</v>
      </c>
      <c r="AO812" s="82">
        <v>539947.53920619562</v>
      </c>
      <c r="AP812" s="82">
        <v>648034.65747126436</v>
      </c>
      <c r="AQ812" s="82">
        <v>108087.11826506874</v>
      </c>
      <c r="AR812" s="129">
        <v>0.20018077760660447</v>
      </c>
    </row>
    <row r="813" spans="1:44" ht="28.8" x14ac:dyDescent="0.3">
      <c r="A813" s="136" t="s">
        <v>1085</v>
      </c>
      <c r="B813" s="137" t="s">
        <v>5583</v>
      </c>
      <c r="C813" s="134">
        <v>2019</v>
      </c>
      <c r="D813" s="149" t="s">
        <v>1155</v>
      </c>
      <c r="E813" s="135" t="s">
        <v>1152</v>
      </c>
      <c r="F813" s="384" t="s">
        <v>1078</v>
      </c>
      <c r="G813" s="192" t="s">
        <v>4773</v>
      </c>
      <c r="H813" s="192" t="s">
        <v>2399</v>
      </c>
      <c r="I813" s="138" t="s">
        <v>1566</v>
      </c>
      <c r="J813" s="135" t="s">
        <v>4778</v>
      </c>
      <c r="K813" s="164">
        <v>510136442</v>
      </c>
      <c r="L813" s="165">
        <v>329544604</v>
      </c>
      <c r="M813" s="165">
        <v>150120482</v>
      </c>
      <c r="N813" s="165">
        <v>7158019</v>
      </c>
      <c r="O813" s="165">
        <v>111283987</v>
      </c>
      <c r="P813" s="165">
        <v>30407134</v>
      </c>
      <c r="Q813" s="165">
        <v>2004901</v>
      </c>
      <c r="R813" s="165">
        <v>392.66666666666669</v>
      </c>
      <c r="S813" s="165">
        <v>181325397</v>
      </c>
      <c r="T813" s="165">
        <v>461779.44906621391</v>
      </c>
      <c r="U813" s="166">
        <v>30471356</v>
      </c>
      <c r="V813" s="168">
        <v>843565361</v>
      </c>
      <c r="W813" s="165">
        <v>643412758</v>
      </c>
      <c r="X813" s="165">
        <v>123437585</v>
      </c>
      <c r="Y813" s="165">
        <v>6446271</v>
      </c>
      <c r="Z813" s="165">
        <v>200469677</v>
      </c>
      <c r="AA813" s="165">
        <v>60480554</v>
      </c>
      <c r="AB813" s="165">
        <v>2406863</v>
      </c>
      <c r="AC813" s="165">
        <v>547.5</v>
      </c>
      <c r="AD813" s="165">
        <v>346518383</v>
      </c>
      <c r="AE813" s="165">
        <v>632910.28858447494</v>
      </c>
      <c r="AF813" s="166">
        <v>76715018</v>
      </c>
      <c r="AG813" s="11">
        <v>165192986</v>
      </c>
      <c r="AH813" s="12">
        <v>154.83333333333331</v>
      </c>
      <c r="AI813" s="133">
        <v>1</v>
      </c>
      <c r="AJ813" s="133">
        <v>0</v>
      </c>
      <c r="AK813" s="126">
        <v>0.15</v>
      </c>
      <c r="AL813" s="13">
        <v>0.37058998619362549</v>
      </c>
      <c r="AM813" s="14">
        <v>1</v>
      </c>
      <c r="AN813" s="14">
        <v>0</v>
      </c>
      <c r="AO813" s="82">
        <v>283405.73938879458</v>
      </c>
      <c r="AP813" s="82">
        <v>366154.6611872146</v>
      </c>
      <c r="AQ813" s="82">
        <v>82748.921798420022</v>
      </c>
      <c r="AR813" s="129">
        <v>0.29198040229135813</v>
      </c>
    </row>
    <row r="814" spans="1:44" ht="28.8" x14ac:dyDescent="0.3">
      <c r="A814" s="136" t="s">
        <v>1086</v>
      </c>
      <c r="B814" s="137" t="s">
        <v>5584</v>
      </c>
      <c r="C814" s="134">
        <v>2019</v>
      </c>
      <c r="D814" s="149" t="s">
        <v>1155</v>
      </c>
      <c r="E814" s="135" t="s">
        <v>1152</v>
      </c>
      <c r="F814" s="384" t="s">
        <v>1078</v>
      </c>
      <c r="G814" s="138" t="s">
        <v>4773</v>
      </c>
      <c r="H814" s="138" t="s">
        <v>1979</v>
      </c>
      <c r="I814" s="138" t="s">
        <v>1566</v>
      </c>
      <c r="J814" s="135" t="s">
        <v>4774</v>
      </c>
      <c r="K814" s="164">
        <v>622927272</v>
      </c>
      <c r="L814" s="165">
        <v>416325529</v>
      </c>
      <c r="M814" s="165">
        <v>156777163</v>
      </c>
      <c r="N814" s="165">
        <v>13946755</v>
      </c>
      <c r="O814" s="165">
        <v>60046093</v>
      </c>
      <c r="P814" s="165">
        <v>16700726</v>
      </c>
      <c r="Q814" s="165">
        <v>259553</v>
      </c>
      <c r="R814" s="165">
        <v>112.41666666666667</v>
      </c>
      <c r="S814" s="165">
        <v>140777707</v>
      </c>
      <c r="T814" s="165">
        <v>1252285.014084507</v>
      </c>
      <c r="U814" s="166">
        <v>49824580</v>
      </c>
      <c r="V814" s="168">
        <v>981910203</v>
      </c>
      <c r="W814" s="165">
        <v>652502913</v>
      </c>
      <c r="X814" s="165">
        <v>207148800</v>
      </c>
      <c r="Y814" s="165">
        <v>15223779</v>
      </c>
      <c r="Z814" s="165">
        <v>83438318</v>
      </c>
      <c r="AA814" s="165">
        <v>15905690</v>
      </c>
      <c r="AB814" s="165">
        <v>245895</v>
      </c>
      <c r="AC814" s="165">
        <v>138.5</v>
      </c>
      <c r="AD814" s="165">
        <v>237072172</v>
      </c>
      <c r="AE814" s="165">
        <v>1711712.4332129965</v>
      </c>
      <c r="AF814" s="166">
        <v>122258490</v>
      </c>
      <c r="AG814" s="11">
        <v>96294465</v>
      </c>
      <c r="AH814" s="12">
        <v>26.083333333333329</v>
      </c>
      <c r="AI814" s="133">
        <v>1</v>
      </c>
      <c r="AJ814" s="133">
        <v>1</v>
      </c>
      <c r="AK814" s="126">
        <v>0.15</v>
      </c>
      <c r="AL814" s="13">
        <v>0.36687129234262739</v>
      </c>
      <c r="AM814" s="14">
        <v>1</v>
      </c>
      <c r="AN814" s="14">
        <v>0</v>
      </c>
      <c r="AO814" s="82">
        <v>534138.70719051152</v>
      </c>
      <c r="AP814" s="82">
        <v>602442.72924187721</v>
      </c>
      <c r="AQ814" s="82">
        <v>68304.022051365697</v>
      </c>
      <c r="AR814" s="129">
        <v>0.12787693745438244</v>
      </c>
    </row>
    <row r="815" spans="1:44" ht="28.8" x14ac:dyDescent="0.3">
      <c r="A815" s="136" t="s">
        <v>1087</v>
      </c>
      <c r="B815" s="137" t="s">
        <v>5585</v>
      </c>
      <c r="C815" s="134">
        <v>2019</v>
      </c>
      <c r="D815" s="149" t="s">
        <v>1155</v>
      </c>
      <c r="E815" s="135" t="s">
        <v>1152</v>
      </c>
      <c r="F815" s="384" t="s">
        <v>1078</v>
      </c>
      <c r="G815" s="138" t="s">
        <v>4773</v>
      </c>
      <c r="H815" s="138" t="s">
        <v>2965</v>
      </c>
      <c r="I815" s="138" t="s">
        <v>1566</v>
      </c>
      <c r="J815" s="135" t="s">
        <v>4774</v>
      </c>
      <c r="K815" s="164">
        <v>2123535467</v>
      </c>
      <c r="L815" s="165">
        <v>1711985144</v>
      </c>
      <c r="M815" s="165">
        <v>169136722</v>
      </c>
      <c r="N815" s="165">
        <v>15835048</v>
      </c>
      <c r="O815" s="165">
        <v>110965862</v>
      </c>
      <c r="P815" s="165">
        <v>32832671</v>
      </c>
      <c r="Q815" s="165">
        <v>52995</v>
      </c>
      <c r="R815" s="165">
        <v>206.91666666666666</v>
      </c>
      <c r="S815" s="165">
        <v>402100177</v>
      </c>
      <c r="T815" s="165">
        <v>1943295.2573499801</v>
      </c>
      <c r="U815" s="166">
        <v>242413601</v>
      </c>
      <c r="V815" s="168">
        <v>2628806850</v>
      </c>
      <c r="W815" s="165">
        <v>2035127551</v>
      </c>
      <c r="X815" s="165">
        <v>114961875</v>
      </c>
      <c r="Y815" s="165">
        <v>14004602</v>
      </c>
      <c r="Z815" s="165">
        <v>141095797</v>
      </c>
      <c r="AA815" s="165">
        <v>41885277</v>
      </c>
      <c r="AB815" s="165">
        <v>55890</v>
      </c>
      <c r="AC815" s="165">
        <v>391.5</v>
      </c>
      <c r="AD815" s="165">
        <v>675758990</v>
      </c>
      <c r="AE815" s="165">
        <v>1726076.6028097062</v>
      </c>
      <c r="AF815" s="166">
        <v>478717424</v>
      </c>
      <c r="AG815" s="11">
        <v>273658813</v>
      </c>
      <c r="AH815" s="12">
        <v>184.58333333333334</v>
      </c>
      <c r="AI815" s="133">
        <v>0</v>
      </c>
      <c r="AJ815" s="133">
        <v>0</v>
      </c>
      <c r="AK815" s="126">
        <v>0.15</v>
      </c>
      <c r="AL815" s="13">
        <v>-0.11177851583912157</v>
      </c>
      <c r="AM815" s="14">
        <v>0</v>
      </c>
      <c r="AN815" s="14">
        <v>-1</v>
      </c>
      <c r="AO815" s="82">
        <v>536282.86105517519</v>
      </c>
      <c r="AP815" s="82">
        <v>360397.94891443168</v>
      </c>
      <c r="AQ815" s="82">
        <v>-175884.91214074352</v>
      </c>
      <c r="AR815" s="129">
        <v>-0.32797041433447505</v>
      </c>
    </row>
    <row r="816" spans="1:44" ht="28.8" x14ac:dyDescent="0.3">
      <c r="A816" s="136" t="s">
        <v>1088</v>
      </c>
      <c r="B816" s="137" t="s">
        <v>5586</v>
      </c>
      <c r="C816" s="134">
        <v>2020</v>
      </c>
      <c r="D816" s="149" t="s">
        <v>1155</v>
      </c>
      <c r="E816" s="135" t="s">
        <v>1152</v>
      </c>
      <c r="F816" s="384" t="s">
        <v>1078</v>
      </c>
      <c r="G816" s="138" t="s">
        <v>4796</v>
      </c>
      <c r="H816" s="138" t="s">
        <v>2717</v>
      </c>
      <c r="I816" s="138" t="s">
        <v>1566</v>
      </c>
      <c r="J816" s="135" t="s">
        <v>4774</v>
      </c>
      <c r="K816" s="164">
        <v>905097895</v>
      </c>
      <c r="L816" s="165">
        <v>834063482</v>
      </c>
      <c r="M816" s="165">
        <v>55088178</v>
      </c>
      <c r="N816" s="165">
        <v>1842881</v>
      </c>
      <c r="O816" s="165">
        <v>124028161</v>
      </c>
      <c r="P816" s="165">
        <v>23210067</v>
      </c>
      <c r="Q816" s="165">
        <v>0</v>
      </c>
      <c r="R816" s="165">
        <v>185.75</v>
      </c>
      <c r="S816" s="165">
        <v>165027344</v>
      </c>
      <c r="T816" s="165">
        <v>888437.92193808884</v>
      </c>
      <c r="U816" s="166">
        <v>15946235</v>
      </c>
      <c r="V816" s="168">
        <v>1311356193</v>
      </c>
      <c r="W816" s="165">
        <v>1221274125</v>
      </c>
      <c r="X816" s="165">
        <v>62604355</v>
      </c>
      <c r="Y816" s="165">
        <v>1590204</v>
      </c>
      <c r="Z816" s="165">
        <v>133191442</v>
      </c>
      <c r="AA816" s="165">
        <v>23496058.390000001</v>
      </c>
      <c r="AB816" s="165">
        <v>0</v>
      </c>
      <c r="AC816" s="165">
        <v>169.91666666666666</v>
      </c>
      <c r="AD816" s="165">
        <v>185755417.38999999</v>
      </c>
      <c r="AE816" s="165">
        <v>1093214.8154389407</v>
      </c>
      <c r="AF816" s="166">
        <v>27477713</v>
      </c>
      <c r="AG816" s="11">
        <v>20728073.389999986</v>
      </c>
      <c r="AH816" s="12">
        <v>-15.833333333333343</v>
      </c>
      <c r="AI816" s="133">
        <v>1</v>
      </c>
      <c r="AJ816" s="133">
        <v>1</v>
      </c>
      <c r="AK816" s="126">
        <v>0.05</v>
      </c>
      <c r="AL816" s="13">
        <v>0.23049094977846063</v>
      </c>
      <c r="AM816" s="14">
        <v>1</v>
      </c>
      <c r="AN816" s="14">
        <v>0</v>
      </c>
      <c r="AO816" s="82">
        <v>667715.53701211303</v>
      </c>
      <c r="AP816" s="82">
        <v>783863.31731240812</v>
      </c>
      <c r="AQ816" s="82">
        <v>116147.7803002951</v>
      </c>
      <c r="AR816" s="129">
        <v>0.17394799710672015</v>
      </c>
    </row>
    <row r="817" spans="1:44" ht="72" x14ac:dyDescent="0.3">
      <c r="A817" s="136" t="s">
        <v>1089</v>
      </c>
      <c r="B817" s="137" t="s">
        <v>5587</v>
      </c>
      <c r="C817" s="134">
        <v>2018</v>
      </c>
      <c r="D817" s="149" t="s">
        <v>1155</v>
      </c>
      <c r="E817" s="135" t="s">
        <v>1152</v>
      </c>
      <c r="F817" s="384" t="s">
        <v>1078</v>
      </c>
      <c r="G817" s="138" t="s">
        <v>4773</v>
      </c>
      <c r="H817" s="138" t="s">
        <v>2743</v>
      </c>
      <c r="I817" s="138" t="s">
        <v>1566</v>
      </c>
      <c r="J817" s="135" t="s">
        <v>4778</v>
      </c>
      <c r="K817" s="164">
        <v>10447799000</v>
      </c>
      <c r="L817" s="165">
        <v>6587151030</v>
      </c>
      <c r="M817" s="165">
        <v>1882245130</v>
      </c>
      <c r="N817" s="165">
        <v>534696949.99999994</v>
      </c>
      <c r="O817" s="165">
        <v>1840111740</v>
      </c>
      <c r="P817" s="165">
        <v>471991083.81</v>
      </c>
      <c r="Q817" s="165">
        <v>63003680</v>
      </c>
      <c r="R817" s="165">
        <v>2763.4166666666674</v>
      </c>
      <c r="S817" s="165">
        <v>4888206293.8100004</v>
      </c>
      <c r="T817" s="165">
        <v>1768899.4760628445</v>
      </c>
      <c r="U817" s="166">
        <v>1978402840</v>
      </c>
      <c r="V817" s="168">
        <v>10721911858</v>
      </c>
      <c r="W817" s="165">
        <v>7556246130</v>
      </c>
      <c r="X817" s="165">
        <v>1390181897</v>
      </c>
      <c r="Y817" s="165">
        <v>645037321</v>
      </c>
      <c r="Z817" s="165">
        <v>2231613863</v>
      </c>
      <c r="AA817" s="165">
        <v>651563452</v>
      </c>
      <c r="AB817" s="165">
        <v>74863046</v>
      </c>
      <c r="AC817" s="165">
        <v>2630.9166666666665</v>
      </c>
      <c r="AD817" s="165">
        <v>5378561513</v>
      </c>
      <c r="AE817" s="165">
        <v>2044367.8741883375</v>
      </c>
      <c r="AF817" s="166">
        <v>1775483831</v>
      </c>
      <c r="AG817" s="11">
        <v>490355219.18999958</v>
      </c>
      <c r="AH817" s="12">
        <v>-132.50000000000091</v>
      </c>
      <c r="AI817" s="133">
        <v>0</v>
      </c>
      <c r="AJ817" s="133">
        <v>1</v>
      </c>
      <c r="AK817" s="126">
        <v>0.3</v>
      </c>
      <c r="AL817" s="13">
        <v>0.15572868504659176</v>
      </c>
      <c r="AM817" s="14">
        <v>0</v>
      </c>
      <c r="AN817" s="14">
        <v>-1</v>
      </c>
      <c r="AO817" s="82">
        <v>665882.84068634827</v>
      </c>
      <c r="AP817" s="82">
        <v>848226.73833581456</v>
      </c>
      <c r="AQ817" s="82">
        <v>182343.89764946629</v>
      </c>
      <c r="AR817" s="129">
        <v>0.27383780825695725</v>
      </c>
    </row>
    <row r="818" spans="1:44" ht="57.6" x14ac:dyDescent="0.3">
      <c r="A818" s="136" t="s">
        <v>1090</v>
      </c>
      <c r="B818" s="137" t="s">
        <v>5588</v>
      </c>
      <c r="C818" s="134">
        <v>2020</v>
      </c>
      <c r="D818" s="149" t="s">
        <v>1155</v>
      </c>
      <c r="E818" s="135" t="s">
        <v>1152</v>
      </c>
      <c r="F818" s="384" t="s">
        <v>1078</v>
      </c>
      <c r="G818" s="138" t="s">
        <v>4773</v>
      </c>
      <c r="H818" s="138" t="s">
        <v>2747</v>
      </c>
      <c r="I818" s="138" t="s">
        <v>1566</v>
      </c>
      <c r="J818" s="135" t="s">
        <v>4774</v>
      </c>
      <c r="K818" s="164">
        <v>872874823</v>
      </c>
      <c r="L818" s="165">
        <v>538459502</v>
      </c>
      <c r="M818" s="165">
        <v>250132005</v>
      </c>
      <c r="N818" s="165">
        <v>37438940</v>
      </c>
      <c r="O818" s="165">
        <v>133337771</v>
      </c>
      <c r="P818" s="165">
        <v>33513209</v>
      </c>
      <c r="Q818" s="165">
        <v>0</v>
      </c>
      <c r="R818" s="165">
        <v>213.91666666666666</v>
      </c>
      <c r="S818" s="165">
        <v>288573236</v>
      </c>
      <c r="T818" s="165">
        <v>1348998.3763147644</v>
      </c>
      <c r="U818" s="166">
        <v>84283316</v>
      </c>
      <c r="V818" s="168">
        <v>957076626</v>
      </c>
      <c r="W818" s="165">
        <v>576396414</v>
      </c>
      <c r="X818" s="165">
        <v>262306635</v>
      </c>
      <c r="Y818" s="165">
        <v>38145198</v>
      </c>
      <c r="Z818" s="165">
        <v>128295730</v>
      </c>
      <c r="AA818" s="165">
        <v>38694095</v>
      </c>
      <c r="AB818" s="165">
        <v>0</v>
      </c>
      <c r="AC818" s="165">
        <v>202.41666666666666</v>
      </c>
      <c r="AD818" s="165">
        <v>323508600</v>
      </c>
      <c r="AE818" s="165">
        <v>1598231.0415808975</v>
      </c>
      <c r="AF818" s="166">
        <v>118373577</v>
      </c>
      <c r="AG818" s="11">
        <v>34935364</v>
      </c>
      <c r="AH818" s="12">
        <v>-11.5</v>
      </c>
      <c r="AI818" s="133">
        <v>1</v>
      </c>
      <c r="AJ818" s="133">
        <v>1</v>
      </c>
      <c r="AK818" s="126">
        <v>0.1</v>
      </c>
      <c r="AL818" s="13">
        <v>0.18475386160211715</v>
      </c>
      <c r="AM818" s="14">
        <v>1</v>
      </c>
      <c r="AN818" s="14">
        <v>0</v>
      </c>
      <c r="AO818" s="82">
        <v>623316.42072458123</v>
      </c>
      <c r="AP818" s="82">
        <v>633819.99176615896</v>
      </c>
      <c r="AQ818" s="82">
        <v>10503.571041577728</v>
      </c>
      <c r="AR818" s="129">
        <v>1.6851105942897737E-2</v>
      </c>
    </row>
    <row r="819" spans="1:44" ht="28.8" x14ac:dyDescent="0.3">
      <c r="A819" s="136" t="s">
        <v>1091</v>
      </c>
      <c r="B819" s="137" t="s">
        <v>5589</v>
      </c>
      <c r="C819" s="134">
        <v>2020</v>
      </c>
      <c r="D819" s="149" t="s">
        <v>1155</v>
      </c>
      <c r="E819" s="135" t="s">
        <v>1152</v>
      </c>
      <c r="F819" s="384" t="s">
        <v>1078</v>
      </c>
      <c r="G819" s="138" t="s">
        <v>4773</v>
      </c>
      <c r="H819" s="138" t="s">
        <v>2965</v>
      </c>
      <c r="I819" s="138" t="s">
        <v>1566</v>
      </c>
      <c r="J819" s="135" t="s">
        <v>4774</v>
      </c>
      <c r="K819" s="164">
        <v>7455298597</v>
      </c>
      <c r="L819" s="165">
        <v>6150308409</v>
      </c>
      <c r="M819" s="165">
        <v>472181160</v>
      </c>
      <c r="N819" s="165">
        <v>0</v>
      </c>
      <c r="O819" s="165">
        <v>475794978</v>
      </c>
      <c r="P819" s="165">
        <v>127114220</v>
      </c>
      <c r="Q819" s="165">
        <v>0</v>
      </c>
      <c r="R819" s="165">
        <v>688.25</v>
      </c>
      <c r="S819" s="165">
        <v>1435718226</v>
      </c>
      <c r="T819" s="165">
        <v>2086041.7377406466</v>
      </c>
      <c r="U819" s="166">
        <v>832809028</v>
      </c>
      <c r="V819" s="168">
        <v>7669321140</v>
      </c>
      <c r="W819" s="165">
        <v>6072562810</v>
      </c>
      <c r="X819" s="165">
        <v>450732914</v>
      </c>
      <c r="Y819" s="165">
        <v>74791073</v>
      </c>
      <c r="Z819" s="165">
        <v>501202084</v>
      </c>
      <c r="AA819" s="165">
        <v>149117902</v>
      </c>
      <c r="AB819" s="165">
        <v>6436295</v>
      </c>
      <c r="AC819" s="165">
        <v>684.58333333333337</v>
      </c>
      <c r="AD819" s="165">
        <v>1877572770</v>
      </c>
      <c r="AE819" s="165">
        <v>2742650.424832623</v>
      </c>
      <c r="AF819" s="166">
        <v>1146025416</v>
      </c>
      <c r="AG819" s="11">
        <v>441854544</v>
      </c>
      <c r="AH819" s="12">
        <v>-3.6666666666666288</v>
      </c>
      <c r="AI819" s="133">
        <v>1</v>
      </c>
      <c r="AJ819" s="133">
        <v>1</v>
      </c>
      <c r="AK819" s="126">
        <v>0.1</v>
      </c>
      <c r="AL819" s="13">
        <v>0.3147629634678355</v>
      </c>
      <c r="AM819" s="14">
        <v>1</v>
      </c>
      <c r="AN819" s="14">
        <v>0</v>
      </c>
      <c r="AO819" s="82">
        <v>691311.26480203413</v>
      </c>
      <c r="AP819" s="82">
        <v>732127.20730371273</v>
      </c>
      <c r="AQ819" s="82">
        <v>40815.942501678597</v>
      </c>
      <c r="AR819" s="129">
        <v>5.9041338655702047E-2</v>
      </c>
    </row>
    <row r="820" spans="1:44" ht="28.8" x14ac:dyDescent="0.3">
      <c r="A820" s="136" t="s">
        <v>1092</v>
      </c>
      <c r="B820" s="137" t="s">
        <v>5590</v>
      </c>
      <c r="C820" s="134">
        <v>2019</v>
      </c>
      <c r="D820" s="149" t="s">
        <v>1155</v>
      </c>
      <c r="E820" s="135" t="s">
        <v>1152</v>
      </c>
      <c r="F820" s="384" t="s">
        <v>1078</v>
      </c>
      <c r="G820" s="138" t="s">
        <v>4773</v>
      </c>
      <c r="H820" s="138" t="s">
        <v>2755</v>
      </c>
      <c r="I820" s="138" t="s">
        <v>1566</v>
      </c>
      <c r="J820" s="135" t="s">
        <v>4774</v>
      </c>
      <c r="K820" s="164">
        <v>604542490</v>
      </c>
      <c r="L820" s="165">
        <v>508606400</v>
      </c>
      <c r="M820" s="165">
        <v>93975241</v>
      </c>
      <c r="N820" s="165">
        <v>8214709</v>
      </c>
      <c r="O820" s="165">
        <v>23105880</v>
      </c>
      <c r="P820" s="165">
        <v>5322153</v>
      </c>
      <c r="Q820" s="165">
        <v>0</v>
      </c>
      <c r="R820" s="165">
        <v>51.083333333333336</v>
      </c>
      <c r="S820" s="165">
        <v>38603591</v>
      </c>
      <c r="T820" s="165">
        <v>755698.35562805866</v>
      </c>
      <c r="U820" s="166">
        <v>1960849</v>
      </c>
      <c r="V820" s="168">
        <v>1107837155</v>
      </c>
      <c r="W820" s="165">
        <v>1006457745</v>
      </c>
      <c r="X820" s="165">
        <v>110894873</v>
      </c>
      <c r="Y820" s="165">
        <v>35604555</v>
      </c>
      <c r="Z820" s="165">
        <v>120634079</v>
      </c>
      <c r="AA820" s="165">
        <v>19636001</v>
      </c>
      <c r="AB820" s="165">
        <v>0</v>
      </c>
      <c r="AC820" s="165">
        <v>79</v>
      </c>
      <c r="AD820" s="165">
        <v>166359172</v>
      </c>
      <c r="AE820" s="165">
        <v>2105812.3037974685</v>
      </c>
      <c r="AF820" s="166">
        <v>-9515463</v>
      </c>
      <c r="AG820" s="11">
        <v>127755581</v>
      </c>
      <c r="AH820" s="12">
        <v>27.916666666666664</v>
      </c>
      <c r="AI820" s="133">
        <v>1</v>
      </c>
      <c r="AJ820" s="133">
        <v>1</v>
      </c>
      <c r="AK820" s="126">
        <v>0.15</v>
      </c>
      <c r="AL820" s="13">
        <v>1.7865778351034134</v>
      </c>
      <c r="AM820" s="14">
        <v>1</v>
      </c>
      <c r="AN820" s="14">
        <v>0</v>
      </c>
      <c r="AO820" s="82">
        <v>452317.38988580747</v>
      </c>
      <c r="AP820" s="82">
        <v>1527013.6582278481</v>
      </c>
      <c r="AQ820" s="82">
        <v>1074696.2683420407</v>
      </c>
      <c r="AR820" s="129">
        <v>2.3759782231971225</v>
      </c>
    </row>
    <row r="821" spans="1:44" ht="28.8" x14ac:dyDescent="0.3">
      <c r="A821" s="136" t="s">
        <v>1093</v>
      </c>
      <c r="B821" s="137" t="s">
        <v>5591</v>
      </c>
      <c r="C821" s="134">
        <v>2018</v>
      </c>
      <c r="D821" s="149" t="s">
        <v>1155</v>
      </c>
      <c r="E821" s="135" t="s">
        <v>1152</v>
      </c>
      <c r="F821" s="384" t="s">
        <v>1078</v>
      </c>
      <c r="G821" s="138" t="s">
        <v>4773</v>
      </c>
      <c r="H821" s="138" t="s">
        <v>3237</v>
      </c>
      <c r="I821" s="138" t="s">
        <v>1566</v>
      </c>
      <c r="J821" s="135" t="s">
        <v>4778</v>
      </c>
      <c r="K821" s="164">
        <v>1442779000</v>
      </c>
      <c r="L821" s="165">
        <v>847273000</v>
      </c>
      <c r="M821" s="165">
        <v>419116000</v>
      </c>
      <c r="N821" s="165">
        <v>26629000</v>
      </c>
      <c r="O821" s="165">
        <v>224077000</v>
      </c>
      <c r="P821" s="165">
        <v>60560000</v>
      </c>
      <c r="Q821" s="165">
        <v>64000</v>
      </c>
      <c r="R821" s="165">
        <v>616</v>
      </c>
      <c r="S821" s="165">
        <v>487720000</v>
      </c>
      <c r="T821" s="165">
        <v>791753.24675324676</v>
      </c>
      <c r="U821" s="166">
        <v>176390000</v>
      </c>
      <c r="V821" s="168">
        <v>2459145593</v>
      </c>
      <c r="W821" s="165">
        <v>1617010246</v>
      </c>
      <c r="X821" s="165">
        <v>470639495</v>
      </c>
      <c r="Y821" s="165">
        <v>17180087</v>
      </c>
      <c r="Z821" s="165">
        <v>225620342</v>
      </c>
      <c r="AA821" s="165">
        <v>76914671</v>
      </c>
      <c r="AB821" s="165">
        <v>1892628</v>
      </c>
      <c r="AC821" s="165">
        <v>477.25</v>
      </c>
      <c r="AD821" s="165">
        <v>693103580</v>
      </c>
      <c r="AE821" s="165">
        <v>1452286.1812467261</v>
      </c>
      <c r="AF821" s="166">
        <v>371495852</v>
      </c>
      <c r="AG821" s="11">
        <v>205383580</v>
      </c>
      <c r="AH821" s="12">
        <v>-138.75</v>
      </c>
      <c r="AI821" s="133">
        <v>1</v>
      </c>
      <c r="AJ821" s="133">
        <v>1</v>
      </c>
      <c r="AK821" s="126">
        <v>0.3</v>
      </c>
      <c r="AL821" s="13">
        <v>0.83426614289237211</v>
      </c>
      <c r="AM821" s="14">
        <v>1</v>
      </c>
      <c r="AN821" s="14">
        <v>0</v>
      </c>
      <c r="AO821" s="82">
        <v>363761.36363636365</v>
      </c>
      <c r="AP821" s="82">
        <v>472750.84756416973</v>
      </c>
      <c r="AQ821" s="82">
        <v>108989.48392780608</v>
      </c>
      <c r="AR821" s="129">
        <v>0.29961808708403148</v>
      </c>
    </row>
    <row r="822" spans="1:44" ht="28.8" x14ac:dyDescent="0.3">
      <c r="A822" s="136" t="s">
        <v>1094</v>
      </c>
      <c r="B822" s="137" t="s">
        <v>5592</v>
      </c>
      <c r="C822" s="134">
        <v>2019</v>
      </c>
      <c r="D822" s="149" t="s">
        <v>1155</v>
      </c>
      <c r="E822" s="135" t="s">
        <v>1152</v>
      </c>
      <c r="F822" s="384" t="s">
        <v>1078</v>
      </c>
      <c r="G822" s="138" t="s">
        <v>4773</v>
      </c>
      <c r="H822" s="138" t="s">
        <v>3058</v>
      </c>
      <c r="I822" s="138" t="s">
        <v>1566</v>
      </c>
      <c r="J822" s="135" t="s">
        <v>4778</v>
      </c>
      <c r="K822" s="164">
        <v>550919110</v>
      </c>
      <c r="L822" s="165">
        <v>359652960</v>
      </c>
      <c r="M822" s="165">
        <v>189612173</v>
      </c>
      <c r="N822" s="165">
        <v>15306928</v>
      </c>
      <c r="O822" s="165">
        <v>276038483</v>
      </c>
      <c r="P822" s="165">
        <v>72977095</v>
      </c>
      <c r="Q822" s="165">
        <v>1758952</v>
      </c>
      <c r="R822" s="165">
        <v>488.75</v>
      </c>
      <c r="S822" s="165">
        <v>367735435</v>
      </c>
      <c r="T822" s="165">
        <v>752399.86700767267</v>
      </c>
      <c r="U822" s="166">
        <v>1653977</v>
      </c>
      <c r="V822" s="168">
        <v>536848208</v>
      </c>
      <c r="W822" s="165">
        <v>287632748</v>
      </c>
      <c r="X822" s="165">
        <v>370828391</v>
      </c>
      <c r="Y822" s="165">
        <v>16520843</v>
      </c>
      <c r="Z822" s="165">
        <v>271672157</v>
      </c>
      <c r="AA822" s="165">
        <v>80855203</v>
      </c>
      <c r="AB822" s="165">
        <v>1738412</v>
      </c>
      <c r="AC822" s="165">
        <v>421.5</v>
      </c>
      <c r="AD822" s="165">
        <v>249173684</v>
      </c>
      <c r="AE822" s="165">
        <v>591159.39264531434</v>
      </c>
      <c r="AF822" s="166">
        <v>-121612931</v>
      </c>
      <c r="AG822" s="11">
        <v>-118561751</v>
      </c>
      <c r="AH822" s="12">
        <v>-67.25</v>
      </c>
      <c r="AI822" s="133">
        <v>0</v>
      </c>
      <c r="AJ822" s="133">
        <v>0</v>
      </c>
      <c r="AK822" s="126">
        <v>0.15</v>
      </c>
      <c r="AL822" s="13">
        <v>-0.21430157876024081</v>
      </c>
      <c r="AM822" s="14">
        <v>0</v>
      </c>
      <c r="AN822" s="14">
        <v>-1</v>
      </c>
      <c r="AO822" s="82">
        <v>564784.61994884908</v>
      </c>
      <c r="AP822" s="82">
        <v>644536.55278766307</v>
      </c>
      <c r="AQ822" s="82">
        <v>79751.932838813984</v>
      </c>
      <c r="AR822" s="129">
        <v>0.14120769231647445</v>
      </c>
    </row>
    <row r="823" spans="1:44" ht="28.8" x14ac:dyDescent="0.3">
      <c r="A823" s="136" t="s">
        <v>1095</v>
      </c>
      <c r="B823" s="137" t="s">
        <v>5593</v>
      </c>
      <c r="C823" s="134">
        <v>2019</v>
      </c>
      <c r="D823" s="149" t="s">
        <v>1155</v>
      </c>
      <c r="E823" s="135" t="s">
        <v>1152</v>
      </c>
      <c r="F823" s="384" t="s">
        <v>1078</v>
      </c>
      <c r="G823" s="138" t="s">
        <v>4773</v>
      </c>
      <c r="H823" s="138" t="s">
        <v>3571</v>
      </c>
      <c r="I823" s="138" t="s">
        <v>3557</v>
      </c>
      <c r="J823" s="135" t="s">
        <v>4778</v>
      </c>
      <c r="K823" s="164">
        <v>4731808065</v>
      </c>
      <c r="L823" s="165">
        <v>3978181447</v>
      </c>
      <c r="M823" s="165">
        <v>447810364</v>
      </c>
      <c r="N823" s="165">
        <v>23525253</v>
      </c>
      <c r="O823" s="165">
        <v>515934003</v>
      </c>
      <c r="P823" s="165">
        <v>141582576</v>
      </c>
      <c r="Q823" s="165">
        <v>85643</v>
      </c>
      <c r="R823" s="165">
        <v>1139.8333333333333</v>
      </c>
      <c r="S823" s="165">
        <v>986943729</v>
      </c>
      <c r="T823" s="165">
        <v>865866.70185699675</v>
      </c>
      <c r="U823" s="166">
        <v>305816254</v>
      </c>
      <c r="V823" s="168">
        <v>4671814999</v>
      </c>
      <c r="W823" s="165">
        <v>4136014833</v>
      </c>
      <c r="X823" s="165">
        <v>522764790</v>
      </c>
      <c r="Y823" s="165">
        <v>33759921</v>
      </c>
      <c r="Z823" s="165">
        <v>596152549</v>
      </c>
      <c r="AA823" s="165">
        <v>178423947</v>
      </c>
      <c r="AB823" s="165">
        <v>42922</v>
      </c>
      <c r="AC823" s="165">
        <v>1134.1666666666667</v>
      </c>
      <c r="AD823" s="165">
        <v>821414715</v>
      </c>
      <c r="AE823" s="165">
        <v>724245.15650257154</v>
      </c>
      <c r="AF823" s="166">
        <v>13035376</v>
      </c>
      <c r="AG823" s="11">
        <v>-165529014</v>
      </c>
      <c r="AH823" s="12">
        <v>-5.6666666666665151</v>
      </c>
      <c r="AI823" s="133">
        <v>0</v>
      </c>
      <c r="AJ823" s="133">
        <v>0</v>
      </c>
      <c r="AK823" s="126">
        <v>0.15</v>
      </c>
      <c r="AL823" s="13">
        <v>-0.16356044180934537</v>
      </c>
      <c r="AM823" s="14">
        <v>0</v>
      </c>
      <c r="AN823" s="14">
        <v>-1</v>
      </c>
      <c r="AO823" s="82">
        <v>452639.86226056446</v>
      </c>
      <c r="AP823" s="82">
        <v>525630.46201322554</v>
      </c>
      <c r="AQ823" s="82">
        <v>72990.599752661074</v>
      </c>
      <c r="AR823" s="129">
        <v>0.16125535075088826</v>
      </c>
    </row>
    <row r="824" spans="1:44" ht="28.8" x14ac:dyDescent="0.3">
      <c r="A824" s="136" t="s">
        <v>1096</v>
      </c>
      <c r="B824" s="137" t="s">
        <v>5594</v>
      </c>
      <c r="C824" s="134">
        <v>2019</v>
      </c>
      <c r="D824" s="149" t="s">
        <v>4777</v>
      </c>
      <c r="E824" s="135" t="s">
        <v>1152</v>
      </c>
      <c r="F824" s="384" t="s">
        <v>964</v>
      </c>
      <c r="G824" s="138" t="s">
        <v>4773</v>
      </c>
      <c r="H824" s="138" t="s">
        <v>3569</v>
      </c>
      <c r="I824" s="138" t="s">
        <v>3557</v>
      </c>
      <c r="J824" s="135" t="s">
        <v>4774</v>
      </c>
      <c r="K824" s="164">
        <v>2844930670</v>
      </c>
      <c r="L824" s="165">
        <v>1837682496</v>
      </c>
      <c r="M824" s="165">
        <v>868437027</v>
      </c>
      <c r="N824" s="165">
        <v>133853985</v>
      </c>
      <c r="O824" s="165">
        <v>512314386</v>
      </c>
      <c r="P824" s="165">
        <v>139986075</v>
      </c>
      <c r="Q824" s="165">
        <v>213719</v>
      </c>
      <c r="R824" s="165">
        <v>783.33333333333337</v>
      </c>
      <c r="S824" s="165">
        <v>925179312</v>
      </c>
      <c r="T824" s="165">
        <v>1181079.9727659575</v>
      </c>
      <c r="U824" s="166">
        <v>138811147</v>
      </c>
      <c r="V824" s="168">
        <v>4249408718</v>
      </c>
      <c r="W824" s="165">
        <v>2017852056</v>
      </c>
      <c r="X824" s="165">
        <v>1339148068</v>
      </c>
      <c r="Y824" s="165">
        <v>264283365</v>
      </c>
      <c r="Z824" s="165">
        <v>824519931</v>
      </c>
      <c r="AA824" s="165">
        <v>242653422</v>
      </c>
      <c r="AB824" s="165">
        <v>295090</v>
      </c>
      <c r="AC824" s="165">
        <v>949</v>
      </c>
      <c r="AD824" s="165">
        <v>2224160402</v>
      </c>
      <c r="AE824" s="165">
        <v>2343688.5163329821</v>
      </c>
      <c r="AF824" s="166">
        <v>892408594</v>
      </c>
      <c r="AG824" s="11">
        <v>1298981090</v>
      </c>
      <c r="AH824" s="12">
        <v>165.66666666666663</v>
      </c>
      <c r="AI824" s="133">
        <v>1</v>
      </c>
      <c r="AJ824" s="133">
        <v>0</v>
      </c>
      <c r="AK824" s="126">
        <v>0.15</v>
      </c>
      <c r="AL824" s="13">
        <v>0.98436056789617732</v>
      </c>
      <c r="AM824" s="14">
        <v>1</v>
      </c>
      <c r="AN824" s="14">
        <v>0</v>
      </c>
      <c r="AO824" s="82">
        <v>654018.36510638299</v>
      </c>
      <c r="AP824" s="82">
        <v>868830.27502634353</v>
      </c>
      <c r="AQ824" s="82">
        <v>214811.90991996054</v>
      </c>
      <c r="AR824" s="129">
        <v>0.3284493546064553</v>
      </c>
    </row>
    <row r="825" spans="1:44" ht="28.8" x14ac:dyDescent="0.3">
      <c r="A825" s="136" t="s">
        <v>1097</v>
      </c>
      <c r="B825" s="137" t="s">
        <v>5595</v>
      </c>
      <c r="C825" s="134">
        <v>2019</v>
      </c>
      <c r="D825" s="149" t="s">
        <v>1118</v>
      </c>
      <c r="E825" s="135" t="s">
        <v>1117</v>
      </c>
      <c r="F825" s="384" t="s">
        <v>1098</v>
      </c>
      <c r="G825" s="138" t="s">
        <v>4773</v>
      </c>
      <c r="H825" s="138" t="s">
        <v>3336</v>
      </c>
      <c r="I825" s="138" t="s">
        <v>1566</v>
      </c>
      <c r="J825" s="135" t="s">
        <v>4774</v>
      </c>
      <c r="K825" s="164">
        <v>3308050761</v>
      </c>
      <c r="L825" s="165">
        <v>3077720375</v>
      </c>
      <c r="M825" s="165">
        <v>65508673</v>
      </c>
      <c r="N825" s="165">
        <v>26090949</v>
      </c>
      <c r="O825" s="165">
        <v>117909963</v>
      </c>
      <c r="P825" s="165">
        <v>33101800</v>
      </c>
      <c r="Q825" s="165">
        <v>3102409</v>
      </c>
      <c r="R825" s="165">
        <v>359.75</v>
      </c>
      <c r="S825" s="165">
        <v>345026834</v>
      </c>
      <c r="T825" s="165">
        <v>959073.89576094504</v>
      </c>
      <c r="U825" s="166">
        <v>164821713</v>
      </c>
      <c r="V825" s="168">
        <v>5068092055</v>
      </c>
      <c r="W825" s="165">
        <v>4578876196</v>
      </c>
      <c r="X825" s="165">
        <v>98237509</v>
      </c>
      <c r="Y825" s="165">
        <v>27384489</v>
      </c>
      <c r="Z825" s="165">
        <v>107177202.77000001</v>
      </c>
      <c r="AA825" s="165">
        <v>32217400.100000001</v>
      </c>
      <c r="AB825" s="165">
        <v>2621939</v>
      </c>
      <c r="AC825" s="165">
        <v>328.58333333333331</v>
      </c>
      <c r="AD825" s="165">
        <v>560379380.87</v>
      </c>
      <c r="AE825" s="165">
        <v>1705440.672188689</v>
      </c>
      <c r="AF825" s="166">
        <v>390978350</v>
      </c>
      <c r="AG825" s="11">
        <v>215352546.87</v>
      </c>
      <c r="AH825" s="12">
        <v>-31.166666666666686</v>
      </c>
      <c r="AI825" s="133">
        <v>1</v>
      </c>
      <c r="AJ825" s="133">
        <v>1</v>
      </c>
      <c r="AK825" s="126">
        <v>0.15</v>
      </c>
      <c r="AL825" s="13">
        <v>0.77821612078068214</v>
      </c>
      <c r="AM825" s="14">
        <v>1</v>
      </c>
      <c r="AN825" s="14">
        <v>0</v>
      </c>
      <c r="AO825" s="82">
        <v>327755.28283530229</v>
      </c>
      <c r="AP825" s="82">
        <v>326179.66858737008</v>
      </c>
      <c r="AQ825" s="82">
        <v>-1575.6142479322152</v>
      </c>
      <c r="AR825" s="129">
        <v>-4.8072886401772097E-3</v>
      </c>
    </row>
    <row r="826" spans="1:44" ht="28.8" x14ac:dyDescent="0.3">
      <c r="A826" s="136" t="s">
        <v>1099</v>
      </c>
      <c r="B826" s="137" t="s">
        <v>5596</v>
      </c>
      <c r="C826" s="134">
        <v>2019</v>
      </c>
      <c r="D826" s="149" t="s">
        <v>1118</v>
      </c>
      <c r="E826" s="135" t="s">
        <v>1117</v>
      </c>
      <c r="F826" s="384" t="s">
        <v>1098</v>
      </c>
      <c r="G826" s="138" t="s">
        <v>4773</v>
      </c>
      <c r="H826" s="138" t="s">
        <v>1573</v>
      </c>
      <c r="I826" s="138" t="s">
        <v>1566</v>
      </c>
      <c r="J826" s="135" t="s">
        <v>4774</v>
      </c>
      <c r="K826" s="164">
        <v>2589572146</v>
      </c>
      <c r="L826" s="165">
        <v>2178279027</v>
      </c>
      <c r="M826" s="165">
        <v>319729979</v>
      </c>
      <c r="N826" s="165">
        <v>22262632</v>
      </c>
      <c r="O826" s="165">
        <v>215356759</v>
      </c>
      <c r="P826" s="165">
        <v>56194244</v>
      </c>
      <c r="Q826" s="165">
        <v>0</v>
      </c>
      <c r="R826" s="165">
        <v>619.08333333333337</v>
      </c>
      <c r="S826" s="165">
        <v>385376775</v>
      </c>
      <c r="T826" s="165">
        <v>622495.80024229363</v>
      </c>
      <c r="U826" s="166">
        <v>91563140</v>
      </c>
      <c r="V826" s="168">
        <v>3287699102</v>
      </c>
      <c r="W826" s="165">
        <v>2853789157</v>
      </c>
      <c r="X826" s="165">
        <v>398131542</v>
      </c>
      <c r="Y826" s="165">
        <v>42384375</v>
      </c>
      <c r="Z826" s="165">
        <v>290833059.70000005</v>
      </c>
      <c r="AA826" s="165">
        <v>83581639.549999997</v>
      </c>
      <c r="AB826" s="165">
        <v>0</v>
      </c>
      <c r="AC826" s="165">
        <v>692.75</v>
      </c>
      <c r="AD826" s="165">
        <v>452577477.25000006</v>
      </c>
      <c r="AE826" s="165">
        <v>653305.63298448222</v>
      </c>
      <c r="AF826" s="166">
        <v>35778403</v>
      </c>
      <c r="AG826" s="11">
        <v>67200702.25000006</v>
      </c>
      <c r="AH826" s="12">
        <v>73.666666666666629</v>
      </c>
      <c r="AI826" s="133">
        <v>0</v>
      </c>
      <c r="AJ826" s="133">
        <v>1</v>
      </c>
      <c r="AK826" s="126">
        <v>0.15</v>
      </c>
      <c r="AL826" s="13">
        <v>4.9494036746914549E-2</v>
      </c>
      <c r="AM826" s="14">
        <v>0</v>
      </c>
      <c r="AN826" s="14">
        <v>-1</v>
      </c>
      <c r="AO826" s="82">
        <v>347863.92623502488</v>
      </c>
      <c r="AP826" s="82">
        <v>419823.9764705883</v>
      </c>
      <c r="AQ826" s="82">
        <v>71960.050235563423</v>
      </c>
      <c r="AR826" s="129">
        <v>0.2068626402697058</v>
      </c>
    </row>
    <row r="827" spans="1:44" ht="28.8" x14ac:dyDescent="0.3">
      <c r="A827" s="136" t="s">
        <v>1100</v>
      </c>
      <c r="B827" s="137" t="s">
        <v>5597</v>
      </c>
      <c r="C827" s="134">
        <v>2020</v>
      </c>
      <c r="D827" s="149" t="s">
        <v>1118</v>
      </c>
      <c r="E827" s="135" t="s">
        <v>1117</v>
      </c>
      <c r="F827" s="384" t="s">
        <v>1098</v>
      </c>
      <c r="G827" s="138" t="s">
        <v>4773</v>
      </c>
      <c r="H827" s="138" t="s">
        <v>1706</v>
      </c>
      <c r="I827" s="138" t="s">
        <v>1566</v>
      </c>
      <c r="J827" s="135" t="s">
        <v>4774</v>
      </c>
      <c r="K827" s="164">
        <v>2245431474</v>
      </c>
      <c r="L827" s="165">
        <v>1904014549</v>
      </c>
      <c r="M827" s="165">
        <v>329128004</v>
      </c>
      <c r="N827" s="165">
        <v>21718012</v>
      </c>
      <c r="O827" s="165">
        <v>32604118.140000001</v>
      </c>
      <c r="P827" s="165">
        <v>7948669.120000001</v>
      </c>
      <c r="Q827" s="165">
        <v>0</v>
      </c>
      <c r="R827" s="165">
        <v>179.25</v>
      </c>
      <c r="S827" s="165">
        <v>74559720.260000005</v>
      </c>
      <c r="T827" s="165">
        <v>415953.8089818689</v>
      </c>
      <c r="U827" s="166">
        <v>12288921</v>
      </c>
      <c r="V827" s="168">
        <v>1881624079</v>
      </c>
      <c r="W827" s="165">
        <v>1750569198</v>
      </c>
      <c r="X827" s="165">
        <v>128297150</v>
      </c>
      <c r="Y827" s="165">
        <v>40785115</v>
      </c>
      <c r="Z827" s="165">
        <v>42970121.07</v>
      </c>
      <c r="AA827" s="165">
        <v>11799044.27</v>
      </c>
      <c r="AB827" s="165">
        <v>266391</v>
      </c>
      <c r="AC827" s="165">
        <v>210.33333333333334</v>
      </c>
      <c r="AD827" s="165">
        <v>98578402.339999989</v>
      </c>
      <c r="AE827" s="165">
        <v>468677.03172741673</v>
      </c>
      <c r="AF827" s="166">
        <v>2757731</v>
      </c>
      <c r="AG827" s="11">
        <v>24018682.079999983</v>
      </c>
      <c r="AH827" s="12">
        <v>31.083333333333343</v>
      </c>
      <c r="AI827" s="133">
        <v>1</v>
      </c>
      <c r="AJ827" s="133">
        <v>1</v>
      </c>
      <c r="AK827" s="126">
        <v>0.1</v>
      </c>
      <c r="AL827" s="13">
        <v>0.126752583417856</v>
      </c>
      <c r="AM827" s="14">
        <v>1</v>
      </c>
      <c r="AN827" s="14">
        <v>0</v>
      </c>
      <c r="AO827" s="82">
        <v>181891.87246861926</v>
      </c>
      <c r="AP827" s="82">
        <v>204295.3458161648</v>
      </c>
      <c r="AQ827" s="82">
        <v>22403.473347545543</v>
      </c>
      <c r="AR827" s="129">
        <v>0.12316918311680292</v>
      </c>
    </row>
    <row r="828" spans="1:44" ht="28.8" x14ac:dyDescent="0.3">
      <c r="A828" s="136" t="s">
        <v>1101</v>
      </c>
      <c r="B828" s="137" t="s">
        <v>5598</v>
      </c>
      <c r="C828" s="134">
        <v>2020</v>
      </c>
      <c r="D828" s="149" t="s">
        <v>1118</v>
      </c>
      <c r="E828" s="135" t="s">
        <v>1117</v>
      </c>
      <c r="F828" s="384" t="s">
        <v>1098</v>
      </c>
      <c r="G828" s="138" t="s">
        <v>4773</v>
      </c>
      <c r="H828" s="138" t="s">
        <v>1724</v>
      </c>
      <c r="I828" s="138" t="s">
        <v>1566</v>
      </c>
      <c r="J828" s="135" t="s">
        <v>4774</v>
      </c>
      <c r="K828" s="164">
        <v>8901950739</v>
      </c>
      <c r="L828" s="165">
        <v>5725751187</v>
      </c>
      <c r="M828" s="165">
        <v>1430855277</v>
      </c>
      <c r="N828" s="165">
        <v>199879133</v>
      </c>
      <c r="O828" s="165">
        <v>552071876.67999995</v>
      </c>
      <c r="P828" s="165">
        <v>137099986.34999999</v>
      </c>
      <c r="Q828" s="165">
        <v>13439892</v>
      </c>
      <c r="R828" s="165">
        <v>773.16666666666663</v>
      </c>
      <c r="S828" s="165">
        <v>2647835163.0299997</v>
      </c>
      <c r="T828" s="165">
        <v>3424662.8536710497</v>
      </c>
      <c r="U828" s="166">
        <v>1745344275</v>
      </c>
      <c r="V828" s="168">
        <v>10064877686</v>
      </c>
      <c r="W828" s="165">
        <v>7339798222</v>
      </c>
      <c r="X828" s="165">
        <v>1910399929</v>
      </c>
      <c r="Y828" s="165">
        <v>268003578</v>
      </c>
      <c r="Z828" s="165">
        <v>535385601.25</v>
      </c>
      <c r="AA828" s="165">
        <v>186983658.09</v>
      </c>
      <c r="AB828" s="165">
        <v>19429916</v>
      </c>
      <c r="AC828" s="165">
        <v>871.58333333333337</v>
      </c>
      <c r="AD828" s="165">
        <v>1824482288.3399999</v>
      </c>
      <c r="AE828" s="165">
        <v>2093296.4394378045</v>
      </c>
      <c r="AF828" s="166">
        <v>814679535</v>
      </c>
      <c r="AG828" s="11">
        <v>-823352874.68999982</v>
      </c>
      <c r="AH828" s="12">
        <v>98.416666666666742</v>
      </c>
      <c r="AI828" s="133">
        <v>0</v>
      </c>
      <c r="AJ828" s="133">
        <v>0</v>
      </c>
      <c r="AK828" s="126">
        <v>0.1</v>
      </c>
      <c r="AL828" s="13">
        <v>-0.38875838828922971</v>
      </c>
      <c r="AM828" s="14">
        <v>0</v>
      </c>
      <c r="AN828" s="14">
        <v>-1</v>
      </c>
      <c r="AO828" s="82">
        <v>714039.9353481353</v>
      </c>
      <c r="AP828" s="82">
        <v>614267.82818625111</v>
      </c>
      <c r="AQ828" s="82">
        <v>-99772.107161884196</v>
      </c>
      <c r="AR828" s="129">
        <v>-0.13972902946001131</v>
      </c>
    </row>
    <row r="829" spans="1:44" ht="28.8" x14ac:dyDescent="0.3">
      <c r="A829" s="136" t="s">
        <v>1102</v>
      </c>
      <c r="B829" s="137" t="s">
        <v>5599</v>
      </c>
      <c r="C829" s="134">
        <v>2020</v>
      </c>
      <c r="D829" s="149" t="s">
        <v>1118</v>
      </c>
      <c r="E829" s="135" t="s">
        <v>1117</v>
      </c>
      <c r="F829" s="384" t="s">
        <v>1098</v>
      </c>
      <c r="G829" s="138" t="s">
        <v>4773</v>
      </c>
      <c r="H829" s="138" t="s">
        <v>1401</v>
      </c>
      <c r="I829" s="138" t="s">
        <v>1217</v>
      </c>
      <c r="J829" s="135" t="s">
        <v>4778</v>
      </c>
      <c r="K829" s="164">
        <v>6742080304</v>
      </c>
      <c r="L829" s="165">
        <v>6527304487</v>
      </c>
      <c r="M829" s="165">
        <v>295149631</v>
      </c>
      <c r="N829" s="165">
        <v>516828702</v>
      </c>
      <c r="O829" s="165">
        <v>775910310.95999992</v>
      </c>
      <c r="P829" s="165">
        <v>202875623.46000001</v>
      </c>
      <c r="Q829" s="165">
        <v>0</v>
      </c>
      <c r="R829" s="165">
        <v>2037.1666666666667</v>
      </c>
      <c r="S829" s="165">
        <v>1415240822.4200001</v>
      </c>
      <c r="T829" s="165">
        <v>694710.37670948217</v>
      </c>
      <c r="U829" s="166">
        <v>-80373814</v>
      </c>
      <c r="V829" s="168">
        <v>7634673483</v>
      </c>
      <c r="W829" s="165">
        <v>7532916407</v>
      </c>
      <c r="X829" s="165">
        <v>278807675</v>
      </c>
      <c r="Y829" s="165">
        <v>606229461</v>
      </c>
      <c r="Z829" s="165">
        <v>569064658.83000004</v>
      </c>
      <c r="AA829" s="165">
        <v>173030272.31</v>
      </c>
      <c r="AB829" s="165">
        <v>0</v>
      </c>
      <c r="AC829" s="165">
        <v>1445</v>
      </c>
      <c r="AD829" s="165">
        <v>1171273793.1400001</v>
      </c>
      <c r="AE829" s="165">
        <v>810570.09905882366</v>
      </c>
      <c r="AF829" s="166">
        <v>-177050599</v>
      </c>
      <c r="AG829" s="11">
        <v>-243967029.27999997</v>
      </c>
      <c r="AH829" s="12">
        <v>-592.16666666666674</v>
      </c>
      <c r="AI829" s="133">
        <v>1</v>
      </c>
      <c r="AJ829" s="133">
        <v>1</v>
      </c>
      <c r="AK829" s="126">
        <v>0.1</v>
      </c>
      <c r="AL829" s="13">
        <v>0.16677413111345762</v>
      </c>
      <c r="AM829" s="14">
        <v>1</v>
      </c>
      <c r="AN829" s="14">
        <v>0</v>
      </c>
      <c r="AO829" s="82">
        <v>380877.18774114369</v>
      </c>
      <c r="AP829" s="82">
        <v>393816.37289273361</v>
      </c>
      <c r="AQ829" s="82">
        <v>12939.185151589918</v>
      </c>
      <c r="AR829" s="129">
        <v>3.397206650345197E-2</v>
      </c>
    </row>
    <row r="830" spans="1:44" ht="28.8" x14ac:dyDescent="0.3">
      <c r="A830" s="136" t="s">
        <v>1103</v>
      </c>
      <c r="B830" s="137" t="s">
        <v>5600</v>
      </c>
      <c r="C830" s="134">
        <v>2020</v>
      </c>
      <c r="D830" s="149" t="s">
        <v>1118</v>
      </c>
      <c r="E830" s="135" t="s">
        <v>1117</v>
      </c>
      <c r="F830" s="384" t="s">
        <v>1098</v>
      </c>
      <c r="G830" s="138" t="s">
        <v>4773</v>
      </c>
      <c r="H830" s="138" t="s">
        <v>3339</v>
      </c>
      <c r="I830" s="138" t="s">
        <v>1566</v>
      </c>
      <c r="J830" s="135" t="s">
        <v>4774</v>
      </c>
      <c r="K830" s="164">
        <v>1975528372</v>
      </c>
      <c r="L830" s="165">
        <v>1494521963</v>
      </c>
      <c r="M830" s="165">
        <v>198736587</v>
      </c>
      <c r="N830" s="165">
        <v>8103712</v>
      </c>
      <c r="O830" s="165">
        <v>193228555.51999998</v>
      </c>
      <c r="P830" s="165">
        <v>52294095.840000004</v>
      </c>
      <c r="Q830" s="165">
        <v>41272</v>
      </c>
      <c r="R830" s="165">
        <v>443.16666666666669</v>
      </c>
      <c r="S830" s="165">
        <v>535937457.36000001</v>
      </c>
      <c r="T830" s="165">
        <v>1209336.1204061678</v>
      </c>
      <c r="U830" s="166">
        <v>282269822</v>
      </c>
      <c r="V830" s="168">
        <v>2329179147</v>
      </c>
      <c r="W830" s="165">
        <v>2032131301</v>
      </c>
      <c r="X830" s="165">
        <v>142362810</v>
      </c>
      <c r="Y830" s="165">
        <v>7375080</v>
      </c>
      <c r="Z830" s="165">
        <v>234319003.06</v>
      </c>
      <c r="AA830" s="165">
        <v>72156253.599999994</v>
      </c>
      <c r="AB830" s="165">
        <v>57039</v>
      </c>
      <c r="AC830" s="165">
        <v>474.83333333333331</v>
      </c>
      <c r="AD830" s="165">
        <v>468592411.65999997</v>
      </c>
      <c r="AE830" s="165">
        <v>986856.60581256577</v>
      </c>
      <c r="AF830" s="166">
        <v>154685036</v>
      </c>
      <c r="AG830" s="11">
        <v>-67345045.700000048</v>
      </c>
      <c r="AH830" s="12">
        <v>31.666666666666629</v>
      </c>
      <c r="AI830" s="133">
        <v>0</v>
      </c>
      <c r="AJ830" s="133">
        <v>0</v>
      </c>
      <c r="AK830" s="126">
        <v>0.1</v>
      </c>
      <c r="AL830" s="13">
        <v>-0.18396829989664087</v>
      </c>
      <c r="AM830" s="14">
        <v>0</v>
      </c>
      <c r="AN830" s="14">
        <v>-1</v>
      </c>
      <c r="AO830" s="82">
        <v>436017.80109815713</v>
      </c>
      <c r="AP830" s="82">
        <v>493476.31392067397</v>
      </c>
      <c r="AQ830" s="82">
        <v>57458.512822516845</v>
      </c>
      <c r="AR830" s="129">
        <v>0.13178019951892206</v>
      </c>
    </row>
  </sheetData>
  <sortState xmlns:xlrd2="http://schemas.microsoft.com/office/spreadsheetml/2017/richdata2" ref="A7:E532">
    <sortCondition ref="C7:C532"/>
    <sortCondition ref="D7:D532"/>
    <sortCondition ref="E7:E532"/>
  </sortState>
  <mergeCells count="3">
    <mergeCell ref="K5:U5"/>
    <mergeCell ref="V5:AF5"/>
    <mergeCell ref="AG5:AM5"/>
  </mergeCells>
  <phoneticPr fontId="7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4CE7-074D-4B88-B02F-2D7BE776A156}">
  <sheetPr codeName="Лист5" filterMode="1"/>
  <dimension ref="A1:H34"/>
  <sheetViews>
    <sheetView topLeftCell="A16" workbookViewId="0">
      <selection activeCell="H3" sqref="H3"/>
    </sheetView>
  </sheetViews>
  <sheetFormatPr defaultRowHeight="14.4" x14ac:dyDescent="0.3"/>
  <cols>
    <col min="1" max="2" width="18.33203125" bestFit="1" customWidth="1"/>
    <col min="3" max="3" width="0" hidden="1" customWidth="1"/>
    <col min="4" max="4" width="31.44140625" customWidth="1"/>
    <col min="5" max="5" width="14.5546875" customWidth="1"/>
    <col min="6" max="7" width="0" hidden="1" customWidth="1"/>
    <col min="8" max="8" width="153.109375" customWidth="1"/>
  </cols>
  <sheetData>
    <row r="1" spans="1:8" ht="58.8" thickTop="1" thickBot="1" x14ac:dyDescent="0.35">
      <c r="A1" s="258" t="s">
        <v>83</v>
      </c>
      <c r="B1" s="258" t="s">
        <v>82</v>
      </c>
      <c r="C1" s="258" t="s">
        <v>79</v>
      </c>
      <c r="D1" s="258" t="s">
        <v>80</v>
      </c>
      <c r="E1" s="258" t="s">
        <v>1104</v>
      </c>
      <c r="F1" s="258" t="s">
        <v>1105</v>
      </c>
      <c r="G1" s="259" t="s">
        <v>1106</v>
      </c>
      <c r="H1" s="260" t="s">
        <v>1107</v>
      </c>
    </row>
    <row r="2" spans="1:8" ht="15" hidden="1" thickTop="1" x14ac:dyDescent="0.3">
      <c r="A2" s="261" t="s">
        <v>1108</v>
      </c>
      <c r="B2" s="262" t="s">
        <v>1109</v>
      </c>
      <c r="C2" s="263" t="s">
        <v>405</v>
      </c>
      <c r="D2" s="262" t="s">
        <v>1110</v>
      </c>
      <c r="E2" s="264">
        <v>0.70278056045313742</v>
      </c>
      <c r="F2" s="265">
        <v>44246</v>
      </c>
      <c r="G2" s="266">
        <v>44369</v>
      </c>
      <c r="H2" s="267"/>
    </row>
    <row r="3" spans="1:8" ht="83.4" thickTop="1" x14ac:dyDescent="0.3">
      <c r="A3" s="268" t="s">
        <v>1108</v>
      </c>
      <c r="B3" s="269" t="s">
        <v>1111</v>
      </c>
      <c r="C3" s="270" t="s">
        <v>773</v>
      </c>
      <c r="D3" s="269" t="s">
        <v>1112</v>
      </c>
      <c r="E3" s="271">
        <v>-0.16977110932656314</v>
      </c>
      <c r="F3" s="272">
        <v>44239</v>
      </c>
      <c r="G3" s="273">
        <v>44271</v>
      </c>
      <c r="H3" s="274" t="s">
        <v>1113</v>
      </c>
    </row>
    <row r="4" spans="1:8" ht="28.2" thickBot="1" x14ac:dyDescent="0.35">
      <c r="A4" s="275" t="s">
        <v>1108</v>
      </c>
      <c r="B4" s="276" t="s">
        <v>1114</v>
      </c>
      <c r="C4" s="277" t="s">
        <v>993</v>
      </c>
      <c r="D4" s="276" t="s">
        <v>1115</v>
      </c>
      <c r="E4" s="278">
        <v>-0.50853211697624423</v>
      </c>
      <c r="F4" s="279">
        <v>44232</v>
      </c>
      <c r="G4" s="280">
        <v>44306</v>
      </c>
      <c r="H4" s="281" t="s">
        <v>1116</v>
      </c>
    </row>
    <row r="5" spans="1:8" ht="28.2" hidden="1" thickTop="1" x14ac:dyDescent="0.3">
      <c r="A5" s="282" t="s">
        <v>1117</v>
      </c>
      <c r="B5" s="283" t="s">
        <v>1118</v>
      </c>
      <c r="C5" s="284" t="s">
        <v>777</v>
      </c>
      <c r="D5" s="283" t="s">
        <v>1119</v>
      </c>
      <c r="E5" s="285">
        <v>0.89381136119950932</v>
      </c>
      <c r="F5" s="286">
        <v>44285</v>
      </c>
      <c r="G5" s="287">
        <v>44328</v>
      </c>
      <c r="H5" s="267"/>
    </row>
    <row r="6" spans="1:8" ht="15" hidden="1" thickTop="1" x14ac:dyDescent="0.3">
      <c r="A6" s="288" t="s">
        <v>1117</v>
      </c>
      <c r="B6" s="289" t="s">
        <v>1120</v>
      </c>
      <c r="C6" s="290" t="s">
        <v>162</v>
      </c>
      <c r="D6" s="289" t="s">
        <v>1121</v>
      </c>
      <c r="E6" s="291">
        <v>0.35209816071732569</v>
      </c>
      <c r="F6" s="292">
        <v>44286</v>
      </c>
      <c r="G6" s="293">
        <v>44336</v>
      </c>
      <c r="H6" s="294"/>
    </row>
    <row r="7" spans="1:8" ht="28.2" hidden="1" thickTop="1" x14ac:dyDescent="0.3">
      <c r="A7" s="288" t="s">
        <v>1117</v>
      </c>
      <c r="B7" s="289" t="s">
        <v>1122</v>
      </c>
      <c r="C7" s="290" t="s">
        <v>901</v>
      </c>
      <c r="D7" s="289" t="s">
        <v>1123</v>
      </c>
      <c r="E7" s="291">
        <v>0.26234650931339787</v>
      </c>
      <c r="F7" s="292">
        <v>44256</v>
      </c>
      <c r="G7" s="293">
        <v>44285</v>
      </c>
      <c r="H7" s="294"/>
    </row>
    <row r="8" spans="1:8" ht="15" hidden="1" thickTop="1" x14ac:dyDescent="0.3">
      <c r="A8" s="295" t="s">
        <v>1117</v>
      </c>
      <c r="B8" s="296" t="s">
        <v>1120</v>
      </c>
      <c r="C8" s="297" t="s">
        <v>318</v>
      </c>
      <c r="D8" s="296" t="s">
        <v>1124</v>
      </c>
      <c r="E8" s="298">
        <v>0.25671366845780086</v>
      </c>
      <c r="F8" s="299">
        <v>44285</v>
      </c>
      <c r="G8" s="300">
        <v>44386</v>
      </c>
      <c r="H8" s="294"/>
    </row>
    <row r="9" spans="1:8" ht="28.2" thickTop="1" x14ac:dyDescent="0.3">
      <c r="A9" s="301" t="s">
        <v>1117</v>
      </c>
      <c r="B9" s="302" t="s">
        <v>1125</v>
      </c>
      <c r="C9" s="303" t="s">
        <v>505</v>
      </c>
      <c r="D9" s="302" t="s">
        <v>1126</v>
      </c>
      <c r="E9" s="304">
        <v>-0.11285432308077692</v>
      </c>
      <c r="F9" s="305">
        <v>44252</v>
      </c>
      <c r="G9" s="306">
        <v>44281</v>
      </c>
      <c r="H9" s="274" t="s">
        <v>1127</v>
      </c>
    </row>
    <row r="10" spans="1:8" ht="42" thickBot="1" x14ac:dyDescent="0.35">
      <c r="A10" s="275" t="s">
        <v>1117</v>
      </c>
      <c r="B10" s="276" t="s">
        <v>1128</v>
      </c>
      <c r="C10" s="277" t="s">
        <v>506</v>
      </c>
      <c r="D10" s="276" t="s">
        <v>1129</v>
      </c>
      <c r="E10" s="278">
        <v>-0.38956422600762119</v>
      </c>
      <c r="F10" s="279">
        <v>44256</v>
      </c>
      <c r="G10" s="280">
        <v>44316</v>
      </c>
      <c r="H10" s="281" t="s">
        <v>1130</v>
      </c>
    </row>
    <row r="11" spans="1:8" ht="15" hidden="1" thickTop="1" x14ac:dyDescent="0.3">
      <c r="A11" s="282" t="s">
        <v>1131</v>
      </c>
      <c r="B11" s="282" t="s">
        <v>1132</v>
      </c>
      <c r="C11" s="284" t="s">
        <v>774</v>
      </c>
      <c r="D11" s="307" t="s">
        <v>1133</v>
      </c>
      <c r="E11" s="308">
        <v>0.27650000000000002</v>
      </c>
      <c r="F11" s="309">
        <v>44490</v>
      </c>
      <c r="G11" s="310">
        <v>44508</v>
      </c>
      <c r="H11" s="311"/>
    </row>
    <row r="12" spans="1:8" ht="55.8" thickTop="1" x14ac:dyDescent="0.3">
      <c r="A12" s="268" t="s">
        <v>1131</v>
      </c>
      <c r="B12" s="268" t="s">
        <v>1134</v>
      </c>
      <c r="C12" s="270" t="s">
        <v>847</v>
      </c>
      <c r="D12" s="312" t="s">
        <v>1135</v>
      </c>
      <c r="E12" s="313">
        <v>5.0299999999999997E-2</v>
      </c>
      <c r="F12" s="314">
        <v>44252</v>
      </c>
      <c r="G12" s="315">
        <v>44272</v>
      </c>
      <c r="H12" s="274" t="s">
        <v>1136</v>
      </c>
    </row>
    <row r="13" spans="1:8" ht="28.2" thickBot="1" x14ac:dyDescent="0.35">
      <c r="A13" s="275" t="s">
        <v>1131</v>
      </c>
      <c r="B13" s="275" t="s">
        <v>1137</v>
      </c>
      <c r="C13" s="277" t="s">
        <v>845</v>
      </c>
      <c r="D13" s="316" t="s">
        <v>1138</v>
      </c>
      <c r="E13" s="317">
        <v>-1.99</v>
      </c>
      <c r="F13" s="318">
        <v>44284</v>
      </c>
      <c r="G13" s="319">
        <v>44312</v>
      </c>
      <c r="H13" s="281" t="s">
        <v>1139</v>
      </c>
    </row>
    <row r="14" spans="1:8" ht="15" hidden="1" thickTop="1" x14ac:dyDescent="0.3">
      <c r="A14" s="282" t="s">
        <v>1140</v>
      </c>
      <c r="B14" s="282" t="s">
        <v>1141</v>
      </c>
      <c r="C14" s="284" t="s">
        <v>374</v>
      </c>
      <c r="D14" s="307" t="s">
        <v>1142</v>
      </c>
      <c r="E14" s="308">
        <v>0.2636</v>
      </c>
      <c r="F14" s="309">
        <v>44256</v>
      </c>
      <c r="G14" s="310">
        <v>44285</v>
      </c>
      <c r="H14" s="267"/>
    </row>
    <row r="15" spans="1:8" ht="28.2" thickTop="1" x14ac:dyDescent="0.3">
      <c r="A15" s="268" t="s">
        <v>1140</v>
      </c>
      <c r="B15" s="268" t="s">
        <v>1143</v>
      </c>
      <c r="C15" s="270" t="s">
        <v>589</v>
      </c>
      <c r="D15" s="312" t="s">
        <v>1144</v>
      </c>
      <c r="E15" s="313">
        <v>3.15E-2</v>
      </c>
      <c r="F15" s="314">
        <v>44256</v>
      </c>
      <c r="G15" s="315">
        <v>44285</v>
      </c>
      <c r="H15" s="274" t="s">
        <v>1145</v>
      </c>
    </row>
    <row r="16" spans="1:8" ht="27.6" x14ac:dyDescent="0.3">
      <c r="A16" s="268" t="s">
        <v>1140</v>
      </c>
      <c r="B16" s="268" t="s">
        <v>1146</v>
      </c>
      <c r="C16" s="270" t="s">
        <v>436</v>
      </c>
      <c r="D16" s="312" t="s">
        <v>1147</v>
      </c>
      <c r="E16" s="313">
        <v>-0.12180000000000001</v>
      </c>
      <c r="F16" s="314">
        <v>44246</v>
      </c>
      <c r="G16" s="315">
        <v>44285</v>
      </c>
      <c r="H16" s="274" t="s">
        <v>1148</v>
      </c>
    </row>
    <row r="17" spans="1:8" ht="28.2" thickBot="1" x14ac:dyDescent="0.35">
      <c r="A17" s="275" t="s">
        <v>1140</v>
      </c>
      <c r="B17" s="275" t="s">
        <v>1149</v>
      </c>
      <c r="C17" s="277" t="s">
        <v>644</v>
      </c>
      <c r="D17" s="316" t="s">
        <v>1150</v>
      </c>
      <c r="E17" s="320">
        <v>-0.22939999999999999</v>
      </c>
      <c r="F17" s="321">
        <v>44271</v>
      </c>
      <c r="G17" s="322">
        <v>44335</v>
      </c>
      <c r="H17" s="281" t="s">
        <v>1151</v>
      </c>
    </row>
    <row r="18" spans="1:8" ht="28.2" hidden="1" thickTop="1" x14ac:dyDescent="0.3">
      <c r="A18" s="282" t="s">
        <v>1152</v>
      </c>
      <c r="B18" s="282" t="s">
        <v>1153</v>
      </c>
      <c r="C18" s="284" t="s">
        <v>591</v>
      </c>
      <c r="D18" s="307" t="s">
        <v>1154</v>
      </c>
      <c r="E18" s="308">
        <v>1.838747574708504</v>
      </c>
      <c r="F18" s="309">
        <v>44232</v>
      </c>
      <c r="G18" s="310">
        <v>44291</v>
      </c>
      <c r="H18" s="311"/>
    </row>
    <row r="19" spans="1:8" ht="15" hidden="1" thickTop="1" x14ac:dyDescent="0.3">
      <c r="A19" s="295" t="s">
        <v>1152</v>
      </c>
      <c r="B19" s="295" t="s">
        <v>1155</v>
      </c>
      <c r="C19" s="297" t="s">
        <v>193</v>
      </c>
      <c r="D19" s="323" t="s">
        <v>1156</v>
      </c>
      <c r="E19" s="324">
        <v>0.98579260638581268</v>
      </c>
      <c r="F19" s="325">
        <v>44246</v>
      </c>
      <c r="G19" s="326">
        <v>44278</v>
      </c>
      <c r="H19" s="327"/>
    </row>
    <row r="20" spans="1:8" ht="15" hidden="1" thickTop="1" x14ac:dyDescent="0.3">
      <c r="A20" s="295" t="s">
        <v>1152</v>
      </c>
      <c r="B20" s="295" t="s">
        <v>1157</v>
      </c>
      <c r="C20" s="297" t="s">
        <v>191</v>
      </c>
      <c r="D20" s="323" t="s">
        <v>1158</v>
      </c>
      <c r="E20" s="324">
        <v>0.95778772105879062</v>
      </c>
      <c r="F20" s="325">
        <v>44239</v>
      </c>
      <c r="G20" s="326">
        <v>44271</v>
      </c>
      <c r="H20" s="327"/>
    </row>
    <row r="21" spans="1:8" ht="15" hidden="1" thickTop="1" x14ac:dyDescent="0.3">
      <c r="A21" s="295" t="s">
        <v>1152</v>
      </c>
      <c r="B21" s="295" t="s">
        <v>1159</v>
      </c>
      <c r="C21" s="297" t="s">
        <v>647</v>
      </c>
      <c r="D21" s="323" t="s">
        <v>1160</v>
      </c>
      <c r="E21" s="324">
        <v>0.53828748979915142</v>
      </c>
      <c r="F21" s="325">
        <v>44270</v>
      </c>
      <c r="G21" s="326">
        <v>44298</v>
      </c>
      <c r="H21" s="294"/>
    </row>
    <row r="22" spans="1:8" ht="55.8" hidden="1" thickTop="1" x14ac:dyDescent="0.3">
      <c r="A22" s="295" t="s">
        <v>1152</v>
      </c>
      <c r="B22" s="295" t="s">
        <v>1161</v>
      </c>
      <c r="C22" s="297" t="s">
        <v>995</v>
      </c>
      <c r="D22" s="323" t="s">
        <v>1162</v>
      </c>
      <c r="E22" s="324">
        <v>0.24235210033701948</v>
      </c>
      <c r="F22" s="325">
        <v>44222</v>
      </c>
      <c r="G22" s="326">
        <v>44251</v>
      </c>
      <c r="H22" s="327"/>
    </row>
    <row r="23" spans="1:8" ht="28.2" hidden="1" thickTop="1" x14ac:dyDescent="0.3">
      <c r="A23" s="295" t="s">
        <v>1152</v>
      </c>
      <c r="B23" s="295" t="s">
        <v>1163</v>
      </c>
      <c r="C23" s="297" t="s">
        <v>994</v>
      </c>
      <c r="D23" s="323" t="s">
        <v>1164</v>
      </c>
      <c r="E23" s="328">
        <v>0.19295896840278015</v>
      </c>
      <c r="F23" s="329">
        <v>44257</v>
      </c>
      <c r="G23" s="330">
        <v>44315</v>
      </c>
      <c r="H23" s="327"/>
    </row>
    <row r="24" spans="1:8" ht="15" hidden="1" thickTop="1" x14ac:dyDescent="0.3">
      <c r="A24" s="295" t="s">
        <v>1152</v>
      </c>
      <c r="B24" s="295" t="s">
        <v>1165</v>
      </c>
      <c r="C24" s="297" t="s">
        <v>848</v>
      </c>
      <c r="D24" s="323" t="s">
        <v>1166</v>
      </c>
      <c r="E24" s="324">
        <v>0.16578851134557637</v>
      </c>
      <c r="F24" s="325">
        <v>44256</v>
      </c>
      <c r="G24" s="326">
        <v>44307</v>
      </c>
      <c r="H24" s="327"/>
    </row>
    <row r="25" spans="1:8" ht="55.8" thickTop="1" x14ac:dyDescent="0.3">
      <c r="A25" s="268" t="s">
        <v>1152</v>
      </c>
      <c r="B25" s="268" t="s">
        <v>1167</v>
      </c>
      <c r="C25" s="270" t="s">
        <v>855</v>
      </c>
      <c r="D25" s="312" t="s">
        <v>1168</v>
      </c>
      <c r="E25" s="313">
        <v>7.22E-2</v>
      </c>
      <c r="F25" s="314">
        <v>44195</v>
      </c>
      <c r="G25" s="315">
        <v>44328</v>
      </c>
      <c r="H25" s="274" t="s">
        <v>1169</v>
      </c>
    </row>
    <row r="26" spans="1:8" ht="55.2" x14ac:dyDescent="0.3">
      <c r="A26" s="268" t="s">
        <v>1152</v>
      </c>
      <c r="B26" s="268" t="s">
        <v>1170</v>
      </c>
      <c r="C26" s="270" t="s">
        <v>861</v>
      </c>
      <c r="D26" s="312" t="s">
        <v>1171</v>
      </c>
      <c r="E26" s="313">
        <v>-1.8320024037302707E-3</v>
      </c>
      <c r="F26" s="314">
        <v>44247</v>
      </c>
      <c r="G26" s="315">
        <v>44270</v>
      </c>
      <c r="H26" s="274" t="s">
        <v>1172</v>
      </c>
    </row>
    <row r="27" spans="1:8" ht="111" thickBot="1" x14ac:dyDescent="0.35">
      <c r="A27" s="275" t="s">
        <v>1152</v>
      </c>
      <c r="B27" s="275" t="s">
        <v>1163</v>
      </c>
      <c r="C27" s="277" t="s">
        <v>646</v>
      </c>
      <c r="D27" s="316" t="s">
        <v>1173</v>
      </c>
      <c r="E27" s="320">
        <v>-0.12248543139713897</v>
      </c>
      <c r="F27" s="321">
        <v>44270</v>
      </c>
      <c r="G27" s="322">
        <v>44312</v>
      </c>
      <c r="H27" s="281" t="s">
        <v>1174</v>
      </c>
    </row>
    <row r="28" spans="1:8" ht="15" hidden="1" thickTop="1" x14ac:dyDescent="0.3">
      <c r="A28" s="282" t="s">
        <v>1175</v>
      </c>
      <c r="B28" s="282" t="s">
        <v>1176</v>
      </c>
      <c r="C28" s="284" t="s">
        <v>798</v>
      </c>
      <c r="D28" s="307" t="s">
        <v>1177</v>
      </c>
      <c r="E28" s="308">
        <v>0.77739999999999998</v>
      </c>
      <c r="F28" s="309">
        <v>44232</v>
      </c>
      <c r="G28" s="310">
        <v>44266</v>
      </c>
      <c r="H28" s="267"/>
    </row>
    <row r="29" spans="1:8" ht="28.2" thickTop="1" x14ac:dyDescent="0.3">
      <c r="A29" s="268" t="s">
        <v>1175</v>
      </c>
      <c r="B29" s="268" t="s">
        <v>1178</v>
      </c>
      <c r="C29" s="270" t="s">
        <v>587</v>
      </c>
      <c r="D29" s="312" t="s">
        <v>1179</v>
      </c>
      <c r="E29" s="313">
        <v>4.1200000000000001E-2</v>
      </c>
      <c r="F29" s="314">
        <v>44232</v>
      </c>
      <c r="G29" s="315">
        <v>44264</v>
      </c>
      <c r="H29" s="274" t="s">
        <v>1180</v>
      </c>
    </row>
    <row r="30" spans="1:8" ht="55.2" x14ac:dyDescent="0.3">
      <c r="A30" s="268" t="s">
        <v>1175</v>
      </c>
      <c r="B30" s="268" t="s">
        <v>1181</v>
      </c>
      <c r="C30" s="270" t="s">
        <v>271</v>
      </c>
      <c r="D30" s="312" t="s">
        <v>1182</v>
      </c>
      <c r="E30" s="313">
        <v>-2.93E-2</v>
      </c>
      <c r="F30" s="314">
        <v>44251</v>
      </c>
      <c r="G30" s="315">
        <v>44271</v>
      </c>
      <c r="H30" s="274" t="s">
        <v>1183</v>
      </c>
    </row>
    <row r="31" spans="1:8" ht="27.6" x14ac:dyDescent="0.3">
      <c r="A31" s="268" t="s">
        <v>1175</v>
      </c>
      <c r="B31" s="268" t="s">
        <v>1184</v>
      </c>
      <c r="C31" s="270" t="s">
        <v>135</v>
      </c>
      <c r="D31" s="312" t="s">
        <v>1185</v>
      </c>
      <c r="E31" s="313">
        <v>-5.2400000000000002E-2</v>
      </c>
      <c r="F31" s="314">
        <v>44239</v>
      </c>
      <c r="G31" s="315">
        <v>44272</v>
      </c>
      <c r="H31" s="274" t="s">
        <v>1186</v>
      </c>
    </row>
    <row r="32" spans="1:8" ht="27.6" x14ac:dyDescent="0.3">
      <c r="A32" s="268" t="s">
        <v>1175</v>
      </c>
      <c r="B32" s="268" t="s">
        <v>1187</v>
      </c>
      <c r="C32" s="270" t="s">
        <v>776</v>
      </c>
      <c r="D32" s="312" t="s">
        <v>1188</v>
      </c>
      <c r="E32" s="313">
        <v>-0.1105</v>
      </c>
      <c r="F32" s="314">
        <v>44285</v>
      </c>
      <c r="G32" s="315">
        <v>44316</v>
      </c>
      <c r="H32" s="274" t="s">
        <v>1189</v>
      </c>
    </row>
    <row r="33" spans="1:8" ht="15" thickBot="1" x14ac:dyDescent="0.35">
      <c r="A33" s="275" t="s">
        <v>1175</v>
      </c>
      <c r="B33" s="275" t="s">
        <v>1190</v>
      </c>
      <c r="C33" s="277" t="s">
        <v>172</v>
      </c>
      <c r="D33" s="316" t="s">
        <v>1191</v>
      </c>
      <c r="E33" s="320">
        <v>-0.79400000000000004</v>
      </c>
      <c r="F33" s="321">
        <v>44270</v>
      </c>
      <c r="G33" s="322">
        <v>44298</v>
      </c>
      <c r="H33" s="281" t="s">
        <v>1192</v>
      </c>
    </row>
    <row r="34" spans="1:8" ht="15" thickTop="1" x14ac:dyDescent="0.3"/>
  </sheetData>
  <autoFilter ref="A1:H33" xr:uid="{FCC04CE7-074D-4B88-B02F-2D7BE776A156}">
    <filterColumn colId="4">
      <colorFilter dxfId="60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2D11-FB95-4441-B998-6DECD1753403}">
  <sheetPr codeName="Лист6"/>
  <dimension ref="A1:L12"/>
  <sheetViews>
    <sheetView showGridLines="0" workbookViewId="0">
      <selection activeCell="H18" sqref="H18"/>
    </sheetView>
  </sheetViews>
  <sheetFormatPr defaultRowHeight="14.4" x14ac:dyDescent="0.3"/>
  <cols>
    <col min="2" max="2" width="17.33203125" bestFit="1" customWidth="1"/>
    <col min="3" max="3" width="10.5546875" customWidth="1"/>
    <col min="6" max="6" width="10.33203125" customWidth="1"/>
    <col min="10" max="10" width="17" customWidth="1"/>
  </cols>
  <sheetData>
    <row r="1" spans="1:12" ht="30" customHeight="1" x14ac:dyDescent="0.3">
      <c r="A1" s="407" t="s">
        <v>1193</v>
      </c>
      <c r="B1" s="407"/>
      <c r="C1" s="407"/>
      <c r="D1" s="407"/>
      <c r="E1" s="407"/>
      <c r="F1" s="407"/>
      <c r="G1" s="407"/>
      <c r="H1" s="407"/>
      <c r="I1" s="407"/>
      <c r="J1" s="407"/>
      <c r="K1" s="195"/>
    </row>
    <row r="2" spans="1:12" ht="27.75" customHeight="1" x14ac:dyDescent="0.3">
      <c r="A2" s="410" t="s">
        <v>1194</v>
      </c>
      <c r="B2" s="410" t="s">
        <v>83</v>
      </c>
      <c r="C2" s="411" t="s">
        <v>1195</v>
      </c>
      <c r="D2" s="412"/>
      <c r="E2" s="413"/>
      <c r="F2" s="411" t="s">
        <v>1196</v>
      </c>
      <c r="G2" s="412"/>
      <c r="H2" s="413"/>
      <c r="J2" s="177" t="s">
        <v>1197</v>
      </c>
    </row>
    <row r="3" spans="1:12" ht="28.8" x14ac:dyDescent="0.3">
      <c r="A3" s="410"/>
      <c r="B3" s="410"/>
      <c r="C3" s="177" t="s">
        <v>1198</v>
      </c>
      <c r="D3" s="177" t="s">
        <v>1199</v>
      </c>
      <c r="E3" s="178" t="s">
        <v>1200</v>
      </c>
      <c r="F3" s="177" t="s">
        <v>1198</v>
      </c>
      <c r="G3" s="177" t="s">
        <v>1199</v>
      </c>
      <c r="H3" s="177" t="s">
        <v>1200</v>
      </c>
      <c r="I3" s="179"/>
      <c r="J3" s="180" t="s">
        <v>1201</v>
      </c>
      <c r="L3" s="109"/>
    </row>
    <row r="4" spans="1:12" ht="24.9" customHeight="1" x14ac:dyDescent="0.3">
      <c r="A4" s="209" t="s">
        <v>1202</v>
      </c>
      <c r="B4" s="213" t="s">
        <v>1117</v>
      </c>
      <c r="C4" s="209">
        <f>COUNTIF(СводПТ[РМР],'По РМР'!$B4)-COUNTIFS(СводПТ[РМР],'По РМР'!$B4,СводПТ[Версия],"10/10/10")</f>
        <v>126</v>
      </c>
      <c r="D4" s="209">
        <f>COUNTIFS(СводПТ[РМР],'По РМР'!$B4,СводПТ[Выполнение цели (1-Да;0-Нет)],1)-COUNTIFS(СводПТ[РМР],'По РМР'!$B4,СводПТ[Версия],"10/10/10",СводПТ[Выполнение цели (1-Да;0-Нет)],1)</f>
        <v>77</v>
      </c>
      <c r="E4" s="210">
        <f t="shared" ref="E4:E9" si="0">IF(C4="","",D4/C4)</f>
        <v>0.61111111111111116</v>
      </c>
      <c r="F4" s="209">
        <f>COUNTIF(СводПТ[РМР],'По РМР'!$B4)</f>
        <v>132</v>
      </c>
      <c r="G4" s="209">
        <f>COUNTIFS(СводПТ[РМР],'По РМР'!$B4,СводПТ[Выполнение цели (1-Да;0-Нет)],1)</f>
        <v>81</v>
      </c>
      <c r="H4" s="210">
        <f t="shared" ref="H4:H9" si="1">IF(G4="","",ROUND(G4/F4,2))</f>
        <v>0.61</v>
      </c>
      <c r="I4" s="227">
        <f t="shared" ref="I4:I10" si="2">H4-J4</f>
        <v>-1.0000000000000009E-2</v>
      </c>
      <c r="J4" s="210">
        <v>0.62</v>
      </c>
      <c r="L4" s="109"/>
    </row>
    <row r="5" spans="1:12" ht="24.9" customHeight="1" x14ac:dyDescent="0.3">
      <c r="A5" s="211" t="s">
        <v>1203</v>
      </c>
      <c r="B5" s="215" t="s">
        <v>1152</v>
      </c>
      <c r="C5" s="211">
        <f>COUNTIF(СводПТ[РМР],'По РМР'!$B5)-COUNTIFS(СводПТ[РМР],'По РМР'!$B5,СводПТ[Версия],"10/10/10")</f>
        <v>212</v>
      </c>
      <c r="D5" s="211">
        <f>COUNTIFS(СводПТ[РМР],'По РМР'!$B5,СводПТ[Выполнение цели (1-Да;0-Нет)],1)-COUNTIFS(СводПТ[РМР],'По РМР'!$B5,СводПТ[Версия],"10/10/10",СводПТ[Выполнение цели (1-Да;0-Нет)],1)</f>
        <v>115</v>
      </c>
      <c r="E5" s="212">
        <f t="shared" si="0"/>
        <v>0.54245283018867929</v>
      </c>
      <c r="F5" s="211">
        <f>COUNTIF(СводПТ[РМР],'По РМР'!$B5)</f>
        <v>222</v>
      </c>
      <c r="G5" s="211">
        <f>COUNTIFS(СводПТ[РМР],'По РМР'!$B5,СводПТ[Выполнение цели (1-Да;0-Нет)],1)</f>
        <v>122</v>
      </c>
      <c r="H5" s="212">
        <f t="shared" si="1"/>
        <v>0.55000000000000004</v>
      </c>
      <c r="I5" s="227">
        <f t="shared" si="2"/>
        <v>9.0000000000000024E-2</v>
      </c>
      <c r="J5" s="212">
        <v>0.46</v>
      </c>
      <c r="L5" s="109"/>
    </row>
    <row r="6" spans="1:12" ht="24.9" customHeight="1" x14ac:dyDescent="0.3">
      <c r="A6" s="211" t="s">
        <v>1204</v>
      </c>
      <c r="B6" s="215" t="s">
        <v>1175</v>
      </c>
      <c r="C6" s="211">
        <f>COUNTIF(СводПТ[РМР],'По РМР'!$B6)-COUNTIFS(СводПТ[РМР],'По РМР'!$B6,СводПТ[Версия],"10/10/10")</f>
        <v>128</v>
      </c>
      <c r="D6" s="211">
        <f>COUNTIFS(СводПТ[РМР],'По РМР'!$B6,СводПТ[Выполнение цели (1-Да;0-Нет)],1)-COUNTIFS(СводПТ[РМР],'По РМР'!$B6,СводПТ[Версия],"10/10/10",СводПТ[Выполнение цели (1-Да;0-Нет)],1)</f>
        <v>68</v>
      </c>
      <c r="E6" s="212">
        <f t="shared" si="0"/>
        <v>0.53125</v>
      </c>
      <c r="F6" s="211">
        <f>COUNTIF(СводПТ[РМР],'По РМР'!$B6)</f>
        <v>134</v>
      </c>
      <c r="G6" s="211">
        <f>COUNTIFS(СводПТ[РМР],'По РМР'!$B6,СводПТ[Выполнение цели (1-Да;0-Нет)],1)</f>
        <v>69</v>
      </c>
      <c r="H6" s="212">
        <f t="shared" si="1"/>
        <v>0.51</v>
      </c>
      <c r="I6" s="227">
        <f t="shared" si="2"/>
        <v>3.0000000000000027E-2</v>
      </c>
      <c r="J6" s="212">
        <v>0.48</v>
      </c>
      <c r="L6" s="109"/>
    </row>
    <row r="7" spans="1:12" ht="24.9" customHeight="1" x14ac:dyDescent="0.3">
      <c r="A7" s="211" t="s">
        <v>1205</v>
      </c>
      <c r="B7" s="215" t="s">
        <v>1140</v>
      </c>
      <c r="C7" s="211">
        <f>COUNTIF(СводПТ[РМР],'По РМР'!$B7)-COUNTIFS(СводПТ[РМР],'По РМР'!$B7,СводПТ[Версия],"10/10/10")</f>
        <v>151</v>
      </c>
      <c r="D7" s="211">
        <f>COUNTIFS(СводПТ[РМР],'По РМР'!$B7,СводПТ[Выполнение цели (1-Да;0-Нет)],1)-COUNTIFS(СводПТ[РМР],'По РМР'!$B7,СводПТ[Версия],"10/10/10",СводПТ[Выполнение цели (1-Да;0-Нет)],1)</f>
        <v>78</v>
      </c>
      <c r="E7" s="212">
        <f t="shared" si="0"/>
        <v>0.51655629139072845</v>
      </c>
      <c r="F7" s="211">
        <f>COUNTIF(СводПТ[РМР],'По РМР'!$B7)</f>
        <v>155</v>
      </c>
      <c r="G7" s="211">
        <f>COUNTIFS(СводПТ[РМР],'По РМР'!$B7,СводПТ[Выполнение цели (1-Да;0-Нет)],1)</f>
        <v>79</v>
      </c>
      <c r="H7" s="212">
        <f t="shared" si="1"/>
        <v>0.51</v>
      </c>
      <c r="I7" s="227">
        <f t="shared" si="2"/>
        <v>8.0000000000000016E-2</v>
      </c>
      <c r="J7" s="212">
        <v>0.43</v>
      </c>
      <c r="L7" s="109"/>
    </row>
    <row r="8" spans="1:12" ht="24.9" customHeight="1" x14ac:dyDescent="0.3">
      <c r="A8" s="211" t="s">
        <v>1206</v>
      </c>
      <c r="B8" s="215" t="s">
        <v>1131</v>
      </c>
      <c r="C8" s="211">
        <f>COUNTIF(СводПТ[РМР],'По РМР'!$B8)-COUNTIFS(СводПТ[РМР],'По РМР'!$B8,СводПТ[Версия],"10/10/10")</f>
        <v>94</v>
      </c>
      <c r="D8" s="211">
        <f>COUNTIFS(СводПТ[РМР],'По РМР'!$B8,СводПТ[Выполнение цели (1-Да;0-Нет)],1)-COUNTIFS(СводПТ[РМР],'По РМР'!$B8,СводПТ[Версия],"10/10/10",СводПТ[Выполнение цели (1-Да;0-Нет)],1)</f>
        <v>55</v>
      </c>
      <c r="E8" s="212">
        <f t="shared" si="0"/>
        <v>0.58510638297872342</v>
      </c>
      <c r="F8" s="211">
        <f>COUNTIF(СводПТ[РМР],'По РМР'!$B8)</f>
        <v>97</v>
      </c>
      <c r="G8" s="211">
        <f>COUNTIFS(СводПТ[РМР],'По РМР'!$B8,СводПТ[Выполнение цели (1-Да;0-Нет)],1)</f>
        <v>56</v>
      </c>
      <c r="H8" s="212">
        <f t="shared" si="1"/>
        <v>0.57999999999999996</v>
      </c>
      <c r="I8" s="227">
        <f t="shared" si="2"/>
        <v>-0.10000000000000009</v>
      </c>
      <c r="J8" s="212">
        <v>0.68</v>
      </c>
      <c r="L8" s="109"/>
    </row>
    <row r="9" spans="1:12" ht="24.9" customHeight="1" x14ac:dyDescent="0.3">
      <c r="A9" s="211" t="s">
        <v>1207</v>
      </c>
      <c r="B9" s="215" t="s">
        <v>1108</v>
      </c>
      <c r="C9" s="211">
        <f>COUNTIF(СводПТ[РМР],'По РМР'!$B9)-COUNTIFS(СводПТ[РМР],'По РМР'!$B9,СводПТ[Версия],"10/10/10")</f>
        <v>81</v>
      </c>
      <c r="D9" s="211">
        <f>COUNTIFS(СводПТ[РМР],'По РМР'!$B9,СводПТ[Выполнение цели (1-Да;0-Нет)],1)-COUNTIFS(СводПТ[РМР],'По РМР'!$B9,СводПТ[Версия],"10/10/10",СводПТ[Выполнение цели (1-Да;0-Нет)],1)</f>
        <v>41</v>
      </c>
      <c r="E9" s="212">
        <f t="shared" si="0"/>
        <v>0.50617283950617287</v>
      </c>
      <c r="F9" s="211">
        <f>COUNTIF(СводПТ[РМР],'По РМР'!$B9)</f>
        <v>84</v>
      </c>
      <c r="G9" s="211">
        <f>COUNTIFS(СводПТ[РМР],'По РМР'!$B9,СводПТ[Выполнение цели (1-Да;0-Нет)],1)</f>
        <v>42</v>
      </c>
      <c r="H9" s="212">
        <f t="shared" si="1"/>
        <v>0.5</v>
      </c>
      <c r="I9" s="227">
        <f t="shared" si="2"/>
        <v>-2.0000000000000018E-2</v>
      </c>
      <c r="J9" s="212">
        <v>0.52</v>
      </c>
      <c r="L9" s="109"/>
    </row>
    <row r="10" spans="1:12" ht="24.9" customHeight="1" x14ac:dyDescent="0.3">
      <c r="A10" s="408" t="s">
        <v>28</v>
      </c>
      <c r="B10" s="409"/>
      <c r="C10" s="237">
        <f>SUM(C4:C9)</f>
        <v>792</v>
      </c>
      <c r="D10" s="237">
        <f>SUM(D4:D9)</f>
        <v>434</v>
      </c>
      <c r="E10" s="238">
        <f>D10/C10</f>
        <v>0.54797979797979801</v>
      </c>
      <c r="F10" s="237">
        <f>SUM(F4:F9)</f>
        <v>824</v>
      </c>
      <c r="G10" s="237">
        <f>SUM(G4:G9)</f>
        <v>449</v>
      </c>
      <c r="H10" s="239">
        <f>G10/F10</f>
        <v>0.54490291262135926</v>
      </c>
      <c r="I10" s="240">
        <f t="shared" si="2"/>
        <v>3.490291262135925E-2</v>
      </c>
      <c r="J10" s="238">
        <v>0.51</v>
      </c>
      <c r="L10" s="109"/>
    </row>
    <row r="11" spans="1:12" x14ac:dyDescent="0.3">
      <c r="L11" s="109"/>
    </row>
    <row r="12" spans="1:12" x14ac:dyDescent="0.3">
      <c r="L12" s="109"/>
    </row>
  </sheetData>
  <mergeCells count="6">
    <mergeCell ref="A1:J1"/>
    <mergeCell ref="A10:B10"/>
    <mergeCell ref="A2:A3"/>
    <mergeCell ref="B2:B3"/>
    <mergeCell ref="C2:E2"/>
    <mergeCell ref="F2:H2"/>
  </mergeCells>
  <conditionalFormatting sqref="H4:H9">
    <cfRule type="expression" dxfId="59" priority="7">
      <formula>AND(H4&gt;=0.5,H4&lt;&gt;"")</formula>
    </cfRule>
  </conditionalFormatting>
  <conditionalFormatting sqref="E4:E9">
    <cfRule type="expression" dxfId="58" priority="6">
      <formula>AND(E4&gt;=0.5,E4&lt;&gt;"")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00DE6D6-B819-4F81-BA2E-1B9CE05997C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I4:I10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6E6-E5F1-4BFA-8A90-1B749C2DF6E4}">
  <sheetPr codeName="Лист7"/>
  <dimension ref="A1:N55"/>
  <sheetViews>
    <sheetView showGridLines="0" topLeftCell="H1" workbookViewId="0">
      <selection activeCell="I3" sqref="I3"/>
    </sheetView>
  </sheetViews>
  <sheetFormatPr defaultRowHeight="14.4" x14ac:dyDescent="0.3"/>
  <cols>
    <col min="1" max="1" width="9.44140625" hidden="1" customWidth="1"/>
    <col min="2" max="2" width="25.6640625" hidden="1" customWidth="1"/>
    <col min="3" max="3" width="18" hidden="1" customWidth="1"/>
    <col min="4" max="6" width="17.6640625" hidden="1" customWidth="1"/>
    <col min="7" max="7" width="0" hidden="1" customWidth="1"/>
    <col min="9" max="9" width="9.44140625" customWidth="1"/>
    <col min="10" max="10" width="25.6640625" customWidth="1"/>
    <col min="11" max="11" width="18" bestFit="1" customWidth="1"/>
    <col min="12" max="14" width="17.6640625" customWidth="1"/>
  </cols>
  <sheetData>
    <row r="1" spans="1:14" ht="30" customHeight="1" x14ac:dyDescent="0.3">
      <c r="A1" s="414" t="s">
        <v>1208</v>
      </c>
      <c r="B1" s="414"/>
      <c r="C1" s="414"/>
      <c r="D1" s="414"/>
      <c r="E1" s="414"/>
      <c r="F1" s="414"/>
      <c r="G1" s="195"/>
      <c r="I1" s="414" t="s">
        <v>1208</v>
      </c>
      <c r="J1" s="414"/>
      <c r="K1" s="414"/>
      <c r="L1" s="414"/>
      <c r="M1" s="414"/>
      <c r="N1" s="414"/>
    </row>
    <row r="2" spans="1:14" ht="33.75" customHeight="1" x14ac:dyDescent="0.3">
      <c r="A2" s="177" t="s">
        <v>1209</v>
      </c>
      <c r="B2" s="177" t="s">
        <v>82</v>
      </c>
      <c r="C2" s="177" t="s">
        <v>83</v>
      </c>
      <c r="D2" s="177" t="s">
        <v>1210</v>
      </c>
      <c r="E2" s="177" t="s">
        <v>1211</v>
      </c>
      <c r="F2" s="177" t="s">
        <v>1200</v>
      </c>
      <c r="I2" s="374" t="s">
        <v>1209</v>
      </c>
      <c r="J2" s="374" t="s">
        <v>82</v>
      </c>
      <c r="K2" s="374" t="s">
        <v>83</v>
      </c>
      <c r="L2" s="374" t="s">
        <v>1210</v>
      </c>
      <c r="M2" s="374" t="s">
        <v>1211</v>
      </c>
      <c r="N2" s="374" t="s">
        <v>1200</v>
      </c>
    </row>
    <row r="3" spans="1:14" ht="15" customHeight="1" x14ac:dyDescent="0.3">
      <c r="A3" s="209">
        <f t="shared" ref="A3:A34" si="0">_xlfn.RANK.EQ(F3,F:F,0)</f>
        <v>2</v>
      </c>
      <c r="B3" s="214" t="str" cm="1">
        <f t="array" ref="B3:B55">_xlfn._xlws.SORT(_xlfn.UNIQUE(СводПТ[Регион]))</f>
        <v>Алтайский край</v>
      </c>
      <c r="C3" s="213" t="str" cm="1">
        <f t="array" ref="C3:C55">_xlfn.XLOOKUP(_xlfn.ANCHORARRAY(B3),СводПТ[Регион],СводПТ[РМР],"",0)</f>
        <v>Шурыгин Сергей</v>
      </c>
      <c r="D3" s="209">
        <f>COUNTIF(СводПТ[Регион],B3)</f>
        <v>26</v>
      </c>
      <c r="E3" s="209">
        <f>SUMIFS(СводПТ[Выполнение цели (1-Да;0-Нет)],СводПТ[Регион],B3)</f>
        <v>21</v>
      </c>
      <c r="F3" s="210">
        <f>E3/D3</f>
        <v>0.80769230769230771</v>
      </c>
      <c r="H3" s="109"/>
      <c r="I3" s="375" cm="1">
        <f t="array" ref="I3:N55">_xlfn._xlws.SORT(A3:F55,1,1)</f>
        <v>1</v>
      </c>
      <c r="J3" s="377" t="str">
        <v>Тульская область</v>
      </c>
      <c r="K3" s="377" t="str">
        <v>Пешев Игорь</v>
      </c>
      <c r="L3" s="375">
        <v>16</v>
      </c>
      <c r="M3" s="375">
        <v>13</v>
      </c>
      <c r="N3" s="383">
        <v>0.8125</v>
      </c>
    </row>
    <row r="4" spans="1:14" ht="15" customHeight="1" x14ac:dyDescent="0.3">
      <c r="A4" s="211">
        <f t="shared" si="0"/>
        <v>50</v>
      </c>
      <c r="B4" s="215" t="str">
        <v>Архангельская область</v>
      </c>
      <c r="C4" s="215" t="str">
        <v>Алев Игорь</v>
      </c>
      <c r="D4" s="211">
        <f>COUNTIF(СводПТ[Регион],B4)</f>
        <v>1</v>
      </c>
      <c r="E4" s="211">
        <f>SUMIFS(СводПТ[Выполнение цели (1-Да;0-Нет)],СводПТ[Регион],B4)</f>
        <v>0</v>
      </c>
      <c r="F4" s="212">
        <f t="shared" ref="F4:F55" si="1">E4/D4</f>
        <v>0</v>
      </c>
      <c r="H4" s="109"/>
      <c r="I4" s="375">
        <v>2</v>
      </c>
      <c r="J4" s="377" t="str">
        <v>Алтайский край</v>
      </c>
      <c r="K4" s="377" t="str">
        <v>Шурыгин Сергей</v>
      </c>
      <c r="L4" s="375">
        <v>26</v>
      </c>
      <c r="M4" s="375">
        <v>21</v>
      </c>
      <c r="N4" s="383">
        <v>0.80769230769230771</v>
      </c>
    </row>
    <row r="5" spans="1:14" ht="15" customHeight="1" x14ac:dyDescent="0.3">
      <c r="A5" s="211">
        <f t="shared" si="0"/>
        <v>5</v>
      </c>
      <c r="B5" s="215" t="str">
        <v>Белгородская область</v>
      </c>
      <c r="C5" s="215" t="str">
        <v>Гусаров Владимир</v>
      </c>
      <c r="D5" s="211">
        <f>COUNTIF(СводПТ[Регион],B5)</f>
        <v>24</v>
      </c>
      <c r="E5" s="211">
        <f>SUMIFS(СводПТ[Выполнение цели (1-Да;0-Нет)],СводПТ[Регион],B5)</f>
        <v>17</v>
      </c>
      <c r="F5" s="212">
        <f t="shared" si="1"/>
        <v>0.70833333333333337</v>
      </c>
      <c r="H5" s="109"/>
      <c r="I5" s="375">
        <v>3</v>
      </c>
      <c r="J5" s="377" t="str">
        <v>Новосибирская область</v>
      </c>
      <c r="K5" s="377" t="str">
        <v>Лапшин Виталий</v>
      </c>
      <c r="L5" s="375">
        <v>13</v>
      </c>
      <c r="M5" s="375">
        <v>10</v>
      </c>
      <c r="N5" s="383">
        <v>0.76923076923076927</v>
      </c>
    </row>
    <row r="6" spans="1:14" ht="15" customHeight="1" x14ac:dyDescent="0.3">
      <c r="A6" s="211">
        <f t="shared" si="0"/>
        <v>40</v>
      </c>
      <c r="B6" s="215" t="str">
        <v>Владимирская область</v>
      </c>
      <c r="C6" s="215" t="str">
        <v>Алев Игорь</v>
      </c>
      <c r="D6" s="211">
        <f>COUNTIF(СводПТ[Регион],B6)</f>
        <v>17</v>
      </c>
      <c r="E6" s="211">
        <f>SUMIFS(СводПТ[Выполнение цели (1-Да;0-Нет)],СводПТ[Регион],B6)</f>
        <v>7</v>
      </c>
      <c r="F6" s="212">
        <f t="shared" si="1"/>
        <v>0.41176470588235292</v>
      </c>
      <c r="H6" s="109"/>
      <c r="I6" s="375">
        <v>4</v>
      </c>
      <c r="J6" s="377" t="str">
        <v>Республика Бурятия</v>
      </c>
      <c r="K6" s="377" t="str">
        <v>Мякотин Павел</v>
      </c>
      <c r="L6" s="375">
        <v>4</v>
      </c>
      <c r="M6" s="375">
        <v>3</v>
      </c>
      <c r="N6" s="383">
        <v>0.75</v>
      </c>
    </row>
    <row r="7" spans="1:14" ht="15" customHeight="1" x14ac:dyDescent="0.3">
      <c r="A7" s="211">
        <f t="shared" si="0"/>
        <v>14</v>
      </c>
      <c r="B7" s="215" t="str">
        <v>Волгоградская область</v>
      </c>
      <c r="C7" s="215" t="str">
        <v>Пешев Игорь</v>
      </c>
      <c r="D7" s="211">
        <f>COUNTIF(СводПТ[Регион],B7)</f>
        <v>22</v>
      </c>
      <c r="E7" s="211">
        <f>SUMIFS(СводПТ[Выполнение цели (1-Да;0-Нет)],СводПТ[Регион],B7)</f>
        <v>14</v>
      </c>
      <c r="F7" s="212">
        <f t="shared" si="1"/>
        <v>0.63636363636363635</v>
      </c>
      <c r="H7" s="109"/>
      <c r="I7" s="375">
        <v>5</v>
      </c>
      <c r="J7" s="377" t="str">
        <v>Белгородская область</v>
      </c>
      <c r="K7" s="377" t="str">
        <v>Гусаров Владимир</v>
      </c>
      <c r="L7" s="375">
        <v>24</v>
      </c>
      <c r="M7" s="375">
        <v>17</v>
      </c>
      <c r="N7" s="383">
        <v>0.70833333333333337</v>
      </c>
    </row>
    <row r="8" spans="1:14" ht="15" customHeight="1" x14ac:dyDescent="0.3">
      <c r="A8" s="211">
        <f t="shared" si="0"/>
        <v>8</v>
      </c>
      <c r="B8" s="215" t="str">
        <v>Вологодская область</v>
      </c>
      <c r="C8" s="215" t="str">
        <v>Алев Игорь</v>
      </c>
      <c r="D8" s="211">
        <f>COUNTIF(СводПТ[Регион],B8)</f>
        <v>9</v>
      </c>
      <c r="E8" s="211">
        <f>SUMIFS(СводПТ[Выполнение цели (1-Да;0-Нет)],СводПТ[Регион],B8)</f>
        <v>6</v>
      </c>
      <c r="F8" s="212">
        <f t="shared" si="1"/>
        <v>0.66666666666666663</v>
      </c>
      <c r="H8" s="109"/>
      <c r="I8" s="375">
        <v>6</v>
      </c>
      <c r="J8" s="377" t="str">
        <v>Пензенская область</v>
      </c>
      <c r="K8" s="377" t="str">
        <v>Мякотин Павел</v>
      </c>
      <c r="L8" s="375">
        <v>16</v>
      </c>
      <c r="M8" s="375">
        <v>11</v>
      </c>
      <c r="N8" s="383">
        <v>0.6875</v>
      </c>
    </row>
    <row r="9" spans="1:14" ht="15" customHeight="1" x14ac:dyDescent="0.3">
      <c r="A9" s="211">
        <f t="shared" si="0"/>
        <v>43</v>
      </c>
      <c r="B9" s="215" t="str">
        <v>Воронежская область</v>
      </c>
      <c r="C9" s="215" t="str">
        <v>Лапшин Виталий</v>
      </c>
      <c r="D9" s="211">
        <f>COUNTIF(СводПТ[Регион],B9)</f>
        <v>10</v>
      </c>
      <c r="E9" s="211">
        <f>SUMIFS(СводПТ[Выполнение цели (1-Да;0-Нет)],СводПТ[Регион],B9)</f>
        <v>4</v>
      </c>
      <c r="F9" s="212">
        <f t="shared" si="1"/>
        <v>0.4</v>
      </c>
      <c r="H9" s="109"/>
      <c r="I9" s="375">
        <v>7</v>
      </c>
      <c r="J9" s="377" t="str">
        <v>Тюменская область</v>
      </c>
      <c r="K9" s="377" t="str">
        <v>Пешев Игорь</v>
      </c>
      <c r="L9" s="375">
        <v>19</v>
      </c>
      <c r="M9" s="375">
        <v>13</v>
      </c>
      <c r="N9" s="383">
        <v>0.68421052631578949</v>
      </c>
    </row>
    <row r="10" spans="1:14" ht="15" customHeight="1" x14ac:dyDescent="0.3">
      <c r="A10" s="211">
        <f t="shared" si="0"/>
        <v>21</v>
      </c>
      <c r="B10" s="215" t="str">
        <v>г. Санкт-Петербург</v>
      </c>
      <c r="C10" s="215" t="str">
        <v>Алев Игорь</v>
      </c>
      <c r="D10" s="211">
        <f>COUNTIF(СводПТ[Регион],B10)</f>
        <v>21</v>
      </c>
      <c r="E10" s="211">
        <f>SUMIFS(СводПТ[Выполнение цели (1-Да;0-Нет)],СводПТ[Регион],B10)</f>
        <v>12</v>
      </c>
      <c r="F10" s="212">
        <f t="shared" si="1"/>
        <v>0.5714285714285714</v>
      </c>
      <c r="H10" s="109"/>
      <c r="I10" s="375">
        <v>8</v>
      </c>
      <c r="J10" s="377" t="str">
        <v>Вологодская область</v>
      </c>
      <c r="K10" s="377" t="str">
        <v>Алев Игорь</v>
      </c>
      <c r="L10" s="375">
        <v>9</v>
      </c>
      <c r="M10" s="375">
        <v>6</v>
      </c>
      <c r="N10" s="383">
        <v>0.66666666666666663</v>
      </c>
    </row>
    <row r="11" spans="1:14" ht="15" customHeight="1" x14ac:dyDescent="0.3">
      <c r="A11" s="211">
        <f t="shared" si="0"/>
        <v>21</v>
      </c>
      <c r="B11" s="215" t="str">
        <v>Ивановская область</v>
      </c>
      <c r="C11" s="215" t="str">
        <v>Лапшин Виталий</v>
      </c>
      <c r="D11" s="211">
        <f>COUNTIF(СводПТ[Регион],B11)</f>
        <v>14</v>
      </c>
      <c r="E11" s="211">
        <f>SUMIFS(СводПТ[Выполнение цели (1-Да;0-Нет)],СводПТ[Регион],B11)</f>
        <v>8</v>
      </c>
      <c r="F11" s="212">
        <f t="shared" si="1"/>
        <v>0.5714285714285714</v>
      </c>
      <c r="H11" s="109"/>
      <c r="I11" s="375">
        <v>8</v>
      </c>
      <c r="J11" s="377" t="str">
        <v>Омская область</v>
      </c>
      <c r="K11" s="377" t="str">
        <v>Гусаров Владимир</v>
      </c>
      <c r="L11" s="375">
        <v>12</v>
      </c>
      <c r="M11" s="375">
        <v>8</v>
      </c>
      <c r="N11" s="383">
        <v>0.66666666666666663</v>
      </c>
    </row>
    <row r="12" spans="1:14" ht="15" customHeight="1" x14ac:dyDescent="0.3">
      <c r="A12" s="211">
        <f t="shared" si="0"/>
        <v>26</v>
      </c>
      <c r="B12" s="215" t="str">
        <v>Иркутская область</v>
      </c>
      <c r="C12" s="215" t="str">
        <v>Гусаров Владимир</v>
      </c>
      <c r="D12" s="211">
        <f>COUNTIF(СводПТ[Регион],B12)</f>
        <v>11</v>
      </c>
      <c r="E12" s="211">
        <f>SUMIFS(СводПТ[Выполнение цели (1-Да;0-Нет)],СводПТ[Регион],B12)</f>
        <v>6</v>
      </c>
      <c r="F12" s="212">
        <f t="shared" si="1"/>
        <v>0.54545454545454541</v>
      </c>
      <c r="H12" s="109"/>
      <c r="I12" s="375">
        <v>8</v>
      </c>
      <c r="J12" s="377" t="str">
        <v>Ямало-Ненецкий автономный округ</v>
      </c>
      <c r="K12" s="377" t="str">
        <v>Лапшин Виталий</v>
      </c>
      <c r="L12" s="375">
        <v>6</v>
      </c>
      <c r="M12" s="375">
        <v>4</v>
      </c>
      <c r="N12" s="383">
        <v>0.66666666666666663</v>
      </c>
    </row>
    <row r="13" spans="1:14" ht="15" customHeight="1" x14ac:dyDescent="0.3">
      <c r="A13" s="211">
        <f t="shared" si="0"/>
        <v>30</v>
      </c>
      <c r="B13" s="215" t="str">
        <v>Калининградская область</v>
      </c>
      <c r="C13" s="215" t="str">
        <v>Пешев Игорь</v>
      </c>
      <c r="D13" s="211">
        <f>COUNTIF(СводПТ[Регион],B13)</f>
        <v>12</v>
      </c>
      <c r="E13" s="211">
        <f>SUMIFS(СводПТ[Выполнение цели (1-Да;0-Нет)],СводПТ[Регион],B13)</f>
        <v>6</v>
      </c>
      <c r="F13" s="212">
        <f t="shared" si="1"/>
        <v>0.5</v>
      </c>
      <c r="I13" s="375">
        <v>11</v>
      </c>
      <c r="J13" s="377" t="str">
        <v>Ярославская область</v>
      </c>
      <c r="K13" s="377" t="str">
        <v>Гусаров Владимир</v>
      </c>
      <c r="L13" s="375">
        <v>20</v>
      </c>
      <c r="M13" s="375">
        <v>13</v>
      </c>
      <c r="N13" s="383">
        <v>0.65</v>
      </c>
    </row>
    <row r="14" spans="1:14" ht="15" customHeight="1" x14ac:dyDescent="0.3">
      <c r="A14" s="211">
        <f t="shared" si="0"/>
        <v>40</v>
      </c>
      <c r="B14" s="215" t="str">
        <v>Калужская область</v>
      </c>
      <c r="C14" s="215" t="str">
        <v>Пешев Игорь</v>
      </c>
      <c r="D14" s="211">
        <f>COUNTIF(СводПТ[Регион],B14)</f>
        <v>17</v>
      </c>
      <c r="E14" s="211">
        <f>SUMIFS(СводПТ[Выполнение цели (1-Да;0-Нет)],СводПТ[Регион],B14)</f>
        <v>7</v>
      </c>
      <c r="F14" s="212">
        <f t="shared" si="1"/>
        <v>0.41176470588235292</v>
      </c>
      <c r="I14" s="375">
        <v>12</v>
      </c>
      <c r="J14" s="377" t="str">
        <v>Красноярский край</v>
      </c>
      <c r="K14" s="377" t="str">
        <v>Шурыгин Сергей</v>
      </c>
      <c r="L14" s="375">
        <v>28</v>
      </c>
      <c r="M14" s="375">
        <v>18</v>
      </c>
      <c r="N14" s="383">
        <v>0.6428571428571429</v>
      </c>
    </row>
    <row r="15" spans="1:14" ht="15" customHeight="1" x14ac:dyDescent="0.3">
      <c r="A15" s="211">
        <f t="shared" si="0"/>
        <v>28</v>
      </c>
      <c r="B15" s="215" t="str">
        <v>Кемеровская область</v>
      </c>
      <c r="C15" s="215" t="str">
        <v>Шурыгин Сергей</v>
      </c>
      <c r="D15" s="211">
        <f>COUNTIF(СводПТ[Регион],B15)</f>
        <v>15</v>
      </c>
      <c r="E15" s="211">
        <f>SUMIFS(СводПТ[Выполнение цели (1-Да;0-Нет)],СводПТ[Регион],B15)</f>
        <v>8</v>
      </c>
      <c r="F15" s="212">
        <f t="shared" si="1"/>
        <v>0.53333333333333333</v>
      </c>
      <c r="I15" s="375">
        <v>12</v>
      </c>
      <c r="J15" s="377" t="str">
        <v>Республика Мордовия</v>
      </c>
      <c r="K15" s="377" t="str">
        <v>Гусаров Владимир</v>
      </c>
      <c r="L15" s="375">
        <v>14</v>
      </c>
      <c r="M15" s="375">
        <v>9</v>
      </c>
      <c r="N15" s="383">
        <v>0.6428571428571429</v>
      </c>
    </row>
    <row r="16" spans="1:14" ht="15" customHeight="1" x14ac:dyDescent="0.3">
      <c r="A16" s="211">
        <f t="shared" si="0"/>
        <v>28</v>
      </c>
      <c r="B16" s="215" t="str">
        <v>Краснодарский край</v>
      </c>
      <c r="C16" s="215" t="str">
        <v>Пешев Игорь</v>
      </c>
      <c r="D16" s="211">
        <f>COUNTIF(СводПТ[Регион],B16)</f>
        <v>30</v>
      </c>
      <c r="E16" s="211">
        <f>SUMIFS(СводПТ[Выполнение цели (1-Да;0-Нет)],СводПТ[Регион],B16)</f>
        <v>16</v>
      </c>
      <c r="F16" s="212">
        <f t="shared" si="1"/>
        <v>0.53333333333333333</v>
      </c>
      <c r="I16" s="375">
        <v>14</v>
      </c>
      <c r="J16" s="377" t="str">
        <v>Волгоградская область</v>
      </c>
      <c r="K16" s="377" t="str">
        <v>Пешев Игорь</v>
      </c>
      <c r="L16" s="375">
        <v>22</v>
      </c>
      <c r="M16" s="375">
        <v>14</v>
      </c>
      <c r="N16" s="383">
        <v>0.63636363636363635</v>
      </c>
    </row>
    <row r="17" spans="1:14" ht="15" customHeight="1" x14ac:dyDescent="0.3">
      <c r="A17" s="211">
        <f t="shared" si="0"/>
        <v>12</v>
      </c>
      <c r="B17" s="215" t="str">
        <v>Красноярский край</v>
      </c>
      <c r="C17" s="215" t="str">
        <v>Шурыгин Сергей</v>
      </c>
      <c r="D17" s="211">
        <f>COUNTIF(СводПТ[Регион],B17)</f>
        <v>28</v>
      </c>
      <c r="E17" s="211">
        <f>SUMIFS(СводПТ[Выполнение цели (1-Да;0-Нет)],СводПТ[Регион],B17)</f>
        <v>18</v>
      </c>
      <c r="F17" s="212">
        <f t="shared" si="1"/>
        <v>0.6428571428571429</v>
      </c>
      <c r="I17" s="375">
        <v>15</v>
      </c>
      <c r="J17" s="377" t="str">
        <v>Московская область</v>
      </c>
      <c r="K17" s="377" t="str">
        <v>Лапшин Виталий</v>
      </c>
      <c r="L17" s="375">
        <v>16</v>
      </c>
      <c r="M17" s="375">
        <v>10</v>
      </c>
      <c r="N17" s="383">
        <v>0.625</v>
      </c>
    </row>
    <row r="18" spans="1:14" ht="15" customHeight="1" x14ac:dyDescent="0.3">
      <c r="A18" s="211">
        <f t="shared" si="0"/>
        <v>30</v>
      </c>
      <c r="B18" s="215" t="str">
        <v>Курганская область</v>
      </c>
      <c r="C18" s="215" t="str">
        <v>Лапшин Виталий</v>
      </c>
      <c r="D18" s="211">
        <f>COUNTIF(СводПТ[Регион],B18)</f>
        <v>10</v>
      </c>
      <c r="E18" s="211">
        <f>SUMIFS(СводПТ[Выполнение цели (1-Да;0-Нет)],СводПТ[Регион],B18)</f>
        <v>5</v>
      </c>
      <c r="F18" s="212">
        <f t="shared" si="1"/>
        <v>0.5</v>
      </c>
      <c r="I18" s="375">
        <v>15</v>
      </c>
      <c r="J18" s="377" t="str">
        <v>Ростовская область</v>
      </c>
      <c r="K18" s="377" t="str">
        <v>Пешев Игорь</v>
      </c>
      <c r="L18" s="375">
        <v>24</v>
      </c>
      <c r="M18" s="375">
        <v>15</v>
      </c>
      <c r="N18" s="383">
        <v>0.625</v>
      </c>
    </row>
    <row r="19" spans="1:14" ht="15" customHeight="1" x14ac:dyDescent="0.3">
      <c r="A19" s="211">
        <f t="shared" si="0"/>
        <v>30</v>
      </c>
      <c r="B19" s="215" t="str">
        <v>Курская область</v>
      </c>
      <c r="C19" s="215" t="str">
        <v>Алев Игорь</v>
      </c>
      <c r="D19" s="211">
        <f>COUNTIF(СводПТ[Регион],B19)</f>
        <v>10</v>
      </c>
      <c r="E19" s="211">
        <f>SUMIFS(СводПТ[Выполнение цели (1-Да;0-Нет)],СводПТ[Регион],B19)</f>
        <v>5</v>
      </c>
      <c r="F19" s="212">
        <f t="shared" si="1"/>
        <v>0.5</v>
      </c>
      <c r="I19" s="375">
        <v>17</v>
      </c>
      <c r="J19" s="377" t="str">
        <v>Челябинская область</v>
      </c>
      <c r="K19" s="377" t="str">
        <v>Гусаров Владимир</v>
      </c>
      <c r="L19" s="375">
        <v>29</v>
      </c>
      <c r="M19" s="375">
        <v>18</v>
      </c>
      <c r="N19" s="383">
        <v>0.62068965517241381</v>
      </c>
    </row>
    <row r="20" spans="1:14" ht="15" customHeight="1" x14ac:dyDescent="0.3">
      <c r="A20" s="211">
        <f t="shared" si="0"/>
        <v>34</v>
      </c>
      <c r="B20" s="215" t="str">
        <v>Ленинградская область</v>
      </c>
      <c r="C20" s="215" t="str">
        <v>Шурыгин Сергей</v>
      </c>
      <c r="D20" s="211">
        <f>COUNTIF(СводПТ[Регион],B20)</f>
        <v>11</v>
      </c>
      <c r="E20" s="211">
        <f>SUMIFS(СводПТ[Выполнение цели (1-Да;0-Нет)],СводПТ[Регион],B20)</f>
        <v>5</v>
      </c>
      <c r="F20" s="212">
        <f t="shared" si="1"/>
        <v>0.45454545454545453</v>
      </c>
      <c r="I20" s="375">
        <v>18</v>
      </c>
      <c r="J20" s="377" t="str">
        <v>Рязанская область</v>
      </c>
      <c r="K20" s="377" t="str">
        <v>Лапшин Виталий</v>
      </c>
      <c r="L20" s="375">
        <v>18</v>
      </c>
      <c r="M20" s="375">
        <v>11</v>
      </c>
      <c r="N20" s="383">
        <v>0.61111111111111116</v>
      </c>
    </row>
    <row r="21" spans="1:14" ht="15" customHeight="1" x14ac:dyDescent="0.3">
      <c r="A21" s="211">
        <f t="shared" si="0"/>
        <v>30</v>
      </c>
      <c r="B21" s="215" t="str">
        <v>Липецкая область</v>
      </c>
      <c r="C21" s="215" t="str">
        <v>Пешев Игорь</v>
      </c>
      <c r="D21" s="211">
        <f>COUNTIF(СводПТ[Регион],B21)</f>
        <v>22</v>
      </c>
      <c r="E21" s="211">
        <f>SUMIFS(СводПТ[Выполнение цели (1-Да;0-Нет)],СводПТ[Регион],B21)</f>
        <v>11</v>
      </c>
      <c r="F21" s="212">
        <f t="shared" si="1"/>
        <v>0.5</v>
      </c>
      <c r="I21" s="375">
        <v>19</v>
      </c>
      <c r="J21" s="377" t="str">
        <v>Оренбургская область</v>
      </c>
      <c r="K21" s="377" t="str">
        <v>Алев Игорь</v>
      </c>
      <c r="L21" s="375">
        <v>10</v>
      </c>
      <c r="M21" s="375">
        <v>6</v>
      </c>
      <c r="N21" s="383">
        <v>0.6</v>
      </c>
    </row>
    <row r="22" spans="1:14" ht="15" customHeight="1" x14ac:dyDescent="0.3">
      <c r="A22" s="211">
        <f t="shared" si="0"/>
        <v>15</v>
      </c>
      <c r="B22" s="215" t="str">
        <v>Московская область</v>
      </c>
      <c r="C22" s="215" t="str">
        <v>Лапшин Виталий</v>
      </c>
      <c r="D22" s="211">
        <f>COUNTIF(СводПТ[Регион],B22)</f>
        <v>16</v>
      </c>
      <c r="E22" s="211">
        <f>SUMIFS(СводПТ[Выполнение цели (1-Да;0-Нет)],СводПТ[Регион],B22)</f>
        <v>10</v>
      </c>
      <c r="F22" s="212">
        <f t="shared" si="1"/>
        <v>0.625</v>
      </c>
      <c r="I22" s="375">
        <v>20</v>
      </c>
      <c r="J22" s="377" t="str">
        <v>Свердловская область</v>
      </c>
      <c r="K22" s="377" t="str">
        <v>Пешев Игорь</v>
      </c>
      <c r="L22" s="375">
        <v>29</v>
      </c>
      <c r="M22" s="375">
        <v>17</v>
      </c>
      <c r="N22" s="383">
        <v>0.58620689655172409</v>
      </c>
    </row>
    <row r="23" spans="1:14" ht="15" customHeight="1" x14ac:dyDescent="0.3">
      <c r="A23" s="211">
        <f t="shared" si="0"/>
        <v>50</v>
      </c>
      <c r="B23" s="215" t="str">
        <v>Мурманская область</v>
      </c>
      <c r="C23" s="215" t="str">
        <v>Алев Игорь</v>
      </c>
      <c r="D23" s="211">
        <f>COUNTIF(СводПТ[Регион],B23)</f>
        <v>1</v>
      </c>
      <c r="E23" s="211">
        <f>SUMIFS(СводПТ[Выполнение цели (1-Да;0-Нет)],СводПТ[Регион],B23)</f>
        <v>0</v>
      </c>
      <c r="F23" s="212">
        <f t="shared" si="1"/>
        <v>0</v>
      </c>
      <c r="I23" s="375">
        <v>21</v>
      </c>
      <c r="J23" s="377" t="str">
        <v>г. Санкт-Петербург</v>
      </c>
      <c r="K23" s="377" t="str">
        <v>Алев Игорь</v>
      </c>
      <c r="L23" s="375">
        <v>21</v>
      </c>
      <c r="M23" s="375">
        <v>12</v>
      </c>
      <c r="N23" s="383">
        <v>0.5714285714285714</v>
      </c>
    </row>
    <row r="24" spans="1:14" ht="15" customHeight="1" x14ac:dyDescent="0.3">
      <c r="A24" s="211">
        <f t="shared" si="0"/>
        <v>24</v>
      </c>
      <c r="B24" s="215" t="str">
        <v>Нижегородская область</v>
      </c>
      <c r="C24" s="215" t="str">
        <v>Мякотин Павел</v>
      </c>
      <c r="D24" s="211">
        <f>COUNTIF(СводПТ[Регион],B24)</f>
        <v>29</v>
      </c>
      <c r="E24" s="211">
        <f>SUMIFS(СводПТ[Выполнение цели (1-Да;0-Нет)],СводПТ[Регион],B24)</f>
        <v>16</v>
      </c>
      <c r="F24" s="212">
        <f t="shared" si="1"/>
        <v>0.55172413793103448</v>
      </c>
      <c r="I24" s="375">
        <v>21</v>
      </c>
      <c r="J24" s="377" t="str">
        <v>Ивановская область</v>
      </c>
      <c r="K24" s="377" t="str">
        <v>Лапшин Виталий</v>
      </c>
      <c r="L24" s="375">
        <v>14</v>
      </c>
      <c r="M24" s="375">
        <v>8</v>
      </c>
      <c r="N24" s="383">
        <v>0.5714285714285714</v>
      </c>
    </row>
    <row r="25" spans="1:14" ht="15" customHeight="1" x14ac:dyDescent="0.3">
      <c r="A25" s="211">
        <f t="shared" si="0"/>
        <v>49</v>
      </c>
      <c r="B25" s="215" t="str">
        <v>Новгородская область</v>
      </c>
      <c r="C25" s="215" t="str">
        <v>Шурыгин Сергей</v>
      </c>
      <c r="D25" s="211">
        <f>COUNTIF(СводПТ[Регион],B25)</f>
        <v>9</v>
      </c>
      <c r="E25" s="211">
        <f>SUMIFS(СводПТ[Выполнение цели (1-Да;0-Нет)],СводПТ[Регион],B25)</f>
        <v>1</v>
      </c>
      <c r="F25" s="212">
        <f t="shared" si="1"/>
        <v>0.1111111111111111</v>
      </c>
      <c r="I25" s="375">
        <v>23</v>
      </c>
      <c r="J25" s="377" t="str">
        <v>Саратовская область</v>
      </c>
      <c r="K25" s="377" t="str">
        <v>Мякотин Павел</v>
      </c>
      <c r="L25" s="375">
        <v>18</v>
      </c>
      <c r="M25" s="375">
        <v>10</v>
      </c>
      <c r="N25" s="383">
        <v>0.55555555555555558</v>
      </c>
    </row>
    <row r="26" spans="1:14" ht="15" customHeight="1" x14ac:dyDescent="0.3">
      <c r="A26" s="211">
        <f t="shared" si="0"/>
        <v>3</v>
      </c>
      <c r="B26" s="215" t="str">
        <v>Новосибирская область</v>
      </c>
      <c r="C26" s="215" t="str">
        <v>Лапшин Виталий</v>
      </c>
      <c r="D26" s="211">
        <f>COUNTIF(СводПТ[Регион],B26)</f>
        <v>13</v>
      </c>
      <c r="E26" s="211">
        <f>SUMIFS(СводПТ[Выполнение цели (1-Да;0-Нет)],СводПТ[Регион],B26)</f>
        <v>10</v>
      </c>
      <c r="F26" s="212">
        <f t="shared" si="1"/>
        <v>0.76923076923076927</v>
      </c>
      <c r="I26" s="375">
        <v>24</v>
      </c>
      <c r="J26" s="377" t="str">
        <v>Нижегородская область</v>
      </c>
      <c r="K26" s="377" t="str">
        <v>Мякотин Павел</v>
      </c>
      <c r="L26" s="375">
        <v>29</v>
      </c>
      <c r="M26" s="375">
        <v>16</v>
      </c>
      <c r="N26" s="383">
        <v>0.55172413793103448</v>
      </c>
    </row>
    <row r="27" spans="1:14" ht="15" customHeight="1" x14ac:dyDescent="0.3">
      <c r="A27" s="211">
        <f t="shared" si="0"/>
        <v>8</v>
      </c>
      <c r="B27" s="215" t="str">
        <v>Омская область</v>
      </c>
      <c r="C27" s="215" t="str">
        <v>Гусаров Владимир</v>
      </c>
      <c r="D27" s="211">
        <f>COUNTIF(СводПТ[Регион],B27)</f>
        <v>12</v>
      </c>
      <c r="E27" s="211">
        <f>SUMIFS(СводПТ[Выполнение цели (1-Да;0-Нет)],СводПТ[Регион],B27)</f>
        <v>8</v>
      </c>
      <c r="F27" s="212">
        <f t="shared" si="1"/>
        <v>0.66666666666666663</v>
      </c>
      <c r="I27" s="375">
        <v>24</v>
      </c>
      <c r="J27" s="377" t="str">
        <v>Республика Татарстан</v>
      </c>
      <c r="K27" s="377" t="str">
        <v>Мякотин Павел</v>
      </c>
      <c r="L27" s="375">
        <v>29</v>
      </c>
      <c r="M27" s="375">
        <v>16</v>
      </c>
      <c r="N27" s="383">
        <v>0.55172413793103448</v>
      </c>
    </row>
    <row r="28" spans="1:14" ht="15" customHeight="1" x14ac:dyDescent="0.3">
      <c r="A28" s="211">
        <f t="shared" si="0"/>
        <v>19</v>
      </c>
      <c r="B28" s="215" t="str">
        <v>Оренбургская область</v>
      </c>
      <c r="C28" s="215" t="str">
        <v>Алев Игорь</v>
      </c>
      <c r="D28" s="211">
        <f>COUNTIF(СводПТ[Регион],B28)</f>
        <v>10</v>
      </c>
      <c r="E28" s="211">
        <f>SUMIFS(СводПТ[Выполнение цели (1-Да;0-Нет)],СводПТ[Регион],B28)</f>
        <v>6</v>
      </c>
      <c r="F28" s="212">
        <f t="shared" si="1"/>
        <v>0.6</v>
      </c>
      <c r="I28" s="375">
        <v>26</v>
      </c>
      <c r="J28" s="377" t="str">
        <v>Иркутская область</v>
      </c>
      <c r="K28" s="377" t="str">
        <v>Гусаров Владимир</v>
      </c>
      <c r="L28" s="375">
        <v>11</v>
      </c>
      <c r="M28" s="375">
        <v>6</v>
      </c>
      <c r="N28" s="383">
        <v>0.54545454545454541</v>
      </c>
    </row>
    <row r="29" spans="1:14" ht="15" customHeight="1" x14ac:dyDescent="0.3">
      <c r="A29" s="211">
        <f t="shared" si="0"/>
        <v>6</v>
      </c>
      <c r="B29" s="215" t="str">
        <v>Пензенская область</v>
      </c>
      <c r="C29" s="215" t="str">
        <v>Мякотин Павел</v>
      </c>
      <c r="D29" s="211">
        <f>COUNTIF(СводПТ[Регион],B29)</f>
        <v>16</v>
      </c>
      <c r="E29" s="211">
        <f>SUMIFS(СводПТ[Выполнение цели (1-Да;0-Нет)],СводПТ[Регион],B29)</f>
        <v>11</v>
      </c>
      <c r="F29" s="212">
        <f t="shared" si="1"/>
        <v>0.6875</v>
      </c>
      <c r="I29" s="375">
        <v>27</v>
      </c>
      <c r="J29" s="377" t="str">
        <v>Томская область</v>
      </c>
      <c r="K29" s="377" t="str">
        <v>Шурыгин Сергей</v>
      </c>
      <c r="L29" s="375">
        <v>13</v>
      </c>
      <c r="M29" s="375">
        <v>7</v>
      </c>
      <c r="N29" s="383">
        <v>0.53846153846153844</v>
      </c>
    </row>
    <row r="30" spans="1:14" ht="15" customHeight="1" x14ac:dyDescent="0.3">
      <c r="A30" s="211">
        <f t="shared" si="0"/>
        <v>45</v>
      </c>
      <c r="B30" s="215" t="str">
        <v>Пермский край</v>
      </c>
      <c r="C30" s="215" t="str">
        <v>Пешев Игорь</v>
      </c>
      <c r="D30" s="211">
        <f>COUNTIF(СводПТ[Регион],B30)</f>
        <v>12</v>
      </c>
      <c r="E30" s="211">
        <f>SUMIFS(СводПТ[Выполнение цели (1-Да;0-Нет)],СводПТ[Регион],B30)</f>
        <v>4</v>
      </c>
      <c r="F30" s="212">
        <f t="shared" si="1"/>
        <v>0.33333333333333331</v>
      </c>
      <c r="I30" s="375">
        <v>28</v>
      </c>
      <c r="J30" s="377" t="str">
        <v>Кемеровская область</v>
      </c>
      <c r="K30" s="377" t="str">
        <v>Шурыгин Сергей</v>
      </c>
      <c r="L30" s="375">
        <v>15</v>
      </c>
      <c r="M30" s="375">
        <v>8</v>
      </c>
      <c r="N30" s="383">
        <v>0.53333333333333333</v>
      </c>
    </row>
    <row r="31" spans="1:14" ht="15" customHeight="1" x14ac:dyDescent="0.3">
      <c r="A31" s="211">
        <f t="shared" si="0"/>
        <v>36</v>
      </c>
      <c r="B31" s="215" t="str">
        <v>Приморский край</v>
      </c>
      <c r="C31" s="215" t="str">
        <v>Шурыгин Сергей</v>
      </c>
      <c r="D31" s="211">
        <f>COUNTIF(СводПТ[Регион],B31)</f>
        <v>9</v>
      </c>
      <c r="E31" s="211">
        <f>SUMIFS(СводПТ[Выполнение цели (1-Да;0-Нет)],СводПТ[Регион],B31)</f>
        <v>4</v>
      </c>
      <c r="F31" s="212">
        <f t="shared" si="1"/>
        <v>0.44444444444444442</v>
      </c>
      <c r="I31" s="375">
        <v>28</v>
      </c>
      <c r="J31" s="377" t="str">
        <v>Краснодарский край</v>
      </c>
      <c r="K31" s="377" t="str">
        <v>Пешев Игорь</v>
      </c>
      <c r="L31" s="375">
        <v>30</v>
      </c>
      <c r="M31" s="375">
        <v>16</v>
      </c>
      <c r="N31" s="383">
        <v>0.53333333333333333</v>
      </c>
    </row>
    <row r="32" spans="1:14" ht="15" customHeight="1" x14ac:dyDescent="0.3">
      <c r="A32" s="211">
        <f t="shared" si="0"/>
        <v>38</v>
      </c>
      <c r="B32" s="215" t="str">
        <v>Республика Башкортостан</v>
      </c>
      <c r="C32" s="215" t="str">
        <v>Гусаров Владимир</v>
      </c>
      <c r="D32" s="211">
        <f>COUNTIF(СводПТ[Регион],B32)</f>
        <v>23</v>
      </c>
      <c r="E32" s="211">
        <f>SUMIFS(СводПТ[Выполнение цели (1-Да;0-Нет)],СводПТ[Регион],B32)</f>
        <v>10</v>
      </c>
      <c r="F32" s="212">
        <f t="shared" si="1"/>
        <v>0.43478260869565216</v>
      </c>
      <c r="I32" s="375">
        <v>30</v>
      </c>
      <c r="J32" s="377" t="str">
        <v>Калининградская область</v>
      </c>
      <c r="K32" s="377" t="str">
        <v>Пешев Игорь</v>
      </c>
      <c r="L32" s="375">
        <v>12</v>
      </c>
      <c r="M32" s="375">
        <v>6</v>
      </c>
      <c r="N32" s="383">
        <v>0.5</v>
      </c>
    </row>
    <row r="33" spans="1:14" ht="15" customHeight="1" x14ac:dyDescent="0.3">
      <c r="A33" s="211">
        <f t="shared" si="0"/>
        <v>4</v>
      </c>
      <c r="B33" s="215" t="str">
        <v>Республика Бурятия</v>
      </c>
      <c r="C33" s="215" t="str">
        <v>Мякотин Павел</v>
      </c>
      <c r="D33" s="211">
        <f>COUNTIF(СводПТ[Регион],B33)</f>
        <v>4</v>
      </c>
      <c r="E33" s="211">
        <f>SUMIFS(СводПТ[Выполнение цели (1-Да;0-Нет)],СводПТ[Регион],B33)</f>
        <v>3</v>
      </c>
      <c r="F33" s="212">
        <f t="shared" si="1"/>
        <v>0.75</v>
      </c>
      <c r="I33" s="375">
        <v>30</v>
      </c>
      <c r="J33" s="377" t="str">
        <v>Курганская область</v>
      </c>
      <c r="K33" s="377" t="str">
        <v>Лапшин Виталий</v>
      </c>
      <c r="L33" s="375">
        <v>10</v>
      </c>
      <c r="M33" s="375">
        <v>5</v>
      </c>
      <c r="N33" s="383">
        <v>0.5</v>
      </c>
    </row>
    <row r="34" spans="1:14" ht="15" customHeight="1" x14ac:dyDescent="0.3">
      <c r="A34" s="211">
        <f t="shared" si="0"/>
        <v>39</v>
      </c>
      <c r="B34" s="215" t="str">
        <v>Республика Крым</v>
      </c>
      <c r="C34" s="215" t="str">
        <v>Алев Игорь</v>
      </c>
      <c r="D34" s="211">
        <f>COUNTIF(СводПТ[Регион],B34)</f>
        <v>14</v>
      </c>
      <c r="E34" s="211">
        <f>SUMIFS(СводПТ[Выполнение цели (1-Да;0-Нет)],СводПТ[Регион],B34)</f>
        <v>6</v>
      </c>
      <c r="F34" s="212">
        <f t="shared" si="1"/>
        <v>0.42857142857142855</v>
      </c>
      <c r="I34" s="375">
        <v>30</v>
      </c>
      <c r="J34" s="377" t="str">
        <v>Курская область</v>
      </c>
      <c r="K34" s="377" t="str">
        <v>Алев Игорь</v>
      </c>
      <c r="L34" s="375">
        <v>10</v>
      </c>
      <c r="M34" s="375">
        <v>5</v>
      </c>
      <c r="N34" s="383">
        <v>0.5</v>
      </c>
    </row>
    <row r="35" spans="1:14" ht="15" customHeight="1" x14ac:dyDescent="0.3">
      <c r="A35" s="211">
        <f t="shared" ref="A35:A55" si="2">_xlfn.RANK.EQ(F35,F:F,0)</f>
        <v>12</v>
      </c>
      <c r="B35" s="215" t="str">
        <v>Республика Мордовия</v>
      </c>
      <c r="C35" s="215" t="str">
        <v>Гусаров Владимир</v>
      </c>
      <c r="D35" s="211">
        <f>COUNTIF(СводПТ[Регион],B35)</f>
        <v>14</v>
      </c>
      <c r="E35" s="211">
        <f>SUMIFS(СводПТ[Выполнение цели (1-Да;0-Нет)],СводПТ[Регион],B35)</f>
        <v>9</v>
      </c>
      <c r="F35" s="212">
        <f t="shared" si="1"/>
        <v>0.6428571428571429</v>
      </c>
      <c r="I35" s="375">
        <v>30</v>
      </c>
      <c r="J35" s="377" t="str">
        <v>Липецкая область</v>
      </c>
      <c r="K35" s="377" t="str">
        <v>Пешев Игорь</v>
      </c>
      <c r="L35" s="375">
        <v>22</v>
      </c>
      <c r="M35" s="375">
        <v>11</v>
      </c>
      <c r="N35" s="383">
        <v>0.5</v>
      </c>
    </row>
    <row r="36" spans="1:14" ht="15" customHeight="1" x14ac:dyDescent="0.3">
      <c r="A36" s="211">
        <f t="shared" si="2"/>
        <v>24</v>
      </c>
      <c r="B36" s="215" t="str">
        <v>Республика Татарстан</v>
      </c>
      <c r="C36" s="215" t="str">
        <v>Мякотин Павел</v>
      </c>
      <c r="D36" s="211">
        <f>COUNTIF(СводПТ[Регион],B36)</f>
        <v>29</v>
      </c>
      <c r="E36" s="211">
        <f>SUMIFS(СводПТ[Выполнение цели (1-Да;0-Нет)],СводПТ[Регион],B36)</f>
        <v>16</v>
      </c>
      <c r="F36" s="212">
        <f t="shared" si="1"/>
        <v>0.55172413793103448</v>
      </c>
      <c r="I36" s="375">
        <v>34</v>
      </c>
      <c r="J36" s="377" t="str">
        <v>Ленинградская область</v>
      </c>
      <c r="K36" s="377" t="str">
        <v>Шурыгин Сергей</v>
      </c>
      <c r="L36" s="375">
        <v>11</v>
      </c>
      <c r="M36" s="375">
        <v>5</v>
      </c>
      <c r="N36" s="383">
        <v>0.45454545454545453</v>
      </c>
    </row>
    <row r="37" spans="1:14" ht="15" customHeight="1" x14ac:dyDescent="0.3">
      <c r="A37" s="211">
        <f t="shared" si="2"/>
        <v>50</v>
      </c>
      <c r="B37" s="215" t="str">
        <v>Республика Тыва</v>
      </c>
      <c r="C37" s="215" t="str">
        <v>Шурыгин Сергей</v>
      </c>
      <c r="D37" s="211">
        <f>COUNTIF(СводПТ[Регион],B37)</f>
        <v>1</v>
      </c>
      <c r="E37" s="211">
        <f>SUMIFS(СводПТ[Выполнение цели (1-Да;0-Нет)],СводПТ[Регион],B37)</f>
        <v>0</v>
      </c>
      <c r="F37" s="212">
        <f t="shared" si="1"/>
        <v>0</v>
      </c>
      <c r="I37" s="375">
        <v>35</v>
      </c>
      <c r="J37" s="377" t="str">
        <v>Самарская область</v>
      </c>
      <c r="K37" s="377" t="str">
        <v>Мякотин Павел</v>
      </c>
      <c r="L37" s="375">
        <v>29</v>
      </c>
      <c r="M37" s="375">
        <v>13</v>
      </c>
      <c r="N37" s="383">
        <v>0.44827586206896552</v>
      </c>
    </row>
    <row r="38" spans="1:14" ht="15" customHeight="1" x14ac:dyDescent="0.3">
      <c r="A38" s="211">
        <f t="shared" si="2"/>
        <v>15</v>
      </c>
      <c r="B38" s="215" t="str">
        <v>Ростовская область</v>
      </c>
      <c r="C38" s="215" t="str">
        <v>Пешев Игорь</v>
      </c>
      <c r="D38" s="211">
        <f>COUNTIF(СводПТ[Регион],B38)</f>
        <v>24</v>
      </c>
      <c r="E38" s="211">
        <f>SUMIFS(СводПТ[Выполнение цели (1-Да;0-Нет)],СводПТ[Регион],B38)</f>
        <v>15</v>
      </c>
      <c r="F38" s="212">
        <f t="shared" si="1"/>
        <v>0.625</v>
      </c>
      <c r="I38" s="375">
        <v>36</v>
      </c>
      <c r="J38" s="377" t="str">
        <v>Приморский край</v>
      </c>
      <c r="K38" s="377" t="str">
        <v>Шурыгин Сергей</v>
      </c>
      <c r="L38" s="375">
        <v>9</v>
      </c>
      <c r="M38" s="375">
        <v>4</v>
      </c>
      <c r="N38" s="383">
        <v>0.44444444444444442</v>
      </c>
    </row>
    <row r="39" spans="1:14" ht="15" customHeight="1" x14ac:dyDescent="0.3">
      <c r="A39" s="211">
        <f t="shared" si="2"/>
        <v>18</v>
      </c>
      <c r="B39" s="215" t="str">
        <v>Рязанская область</v>
      </c>
      <c r="C39" s="215" t="str">
        <v>Лапшин Виталий</v>
      </c>
      <c r="D39" s="211">
        <f>COUNTIF(СводПТ[Регион],B39)</f>
        <v>18</v>
      </c>
      <c r="E39" s="211">
        <f>SUMIFS(СводПТ[Выполнение цели (1-Да;0-Нет)],СводПТ[Регион],B39)</f>
        <v>11</v>
      </c>
      <c r="F39" s="212">
        <f t="shared" si="1"/>
        <v>0.61111111111111116</v>
      </c>
      <c r="I39" s="375">
        <v>36</v>
      </c>
      <c r="J39" s="377" t="str">
        <v>Сахалинская область</v>
      </c>
      <c r="K39" s="377" t="str">
        <v>Пешев Игорь</v>
      </c>
      <c r="L39" s="375">
        <v>9</v>
      </c>
      <c r="M39" s="375">
        <v>4</v>
      </c>
      <c r="N39" s="383">
        <v>0.44444444444444442</v>
      </c>
    </row>
    <row r="40" spans="1:14" ht="15" customHeight="1" x14ac:dyDescent="0.3">
      <c r="A40" s="211">
        <f t="shared" si="2"/>
        <v>35</v>
      </c>
      <c r="B40" s="215" t="str">
        <v>Самарская область</v>
      </c>
      <c r="C40" s="215" t="str">
        <v>Мякотин Павел</v>
      </c>
      <c r="D40" s="211">
        <f>COUNTIF(СводПТ[Регион],B40)</f>
        <v>29</v>
      </c>
      <c r="E40" s="211">
        <f>SUMIFS(СводПТ[Выполнение цели (1-Да;0-Нет)],СводПТ[Регион],B40)</f>
        <v>13</v>
      </c>
      <c r="F40" s="212">
        <f t="shared" si="1"/>
        <v>0.44827586206896552</v>
      </c>
      <c r="I40" s="375">
        <v>38</v>
      </c>
      <c r="J40" s="377" t="str">
        <v>Республика Башкортостан</v>
      </c>
      <c r="K40" s="377" t="str">
        <v>Гусаров Владимир</v>
      </c>
      <c r="L40" s="375">
        <v>23</v>
      </c>
      <c r="M40" s="375">
        <v>10</v>
      </c>
      <c r="N40" s="383">
        <v>0.43478260869565216</v>
      </c>
    </row>
    <row r="41" spans="1:14" ht="15" customHeight="1" x14ac:dyDescent="0.3">
      <c r="A41" s="211">
        <f t="shared" si="2"/>
        <v>23</v>
      </c>
      <c r="B41" s="215" t="str">
        <v>Саратовская область</v>
      </c>
      <c r="C41" s="215" t="str">
        <v>Мякотин Павел</v>
      </c>
      <c r="D41" s="211">
        <f>COUNTIF(СводПТ[Регион],B41)</f>
        <v>18</v>
      </c>
      <c r="E41" s="211">
        <f>SUMIFS(СводПТ[Выполнение цели (1-Да;0-Нет)],СводПТ[Регион],B41)</f>
        <v>10</v>
      </c>
      <c r="F41" s="212">
        <f t="shared" si="1"/>
        <v>0.55555555555555558</v>
      </c>
      <c r="I41" s="375">
        <v>39</v>
      </c>
      <c r="J41" s="377" t="str">
        <v>Республика Крым</v>
      </c>
      <c r="K41" s="377" t="str">
        <v>Алев Игорь</v>
      </c>
      <c r="L41" s="375">
        <v>14</v>
      </c>
      <c r="M41" s="375">
        <v>6</v>
      </c>
      <c r="N41" s="383">
        <v>0.42857142857142855</v>
      </c>
    </row>
    <row r="42" spans="1:14" ht="15" customHeight="1" x14ac:dyDescent="0.3">
      <c r="A42" s="211">
        <f t="shared" si="2"/>
        <v>36</v>
      </c>
      <c r="B42" s="215" t="str">
        <v>Сахалинская область</v>
      </c>
      <c r="C42" s="215" t="str">
        <v>Пешев Игорь</v>
      </c>
      <c r="D42" s="211">
        <f>COUNTIF(СводПТ[Регион],B42)</f>
        <v>9</v>
      </c>
      <c r="E42" s="211">
        <f>SUMIFS(СводПТ[Выполнение цели (1-Да;0-Нет)],СводПТ[Регион],B42)</f>
        <v>4</v>
      </c>
      <c r="F42" s="212">
        <f t="shared" si="1"/>
        <v>0.44444444444444442</v>
      </c>
      <c r="I42" s="375">
        <v>40</v>
      </c>
      <c r="J42" s="377" t="str">
        <v>Владимирская область</v>
      </c>
      <c r="K42" s="377" t="str">
        <v>Алев Игорь</v>
      </c>
      <c r="L42" s="375">
        <v>17</v>
      </c>
      <c r="M42" s="375">
        <v>7</v>
      </c>
      <c r="N42" s="383">
        <v>0.41176470588235292</v>
      </c>
    </row>
    <row r="43" spans="1:14" ht="15" customHeight="1" x14ac:dyDescent="0.3">
      <c r="A43" s="211">
        <f t="shared" si="2"/>
        <v>20</v>
      </c>
      <c r="B43" s="215" t="str">
        <v>Свердловская область</v>
      </c>
      <c r="C43" s="215" t="str">
        <v>Пешев Игорь</v>
      </c>
      <c r="D43" s="211">
        <f>COUNTIF(СводПТ[Регион],B43)</f>
        <v>29</v>
      </c>
      <c r="E43" s="211">
        <f>SUMIFS(СводПТ[Выполнение цели (1-Да;0-Нет)],СводПТ[Регион],B43)</f>
        <v>17</v>
      </c>
      <c r="F43" s="212">
        <f t="shared" si="1"/>
        <v>0.58620689655172409</v>
      </c>
      <c r="I43" s="375">
        <v>40</v>
      </c>
      <c r="J43" s="377" t="str">
        <v>Калужская область</v>
      </c>
      <c r="K43" s="377" t="str">
        <v>Пешев Игорь</v>
      </c>
      <c r="L43" s="375">
        <v>17</v>
      </c>
      <c r="M43" s="375">
        <v>7</v>
      </c>
      <c r="N43" s="383">
        <v>0.41176470588235292</v>
      </c>
    </row>
    <row r="44" spans="1:14" ht="15" customHeight="1" x14ac:dyDescent="0.3">
      <c r="A44" s="211">
        <f t="shared" si="2"/>
        <v>47</v>
      </c>
      <c r="B44" s="215" t="str">
        <v>Ставропольский край</v>
      </c>
      <c r="C44" s="215" t="str">
        <v>Шурыгин Сергей</v>
      </c>
      <c r="D44" s="211">
        <f>COUNTIF(СводПТ[Регион],B44)</f>
        <v>22</v>
      </c>
      <c r="E44" s="211">
        <f>SUMIFS(СводПТ[Выполнение цели (1-Да;0-Нет)],СводПТ[Регион],B44)</f>
        <v>5</v>
      </c>
      <c r="F44" s="212">
        <f t="shared" si="1"/>
        <v>0.22727272727272727</v>
      </c>
      <c r="I44" s="375">
        <v>40</v>
      </c>
      <c r="J44" s="377" t="str">
        <v>Удмуртская Республика</v>
      </c>
      <c r="K44" s="377" t="str">
        <v>Мякотин Павел</v>
      </c>
      <c r="L44" s="375">
        <v>17</v>
      </c>
      <c r="M44" s="375">
        <v>7</v>
      </c>
      <c r="N44" s="383">
        <v>0.41176470588235292</v>
      </c>
    </row>
    <row r="45" spans="1:14" ht="15" customHeight="1" x14ac:dyDescent="0.3">
      <c r="A45" s="211">
        <f t="shared" si="2"/>
        <v>43</v>
      </c>
      <c r="B45" s="215" t="str">
        <v>Тамбовская область</v>
      </c>
      <c r="C45" s="215" t="str">
        <v>Лапшин Виталий</v>
      </c>
      <c r="D45" s="211">
        <f>COUNTIF(СводПТ[Регион],B45)</f>
        <v>10</v>
      </c>
      <c r="E45" s="211">
        <f>SUMIFS(СводПТ[Выполнение цели (1-Да;0-Нет)],СводПТ[Регион],B45)</f>
        <v>4</v>
      </c>
      <c r="F45" s="212">
        <f t="shared" si="1"/>
        <v>0.4</v>
      </c>
      <c r="I45" s="375">
        <v>43</v>
      </c>
      <c r="J45" s="377" t="str">
        <v>Воронежская область</v>
      </c>
      <c r="K45" s="377" t="str">
        <v>Лапшин Виталий</v>
      </c>
      <c r="L45" s="375">
        <v>10</v>
      </c>
      <c r="M45" s="375">
        <v>4</v>
      </c>
      <c r="N45" s="383">
        <v>0.4</v>
      </c>
    </row>
    <row r="46" spans="1:14" ht="15" customHeight="1" x14ac:dyDescent="0.3">
      <c r="A46" s="211">
        <f t="shared" si="2"/>
        <v>50</v>
      </c>
      <c r="B46" s="215" t="str">
        <v>Тверская область</v>
      </c>
      <c r="C46" s="215" t="str">
        <v>Алев Игорь</v>
      </c>
      <c r="D46" s="211">
        <f>COUNTIF(СводПТ[Регион],B46)</f>
        <v>1</v>
      </c>
      <c r="E46" s="211">
        <f>SUMIFS(СводПТ[Выполнение цели (1-Да;0-Нет)],СводПТ[Регион],B46)</f>
        <v>0</v>
      </c>
      <c r="F46" s="212">
        <f t="shared" si="1"/>
        <v>0</v>
      </c>
      <c r="I46" s="375">
        <v>43</v>
      </c>
      <c r="J46" s="377" t="str">
        <v>Тамбовская область</v>
      </c>
      <c r="K46" s="377" t="str">
        <v>Лапшин Виталий</v>
      </c>
      <c r="L46" s="375">
        <v>10</v>
      </c>
      <c r="M46" s="375">
        <v>4</v>
      </c>
      <c r="N46" s="383">
        <v>0.4</v>
      </c>
    </row>
    <row r="47" spans="1:14" ht="15" customHeight="1" x14ac:dyDescent="0.3">
      <c r="A47" s="211">
        <f t="shared" si="2"/>
        <v>27</v>
      </c>
      <c r="B47" s="215" t="str">
        <v>Томская область</v>
      </c>
      <c r="C47" s="215" t="str">
        <v>Шурыгин Сергей</v>
      </c>
      <c r="D47" s="211">
        <f>COUNTIF(СводПТ[Регион],B47)</f>
        <v>13</v>
      </c>
      <c r="E47" s="211">
        <f>SUMIFS(СводПТ[Выполнение цели (1-Да;0-Нет)],СводПТ[Регион],B47)</f>
        <v>7</v>
      </c>
      <c r="F47" s="212">
        <f t="shared" si="1"/>
        <v>0.53846153846153844</v>
      </c>
      <c r="I47" s="375">
        <v>45</v>
      </c>
      <c r="J47" s="377" t="str">
        <v>Пермский край</v>
      </c>
      <c r="K47" s="377" t="str">
        <v>Пешев Игорь</v>
      </c>
      <c r="L47" s="375">
        <v>12</v>
      </c>
      <c r="M47" s="375">
        <v>4</v>
      </c>
      <c r="N47" s="383">
        <v>0.33333333333333331</v>
      </c>
    </row>
    <row r="48" spans="1:14" ht="15" customHeight="1" x14ac:dyDescent="0.3">
      <c r="A48" s="211">
        <f t="shared" si="2"/>
        <v>1</v>
      </c>
      <c r="B48" s="215" t="str">
        <v>Тульская область</v>
      </c>
      <c r="C48" s="215" t="str">
        <v>Пешев Игорь</v>
      </c>
      <c r="D48" s="211">
        <f>COUNTIF(СводПТ[Регион],B48)</f>
        <v>16</v>
      </c>
      <c r="E48" s="211">
        <f>SUMIFS(СводПТ[Выполнение цели (1-Да;0-Нет)],СводПТ[Регион],B48)</f>
        <v>13</v>
      </c>
      <c r="F48" s="212">
        <f t="shared" si="1"/>
        <v>0.8125</v>
      </c>
      <c r="I48" s="375">
        <v>46</v>
      </c>
      <c r="J48" s="377" t="str">
        <v>Чувашская Республика</v>
      </c>
      <c r="K48" s="377" t="str">
        <v>Мякотин Павел</v>
      </c>
      <c r="L48" s="375">
        <v>13</v>
      </c>
      <c r="M48" s="375">
        <v>3</v>
      </c>
      <c r="N48" s="383">
        <v>0.23076923076923078</v>
      </c>
    </row>
    <row r="49" spans="1:14" ht="15" customHeight="1" x14ac:dyDescent="0.3">
      <c r="A49" s="211">
        <f t="shared" si="2"/>
        <v>7</v>
      </c>
      <c r="B49" s="215" t="str">
        <v>Тюменская область</v>
      </c>
      <c r="C49" s="215" t="str">
        <v>Пешев Игорь</v>
      </c>
      <c r="D49" s="211">
        <f>COUNTIF(СводПТ[Регион],B49)</f>
        <v>19</v>
      </c>
      <c r="E49" s="211">
        <f>SUMIFS(СводПТ[Выполнение цели (1-Да;0-Нет)],СводПТ[Регион],B49)</f>
        <v>13</v>
      </c>
      <c r="F49" s="212">
        <f t="shared" si="1"/>
        <v>0.68421052631578949</v>
      </c>
      <c r="I49" s="375">
        <v>47</v>
      </c>
      <c r="J49" s="377" t="str">
        <v>Ставропольский край</v>
      </c>
      <c r="K49" s="377" t="str">
        <v>Шурыгин Сергей</v>
      </c>
      <c r="L49" s="375">
        <v>22</v>
      </c>
      <c r="M49" s="375">
        <v>5</v>
      </c>
      <c r="N49" s="383">
        <v>0.22727272727272727</v>
      </c>
    </row>
    <row r="50" spans="1:14" ht="15" customHeight="1" x14ac:dyDescent="0.3">
      <c r="A50" s="211">
        <f t="shared" si="2"/>
        <v>40</v>
      </c>
      <c r="B50" s="215" t="str">
        <v>Удмуртская Республика</v>
      </c>
      <c r="C50" s="215" t="str">
        <v>Мякотин Павел</v>
      </c>
      <c r="D50" s="211">
        <f>COUNTIF(СводПТ[Регион],B50)</f>
        <v>17</v>
      </c>
      <c r="E50" s="211">
        <f>SUMIFS(СводПТ[Выполнение цели (1-Да;0-Нет)],СводПТ[Регион],B50)</f>
        <v>7</v>
      </c>
      <c r="F50" s="212">
        <f t="shared" si="1"/>
        <v>0.41176470588235292</v>
      </c>
      <c r="I50" s="375">
        <v>48</v>
      </c>
      <c r="J50" s="377" t="str">
        <v>ХМАО</v>
      </c>
      <c r="K50" s="377" t="str">
        <v>Пешев Игорь</v>
      </c>
      <c r="L50" s="375">
        <v>9</v>
      </c>
      <c r="M50" s="375">
        <v>2</v>
      </c>
      <c r="N50" s="383">
        <v>0.22222222222222221</v>
      </c>
    </row>
    <row r="51" spans="1:14" ht="15" customHeight="1" x14ac:dyDescent="0.3">
      <c r="A51" s="211">
        <f t="shared" si="2"/>
        <v>48</v>
      </c>
      <c r="B51" s="215" t="str">
        <v>ХМАО</v>
      </c>
      <c r="C51" s="215" t="str">
        <v>Пешев Игорь</v>
      </c>
      <c r="D51" s="211">
        <f>COUNTIF(СводПТ[Регион],B51)</f>
        <v>9</v>
      </c>
      <c r="E51" s="211">
        <f>SUMIFS(СводПТ[Выполнение цели (1-Да;0-Нет)],СводПТ[Регион],B51)</f>
        <v>2</v>
      </c>
      <c r="F51" s="212">
        <f t="shared" si="1"/>
        <v>0.22222222222222221</v>
      </c>
      <c r="I51" s="375">
        <v>49</v>
      </c>
      <c r="J51" s="377" t="str">
        <v>Новгородская область</v>
      </c>
      <c r="K51" s="377" t="str">
        <v>Шурыгин Сергей</v>
      </c>
      <c r="L51" s="375">
        <v>9</v>
      </c>
      <c r="M51" s="375">
        <v>1</v>
      </c>
      <c r="N51" s="383">
        <v>0.1111111111111111</v>
      </c>
    </row>
    <row r="52" spans="1:14" ht="15" customHeight="1" x14ac:dyDescent="0.3">
      <c r="A52" s="211">
        <f t="shared" si="2"/>
        <v>17</v>
      </c>
      <c r="B52" s="215" t="str">
        <v>Челябинская область</v>
      </c>
      <c r="C52" s="215" t="str">
        <v>Гусаров Владимир</v>
      </c>
      <c r="D52" s="211">
        <f>COUNTIF(СводПТ[Регион],B52)</f>
        <v>29</v>
      </c>
      <c r="E52" s="211">
        <f>SUMIFS(СводПТ[Выполнение цели (1-Да;0-Нет)],СводПТ[Регион],B52)</f>
        <v>18</v>
      </c>
      <c r="F52" s="212">
        <f t="shared" si="1"/>
        <v>0.62068965517241381</v>
      </c>
      <c r="I52" s="375">
        <v>50</v>
      </c>
      <c r="J52" s="377" t="str">
        <v>Архангельская область</v>
      </c>
      <c r="K52" s="377" t="str">
        <v>Алев Игорь</v>
      </c>
      <c r="L52" s="375">
        <v>1</v>
      </c>
      <c r="M52" s="375">
        <v>0</v>
      </c>
      <c r="N52" s="383">
        <v>0</v>
      </c>
    </row>
    <row r="53" spans="1:14" ht="15" customHeight="1" x14ac:dyDescent="0.3">
      <c r="A53" s="211">
        <f t="shared" si="2"/>
        <v>46</v>
      </c>
      <c r="B53" s="215" t="str">
        <v>Чувашская Республика</v>
      </c>
      <c r="C53" s="215" t="str">
        <v>Мякотин Павел</v>
      </c>
      <c r="D53" s="211">
        <f>COUNTIF(СводПТ[Регион],B53)</f>
        <v>13</v>
      </c>
      <c r="E53" s="211">
        <f>SUMIFS(СводПТ[Выполнение цели (1-Да;0-Нет)],СводПТ[Регион],B53)</f>
        <v>3</v>
      </c>
      <c r="F53" s="212">
        <f t="shared" si="1"/>
        <v>0.23076923076923078</v>
      </c>
      <c r="I53" s="375">
        <v>50</v>
      </c>
      <c r="J53" s="377" t="str">
        <v>Мурманская область</v>
      </c>
      <c r="K53" s="377" t="str">
        <v>Алев Игорь</v>
      </c>
      <c r="L53" s="375">
        <v>1</v>
      </c>
      <c r="M53" s="375">
        <v>0</v>
      </c>
      <c r="N53" s="383">
        <v>0</v>
      </c>
    </row>
    <row r="54" spans="1:14" ht="15" customHeight="1" x14ac:dyDescent="0.3">
      <c r="A54" s="211">
        <f t="shared" si="2"/>
        <v>8</v>
      </c>
      <c r="B54" s="215" t="str">
        <v>Ямало-Ненецкий автономный округ</v>
      </c>
      <c r="C54" s="215" t="str">
        <v>Лапшин Виталий</v>
      </c>
      <c r="D54" s="211">
        <f>COUNTIF(СводПТ[Регион],B54)</f>
        <v>6</v>
      </c>
      <c r="E54" s="211">
        <f>SUMIFS(СводПТ[Выполнение цели (1-Да;0-Нет)],СводПТ[Регион],B54)</f>
        <v>4</v>
      </c>
      <c r="F54" s="212">
        <f t="shared" si="1"/>
        <v>0.66666666666666663</v>
      </c>
      <c r="I54" s="375">
        <v>50</v>
      </c>
      <c r="J54" s="377" t="str">
        <v>Республика Тыва</v>
      </c>
      <c r="K54" s="377" t="str">
        <v>Шурыгин Сергей</v>
      </c>
      <c r="L54" s="375">
        <v>1</v>
      </c>
      <c r="M54" s="375">
        <v>0</v>
      </c>
      <c r="N54" s="383">
        <v>0</v>
      </c>
    </row>
    <row r="55" spans="1:14" ht="15" customHeight="1" x14ac:dyDescent="0.3">
      <c r="A55" s="211">
        <f t="shared" si="2"/>
        <v>11</v>
      </c>
      <c r="B55" s="215" t="str">
        <v>Ярославская область</v>
      </c>
      <c r="C55" s="215" t="str">
        <v>Гусаров Владимир</v>
      </c>
      <c r="D55" s="211">
        <f>COUNTIF(СводПТ[Регион],B55)</f>
        <v>20</v>
      </c>
      <c r="E55" s="211">
        <f>SUMIFS(СводПТ[Выполнение цели (1-Да;0-Нет)],СводПТ[Регион],B55)</f>
        <v>13</v>
      </c>
      <c r="F55" s="212">
        <f t="shared" si="1"/>
        <v>0.65</v>
      </c>
      <c r="I55" s="375">
        <v>50</v>
      </c>
      <c r="J55" s="377" t="str">
        <v>Тверская область</v>
      </c>
      <c r="K55" s="377" t="str">
        <v>Алев Игорь</v>
      </c>
      <c r="L55" s="375">
        <v>1</v>
      </c>
      <c r="M55" s="375">
        <v>0</v>
      </c>
      <c r="N55" s="383">
        <v>0</v>
      </c>
    </row>
  </sheetData>
  <mergeCells count="2">
    <mergeCell ref="I1:N1"/>
    <mergeCell ref="A1:F1"/>
  </mergeCells>
  <conditionalFormatting sqref="F3:F5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{9B03D73F-D2C7-48C4-80E9-AF02369421E1}</x14:id>
        </ext>
      </extLst>
    </cfRule>
  </conditionalFormatting>
  <conditionalFormatting sqref="N3:N55">
    <cfRule type="dataBar" priority="1">
      <dataBar>
        <cfvo type="min"/>
        <cfvo type="max"/>
        <color rgb="FF0073CF"/>
      </dataBar>
      <extLst>
        <ext xmlns:x14="http://schemas.microsoft.com/office/spreadsheetml/2009/9/main" uri="{B025F937-C7B1-47D3-B67F-A62EFF666E3E}">
          <x14:id>{1269F76B-0A95-4D55-90A3-29EED9CE123B}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03D73F-D2C7-48C4-80E9-AF02369421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F3:F55</xm:sqref>
        </x14:conditionalFormatting>
        <x14:conditionalFormatting xmlns:xm="http://schemas.microsoft.com/office/excel/2006/main">
          <x14:cfRule type="dataBar" id="{1269F76B-0A95-4D55-90A3-29EED9CE123B}">
            <x14:dataBar minLength="0" maxLength="100" border="1" negativeBarBorderColorSameAsPositive="0">
              <x14:cfvo type="autoMin"/>
              <x14:cfvo type="autoMax"/>
              <x14:borderColor rgb="FF1B68A8"/>
              <x14:negativeFillColor rgb="FFFF0000"/>
              <x14:negativeBorderColor rgb="FFFF0000"/>
              <x14:axisColor rgb="FF000000"/>
            </x14:dataBar>
          </x14:cfRule>
          <xm:sqref>N3:N55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729C-987C-476A-A153-7DAA649D89B6}">
  <sheetPr codeName="Лист8"/>
  <dimension ref="A1:D1787"/>
  <sheetViews>
    <sheetView workbookViewId="0"/>
  </sheetViews>
  <sheetFormatPr defaultRowHeight="14.4" x14ac:dyDescent="0.3"/>
  <cols>
    <col min="1" max="1" width="19" customWidth="1"/>
    <col min="2" max="2" width="16.6640625" customWidth="1"/>
    <col min="3" max="3" width="12" customWidth="1"/>
    <col min="4" max="4" width="23.44140625" customWidth="1"/>
  </cols>
  <sheetData>
    <row r="1" spans="1:4" ht="48" x14ac:dyDescent="0.3">
      <c r="A1" s="199" t="s">
        <v>1212</v>
      </c>
      <c r="B1" s="199" t="s">
        <v>1213</v>
      </c>
      <c r="C1" s="199" t="s">
        <v>1214</v>
      </c>
      <c r="D1" s="199" t="s">
        <v>1212</v>
      </c>
    </row>
    <row r="2" spans="1:4" ht="69" x14ac:dyDescent="0.3">
      <c r="A2" s="200" t="s">
        <v>1215</v>
      </c>
      <c r="B2" s="200" t="s">
        <v>1216</v>
      </c>
      <c r="C2" s="201" t="s">
        <v>1217</v>
      </c>
      <c r="D2" s="200" t="s">
        <v>1215</v>
      </c>
    </row>
    <row r="3" spans="1:4" ht="27.6" x14ac:dyDescent="0.3">
      <c r="A3" s="202" t="s">
        <v>1218</v>
      </c>
      <c r="B3" s="202" t="s">
        <v>1219</v>
      </c>
      <c r="C3" s="201" t="s">
        <v>1217</v>
      </c>
      <c r="D3" s="202" t="s">
        <v>1218</v>
      </c>
    </row>
    <row r="4" spans="1:4" ht="69" x14ac:dyDescent="0.3">
      <c r="A4" s="202" t="s">
        <v>1220</v>
      </c>
      <c r="B4" s="202" t="s">
        <v>1221</v>
      </c>
      <c r="C4" s="201" t="s">
        <v>1217</v>
      </c>
      <c r="D4" s="202" t="s">
        <v>1220</v>
      </c>
    </row>
    <row r="5" spans="1:4" ht="27.6" x14ac:dyDescent="0.3">
      <c r="A5" s="202" t="s">
        <v>1222</v>
      </c>
      <c r="B5" s="202" t="s">
        <v>1223</v>
      </c>
      <c r="C5" s="201" t="s">
        <v>1217</v>
      </c>
      <c r="D5" s="202" t="s">
        <v>1222</v>
      </c>
    </row>
    <row r="6" spans="1:4" ht="27.6" x14ac:dyDescent="0.3">
      <c r="A6" s="202" t="s">
        <v>1224</v>
      </c>
      <c r="B6" s="202" t="s">
        <v>1225</v>
      </c>
      <c r="C6" s="201" t="s">
        <v>1217</v>
      </c>
      <c r="D6" s="202" t="s">
        <v>1224</v>
      </c>
    </row>
    <row r="7" spans="1:4" ht="20.399999999999999" x14ac:dyDescent="0.3">
      <c r="A7" s="202" t="s">
        <v>1226</v>
      </c>
      <c r="B7" s="202" t="s">
        <v>1227</v>
      </c>
      <c r="C7" s="201" t="s">
        <v>1217</v>
      </c>
      <c r="D7" s="202" t="s">
        <v>1226</v>
      </c>
    </row>
    <row r="8" spans="1:4" ht="20.399999999999999" x14ac:dyDescent="0.3">
      <c r="A8" s="202" t="s">
        <v>1228</v>
      </c>
      <c r="B8" s="202" t="s">
        <v>1229</v>
      </c>
      <c r="C8" s="201" t="s">
        <v>1217</v>
      </c>
      <c r="D8" s="202" t="s">
        <v>1228</v>
      </c>
    </row>
    <row r="9" spans="1:4" ht="20.399999999999999" x14ac:dyDescent="0.3">
      <c r="A9" s="202" t="s">
        <v>1230</v>
      </c>
      <c r="B9" s="202" t="s">
        <v>1231</v>
      </c>
      <c r="C9" s="201" t="s">
        <v>1217</v>
      </c>
      <c r="D9" s="202" t="s">
        <v>1230</v>
      </c>
    </row>
    <row r="10" spans="1:4" ht="20.399999999999999" x14ac:dyDescent="0.3">
      <c r="A10" s="202" t="s">
        <v>1232</v>
      </c>
      <c r="B10" s="202" t="s">
        <v>1233</v>
      </c>
      <c r="C10" s="201" t="s">
        <v>1217</v>
      </c>
      <c r="D10" s="202" t="s">
        <v>1232</v>
      </c>
    </row>
    <row r="11" spans="1:4" ht="20.399999999999999" x14ac:dyDescent="0.3">
      <c r="A11" s="202" t="s">
        <v>1234</v>
      </c>
      <c r="B11" s="202" t="s">
        <v>1235</v>
      </c>
      <c r="C11" s="201" t="s">
        <v>1217</v>
      </c>
      <c r="D11" s="202" t="s">
        <v>1234</v>
      </c>
    </row>
    <row r="12" spans="1:4" ht="27.6" x14ac:dyDescent="0.3">
      <c r="A12" s="202" t="s">
        <v>1236</v>
      </c>
      <c r="B12" s="202" t="s">
        <v>1237</v>
      </c>
      <c r="C12" s="201" t="s">
        <v>1217</v>
      </c>
      <c r="D12" s="202" t="s">
        <v>1236</v>
      </c>
    </row>
    <row r="13" spans="1:4" ht="27.6" x14ac:dyDescent="0.3">
      <c r="A13" s="202" t="s">
        <v>1238</v>
      </c>
      <c r="B13" s="202" t="s">
        <v>1239</v>
      </c>
      <c r="C13" s="201" t="s">
        <v>1217</v>
      </c>
      <c r="D13" s="202" t="s">
        <v>1238</v>
      </c>
    </row>
    <row r="14" spans="1:4" ht="27.6" x14ac:dyDescent="0.3">
      <c r="A14" s="202" t="s">
        <v>1240</v>
      </c>
      <c r="B14" s="202" t="s">
        <v>1241</v>
      </c>
      <c r="C14" s="201" t="s">
        <v>1217</v>
      </c>
      <c r="D14" s="202" t="s">
        <v>1240</v>
      </c>
    </row>
    <row r="15" spans="1:4" ht="27.6" x14ac:dyDescent="0.3">
      <c r="A15" s="202" t="s">
        <v>1242</v>
      </c>
      <c r="B15" s="202" t="s">
        <v>1243</v>
      </c>
      <c r="C15" s="201" t="s">
        <v>1217</v>
      </c>
      <c r="D15" s="202" t="s">
        <v>1242</v>
      </c>
    </row>
    <row r="16" spans="1:4" ht="27.6" x14ac:dyDescent="0.3">
      <c r="A16" s="202" t="s">
        <v>1244</v>
      </c>
      <c r="B16" s="202" t="s">
        <v>1245</v>
      </c>
      <c r="C16" s="201" t="s">
        <v>1217</v>
      </c>
      <c r="D16" s="202" t="s">
        <v>1244</v>
      </c>
    </row>
    <row r="17" spans="1:4" ht="27.6" x14ac:dyDescent="0.3">
      <c r="A17" s="200" t="s">
        <v>1246</v>
      </c>
      <c r="B17" s="200" t="s">
        <v>1247</v>
      </c>
      <c r="C17" s="201" t="s">
        <v>1217</v>
      </c>
      <c r="D17" s="200" t="s">
        <v>1246</v>
      </c>
    </row>
    <row r="18" spans="1:4" ht="41.4" x14ac:dyDescent="0.3">
      <c r="A18" s="200" t="s">
        <v>1248</v>
      </c>
      <c r="B18" s="200" t="s">
        <v>1249</v>
      </c>
      <c r="C18" s="201" t="s">
        <v>1217</v>
      </c>
      <c r="D18" s="200" t="s">
        <v>1248</v>
      </c>
    </row>
    <row r="19" spans="1:4" ht="20.399999999999999" x14ac:dyDescent="0.3">
      <c r="A19" s="202" t="s">
        <v>1250</v>
      </c>
      <c r="B19" s="202" t="s">
        <v>1251</v>
      </c>
      <c r="C19" s="201" t="s">
        <v>1217</v>
      </c>
      <c r="D19" s="202" t="s">
        <v>1250</v>
      </c>
    </row>
    <row r="20" spans="1:4" ht="82.8" x14ac:dyDescent="0.3">
      <c r="A20" s="202" t="s">
        <v>1252</v>
      </c>
      <c r="B20" s="202" t="s">
        <v>1253</v>
      </c>
      <c r="C20" s="201" t="s">
        <v>1217</v>
      </c>
      <c r="D20" s="202" t="s">
        <v>1252</v>
      </c>
    </row>
    <row r="21" spans="1:4" ht="20.399999999999999" x14ac:dyDescent="0.3">
      <c r="A21" s="202" t="s">
        <v>1254</v>
      </c>
      <c r="B21" s="202" t="s">
        <v>1255</v>
      </c>
      <c r="C21" s="201" t="s">
        <v>1217</v>
      </c>
      <c r="D21" s="202" t="s">
        <v>1254</v>
      </c>
    </row>
    <row r="22" spans="1:4" ht="27.6" x14ac:dyDescent="0.3">
      <c r="A22" s="202" t="s">
        <v>1256</v>
      </c>
      <c r="B22" s="202" t="s">
        <v>1257</v>
      </c>
      <c r="C22" s="201" t="s">
        <v>1217</v>
      </c>
      <c r="D22" s="202" t="s">
        <v>1256</v>
      </c>
    </row>
    <row r="23" spans="1:4" ht="27.6" x14ac:dyDescent="0.3">
      <c r="A23" s="202" t="s">
        <v>1258</v>
      </c>
      <c r="B23" s="202" t="s">
        <v>1259</v>
      </c>
      <c r="C23" s="201" t="s">
        <v>1217</v>
      </c>
      <c r="D23" s="202" t="s">
        <v>1258</v>
      </c>
    </row>
    <row r="24" spans="1:4" ht="27.6" x14ac:dyDescent="0.3">
      <c r="A24" s="202" t="s">
        <v>1260</v>
      </c>
      <c r="B24" s="202" t="s">
        <v>1261</v>
      </c>
      <c r="C24" s="201" t="s">
        <v>1217</v>
      </c>
      <c r="D24" s="202" t="s">
        <v>1260</v>
      </c>
    </row>
    <row r="25" spans="1:4" ht="96.6" x14ac:dyDescent="0.3">
      <c r="A25" s="202" t="s">
        <v>1262</v>
      </c>
      <c r="B25" s="202" t="s">
        <v>1263</v>
      </c>
      <c r="C25" s="201" t="s">
        <v>1217</v>
      </c>
      <c r="D25" s="202" t="s">
        <v>1262</v>
      </c>
    </row>
    <row r="26" spans="1:4" ht="27.6" x14ac:dyDescent="0.3">
      <c r="A26" s="202" t="s">
        <v>1264</v>
      </c>
      <c r="B26" s="202" t="s">
        <v>1265</v>
      </c>
      <c r="C26" s="201" t="s">
        <v>1217</v>
      </c>
      <c r="D26" s="202" t="s">
        <v>1264</v>
      </c>
    </row>
    <row r="27" spans="1:4" ht="96.6" x14ac:dyDescent="0.3">
      <c r="A27" s="202" t="s">
        <v>1266</v>
      </c>
      <c r="B27" s="202" t="s">
        <v>1267</v>
      </c>
      <c r="C27" s="201" t="s">
        <v>1217</v>
      </c>
      <c r="D27" s="202" t="s">
        <v>1266</v>
      </c>
    </row>
    <row r="28" spans="1:4" ht="55.2" x14ac:dyDescent="0.3">
      <c r="A28" s="202" t="s">
        <v>1268</v>
      </c>
      <c r="B28" s="202" t="s">
        <v>1269</v>
      </c>
      <c r="C28" s="201" t="s">
        <v>1217</v>
      </c>
      <c r="D28" s="202" t="s">
        <v>1268</v>
      </c>
    </row>
    <row r="29" spans="1:4" ht="41.4" x14ac:dyDescent="0.3">
      <c r="A29" s="202" t="s">
        <v>1270</v>
      </c>
      <c r="B29" s="202" t="s">
        <v>1271</v>
      </c>
      <c r="C29" s="201" t="s">
        <v>1217</v>
      </c>
      <c r="D29" s="202" t="s">
        <v>1270</v>
      </c>
    </row>
    <row r="30" spans="1:4" ht="27.6" x14ac:dyDescent="0.3">
      <c r="A30" s="202" t="s">
        <v>1272</v>
      </c>
      <c r="B30" s="202" t="s">
        <v>1273</v>
      </c>
      <c r="C30" s="201" t="s">
        <v>1217</v>
      </c>
      <c r="D30" s="202" t="s">
        <v>1272</v>
      </c>
    </row>
    <row r="31" spans="1:4" ht="27.6" x14ac:dyDescent="0.3">
      <c r="A31" s="202" t="s">
        <v>1274</v>
      </c>
      <c r="B31" s="202" t="s">
        <v>1275</v>
      </c>
      <c r="C31" s="201" t="s">
        <v>1217</v>
      </c>
      <c r="D31" s="202" t="s">
        <v>1274</v>
      </c>
    </row>
    <row r="32" spans="1:4" ht="27.6" x14ac:dyDescent="0.3">
      <c r="A32" s="200" t="s">
        <v>1276</v>
      </c>
      <c r="B32" s="200" t="s">
        <v>1277</v>
      </c>
      <c r="C32" s="201" t="s">
        <v>1217</v>
      </c>
      <c r="D32" s="200" t="s">
        <v>1276</v>
      </c>
    </row>
    <row r="33" spans="1:4" ht="41.4" x14ac:dyDescent="0.3">
      <c r="A33" s="200" t="s">
        <v>1278</v>
      </c>
      <c r="B33" s="200" t="s">
        <v>1279</v>
      </c>
      <c r="C33" s="201" t="s">
        <v>1217</v>
      </c>
      <c r="D33" s="200" t="s">
        <v>1278</v>
      </c>
    </row>
    <row r="34" spans="1:4" ht="27.6" x14ac:dyDescent="0.3">
      <c r="A34" s="202" t="s">
        <v>1280</v>
      </c>
      <c r="B34" s="202" t="s">
        <v>1281</v>
      </c>
      <c r="C34" s="201" t="s">
        <v>1217</v>
      </c>
      <c r="D34" s="202" t="s">
        <v>1280</v>
      </c>
    </row>
    <row r="35" spans="1:4" ht="41.4" x14ac:dyDescent="0.3">
      <c r="A35" s="202" t="s">
        <v>1282</v>
      </c>
      <c r="B35" s="202" t="s">
        <v>1283</v>
      </c>
      <c r="C35" s="201" t="s">
        <v>1217</v>
      </c>
      <c r="D35" s="202" t="s">
        <v>1282</v>
      </c>
    </row>
    <row r="36" spans="1:4" ht="27.6" x14ac:dyDescent="0.3">
      <c r="A36" s="202" t="s">
        <v>1284</v>
      </c>
      <c r="B36" s="202" t="s">
        <v>1285</v>
      </c>
      <c r="C36" s="201" t="s">
        <v>1217</v>
      </c>
      <c r="D36" s="202" t="s">
        <v>1284</v>
      </c>
    </row>
    <row r="37" spans="1:4" ht="20.399999999999999" x14ac:dyDescent="0.3">
      <c r="A37" s="202" t="s">
        <v>1286</v>
      </c>
      <c r="B37" s="202" t="s">
        <v>1287</v>
      </c>
      <c r="C37" s="201" t="s">
        <v>1217</v>
      </c>
      <c r="D37" s="202" t="s">
        <v>1286</v>
      </c>
    </row>
    <row r="38" spans="1:4" ht="27.6" x14ac:dyDescent="0.3">
      <c r="A38" s="200" t="s">
        <v>1288</v>
      </c>
      <c r="B38" s="200" t="s">
        <v>1289</v>
      </c>
      <c r="C38" s="201" t="s">
        <v>1217</v>
      </c>
      <c r="D38" s="200" t="s">
        <v>1288</v>
      </c>
    </row>
    <row r="39" spans="1:4" ht="27.6" x14ac:dyDescent="0.3">
      <c r="A39" s="202" t="s">
        <v>1290</v>
      </c>
      <c r="B39" s="202" t="s">
        <v>1291</v>
      </c>
      <c r="C39" s="201" t="s">
        <v>1217</v>
      </c>
      <c r="D39" s="202" t="s">
        <v>1290</v>
      </c>
    </row>
    <row r="40" spans="1:4" ht="27.6" x14ac:dyDescent="0.3">
      <c r="A40" s="202" t="s">
        <v>1292</v>
      </c>
      <c r="B40" s="202" t="s">
        <v>1293</v>
      </c>
      <c r="C40" s="201" t="s">
        <v>1217</v>
      </c>
      <c r="D40" s="202" t="s">
        <v>1292</v>
      </c>
    </row>
    <row r="41" spans="1:4" ht="41.4" x14ac:dyDescent="0.3">
      <c r="A41" s="202" t="s">
        <v>1294</v>
      </c>
      <c r="B41" s="202" t="s">
        <v>1295</v>
      </c>
      <c r="C41" s="201" t="s">
        <v>1217</v>
      </c>
      <c r="D41" s="202" t="s">
        <v>1294</v>
      </c>
    </row>
    <row r="42" spans="1:4" ht="20.399999999999999" x14ac:dyDescent="0.3">
      <c r="A42" s="202" t="s">
        <v>1296</v>
      </c>
      <c r="B42" s="202" t="s">
        <v>1297</v>
      </c>
      <c r="C42" s="201" t="s">
        <v>1217</v>
      </c>
      <c r="D42" s="202" t="s">
        <v>1296</v>
      </c>
    </row>
    <row r="43" spans="1:4" ht="41.4" x14ac:dyDescent="0.3">
      <c r="A43" s="202" t="s">
        <v>1298</v>
      </c>
      <c r="B43" s="202" t="s">
        <v>1299</v>
      </c>
      <c r="C43" s="201" t="s">
        <v>1217</v>
      </c>
      <c r="D43" s="202" t="s">
        <v>1298</v>
      </c>
    </row>
    <row r="44" spans="1:4" ht="27.6" x14ac:dyDescent="0.3">
      <c r="A44" s="202" t="s">
        <v>1300</v>
      </c>
      <c r="B44" s="202" t="s">
        <v>1301</v>
      </c>
      <c r="C44" s="201" t="s">
        <v>1217</v>
      </c>
      <c r="D44" s="202" t="s">
        <v>1300</v>
      </c>
    </row>
    <row r="45" spans="1:4" ht="55.2" x14ac:dyDescent="0.3">
      <c r="A45" s="200" t="s">
        <v>1302</v>
      </c>
      <c r="B45" s="200" t="s">
        <v>1303</v>
      </c>
      <c r="C45" s="201" t="s">
        <v>1217</v>
      </c>
      <c r="D45" s="200" t="s">
        <v>1302</v>
      </c>
    </row>
    <row r="46" spans="1:4" ht="55.2" x14ac:dyDescent="0.3">
      <c r="A46" s="200" t="s">
        <v>1304</v>
      </c>
      <c r="B46" s="200" t="s">
        <v>1305</v>
      </c>
      <c r="C46" s="201" t="s">
        <v>1217</v>
      </c>
      <c r="D46" s="200" t="s">
        <v>1304</v>
      </c>
    </row>
    <row r="47" spans="1:4" ht="27.6" x14ac:dyDescent="0.3">
      <c r="A47" s="200" t="s">
        <v>1306</v>
      </c>
      <c r="B47" s="200" t="s">
        <v>1307</v>
      </c>
      <c r="C47" s="201" t="s">
        <v>1217</v>
      </c>
      <c r="D47" s="200" t="s">
        <v>1306</v>
      </c>
    </row>
    <row r="48" spans="1:4" ht="27.6" x14ac:dyDescent="0.3">
      <c r="A48" s="200" t="s">
        <v>1308</v>
      </c>
      <c r="B48" s="200" t="s">
        <v>1309</v>
      </c>
      <c r="C48" s="201" t="s">
        <v>1217</v>
      </c>
      <c r="D48" s="200" t="s">
        <v>1308</v>
      </c>
    </row>
    <row r="49" spans="1:4" ht="41.4" x14ac:dyDescent="0.3">
      <c r="A49" s="200" t="s">
        <v>1310</v>
      </c>
      <c r="B49" s="200" t="s">
        <v>1311</v>
      </c>
      <c r="C49" s="201" t="s">
        <v>1217</v>
      </c>
      <c r="D49" s="200" t="s">
        <v>1310</v>
      </c>
    </row>
    <row r="50" spans="1:4" ht="27.6" x14ac:dyDescent="0.3">
      <c r="A50" s="200" t="s">
        <v>1312</v>
      </c>
      <c r="B50" s="200" t="s">
        <v>1313</v>
      </c>
      <c r="C50" s="201" t="s">
        <v>1217</v>
      </c>
      <c r="D50" s="200" t="s">
        <v>1312</v>
      </c>
    </row>
    <row r="51" spans="1:4" ht="41.4" x14ac:dyDescent="0.3">
      <c r="A51" s="202" t="s">
        <v>1314</v>
      </c>
      <c r="B51" s="202" t="s">
        <v>1315</v>
      </c>
      <c r="C51" s="201" t="s">
        <v>1217</v>
      </c>
      <c r="D51" s="202" t="s">
        <v>1314</v>
      </c>
    </row>
    <row r="52" spans="1:4" ht="41.4" x14ac:dyDescent="0.3">
      <c r="A52" s="202" t="s">
        <v>1316</v>
      </c>
      <c r="B52" s="202" t="s">
        <v>1317</v>
      </c>
      <c r="C52" s="201" t="s">
        <v>1217</v>
      </c>
      <c r="D52" s="202" t="s">
        <v>1316</v>
      </c>
    </row>
    <row r="53" spans="1:4" ht="41.4" x14ac:dyDescent="0.3">
      <c r="A53" s="202" t="s">
        <v>1318</v>
      </c>
      <c r="B53" s="202" t="s">
        <v>1319</v>
      </c>
      <c r="C53" s="201" t="s">
        <v>1217</v>
      </c>
      <c r="D53" s="202" t="s">
        <v>1318</v>
      </c>
    </row>
    <row r="54" spans="1:4" ht="41.4" x14ac:dyDescent="0.3">
      <c r="A54" s="200" t="s">
        <v>1320</v>
      </c>
      <c r="B54" s="200" t="s">
        <v>1321</v>
      </c>
      <c r="C54" s="201" t="s">
        <v>1217</v>
      </c>
      <c r="D54" s="200" t="s">
        <v>1320</v>
      </c>
    </row>
    <row r="55" spans="1:4" ht="27.6" x14ac:dyDescent="0.3">
      <c r="A55" s="200" t="s">
        <v>1322</v>
      </c>
      <c r="B55" s="200" t="s">
        <v>1323</v>
      </c>
      <c r="C55" s="201" t="s">
        <v>1217</v>
      </c>
      <c r="D55" s="200" t="s">
        <v>1322</v>
      </c>
    </row>
    <row r="56" spans="1:4" ht="27.6" x14ac:dyDescent="0.3">
      <c r="A56" s="202" t="s">
        <v>1324</v>
      </c>
      <c r="B56" s="202" t="s">
        <v>1325</v>
      </c>
      <c r="C56" s="201" t="s">
        <v>1217</v>
      </c>
      <c r="D56" s="202" t="s">
        <v>1324</v>
      </c>
    </row>
    <row r="57" spans="1:4" ht="41.4" x14ac:dyDescent="0.3">
      <c r="A57" s="202" t="s">
        <v>1326</v>
      </c>
      <c r="B57" s="202" t="s">
        <v>1327</v>
      </c>
      <c r="C57" s="201" t="s">
        <v>1217</v>
      </c>
      <c r="D57" s="202" t="s">
        <v>1326</v>
      </c>
    </row>
    <row r="58" spans="1:4" ht="20.399999999999999" x14ac:dyDescent="0.3">
      <c r="A58" s="200" t="s">
        <v>1328</v>
      </c>
      <c r="B58" s="200" t="s">
        <v>1329</v>
      </c>
      <c r="C58" s="201" t="s">
        <v>1217</v>
      </c>
      <c r="D58" s="200" t="s">
        <v>1328</v>
      </c>
    </row>
    <row r="59" spans="1:4" ht="55.2" x14ac:dyDescent="0.3">
      <c r="A59" s="202" t="s">
        <v>1330</v>
      </c>
      <c r="B59" s="202" t="s">
        <v>1331</v>
      </c>
      <c r="C59" s="201" t="s">
        <v>1217</v>
      </c>
      <c r="D59" s="202" t="s">
        <v>1330</v>
      </c>
    </row>
    <row r="60" spans="1:4" ht="69" x14ac:dyDescent="0.3">
      <c r="A60" s="202" t="s">
        <v>1332</v>
      </c>
      <c r="B60" s="202" t="s">
        <v>1333</v>
      </c>
      <c r="C60" s="201" t="s">
        <v>1217</v>
      </c>
      <c r="D60" s="202" t="s">
        <v>1332</v>
      </c>
    </row>
    <row r="61" spans="1:4" ht="27.6" x14ac:dyDescent="0.3">
      <c r="A61" s="202" t="s">
        <v>1334</v>
      </c>
      <c r="B61" s="202" t="s">
        <v>1335</v>
      </c>
      <c r="C61" s="201" t="s">
        <v>1217</v>
      </c>
      <c r="D61" s="202" t="s">
        <v>1334</v>
      </c>
    </row>
    <row r="62" spans="1:4" ht="20.399999999999999" x14ac:dyDescent="0.3">
      <c r="A62" s="200" t="s">
        <v>1336</v>
      </c>
      <c r="B62" s="200" t="s">
        <v>1337</v>
      </c>
      <c r="C62" s="201" t="s">
        <v>1217</v>
      </c>
      <c r="D62" s="200" t="s">
        <v>1336</v>
      </c>
    </row>
    <row r="63" spans="1:4" ht="110.4" x14ac:dyDescent="0.3">
      <c r="A63" s="200" t="s">
        <v>1338</v>
      </c>
      <c r="B63" s="200" t="s">
        <v>1339</v>
      </c>
      <c r="C63" s="201" t="s">
        <v>1217</v>
      </c>
      <c r="D63" s="200" t="s">
        <v>1338</v>
      </c>
    </row>
    <row r="64" spans="1:4" ht="27.6" x14ac:dyDescent="0.3">
      <c r="A64" s="200" t="s">
        <v>1340</v>
      </c>
      <c r="B64" s="200" t="s">
        <v>1341</v>
      </c>
      <c r="C64" s="201" t="s">
        <v>1217</v>
      </c>
      <c r="D64" s="200" t="s">
        <v>1340</v>
      </c>
    </row>
    <row r="65" spans="1:4" ht="20.399999999999999" x14ac:dyDescent="0.3">
      <c r="A65" s="200" t="s">
        <v>1342</v>
      </c>
      <c r="B65" s="200" t="s">
        <v>1343</v>
      </c>
      <c r="C65" s="201" t="s">
        <v>1217</v>
      </c>
      <c r="D65" s="200" t="s">
        <v>1342</v>
      </c>
    </row>
    <row r="66" spans="1:4" ht="20.399999999999999" x14ac:dyDescent="0.3">
      <c r="A66" s="200" t="s">
        <v>1342</v>
      </c>
      <c r="B66" s="200" t="s">
        <v>1344</v>
      </c>
      <c r="C66" s="201" t="s">
        <v>1217</v>
      </c>
      <c r="D66" s="200" t="s">
        <v>1342</v>
      </c>
    </row>
    <row r="67" spans="1:4" ht="20.399999999999999" x14ac:dyDescent="0.3">
      <c r="A67" s="202" t="s">
        <v>1345</v>
      </c>
      <c r="B67" s="202" t="s">
        <v>1346</v>
      </c>
      <c r="C67" s="201" t="s">
        <v>1217</v>
      </c>
      <c r="D67" s="202" t="s">
        <v>1345</v>
      </c>
    </row>
    <row r="68" spans="1:4" ht="55.2" x14ac:dyDescent="0.3">
      <c r="A68" s="202" t="s">
        <v>1347</v>
      </c>
      <c r="B68" s="202" t="s">
        <v>1348</v>
      </c>
      <c r="C68" s="201" t="s">
        <v>1217</v>
      </c>
      <c r="D68" s="202" t="s">
        <v>1347</v>
      </c>
    </row>
    <row r="69" spans="1:4" ht="41.4" x14ac:dyDescent="0.3">
      <c r="A69" s="202" t="s">
        <v>1349</v>
      </c>
      <c r="B69" s="202" t="s">
        <v>1350</v>
      </c>
      <c r="C69" s="201" t="s">
        <v>1217</v>
      </c>
      <c r="D69" s="202" t="s">
        <v>1349</v>
      </c>
    </row>
    <row r="70" spans="1:4" ht="55.2" x14ac:dyDescent="0.3">
      <c r="A70" s="202" t="s">
        <v>1351</v>
      </c>
      <c r="B70" s="202" t="s">
        <v>1352</v>
      </c>
      <c r="C70" s="201" t="s">
        <v>1217</v>
      </c>
      <c r="D70" s="202" t="s">
        <v>1351</v>
      </c>
    </row>
    <row r="71" spans="1:4" ht="55.2" x14ac:dyDescent="0.3">
      <c r="A71" s="202" t="s">
        <v>1353</v>
      </c>
      <c r="B71" s="202" t="s">
        <v>1354</v>
      </c>
      <c r="C71" s="201" t="s">
        <v>1217</v>
      </c>
      <c r="D71" s="202" t="s">
        <v>1353</v>
      </c>
    </row>
    <row r="72" spans="1:4" ht="82.8" x14ac:dyDescent="0.3">
      <c r="A72" s="202" t="s">
        <v>1355</v>
      </c>
      <c r="B72" s="202" t="s">
        <v>1356</v>
      </c>
      <c r="C72" s="201" t="s">
        <v>1217</v>
      </c>
      <c r="D72" s="202" t="s">
        <v>1355</v>
      </c>
    </row>
    <row r="73" spans="1:4" ht="27.6" x14ac:dyDescent="0.3">
      <c r="A73" s="200" t="s">
        <v>1357</v>
      </c>
      <c r="B73" s="200" t="s">
        <v>1358</v>
      </c>
      <c r="C73" s="201" t="s">
        <v>1217</v>
      </c>
      <c r="D73" s="200" t="s">
        <v>1357</v>
      </c>
    </row>
    <row r="74" spans="1:4" ht="69" x14ac:dyDescent="0.3">
      <c r="A74" s="202" t="s">
        <v>1359</v>
      </c>
      <c r="B74" s="202" t="s">
        <v>1360</v>
      </c>
      <c r="C74" s="201" t="s">
        <v>1217</v>
      </c>
      <c r="D74" s="202" t="s">
        <v>1359</v>
      </c>
    </row>
    <row r="75" spans="1:4" ht="69" x14ac:dyDescent="0.3">
      <c r="A75" s="202" t="s">
        <v>1361</v>
      </c>
      <c r="B75" s="202" t="s">
        <v>1362</v>
      </c>
      <c r="C75" s="201" t="s">
        <v>1217</v>
      </c>
      <c r="D75" s="202" t="s">
        <v>1361</v>
      </c>
    </row>
    <row r="76" spans="1:4" ht="69" x14ac:dyDescent="0.3">
      <c r="A76" s="202" t="s">
        <v>1363</v>
      </c>
      <c r="B76" s="202" t="s">
        <v>1364</v>
      </c>
      <c r="C76" s="201" t="s">
        <v>1217</v>
      </c>
      <c r="D76" s="202" t="s">
        <v>1363</v>
      </c>
    </row>
    <row r="77" spans="1:4" ht="69" x14ac:dyDescent="0.3">
      <c r="A77" s="202" t="s">
        <v>1365</v>
      </c>
      <c r="B77" s="202" t="s">
        <v>1366</v>
      </c>
      <c r="C77" s="201" t="s">
        <v>1217</v>
      </c>
      <c r="D77" s="202" t="s">
        <v>1365</v>
      </c>
    </row>
    <row r="78" spans="1:4" ht="69" x14ac:dyDescent="0.3">
      <c r="A78" s="200" t="s">
        <v>1367</v>
      </c>
      <c r="B78" s="200" t="s">
        <v>1368</v>
      </c>
      <c r="C78" s="201" t="s">
        <v>1217</v>
      </c>
      <c r="D78" s="200" t="s">
        <v>1367</v>
      </c>
    </row>
    <row r="79" spans="1:4" ht="55.2" x14ac:dyDescent="0.3">
      <c r="A79" s="202" t="s">
        <v>1369</v>
      </c>
      <c r="B79" s="202" t="s">
        <v>1370</v>
      </c>
      <c r="C79" s="201" t="s">
        <v>1217</v>
      </c>
      <c r="D79" s="202" t="s">
        <v>1369</v>
      </c>
    </row>
    <row r="80" spans="1:4" ht="69" x14ac:dyDescent="0.3">
      <c r="A80" s="202" t="s">
        <v>1371</v>
      </c>
      <c r="B80" s="202" t="s">
        <v>1372</v>
      </c>
      <c r="C80" s="201" t="s">
        <v>1217</v>
      </c>
      <c r="D80" s="202" t="s">
        <v>1371</v>
      </c>
    </row>
    <row r="81" spans="1:4" ht="27.6" x14ac:dyDescent="0.3">
      <c r="A81" s="202" t="s">
        <v>1373</v>
      </c>
      <c r="B81" s="202" t="s">
        <v>1374</v>
      </c>
      <c r="C81" s="201" t="s">
        <v>1217</v>
      </c>
      <c r="D81" s="202" t="s">
        <v>1373</v>
      </c>
    </row>
    <row r="82" spans="1:4" ht="27.6" x14ac:dyDescent="0.3">
      <c r="A82" s="200" t="s">
        <v>1375</v>
      </c>
      <c r="B82" s="200" t="s">
        <v>1376</v>
      </c>
      <c r="C82" s="201" t="s">
        <v>1217</v>
      </c>
      <c r="D82" s="200" t="s">
        <v>1375</v>
      </c>
    </row>
    <row r="83" spans="1:4" ht="27.6" x14ac:dyDescent="0.3">
      <c r="A83" s="200" t="s">
        <v>1377</v>
      </c>
      <c r="B83" s="200" t="s">
        <v>1378</v>
      </c>
      <c r="C83" s="201" t="s">
        <v>1217</v>
      </c>
      <c r="D83" s="200" t="s">
        <v>1377</v>
      </c>
    </row>
    <row r="84" spans="1:4" ht="55.2" x14ac:dyDescent="0.3">
      <c r="A84" s="202" t="s">
        <v>1379</v>
      </c>
      <c r="B84" s="202" t="s">
        <v>1380</v>
      </c>
      <c r="C84" s="201" t="s">
        <v>1217</v>
      </c>
      <c r="D84" s="202" t="s">
        <v>1379</v>
      </c>
    </row>
    <row r="85" spans="1:4" ht="20.399999999999999" x14ac:dyDescent="0.3">
      <c r="A85" s="202" t="s">
        <v>1381</v>
      </c>
      <c r="B85" s="202" t="s">
        <v>1382</v>
      </c>
      <c r="C85" s="201" t="s">
        <v>1217</v>
      </c>
      <c r="D85" s="202" t="s">
        <v>1381</v>
      </c>
    </row>
    <row r="86" spans="1:4" ht="20.399999999999999" x14ac:dyDescent="0.3">
      <c r="A86" s="202" t="s">
        <v>1381</v>
      </c>
      <c r="B86" s="202" t="s">
        <v>1383</v>
      </c>
      <c r="C86" s="201" t="s">
        <v>1217</v>
      </c>
      <c r="D86" s="202" t="s">
        <v>1381</v>
      </c>
    </row>
    <row r="87" spans="1:4" ht="41.4" x14ac:dyDescent="0.3">
      <c r="A87" s="202" t="s">
        <v>1384</v>
      </c>
      <c r="B87" s="202" t="s">
        <v>1385</v>
      </c>
      <c r="C87" s="201" t="s">
        <v>1217</v>
      </c>
      <c r="D87" s="202" t="s">
        <v>1384</v>
      </c>
    </row>
    <row r="88" spans="1:4" ht="41.4" x14ac:dyDescent="0.3">
      <c r="A88" s="200" t="s">
        <v>1386</v>
      </c>
      <c r="B88" s="200" t="s">
        <v>1387</v>
      </c>
      <c r="C88" s="201" t="s">
        <v>1217</v>
      </c>
      <c r="D88" s="200" t="s">
        <v>1386</v>
      </c>
    </row>
    <row r="89" spans="1:4" ht="27.6" x14ac:dyDescent="0.3">
      <c r="A89" s="202" t="s">
        <v>1388</v>
      </c>
      <c r="B89" s="202" t="s">
        <v>1389</v>
      </c>
      <c r="C89" s="201" t="s">
        <v>1217</v>
      </c>
      <c r="D89" s="202" t="s">
        <v>1388</v>
      </c>
    </row>
    <row r="90" spans="1:4" ht="20.399999999999999" x14ac:dyDescent="0.3">
      <c r="A90" s="202" t="s">
        <v>1390</v>
      </c>
      <c r="B90" s="202" t="s">
        <v>1391</v>
      </c>
      <c r="C90" s="201" t="s">
        <v>1217</v>
      </c>
      <c r="D90" s="202" t="s">
        <v>1390</v>
      </c>
    </row>
    <row r="91" spans="1:4" ht="27.6" x14ac:dyDescent="0.3">
      <c r="A91" s="202" t="s">
        <v>1392</v>
      </c>
      <c r="B91" s="202" t="s">
        <v>1393</v>
      </c>
      <c r="C91" s="201" t="s">
        <v>1217</v>
      </c>
      <c r="D91" s="202" t="s">
        <v>1392</v>
      </c>
    </row>
    <row r="92" spans="1:4" ht="27.6" x14ac:dyDescent="0.3">
      <c r="A92" s="202" t="s">
        <v>1394</v>
      </c>
      <c r="B92" s="202" t="s">
        <v>1395</v>
      </c>
      <c r="C92" s="201" t="s">
        <v>1217</v>
      </c>
      <c r="D92" s="202" t="s">
        <v>1394</v>
      </c>
    </row>
    <row r="93" spans="1:4" ht="27.6" x14ac:dyDescent="0.3">
      <c r="A93" s="200" t="s">
        <v>1396</v>
      </c>
      <c r="B93" s="200" t="s">
        <v>1397</v>
      </c>
      <c r="C93" s="201" t="s">
        <v>1217</v>
      </c>
      <c r="D93" s="200" t="s">
        <v>1396</v>
      </c>
    </row>
    <row r="94" spans="1:4" ht="27.6" x14ac:dyDescent="0.3">
      <c r="A94" s="202" t="s">
        <v>1398</v>
      </c>
      <c r="B94" s="202" t="s">
        <v>1399</v>
      </c>
      <c r="C94" s="201" t="s">
        <v>1217</v>
      </c>
      <c r="D94" s="202" t="s">
        <v>1398</v>
      </c>
    </row>
    <row r="95" spans="1:4" ht="41.4" x14ac:dyDescent="0.3">
      <c r="A95" s="202" t="s">
        <v>1400</v>
      </c>
      <c r="B95" s="202" t="s">
        <v>1401</v>
      </c>
      <c r="C95" s="201" t="s">
        <v>1217</v>
      </c>
      <c r="D95" s="202" t="s">
        <v>1400</v>
      </c>
    </row>
    <row r="96" spans="1:4" ht="69" x14ac:dyDescent="0.3">
      <c r="A96" s="202" t="s">
        <v>1402</v>
      </c>
      <c r="B96" s="202" t="s">
        <v>1403</v>
      </c>
      <c r="C96" s="201" t="s">
        <v>1217</v>
      </c>
      <c r="D96" s="202" t="s">
        <v>1402</v>
      </c>
    </row>
    <row r="97" spans="1:4" ht="41.4" x14ac:dyDescent="0.3">
      <c r="A97" s="202" t="s">
        <v>1404</v>
      </c>
      <c r="B97" s="202" t="s">
        <v>1405</v>
      </c>
      <c r="C97" s="201" t="s">
        <v>1217</v>
      </c>
      <c r="D97" s="202" t="s">
        <v>1404</v>
      </c>
    </row>
    <row r="98" spans="1:4" ht="41.4" x14ac:dyDescent="0.3">
      <c r="A98" s="202" t="s">
        <v>1406</v>
      </c>
      <c r="B98" s="202" t="s">
        <v>1407</v>
      </c>
      <c r="C98" s="201" t="s">
        <v>1217</v>
      </c>
      <c r="D98" s="202" t="s">
        <v>1406</v>
      </c>
    </row>
    <row r="99" spans="1:4" ht="41.4" x14ac:dyDescent="0.3">
      <c r="A99" s="200" t="s">
        <v>1408</v>
      </c>
      <c r="B99" s="200" t="s">
        <v>1409</v>
      </c>
      <c r="C99" s="201" t="s">
        <v>1217</v>
      </c>
      <c r="D99" s="200" t="s">
        <v>1408</v>
      </c>
    </row>
    <row r="100" spans="1:4" ht="41.4" x14ac:dyDescent="0.3">
      <c r="A100" s="202" t="s">
        <v>1410</v>
      </c>
      <c r="B100" s="202" t="s">
        <v>1411</v>
      </c>
      <c r="C100" s="201" t="s">
        <v>1217</v>
      </c>
      <c r="D100" s="202" t="s">
        <v>1410</v>
      </c>
    </row>
    <row r="101" spans="1:4" ht="27.6" x14ac:dyDescent="0.3">
      <c r="A101" s="202" t="s">
        <v>1412</v>
      </c>
      <c r="B101" s="202" t="s">
        <v>1413</v>
      </c>
      <c r="C101" s="201" t="s">
        <v>1217</v>
      </c>
      <c r="D101" s="202" t="s">
        <v>1412</v>
      </c>
    </row>
    <row r="102" spans="1:4" ht="20.399999999999999" x14ac:dyDescent="0.3">
      <c r="A102" s="202" t="s">
        <v>1414</v>
      </c>
      <c r="B102" s="202" t="s">
        <v>1415</v>
      </c>
      <c r="C102" s="201" t="s">
        <v>1217</v>
      </c>
      <c r="D102" s="202" t="s">
        <v>1414</v>
      </c>
    </row>
    <row r="103" spans="1:4" ht="27.6" x14ac:dyDescent="0.3">
      <c r="A103" s="202" t="s">
        <v>1416</v>
      </c>
      <c r="B103" s="202" t="s">
        <v>1417</v>
      </c>
      <c r="C103" s="201" t="s">
        <v>1217</v>
      </c>
      <c r="D103" s="202" t="s">
        <v>1416</v>
      </c>
    </row>
    <row r="104" spans="1:4" ht="41.4" x14ac:dyDescent="0.3">
      <c r="A104" s="202" t="s">
        <v>1418</v>
      </c>
      <c r="B104" s="202" t="s">
        <v>1419</v>
      </c>
      <c r="C104" s="201" t="s">
        <v>1217</v>
      </c>
      <c r="D104" s="202" t="s">
        <v>1418</v>
      </c>
    </row>
    <row r="105" spans="1:4" ht="41.4" x14ac:dyDescent="0.3">
      <c r="A105" s="202" t="s">
        <v>1420</v>
      </c>
      <c r="B105" s="202" t="s">
        <v>1421</v>
      </c>
      <c r="C105" s="201" t="s">
        <v>1217</v>
      </c>
      <c r="D105" s="202" t="s">
        <v>1420</v>
      </c>
    </row>
    <row r="106" spans="1:4" ht="41.4" x14ac:dyDescent="0.3">
      <c r="A106" s="202" t="s">
        <v>1422</v>
      </c>
      <c r="B106" s="202" t="s">
        <v>1423</v>
      </c>
      <c r="C106" s="201" t="s">
        <v>1217</v>
      </c>
      <c r="D106" s="202" t="s">
        <v>1422</v>
      </c>
    </row>
    <row r="107" spans="1:4" ht="55.2" x14ac:dyDescent="0.3">
      <c r="A107" s="202" t="s">
        <v>1424</v>
      </c>
      <c r="B107" s="202" t="s">
        <v>1425</v>
      </c>
      <c r="C107" s="201" t="s">
        <v>1217</v>
      </c>
      <c r="D107" s="202" t="s">
        <v>1424</v>
      </c>
    </row>
    <row r="108" spans="1:4" ht="41.4" x14ac:dyDescent="0.3">
      <c r="A108" s="202" t="s">
        <v>1426</v>
      </c>
      <c r="B108" s="202" t="s">
        <v>1427</v>
      </c>
      <c r="C108" s="201" t="s">
        <v>1217</v>
      </c>
      <c r="D108" s="202" t="s">
        <v>1426</v>
      </c>
    </row>
    <row r="109" spans="1:4" ht="27.6" x14ac:dyDescent="0.3">
      <c r="A109" s="202" t="s">
        <v>1428</v>
      </c>
      <c r="B109" s="202" t="s">
        <v>1429</v>
      </c>
      <c r="C109" s="201" t="s">
        <v>1217</v>
      </c>
      <c r="D109" s="202" t="s">
        <v>1428</v>
      </c>
    </row>
    <row r="110" spans="1:4" ht="27.6" x14ac:dyDescent="0.3">
      <c r="A110" s="202" t="s">
        <v>1430</v>
      </c>
      <c r="B110" s="202" t="s">
        <v>1431</v>
      </c>
      <c r="C110" s="201" t="s">
        <v>1217</v>
      </c>
      <c r="D110" s="202" t="s">
        <v>1430</v>
      </c>
    </row>
    <row r="111" spans="1:4" ht="27.6" x14ac:dyDescent="0.3">
      <c r="A111" s="202" t="s">
        <v>1432</v>
      </c>
      <c r="B111" s="202" t="s">
        <v>1433</v>
      </c>
      <c r="C111" s="201" t="s">
        <v>1217</v>
      </c>
      <c r="D111" s="202" t="s">
        <v>1432</v>
      </c>
    </row>
    <row r="112" spans="1:4" ht="20.399999999999999" x14ac:dyDescent="0.3">
      <c r="A112" s="202" t="s">
        <v>1434</v>
      </c>
      <c r="B112" s="202" t="s">
        <v>1435</v>
      </c>
      <c r="C112" s="201" t="s">
        <v>1217</v>
      </c>
      <c r="D112" s="202" t="s">
        <v>1434</v>
      </c>
    </row>
    <row r="113" spans="1:4" ht="27.6" x14ac:dyDescent="0.3">
      <c r="A113" s="202" t="s">
        <v>1436</v>
      </c>
      <c r="B113" s="202" t="s">
        <v>1437</v>
      </c>
      <c r="C113" s="201" t="s">
        <v>1217</v>
      </c>
      <c r="D113" s="202" t="s">
        <v>1436</v>
      </c>
    </row>
    <row r="114" spans="1:4" ht="41.4" x14ac:dyDescent="0.3">
      <c r="A114" s="202" t="s">
        <v>1438</v>
      </c>
      <c r="B114" s="202" t="s">
        <v>1439</v>
      </c>
      <c r="C114" s="201" t="s">
        <v>1217</v>
      </c>
      <c r="D114" s="202" t="s">
        <v>1438</v>
      </c>
    </row>
    <row r="115" spans="1:4" ht="69" x14ac:dyDescent="0.3">
      <c r="A115" s="202" t="s">
        <v>1440</v>
      </c>
      <c r="B115" s="202" t="s">
        <v>1441</v>
      </c>
      <c r="C115" s="201" t="s">
        <v>1217</v>
      </c>
      <c r="D115" s="202" t="s">
        <v>1440</v>
      </c>
    </row>
    <row r="116" spans="1:4" ht="96.6" x14ac:dyDescent="0.3">
      <c r="A116" s="202" t="s">
        <v>1442</v>
      </c>
      <c r="B116" s="202" t="s">
        <v>1443</v>
      </c>
      <c r="C116" s="201" t="s">
        <v>1217</v>
      </c>
      <c r="D116" s="202" t="s">
        <v>1442</v>
      </c>
    </row>
    <row r="117" spans="1:4" ht="27.6" x14ac:dyDescent="0.3">
      <c r="A117" s="202" t="s">
        <v>1444</v>
      </c>
      <c r="B117" s="202" t="s">
        <v>1445</v>
      </c>
      <c r="C117" s="201" t="s">
        <v>1217</v>
      </c>
      <c r="D117" s="202" t="s">
        <v>1444</v>
      </c>
    </row>
    <row r="118" spans="1:4" ht="41.4" x14ac:dyDescent="0.3">
      <c r="A118" s="202" t="s">
        <v>1446</v>
      </c>
      <c r="B118" s="202" t="s">
        <v>1447</v>
      </c>
      <c r="C118" s="201" t="s">
        <v>1217</v>
      </c>
      <c r="D118" s="202" t="s">
        <v>1446</v>
      </c>
    </row>
    <row r="119" spans="1:4" ht="27.6" x14ac:dyDescent="0.3">
      <c r="A119" s="200" t="s">
        <v>1448</v>
      </c>
      <c r="B119" s="200" t="s">
        <v>1449</v>
      </c>
      <c r="C119" s="201" t="s">
        <v>1217</v>
      </c>
      <c r="D119" s="200" t="s">
        <v>1448</v>
      </c>
    </row>
    <row r="120" spans="1:4" ht="55.2" x14ac:dyDescent="0.3">
      <c r="A120" s="200" t="s">
        <v>1450</v>
      </c>
      <c r="B120" s="200" t="s">
        <v>1451</v>
      </c>
      <c r="C120" s="201" t="s">
        <v>1217</v>
      </c>
      <c r="D120" s="200" t="s">
        <v>1450</v>
      </c>
    </row>
    <row r="121" spans="1:4" ht="27.6" x14ac:dyDescent="0.3">
      <c r="A121" s="200" t="s">
        <v>1452</v>
      </c>
      <c r="B121" s="200" t="s">
        <v>1453</v>
      </c>
      <c r="C121" s="201" t="s">
        <v>1217</v>
      </c>
      <c r="D121" s="200" t="s">
        <v>1452</v>
      </c>
    </row>
    <row r="122" spans="1:4" ht="27.6" x14ac:dyDescent="0.3">
      <c r="A122" s="200" t="s">
        <v>1452</v>
      </c>
      <c r="B122" s="200" t="s">
        <v>1454</v>
      </c>
      <c r="C122" s="201" t="s">
        <v>1217</v>
      </c>
      <c r="D122" s="200" t="s">
        <v>1452</v>
      </c>
    </row>
    <row r="123" spans="1:4" ht="110.4" x14ac:dyDescent="0.3">
      <c r="A123" s="200" t="s">
        <v>1455</v>
      </c>
      <c r="B123" s="200" t="s">
        <v>1456</v>
      </c>
      <c r="C123" s="201" t="s">
        <v>1217</v>
      </c>
      <c r="D123" s="200" t="s">
        <v>1455</v>
      </c>
    </row>
    <row r="124" spans="1:4" ht="41.4" x14ac:dyDescent="0.3">
      <c r="A124" s="200" t="s">
        <v>1457</v>
      </c>
      <c r="B124" s="200" t="s">
        <v>1458</v>
      </c>
      <c r="C124" s="201" t="s">
        <v>1217</v>
      </c>
      <c r="D124" s="200" t="s">
        <v>1457</v>
      </c>
    </row>
    <row r="125" spans="1:4" ht="27.6" x14ac:dyDescent="0.3">
      <c r="A125" s="200" t="s">
        <v>1459</v>
      </c>
      <c r="B125" s="200" t="s">
        <v>1460</v>
      </c>
      <c r="C125" s="201" t="s">
        <v>1217</v>
      </c>
      <c r="D125" s="200" t="s">
        <v>1459</v>
      </c>
    </row>
    <row r="126" spans="1:4" ht="41.4" x14ac:dyDescent="0.3">
      <c r="A126" s="200" t="s">
        <v>1461</v>
      </c>
      <c r="B126" s="200" t="s">
        <v>1462</v>
      </c>
      <c r="C126" s="201" t="s">
        <v>1217</v>
      </c>
      <c r="D126" s="200" t="s">
        <v>1461</v>
      </c>
    </row>
    <row r="127" spans="1:4" ht="27.6" x14ac:dyDescent="0.3">
      <c r="A127" s="200" t="s">
        <v>1463</v>
      </c>
      <c r="B127" s="200" t="s">
        <v>1464</v>
      </c>
      <c r="C127" s="201" t="s">
        <v>1217</v>
      </c>
      <c r="D127" s="200" t="s">
        <v>1463</v>
      </c>
    </row>
    <row r="128" spans="1:4" ht="69" x14ac:dyDescent="0.3">
      <c r="A128" s="200" t="s">
        <v>1465</v>
      </c>
      <c r="B128" s="203" t="s">
        <v>1466</v>
      </c>
      <c r="C128" s="201" t="s">
        <v>1217</v>
      </c>
      <c r="D128" s="200" t="s">
        <v>1465</v>
      </c>
    </row>
    <row r="129" spans="1:4" ht="69" x14ac:dyDescent="0.3">
      <c r="A129" s="200" t="s">
        <v>1465</v>
      </c>
      <c r="B129" s="200" t="s">
        <v>1467</v>
      </c>
      <c r="C129" s="201" t="s">
        <v>1217</v>
      </c>
      <c r="D129" s="200" t="s">
        <v>1465</v>
      </c>
    </row>
    <row r="130" spans="1:4" ht="27.6" x14ac:dyDescent="0.3">
      <c r="A130" s="200" t="s">
        <v>1468</v>
      </c>
      <c r="B130" s="200" t="s">
        <v>1469</v>
      </c>
      <c r="C130" s="201" t="s">
        <v>1217</v>
      </c>
      <c r="D130" s="200" t="s">
        <v>1468</v>
      </c>
    </row>
    <row r="131" spans="1:4" ht="41.4" x14ac:dyDescent="0.3">
      <c r="A131" s="200" t="s">
        <v>1470</v>
      </c>
      <c r="B131" s="200" t="s">
        <v>1471</v>
      </c>
      <c r="C131" s="201" t="s">
        <v>1217</v>
      </c>
      <c r="D131" s="200" t="s">
        <v>1470</v>
      </c>
    </row>
    <row r="132" spans="1:4" ht="41.4" x14ac:dyDescent="0.3">
      <c r="A132" s="200" t="s">
        <v>1470</v>
      </c>
      <c r="B132" s="200" t="s">
        <v>1472</v>
      </c>
      <c r="C132" s="201" t="s">
        <v>1217</v>
      </c>
      <c r="D132" s="200" t="s">
        <v>1470</v>
      </c>
    </row>
    <row r="133" spans="1:4" ht="27.6" x14ac:dyDescent="0.3">
      <c r="A133" s="200" t="s">
        <v>1473</v>
      </c>
      <c r="B133" s="200" t="s">
        <v>1474</v>
      </c>
      <c r="C133" s="201" t="s">
        <v>1217</v>
      </c>
      <c r="D133" s="200" t="s">
        <v>1473</v>
      </c>
    </row>
    <row r="134" spans="1:4" ht="55.2" x14ac:dyDescent="0.3">
      <c r="A134" s="200" t="s">
        <v>1475</v>
      </c>
      <c r="B134" s="200" t="s">
        <v>1476</v>
      </c>
      <c r="C134" s="201" t="s">
        <v>1217</v>
      </c>
      <c r="D134" s="200" t="s">
        <v>1475</v>
      </c>
    </row>
    <row r="135" spans="1:4" ht="41.4" x14ac:dyDescent="0.3">
      <c r="A135" s="200" t="s">
        <v>1477</v>
      </c>
      <c r="B135" s="200" t="s">
        <v>1478</v>
      </c>
      <c r="C135" s="201" t="s">
        <v>1217</v>
      </c>
      <c r="D135" s="200" t="s">
        <v>1477</v>
      </c>
    </row>
    <row r="136" spans="1:4" ht="41.4" x14ac:dyDescent="0.3">
      <c r="A136" s="200" t="s">
        <v>1479</v>
      </c>
      <c r="B136" s="200" t="s">
        <v>1480</v>
      </c>
      <c r="C136" s="201" t="s">
        <v>1217</v>
      </c>
      <c r="D136" s="200" t="s">
        <v>1479</v>
      </c>
    </row>
    <row r="137" spans="1:4" ht="20.399999999999999" x14ac:dyDescent="0.3">
      <c r="A137" s="200" t="s">
        <v>1481</v>
      </c>
      <c r="B137" s="200" t="s">
        <v>1482</v>
      </c>
      <c r="C137" s="201" t="s">
        <v>1217</v>
      </c>
      <c r="D137" s="200" t="s">
        <v>1481</v>
      </c>
    </row>
    <row r="138" spans="1:4" ht="20.399999999999999" x14ac:dyDescent="0.3">
      <c r="A138" s="200" t="s">
        <v>1481</v>
      </c>
      <c r="B138" s="200" t="s">
        <v>1483</v>
      </c>
      <c r="C138" s="201" t="s">
        <v>1217</v>
      </c>
      <c r="D138" s="200" t="s">
        <v>1481</v>
      </c>
    </row>
    <row r="139" spans="1:4" ht="69" x14ac:dyDescent="0.3">
      <c r="A139" s="200" t="s">
        <v>1484</v>
      </c>
      <c r="B139" s="200" t="s">
        <v>1485</v>
      </c>
      <c r="C139" s="201" t="s">
        <v>1217</v>
      </c>
      <c r="D139" s="200" t="s">
        <v>1484</v>
      </c>
    </row>
    <row r="140" spans="1:4" ht="69" x14ac:dyDescent="0.3">
      <c r="A140" s="200" t="s">
        <v>1484</v>
      </c>
      <c r="B140" s="200" t="s">
        <v>1486</v>
      </c>
      <c r="C140" s="201" t="s">
        <v>1217</v>
      </c>
      <c r="D140" s="200" t="s">
        <v>1484</v>
      </c>
    </row>
    <row r="141" spans="1:4" ht="41.4" x14ac:dyDescent="0.3">
      <c r="A141" s="200" t="s">
        <v>1487</v>
      </c>
      <c r="B141" s="200" t="s">
        <v>1488</v>
      </c>
      <c r="C141" s="201" t="s">
        <v>1217</v>
      </c>
      <c r="D141" s="200" t="s">
        <v>1487</v>
      </c>
    </row>
    <row r="142" spans="1:4" ht="27.6" x14ac:dyDescent="0.3">
      <c r="A142" s="200" t="s">
        <v>1489</v>
      </c>
      <c r="B142" s="200" t="s">
        <v>1490</v>
      </c>
      <c r="C142" s="201" t="s">
        <v>1217</v>
      </c>
      <c r="D142" s="200" t="s">
        <v>1489</v>
      </c>
    </row>
    <row r="143" spans="1:4" ht="41.4" x14ac:dyDescent="0.3">
      <c r="A143" s="200" t="s">
        <v>1491</v>
      </c>
      <c r="B143" s="200" t="s">
        <v>1492</v>
      </c>
      <c r="C143" s="201" t="s">
        <v>1217</v>
      </c>
      <c r="D143" s="200" t="s">
        <v>1491</v>
      </c>
    </row>
    <row r="144" spans="1:4" ht="27.6" x14ac:dyDescent="0.3">
      <c r="A144" s="200" t="s">
        <v>1493</v>
      </c>
      <c r="B144" s="200" t="s">
        <v>1494</v>
      </c>
      <c r="C144" s="201" t="s">
        <v>1217</v>
      </c>
      <c r="D144" s="200" t="s">
        <v>1493</v>
      </c>
    </row>
    <row r="145" spans="1:4" ht="27.6" x14ac:dyDescent="0.3">
      <c r="A145" s="200" t="s">
        <v>1495</v>
      </c>
      <c r="B145" s="200" t="s">
        <v>1496</v>
      </c>
      <c r="C145" s="201" t="s">
        <v>1217</v>
      </c>
      <c r="D145" s="200" t="s">
        <v>1495</v>
      </c>
    </row>
    <row r="146" spans="1:4" ht="41.4" x14ac:dyDescent="0.3">
      <c r="A146" s="200" t="s">
        <v>1497</v>
      </c>
      <c r="B146" s="200" t="s">
        <v>1498</v>
      </c>
      <c r="C146" s="201" t="s">
        <v>1217</v>
      </c>
      <c r="D146" s="200" t="s">
        <v>1497</v>
      </c>
    </row>
    <row r="147" spans="1:4" ht="41.4" x14ac:dyDescent="0.3">
      <c r="A147" s="200" t="s">
        <v>1499</v>
      </c>
      <c r="B147" s="200" t="s">
        <v>1500</v>
      </c>
      <c r="C147" s="201" t="s">
        <v>1217</v>
      </c>
      <c r="D147" s="200" t="s">
        <v>1499</v>
      </c>
    </row>
    <row r="148" spans="1:4" ht="41.4" x14ac:dyDescent="0.3">
      <c r="A148" s="200" t="s">
        <v>1499</v>
      </c>
      <c r="B148" s="200" t="s">
        <v>1501</v>
      </c>
      <c r="C148" s="201" t="s">
        <v>1217</v>
      </c>
      <c r="D148" s="200" t="s">
        <v>1499</v>
      </c>
    </row>
    <row r="149" spans="1:4" ht="27.6" x14ac:dyDescent="0.3">
      <c r="A149" s="200" t="s">
        <v>1502</v>
      </c>
      <c r="B149" s="203" t="s">
        <v>1503</v>
      </c>
      <c r="C149" s="201" t="s">
        <v>1217</v>
      </c>
      <c r="D149" s="200" t="s">
        <v>1502</v>
      </c>
    </row>
    <row r="150" spans="1:4" ht="27.6" x14ac:dyDescent="0.3">
      <c r="A150" s="200" t="s">
        <v>1504</v>
      </c>
      <c r="B150" s="200" t="s">
        <v>1505</v>
      </c>
      <c r="C150" s="201" t="s">
        <v>1217</v>
      </c>
      <c r="D150" s="200" t="s">
        <v>1504</v>
      </c>
    </row>
    <row r="151" spans="1:4" ht="27.6" x14ac:dyDescent="0.3">
      <c r="A151" s="200" t="s">
        <v>1506</v>
      </c>
      <c r="B151" s="200" t="s">
        <v>1507</v>
      </c>
      <c r="C151" s="201" t="s">
        <v>1217</v>
      </c>
      <c r="D151" s="200" t="s">
        <v>1506</v>
      </c>
    </row>
    <row r="152" spans="1:4" ht="20.399999999999999" x14ac:dyDescent="0.3">
      <c r="A152" s="202" t="s">
        <v>1508</v>
      </c>
      <c r="B152" s="202" t="s">
        <v>1509</v>
      </c>
      <c r="C152" s="201" t="s">
        <v>1217</v>
      </c>
      <c r="D152" s="202" t="s">
        <v>1508</v>
      </c>
    </row>
    <row r="153" spans="1:4" ht="20.399999999999999" x14ac:dyDescent="0.3">
      <c r="A153" s="202" t="s">
        <v>1510</v>
      </c>
      <c r="B153" s="202" t="s">
        <v>1511</v>
      </c>
      <c r="C153" s="201" t="s">
        <v>1217</v>
      </c>
      <c r="D153" s="202" t="s">
        <v>1510</v>
      </c>
    </row>
    <row r="154" spans="1:4" ht="27.6" x14ac:dyDescent="0.3">
      <c r="A154" s="202" t="s">
        <v>1512</v>
      </c>
      <c r="B154" s="202" t="s">
        <v>1513</v>
      </c>
      <c r="C154" s="201" t="s">
        <v>1217</v>
      </c>
      <c r="D154" s="202" t="s">
        <v>1512</v>
      </c>
    </row>
    <row r="155" spans="1:4" ht="27.6" x14ac:dyDescent="0.3">
      <c r="A155" s="202" t="s">
        <v>1514</v>
      </c>
      <c r="B155" s="202" t="s">
        <v>1515</v>
      </c>
      <c r="C155" s="201" t="s">
        <v>1217</v>
      </c>
      <c r="D155" s="202" t="s">
        <v>1514</v>
      </c>
    </row>
    <row r="156" spans="1:4" ht="41.4" x14ac:dyDescent="0.3">
      <c r="A156" s="202" t="s">
        <v>1516</v>
      </c>
      <c r="B156" s="202" t="s">
        <v>1517</v>
      </c>
      <c r="C156" s="201" t="s">
        <v>1217</v>
      </c>
      <c r="D156" s="202" t="s">
        <v>1516</v>
      </c>
    </row>
    <row r="157" spans="1:4" ht="41.4" x14ac:dyDescent="0.3">
      <c r="A157" s="200" t="s">
        <v>1518</v>
      </c>
      <c r="B157" s="200" t="s">
        <v>1519</v>
      </c>
      <c r="C157" s="201" t="s">
        <v>1217</v>
      </c>
      <c r="D157" s="200" t="s">
        <v>1518</v>
      </c>
    </row>
    <row r="158" spans="1:4" ht="41.4" x14ac:dyDescent="0.3">
      <c r="A158" s="202" t="s">
        <v>1520</v>
      </c>
      <c r="B158" s="202" t="s">
        <v>1521</v>
      </c>
      <c r="C158" s="201" t="s">
        <v>1217</v>
      </c>
      <c r="D158" s="202" t="s">
        <v>1520</v>
      </c>
    </row>
    <row r="159" spans="1:4" ht="27.6" x14ac:dyDescent="0.3">
      <c r="A159" s="202" t="s">
        <v>1522</v>
      </c>
      <c r="B159" s="202" t="s">
        <v>1523</v>
      </c>
      <c r="C159" s="201" t="s">
        <v>1217</v>
      </c>
      <c r="D159" s="202" t="s">
        <v>1522</v>
      </c>
    </row>
    <row r="160" spans="1:4" ht="41.4" x14ac:dyDescent="0.3">
      <c r="A160" s="202" t="s">
        <v>1524</v>
      </c>
      <c r="B160" s="202" t="s">
        <v>1525</v>
      </c>
      <c r="C160" s="201" t="s">
        <v>1217</v>
      </c>
      <c r="D160" s="202" t="s">
        <v>1524</v>
      </c>
    </row>
    <row r="161" spans="1:4" ht="55.2" x14ac:dyDescent="0.3">
      <c r="A161" s="202" t="s">
        <v>1526</v>
      </c>
      <c r="B161" s="202" t="s">
        <v>1527</v>
      </c>
      <c r="C161" s="201" t="s">
        <v>1217</v>
      </c>
      <c r="D161" s="202" t="s">
        <v>1526</v>
      </c>
    </row>
    <row r="162" spans="1:4" ht="41.4" x14ac:dyDescent="0.3">
      <c r="A162" s="200" t="s">
        <v>1528</v>
      </c>
      <c r="B162" s="200" t="s">
        <v>1529</v>
      </c>
      <c r="C162" s="201" t="s">
        <v>1217</v>
      </c>
      <c r="D162" s="200" t="s">
        <v>1528</v>
      </c>
    </row>
    <row r="163" spans="1:4" ht="165.6" x14ac:dyDescent="0.3">
      <c r="A163" s="200" t="s">
        <v>1530</v>
      </c>
      <c r="B163" s="200" t="s">
        <v>1531</v>
      </c>
      <c r="C163" s="201" t="s">
        <v>1217</v>
      </c>
      <c r="D163" s="200" t="s">
        <v>1530</v>
      </c>
    </row>
    <row r="164" spans="1:4" ht="20.399999999999999" x14ac:dyDescent="0.3">
      <c r="A164" s="202" t="s">
        <v>1532</v>
      </c>
      <c r="B164" s="202" t="s">
        <v>1533</v>
      </c>
      <c r="C164" s="201" t="s">
        <v>1217</v>
      </c>
      <c r="D164" s="202" t="s">
        <v>1532</v>
      </c>
    </row>
    <row r="165" spans="1:4" ht="20.399999999999999" x14ac:dyDescent="0.3">
      <c r="A165" s="202" t="s">
        <v>1534</v>
      </c>
      <c r="B165" s="202" t="s">
        <v>1535</v>
      </c>
      <c r="C165" s="201" t="s">
        <v>1217</v>
      </c>
      <c r="D165" s="202" t="s">
        <v>1534</v>
      </c>
    </row>
    <row r="166" spans="1:4" ht="27.6" x14ac:dyDescent="0.3">
      <c r="A166" s="202" t="s">
        <v>1536</v>
      </c>
      <c r="B166" s="202" t="s">
        <v>1537</v>
      </c>
      <c r="C166" s="201" t="s">
        <v>1217</v>
      </c>
      <c r="D166" s="202" t="s">
        <v>1536</v>
      </c>
    </row>
    <row r="167" spans="1:4" ht="27.6" x14ac:dyDescent="0.3">
      <c r="A167" s="202" t="s">
        <v>1538</v>
      </c>
      <c r="B167" s="202" t="s">
        <v>1539</v>
      </c>
      <c r="C167" s="201" t="s">
        <v>1217</v>
      </c>
      <c r="D167" s="202" t="s">
        <v>1538</v>
      </c>
    </row>
    <row r="168" spans="1:4" ht="69" x14ac:dyDescent="0.3">
      <c r="A168" s="202" t="s">
        <v>1540</v>
      </c>
      <c r="B168" s="202" t="s">
        <v>1541</v>
      </c>
      <c r="C168" s="201" t="s">
        <v>1217</v>
      </c>
      <c r="D168" s="202" t="s">
        <v>1540</v>
      </c>
    </row>
    <row r="169" spans="1:4" ht="41.4" x14ac:dyDescent="0.3">
      <c r="A169" s="202" t="s">
        <v>1542</v>
      </c>
      <c r="B169" s="202" t="s">
        <v>1543</v>
      </c>
      <c r="C169" s="201" t="s">
        <v>1217</v>
      </c>
      <c r="D169" s="202" t="s">
        <v>1542</v>
      </c>
    </row>
    <row r="170" spans="1:4" ht="27.6" x14ac:dyDescent="0.3">
      <c r="A170" s="200" t="s">
        <v>1544</v>
      </c>
      <c r="B170" s="200" t="s">
        <v>1545</v>
      </c>
      <c r="C170" s="201" t="s">
        <v>1217</v>
      </c>
      <c r="D170" s="200" t="s">
        <v>1544</v>
      </c>
    </row>
    <row r="171" spans="1:4" ht="41.4" x14ac:dyDescent="0.3">
      <c r="A171" s="202" t="s">
        <v>1546</v>
      </c>
      <c r="B171" s="202" t="s">
        <v>1547</v>
      </c>
      <c r="C171" s="201" t="s">
        <v>1217</v>
      </c>
      <c r="D171" s="202" t="s">
        <v>1546</v>
      </c>
    </row>
    <row r="172" spans="1:4" ht="27.6" x14ac:dyDescent="0.3">
      <c r="A172" s="202" t="s">
        <v>1548</v>
      </c>
      <c r="B172" s="202" t="s">
        <v>1549</v>
      </c>
      <c r="C172" s="201" t="s">
        <v>1217</v>
      </c>
      <c r="D172" s="202" t="s">
        <v>1548</v>
      </c>
    </row>
    <row r="173" spans="1:4" ht="41.4" x14ac:dyDescent="0.3">
      <c r="A173" s="202" t="s">
        <v>1550</v>
      </c>
      <c r="B173" s="202" t="s">
        <v>1551</v>
      </c>
      <c r="C173" s="201" t="s">
        <v>1217</v>
      </c>
      <c r="D173" s="202" t="s">
        <v>1550</v>
      </c>
    </row>
    <row r="174" spans="1:4" ht="41.4" x14ac:dyDescent="0.3">
      <c r="A174" s="202" t="s">
        <v>1552</v>
      </c>
      <c r="B174" s="202" t="s">
        <v>1553</v>
      </c>
      <c r="C174" s="201" t="s">
        <v>1217</v>
      </c>
      <c r="D174" s="202" t="s">
        <v>1552</v>
      </c>
    </row>
    <row r="175" spans="1:4" ht="20.399999999999999" x14ac:dyDescent="0.3">
      <c r="A175" s="202" t="s">
        <v>1554</v>
      </c>
      <c r="B175" s="202" t="s">
        <v>1555</v>
      </c>
      <c r="C175" s="201" t="s">
        <v>1217</v>
      </c>
      <c r="D175" s="202" t="s">
        <v>1554</v>
      </c>
    </row>
    <row r="176" spans="1:4" ht="55.2" x14ac:dyDescent="0.3">
      <c r="A176" s="202" t="s">
        <v>1556</v>
      </c>
      <c r="B176" s="202" t="s">
        <v>1557</v>
      </c>
      <c r="C176" s="201" t="s">
        <v>1217</v>
      </c>
      <c r="D176" s="202" t="s">
        <v>1556</v>
      </c>
    </row>
    <row r="177" spans="1:4" ht="55.2" x14ac:dyDescent="0.3">
      <c r="A177" s="202" t="s">
        <v>1558</v>
      </c>
      <c r="B177" s="202" t="s">
        <v>1559</v>
      </c>
      <c r="C177" s="201" t="s">
        <v>1217</v>
      </c>
      <c r="D177" s="202" t="s">
        <v>1558</v>
      </c>
    </row>
    <row r="178" spans="1:4" ht="41.4" x14ac:dyDescent="0.3">
      <c r="A178" s="202" t="s">
        <v>1560</v>
      </c>
      <c r="B178" s="202" t="s">
        <v>1561</v>
      </c>
      <c r="C178" s="201" t="s">
        <v>1217</v>
      </c>
      <c r="D178" s="202" t="s">
        <v>1560</v>
      </c>
    </row>
    <row r="179" spans="1:4" ht="41.4" x14ac:dyDescent="0.3">
      <c r="A179" s="200" t="s">
        <v>1562</v>
      </c>
      <c r="B179" s="203" t="s">
        <v>1563</v>
      </c>
      <c r="C179" s="201" t="s">
        <v>1217</v>
      </c>
      <c r="D179" s="200" t="s">
        <v>1562</v>
      </c>
    </row>
    <row r="180" spans="1:4" ht="41.4" x14ac:dyDescent="0.3">
      <c r="A180" s="200" t="s">
        <v>1564</v>
      </c>
      <c r="B180" s="200" t="s">
        <v>1565</v>
      </c>
      <c r="C180" s="201" t="s">
        <v>1566</v>
      </c>
      <c r="D180" s="200" t="s">
        <v>1564</v>
      </c>
    </row>
    <row r="181" spans="1:4" ht="27.6" x14ac:dyDescent="0.3">
      <c r="A181" s="200" t="s">
        <v>1567</v>
      </c>
      <c r="B181" s="200" t="s">
        <v>1568</v>
      </c>
      <c r="C181" s="201" t="s">
        <v>1566</v>
      </c>
      <c r="D181" s="200" t="s">
        <v>1567</v>
      </c>
    </row>
    <row r="182" spans="1:4" ht="27.6" x14ac:dyDescent="0.3">
      <c r="A182" s="202" t="s">
        <v>1569</v>
      </c>
      <c r="B182" s="202" t="s">
        <v>1570</v>
      </c>
      <c r="C182" s="201" t="s">
        <v>1566</v>
      </c>
      <c r="D182" s="202" t="s">
        <v>1569</v>
      </c>
    </row>
    <row r="183" spans="1:4" ht="27.6" x14ac:dyDescent="0.3">
      <c r="A183" s="202" t="s">
        <v>1569</v>
      </c>
      <c r="B183" s="202" t="s">
        <v>1571</v>
      </c>
      <c r="C183" s="201" t="s">
        <v>1566</v>
      </c>
      <c r="D183" s="202" t="s">
        <v>1569</v>
      </c>
    </row>
    <row r="184" spans="1:4" ht="27.6" x14ac:dyDescent="0.3">
      <c r="A184" s="202" t="s">
        <v>1572</v>
      </c>
      <c r="B184" s="202" t="s">
        <v>1573</v>
      </c>
      <c r="C184" s="201" t="s">
        <v>1566</v>
      </c>
      <c r="D184" s="202" t="s">
        <v>1572</v>
      </c>
    </row>
    <row r="185" spans="1:4" ht="41.4" x14ac:dyDescent="0.3">
      <c r="A185" s="202" t="s">
        <v>1574</v>
      </c>
      <c r="B185" s="202" t="s">
        <v>1575</v>
      </c>
      <c r="C185" s="201" t="s">
        <v>1566</v>
      </c>
      <c r="D185" s="202" t="s">
        <v>1574</v>
      </c>
    </row>
    <row r="186" spans="1:4" ht="41.4" x14ac:dyDescent="0.3">
      <c r="A186" s="202" t="s">
        <v>1576</v>
      </c>
      <c r="B186" s="202" t="s">
        <v>1577</v>
      </c>
      <c r="C186" s="201" t="s">
        <v>1566</v>
      </c>
      <c r="D186" s="202" t="s">
        <v>1576</v>
      </c>
    </row>
    <row r="187" spans="1:4" ht="96.6" x14ac:dyDescent="0.3">
      <c r="A187" s="202" t="s">
        <v>1578</v>
      </c>
      <c r="B187" s="202" t="s">
        <v>1579</v>
      </c>
      <c r="C187" s="201" t="s">
        <v>1566</v>
      </c>
      <c r="D187" s="202" t="s">
        <v>1578</v>
      </c>
    </row>
    <row r="188" spans="1:4" ht="27.6" x14ac:dyDescent="0.3">
      <c r="A188" s="200" t="s">
        <v>1580</v>
      </c>
      <c r="B188" s="200" t="s">
        <v>1581</v>
      </c>
      <c r="C188" s="201" t="s">
        <v>1566</v>
      </c>
      <c r="D188" s="200" t="s">
        <v>1580</v>
      </c>
    </row>
    <row r="189" spans="1:4" ht="55.2" x14ac:dyDescent="0.3">
      <c r="A189" s="202" t="s">
        <v>1582</v>
      </c>
      <c r="B189" s="202" t="s">
        <v>1583</v>
      </c>
      <c r="C189" s="201" t="s">
        <v>1566</v>
      </c>
      <c r="D189" s="202" t="s">
        <v>1582</v>
      </c>
    </row>
    <row r="190" spans="1:4" ht="41.4" x14ac:dyDescent="0.3">
      <c r="A190" s="202" t="s">
        <v>1584</v>
      </c>
      <c r="B190" s="202" t="s">
        <v>1585</v>
      </c>
      <c r="C190" s="201" t="s">
        <v>1566</v>
      </c>
      <c r="D190" s="202" t="s">
        <v>1584</v>
      </c>
    </row>
    <row r="191" spans="1:4" ht="41.4" x14ac:dyDescent="0.3">
      <c r="A191" s="202" t="s">
        <v>1586</v>
      </c>
      <c r="B191" s="202" t="s">
        <v>1587</v>
      </c>
      <c r="C191" s="201" t="s">
        <v>1566</v>
      </c>
      <c r="D191" s="202" t="s">
        <v>1586</v>
      </c>
    </row>
    <row r="192" spans="1:4" ht="41.4" x14ac:dyDescent="0.3">
      <c r="A192" s="202" t="s">
        <v>1588</v>
      </c>
      <c r="B192" s="202" t="s">
        <v>1589</v>
      </c>
      <c r="C192" s="201" t="s">
        <v>1566</v>
      </c>
      <c r="D192" s="202" t="s">
        <v>1588</v>
      </c>
    </row>
    <row r="193" spans="1:4" ht="27.6" x14ac:dyDescent="0.3">
      <c r="A193" s="202" t="s">
        <v>1590</v>
      </c>
      <c r="B193" s="202" t="s">
        <v>1591</v>
      </c>
      <c r="C193" s="201" t="s">
        <v>1566</v>
      </c>
      <c r="D193" s="202" t="s">
        <v>1590</v>
      </c>
    </row>
    <row r="194" spans="1:4" ht="55.2" x14ac:dyDescent="0.3">
      <c r="A194" s="200" t="s">
        <v>1592</v>
      </c>
      <c r="B194" s="200" t="s">
        <v>1593</v>
      </c>
      <c r="C194" s="201" t="s">
        <v>1566</v>
      </c>
      <c r="D194" s="200" t="s">
        <v>1592</v>
      </c>
    </row>
    <row r="195" spans="1:4" ht="27.6" x14ac:dyDescent="0.3">
      <c r="A195" s="202" t="s">
        <v>1594</v>
      </c>
      <c r="B195" s="202" t="s">
        <v>1595</v>
      </c>
      <c r="C195" s="201" t="s">
        <v>1566</v>
      </c>
      <c r="D195" s="202" t="s">
        <v>1594</v>
      </c>
    </row>
    <row r="196" spans="1:4" ht="55.2" x14ac:dyDescent="0.3">
      <c r="A196" s="202" t="s">
        <v>1596</v>
      </c>
      <c r="B196" s="202" t="s">
        <v>1597</v>
      </c>
      <c r="C196" s="201" t="s">
        <v>1566</v>
      </c>
      <c r="D196" s="202" t="s">
        <v>1596</v>
      </c>
    </row>
    <row r="197" spans="1:4" ht="69" x14ac:dyDescent="0.3">
      <c r="A197" s="202" t="s">
        <v>1598</v>
      </c>
      <c r="B197" s="202" t="s">
        <v>1599</v>
      </c>
      <c r="C197" s="201" t="s">
        <v>1566</v>
      </c>
      <c r="D197" s="202" t="s">
        <v>1598</v>
      </c>
    </row>
    <row r="198" spans="1:4" ht="27.6" x14ac:dyDescent="0.3">
      <c r="A198" s="202" t="s">
        <v>1600</v>
      </c>
      <c r="B198" s="202" t="s">
        <v>1601</v>
      </c>
      <c r="C198" s="201" t="s">
        <v>1566</v>
      </c>
      <c r="D198" s="202" t="s">
        <v>1600</v>
      </c>
    </row>
    <row r="199" spans="1:4" ht="41.4" x14ac:dyDescent="0.3">
      <c r="A199" s="202" t="s">
        <v>1602</v>
      </c>
      <c r="B199" s="202" t="s">
        <v>1603</v>
      </c>
      <c r="C199" s="201" t="s">
        <v>1566</v>
      </c>
      <c r="D199" s="202" t="s">
        <v>1602</v>
      </c>
    </row>
    <row r="200" spans="1:4" ht="41.4" x14ac:dyDescent="0.3">
      <c r="A200" s="202" t="s">
        <v>1604</v>
      </c>
      <c r="B200" s="202" t="s">
        <v>1605</v>
      </c>
      <c r="C200" s="201" t="s">
        <v>1566</v>
      </c>
      <c r="D200" s="202" t="s">
        <v>1604</v>
      </c>
    </row>
    <row r="201" spans="1:4" ht="55.2" x14ac:dyDescent="0.3">
      <c r="A201" s="202" t="s">
        <v>1606</v>
      </c>
      <c r="B201" s="202" t="s">
        <v>1607</v>
      </c>
      <c r="C201" s="201" t="s">
        <v>1566</v>
      </c>
      <c r="D201" s="202" t="s">
        <v>1606</v>
      </c>
    </row>
    <row r="202" spans="1:4" ht="55.2" x14ac:dyDescent="0.3">
      <c r="A202" s="202" t="s">
        <v>1608</v>
      </c>
      <c r="B202" s="202" t="s">
        <v>1609</v>
      </c>
      <c r="C202" s="201" t="s">
        <v>1566</v>
      </c>
      <c r="D202" s="202" t="s">
        <v>1608</v>
      </c>
    </row>
    <row r="203" spans="1:4" ht="69" x14ac:dyDescent="0.3">
      <c r="A203" s="200" t="s">
        <v>1610</v>
      </c>
      <c r="B203" s="200" t="s">
        <v>1611</v>
      </c>
      <c r="C203" s="201" t="s">
        <v>1566</v>
      </c>
      <c r="D203" s="200" t="s">
        <v>1610</v>
      </c>
    </row>
    <row r="204" spans="1:4" ht="69" x14ac:dyDescent="0.3">
      <c r="A204" s="200" t="s">
        <v>1612</v>
      </c>
      <c r="B204" s="200" t="s">
        <v>1613</v>
      </c>
      <c r="C204" s="201" t="s">
        <v>1566</v>
      </c>
      <c r="D204" s="200" t="s">
        <v>1612</v>
      </c>
    </row>
    <row r="205" spans="1:4" ht="55.2" x14ac:dyDescent="0.3">
      <c r="A205" s="202" t="s">
        <v>1614</v>
      </c>
      <c r="B205" s="202" t="s">
        <v>1615</v>
      </c>
      <c r="C205" s="201" t="s">
        <v>1566</v>
      </c>
      <c r="D205" s="202" t="s">
        <v>1614</v>
      </c>
    </row>
    <row r="206" spans="1:4" ht="55.2" x14ac:dyDescent="0.3">
      <c r="A206" s="202" t="s">
        <v>1614</v>
      </c>
      <c r="B206" s="202" t="s">
        <v>1616</v>
      </c>
      <c r="C206" s="201" t="s">
        <v>1566</v>
      </c>
      <c r="D206" s="202" t="s">
        <v>1614</v>
      </c>
    </row>
    <row r="207" spans="1:4" ht="27.6" x14ac:dyDescent="0.3">
      <c r="A207" s="202" t="s">
        <v>1617</v>
      </c>
      <c r="B207" s="202" t="s">
        <v>1618</v>
      </c>
      <c r="C207" s="201" t="s">
        <v>1566</v>
      </c>
      <c r="D207" s="202" t="s">
        <v>1617</v>
      </c>
    </row>
    <row r="208" spans="1:4" ht="55.2" x14ac:dyDescent="0.3">
      <c r="A208" s="202" t="s">
        <v>1619</v>
      </c>
      <c r="B208" s="202" t="s">
        <v>1620</v>
      </c>
      <c r="C208" s="201" t="s">
        <v>1566</v>
      </c>
      <c r="D208" s="202" t="s">
        <v>1619</v>
      </c>
    </row>
    <row r="209" spans="1:4" ht="55.2" x14ac:dyDescent="0.3">
      <c r="A209" s="202" t="s">
        <v>1621</v>
      </c>
      <c r="B209" s="202" t="s">
        <v>1622</v>
      </c>
      <c r="C209" s="201" t="s">
        <v>1566</v>
      </c>
      <c r="D209" s="202" t="s">
        <v>1621</v>
      </c>
    </row>
    <row r="210" spans="1:4" ht="124.2" x14ac:dyDescent="0.3">
      <c r="A210" s="202" t="s">
        <v>1623</v>
      </c>
      <c r="B210" s="202" t="s">
        <v>1624</v>
      </c>
      <c r="C210" s="201" t="s">
        <v>1566</v>
      </c>
      <c r="D210" s="202" t="s">
        <v>1623</v>
      </c>
    </row>
    <row r="211" spans="1:4" ht="55.2" x14ac:dyDescent="0.3">
      <c r="A211" s="200" t="s">
        <v>1625</v>
      </c>
      <c r="B211" s="200" t="s">
        <v>1626</v>
      </c>
      <c r="C211" s="201" t="s">
        <v>1566</v>
      </c>
      <c r="D211" s="200" t="s">
        <v>1625</v>
      </c>
    </row>
    <row r="212" spans="1:4" ht="110.4" x14ac:dyDescent="0.3">
      <c r="A212" s="200" t="s">
        <v>1627</v>
      </c>
      <c r="B212" s="200" t="s">
        <v>1628</v>
      </c>
      <c r="C212" s="201" t="s">
        <v>1566</v>
      </c>
      <c r="D212" s="200" t="s">
        <v>1627</v>
      </c>
    </row>
    <row r="213" spans="1:4" ht="41.4" x14ac:dyDescent="0.3">
      <c r="A213" s="200" t="s">
        <v>1629</v>
      </c>
      <c r="B213" s="200" t="s">
        <v>1630</v>
      </c>
      <c r="C213" s="201" t="s">
        <v>1566</v>
      </c>
      <c r="D213" s="200" t="s">
        <v>1629</v>
      </c>
    </row>
    <row r="214" spans="1:4" ht="41.4" x14ac:dyDescent="0.3">
      <c r="A214" s="200" t="s">
        <v>1631</v>
      </c>
      <c r="B214" s="200" t="s">
        <v>1632</v>
      </c>
      <c r="C214" s="201" t="s">
        <v>1566</v>
      </c>
      <c r="D214" s="200" t="s">
        <v>1631</v>
      </c>
    </row>
    <row r="215" spans="1:4" ht="41.4" x14ac:dyDescent="0.3">
      <c r="A215" s="202" t="s">
        <v>1633</v>
      </c>
      <c r="B215" s="202" t="s">
        <v>1634</v>
      </c>
      <c r="C215" s="201" t="s">
        <v>1566</v>
      </c>
      <c r="D215" s="202" t="s">
        <v>1633</v>
      </c>
    </row>
    <row r="216" spans="1:4" ht="55.2" x14ac:dyDescent="0.3">
      <c r="A216" s="202" t="s">
        <v>1635</v>
      </c>
      <c r="B216" s="202" t="s">
        <v>1636</v>
      </c>
      <c r="C216" s="201" t="s">
        <v>1566</v>
      </c>
      <c r="D216" s="202" t="s">
        <v>1635</v>
      </c>
    </row>
    <row r="217" spans="1:4" ht="55.2" x14ac:dyDescent="0.3">
      <c r="A217" s="202" t="s">
        <v>1637</v>
      </c>
      <c r="B217" s="202" t="s">
        <v>1638</v>
      </c>
      <c r="C217" s="201" t="s">
        <v>1566</v>
      </c>
      <c r="D217" s="202" t="s">
        <v>1637</v>
      </c>
    </row>
    <row r="218" spans="1:4" ht="41.4" x14ac:dyDescent="0.3">
      <c r="A218" s="200" t="s">
        <v>1639</v>
      </c>
      <c r="B218" s="200" t="s">
        <v>1640</v>
      </c>
      <c r="C218" s="201" t="s">
        <v>1566</v>
      </c>
      <c r="D218" s="200" t="s">
        <v>1639</v>
      </c>
    </row>
    <row r="219" spans="1:4" ht="82.8" x14ac:dyDescent="0.3">
      <c r="A219" s="200" t="s">
        <v>1641</v>
      </c>
      <c r="B219" s="200" t="s">
        <v>1642</v>
      </c>
      <c r="C219" s="201" t="s">
        <v>1566</v>
      </c>
      <c r="D219" s="200" t="s">
        <v>1641</v>
      </c>
    </row>
    <row r="220" spans="1:4" ht="55.2" x14ac:dyDescent="0.3">
      <c r="A220" s="202" t="s">
        <v>1643</v>
      </c>
      <c r="B220" s="202" t="s">
        <v>1644</v>
      </c>
      <c r="C220" s="201" t="s">
        <v>1566</v>
      </c>
      <c r="D220" s="202" t="s">
        <v>1643</v>
      </c>
    </row>
    <row r="221" spans="1:4" ht="27.6" x14ac:dyDescent="0.3">
      <c r="A221" s="202" t="s">
        <v>1645</v>
      </c>
      <c r="B221" s="202" t="s">
        <v>1646</v>
      </c>
      <c r="C221" s="201" t="s">
        <v>1566</v>
      </c>
      <c r="D221" s="202" t="s">
        <v>1645</v>
      </c>
    </row>
    <row r="222" spans="1:4" ht="55.2" x14ac:dyDescent="0.3">
      <c r="A222" s="202" t="s">
        <v>1647</v>
      </c>
      <c r="B222" s="202" t="s">
        <v>1648</v>
      </c>
      <c r="C222" s="201" t="s">
        <v>1566</v>
      </c>
      <c r="D222" s="202" t="s">
        <v>1647</v>
      </c>
    </row>
    <row r="223" spans="1:4" ht="55.2" x14ac:dyDescent="0.3">
      <c r="A223" s="202" t="s">
        <v>1649</v>
      </c>
      <c r="B223" s="202" t="s">
        <v>1650</v>
      </c>
      <c r="C223" s="201" t="s">
        <v>1566</v>
      </c>
      <c r="D223" s="202" t="s">
        <v>1649</v>
      </c>
    </row>
    <row r="224" spans="1:4" ht="55.2" x14ac:dyDescent="0.3">
      <c r="A224" s="202" t="s">
        <v>1651</v>
      </c>
      <c r="B224" s="202" t="s">
        <v>1652</v>
      </c>
      <c r="C224" s="201" t="s">
        <v>1566</v>
      </c>
      <c r="D224" s="202" t="s">
        <v>1651</v>
      </c>
    </row>
    <row r="225" spans="1:4" ht="55.2" x14ac:dyDescent="0.3">
      <c r="A225" s="202" t="s">
        <v>1653</v>
      </c>
      <c r="B225" s="202" t="s">
        <v>1654</v>
      </c>
      <c r="C225" s="201" t="s">
        <v>1566</v>
      </c>
      <c r="D225" s="202" t="s">
        <v>1653</v>
      </c>
    </row>
    <row r="226" spans="1:4" ht="55.2" x14ac:dyDescent="0.3">
      <c r="A226" s="202" t="s">
        <v>1655</v>
      </c>
      <c r="B226" s="202" t="s">
        <v>1656</v>
      </c>
      <c r="C226" s="201" t="s">
        <v>1566</v>
      </c>
      <c r="D226" s="202" t="s">
        <v>1655</v>
      </c>
    </row>
    <row r="227" spans="1:4" ht="55.2" x14ac:dyDescent="0.3">
      <c r="A227" s="202" t="s">
        <v>1657</v>
      </c>
      <c r="B227" s="202" t="s">
        <v>1658</v>
      </c>
      <c r="C227" s="201" t="s">
        <v>1566</v>
      </c>
      <c r="D227" s="202" t="s">
        <v>1657</v>
      </c>
    </row>
    <row r="228" spans="1:4" ht="55.2" x14ac:dyDescent="0.3">
      <c r="A228" s="202" t="s">
        <v>1659</v>
      </c>
      <c r="B228" s="202" t="s">
        <v>1660</v>
      </c>
      <c r="C228" s="201" t="s">
        <v>1566</v>
      </c>
      <c r="D228" s="202" t="s">
        <v>1659</v>
      </c>
    </row>
    <row r="229" spans="1:4" ht="69" x14ac:dyDescent="0.3">
      <c r="A229" s="202" t="s">
        <v>1661</v>
      </c>
      <c r="B229" s="202" t="s">
        <v>1662</v>
      </c>
      <c r="C229" s="201" t="s">
        <v>1566</v>
      </c>
      <c r="D229" s="202" t="s">
        <v>1661</v>
      </c>
    </row>
    <row r="230" spans="1:4" ht="55.2" x14ac:dyDescent="0.3">
      <c r="A230" s="202" t="s">
        <v>1663</v>
      </c>
      <c r="B230" s="202" t="s">
        <v>1664</v>
      </c>
      <c r="C230" s="201" t="s">
        <v>1566</v>
      </c>
      <c r="D230" s="202" t="s">
        <v>1663</v>
      </c>
    </row>
    <row r="231" spans="1:4" ht="55.2" x14ac:dyDescent="0.3">
      <c r="A231" s="202" t="s">
        <v>1665</v>
      </c>
      <c r="B231" s="202" t="s">
        <v>1666</v>
      </c>
      <c r="C231" s="201" t="s">
        <v>1566</v>
      </c>
      <c r="D231" s="202" t="s">
        <v>1665</v>
      </c>
    </row>
    <row r="232" spans="1:4" ht="55.2" x14ac:dyDescent="0.3">
      <c r="A232" s="202" t="s">
        <v>1667</v>
      </c>
      <c r="B232" s="202" t="s">
        <v>1668</v>
      </c>
      <c r="C232" s="201" t="s">
        <v>1566</v>
      </c>
      <c r="D232" s="202" t="s">
        <v>1667</v>
      </c>
    </row>
    <row r="233" spans="1:4" ht="27.6" x14ac:dyDescent="0.3">
      <c r="A233" s="202" t="s">
        <v>1669</v>
      </c>
      <c r="B233" s="202" t="s">
        <v>1670</v>
      </c>
      <c r="C233" s="201" t="s">
        <v>1566</v>
      </c>
      <c r="D233" s="202" t="s">
        <v>1669</v>
      </c>
    </row>
    <row r="234" spans="1:4" ht="69" x14ac:dyDescent="0.3">
      <c r="A234" s="202" t="s">
        <v>1671</v>
      </c>
      <c r="B234" s="202" t="s">
        <v>1672</v>
      </c>
      <c r="C234" s="201" t="s">
        <v>1566</v>
      </c>
      <c r="D234" s="202" t="s">
        <v>1671</v>
      </c>
    </row>
    <row r="235" spans="1:4" ht="55.2" x14ac:dyDescent="0.3">
      <c r="A235" s="202" t="s">
        <v>1673</v>
      </c>
      <c r="B235" s="202" t="s">
        <v>1674</v>
      </c>
      <c r="C235" s="201" t="s">
        <v>1566</v>
      </c>
      <c r="D235" s="202" t="s">
        <v>1673</v>
      </c>
    </row>
    <row r="236" spans="1:4" ht="55.2" x14ac:dyDescent="0.3">
      <c r="A236" s="202" t="s">
        <v>1675</v>
      </c>
      <c r="B236" s="202" t="s">
        <v>1676</v>
      </c>
      <c r="C236" s="201" t="s">
        <v>1566</v>
      </c>
      <c r="D236" s="202" t="s">
        <v>1675</v>
      </c>
    </row>
    <row r="237" spans="1:4" ht="55.2" x14ac:dyDescent="0.3">
      <c r="A237" s="202" t="s">
        <v>1677</v>
      </c>
      <c r="B237" s="202" t="s">
        <v>1678</v>
      </c>
      <c r="C237" s="201" t="s">
        <v>1566</v>
      </c>
      <c r="D237" s="202" t="s">
        <v>1677</v>
      </c>
    </row>
    <row r="238" spans="1:4" ht="55.2" x14ac:dyDescent="0.3">
      <c r="A238" s="202" t="s">
        <v>1679</v>
      </c>
      <c r="B238" s="202" t="s">
        <v>1680</v>
      </c>
      <c r="C238" s="201" t="s">
        <v>1566</v>
      </c>
      <c r="D238" s="202" t="s">
        <v>1679</v>
      </c>
    </row>
    <row r="239" spans="1:4" ht="55.2" x14ac:dyDescent="0.3">
      <c r="A239" s="202" t="s">
        <v>1681</v>
      </c>
      <c r="B239" s="202" t="s">
        <v>1682</v>
      </c>
      <c r="C239" s="201" t="s">
        <v>1566</v>
      </c>
      <c r="D239" s="202" t="s">
        <v>1681</v>
      </c>
    </row>
    <row r="240" spans="1:4" ht="55.2" x14ac:dyDescent="0.3">
      <c r="A240" s="202" t="s">
        <v>1683</v>
      </c>
      <c r="B240" s="202" t="s">
        <v>1684</v>
      </c>
      <c r="C240" s="201" t="s">
        <v>1566</v>
      </c>
      <c r="D240" s="202" t="s">
        <v>1683</v>
      </c>
    </row>
    <row r="241" spans="1:4" ht="69" x14ac:dyDescent="0.3">
      <c r="A241" s="202" t="s">
        <v>1685</v>
      </c>
      <c r="B241" s="202" t="s">
        <v>1686</v>
      </c>
      <c r="C241" s="201" t="s">
        <v>1566</v>
      </c>
      <c r="D241" s="202" t="s">
        <v>1685</v>
      </c>
    </row>
    <row r="242" spans="1:4" ht="55.2" x14ac:dyDescent="0.3">
      <c r="A242" s="202" t="s">
        <v>1687</v>
      </c>
      <c r="B242" s="202" t="s">
        <v>1688</v>
      </c>
      <c r="C242" s="201" t="s">
        <v>1566</v>
      </c>
      <c r="D242" s="202" t="s">
        <v>1687</v>
      </c>
    </row>
    <row r="243" spans="1:4" ht="55.2" x14ac:dyDescent="0.3">
      <c r="A243" s="202" t="s">
        <v>1689</v>
      </c>
      <c r="B243" s="202" t="s">
        <v>1690</v>
      </c>
      <c r="C243" s="201" t="s">
        <v>1566</v>
      </c>
      <c r="D243" s="202" t="s">
        <v>1689</v>
      </c>
    </row>
    <row r="244" spans="1:4" ht="55.2" x14ac:dyDescent="0.3">
      <c r="A244" s="202" t="s">
        <v>1691</v>
      </c>
      <c r="B244" s="202" t="s">
        <v>1692</v>
      </c>
      <c r="C244" s="201" t="s">
        <v>1566</v>
      </c>
      <c r="D244" s="202" t="s">
        <v>1691</v>
      </c>
    </row>
    <row r="245" spans="1:4" ht="82.8" x14ac:dyDescent="0.3">
      <c r="A245" s="200" t="s">
        <v>1693</v>
      </c>
      <c r="B245" s="200" t="s">
        <v>1694</v>
      </c>
      <c r="C245" s="201" t="s">
        <v>1566</v>
      </c>
      <c r="D245" s="200" t="s">
        <v>1693</v>
      </c>
    </row>
    <row r="246" spans="1:4" ht="41.4" x14ac:dyDescent="0.3">
      <c r="A246" s="200" t="s">
        <v>1695</v>
      </c>
      <c r="B246" s="200" t="s">
        <v>1696</v>
      </c>
      <c r="C246" s="201" t="s">
        <v>1566</v>
      </c>
      <c r="D246" s="200" t="s">
        <v>1695</v>
      </c>
    </row>
    <row r="247" spans="1:4" ht="41.4" x14ac:dyDescent="0.3">
      <c r="A247" s="200" t="s">
        <v>1697</v>
      </c>
      <c r="B247" s="200" t="s">
        <v>1698</v>
      </c>
      <c r="C247" s="201" t="s">
        <v>1566</v>
      </c>
      <c r="D247" s="200" t="s">
        <v>1697</v>
      </c>
    </row>
    <row r="248" spans="1:4" ht="27.6" x14ac:dyDescent="0.3">
      <c r="A248" s="202" t="s">
        <v>1699</v>
      </c>
      <c r="B248" s="202" t="s">
        <v>1700</v>
      </c>
      <c r="C248" s="201" t="s">
        <v>1566</v>
      </c>
      <c r="D248" s="202" t="s">
        <v>1699</v>
      </c>
    </row>
    <row r="249" spans="1:4" ht="41.4" x14ac:dyDescent="0.3">
      <c r="A249" s="202" t="s">
        <v>1701</v>
      </c>
      <c r="B249" s="202" t="s">
        <v>1702</v>
      </c>
      <c r="C249" s="201" t="s">
        <v>1566</v>
      </c>
      <c r="D249" s="202" t="s">
        <v>1701</v>
      </c>
    </row>
    <row r="250" spans="1:4" ht="41.4" x14ac:dyDescent="0.3">
      <c r="A250" s="202" t="s">
        <v>1703</v>
      </c>
      <c r="B250" s="202" t="s">
        <v>1704</v>
      </c>
      <c r="C250" s="201" t="s">
        <v>1566</v>
      </c>
      <c r="D250" s="202" t="s">
        <v>1703</v>
      </c>
    </row>
    <row r="251" spans="1:4" ht="110.4" x14ac:dyDescent="0.3">
      <c r="A251" s="202" t="s">
        <v>1705</v>
      </c>
      <c r="B251" s="202" t="s">
        <v>1706</v>
      </c>
      <c r="C251" s="201" t="s">
        <v>1566</v>
      </c>
      <c r="D251" s="202" t="s">
        <v>1705</v>
      </c>
    </row>
    <row r="252" spans="1:4" ht="27.6" x14ac:dyDescent="0.3">
      <c r="A252" s="202" t="s">
        <v>1707</v>
      </c>
      <c r="B252" s="202" t="s">
        <v>1708</v>
      </c>
      <c r="C252" s="201" t="s">
        <v>1566</v>
      </c>
      <c r="D252" s="202" t="s">
        <v>1707</v>
      </c>
    </row>
    <row r="253" spans="1:4" ht="27.6" x14ac:dyDescent="0.3">
      <c r="A253" s="200" t="s">
        <v>1709</v>
      </c>
      <c r="B253" s="200" t="s">
        <v>1710</v>
      </c>
      <c r="C253" s="201" t="s">
        <v>1566</v>
      </c>
      <c r="D253" s="200" t="s">
        <v>1709</v>
      </c>
    </row>
    <row r="254" spans="1:4" ht="27.6" x14ac:dyDescent="0.3">
      <c r="A254" s="200" t="s">
        <v>1711</v>
      </c>
      <c r="B254" s="200" t="s">
        <v>1712</v>
      </c>
      <c r="C254" s="201" t="s">
        <v>1566</v>
      </c>
      <c r="D254" s="200" t="s">
        <v>1711</v>
      </c>
    </row>
    <row r="255" spans="1:4" ht="27.6" x14ac:dyDescent="0.3">
      <c r="A255" s="200" t="s">
        <v>1713</v>
      </c>
      <c r="B255" s="200" t="s">
        <v>1714</v>
      </c>
      <c r="C255" s="201" t="s">
        <v>1566</v>
      </c>
      <c r="D255" s="200" t="s">
        <v>1713</v>
      </c>
    </row>
    <row r="256" spans="1:4" ht="110.4" x14ac:dyDescent="0.3">
      <c r="A256" s="202" t="s">
        <v>1715</v>
      </c>
      <c r="B256" s="202" t="s">
        <v>1716</v>
      </c>
      <c r="C256" s="201" t="s">
        <v>1566</v>
      </c>
      <c r="D256" s="202" t="s">
        <v>1715</v>
      </c>
    </row>
    <row r="257" spans="1:4" ht="69" x14ac:dyDescent="0.3">
      <c r="A257" s="202" t="s">
        <v>1717</v>
      </c>
      <c r="B257" s="202" t="s">
        <v>1718</v>
      </c>
      <c r="C257" s="201" t="s">
        <v>1566</v>
      </c>
      <c r="D257" s="202" t="s">
        <v>1717</v>
      </c>
    </row>
    <row r="258" spans="1:4" ht="27.6" x14ac:dyDescent="0.3">
      <c r="A258" s="202" t="s">
        <v>1719</v>
      </c>
      <c r="B258" s="202" t="s">
        <v>1720</v>
      </c>
      <c r="C258" s="201" t="s">
        <v>1566</v>
      </c>
      <c r="D258" s="202" t="s">
        <v>1719</v>
      </c>
    </row>
    <row r="259" spans="1:4" ht="27.6" x14ac:dyDescent="0.3">
      <c r="A259" s="202" t="s">
        <v>1721</v>
      </c>
      <c r="B259" s="202" t="s">
        <v>1722</v>
      </c>
      <c r="C259" s="201" t="s">
        <v>1566</v>
      </c>
      <c r="D259" s="202" t="s">
        <v>1721</v>
      </c>
    </row>
    <row r="260" spans="1:4" ht="41.4" x14ac:dyDescent="0.3">
      <c r="A260" s="200" t="s">
        <v>1723</v>
      </c>
      <c r="B260" s="200" t="s">
        <v>1724</v>
      </c>
      <c r="C260" s="201" t="s">
        <v>1566</v>
      </c>
      <c r="D260" s="200" t="s">
        <v>1723</v>
      </c>
    </row>
    <row r="261" spans="1:4" ht="82.8" x14ac:dyDescent="0.3">
      <c r="A261" s="202" t="s">
        <v>1725</v>
      </c>
      <c r="B261" s="202" t="s">
        <v>1726</v>
      </c>
      <c r="C261" s="201" t="s">
        <v>1566</v>
      </c>
      <c r="D261" s="202" t="s">
        <v>1725</v>
      </c>
    </row>
    <row r="262" spans="1:4" ht="55.2" x14ac:dyDescent="0.3">
      <c r="A262" s="202" t="s">
        <v>1727</v>
      </c>
      <c r="B262" s="202" t="s">
        <v>1728</v>
      </c>
      <c r="C262" s="201" t="s">
        <v>1566</v>
      </c>
      <c r="D262" s="202" t="s">
        <v>1727</v>
      </c>
    </row>
    <row r="263" spans="1:4" ht="27.6" x14ac:dyDescent="0.3">
      <c r="A263" s="202" t="s">
        <v>1729</v>
      </c>
      <c r="B263" s="202" t="s">
        <v>1730</v>
      </c>
      <c r="C263" s="201" t="s">
        <v>1566</v>
      </c>
      <c r="D263" s="202" t="s">
        <v>1729</v>
      </c>
    </row>
    <row r="264" spans="1:4" ht="55.2" x14ac:dyDescent="0.3">
      <c r="A264" s="202" t="s">
        <v>1731</v>
      </c>
      <c r="B264" s="202" t="s">
        <v>1732</v>
      </c>
      <c r="C264" s="201" t="s">
        <v>1566</v>
      </c>
      <c r="D264" s="202" t="s">
        <v>1731</v>
      </c>
    </row>
    <row r="265" spans="1:4" ht="55.2" x14ac:dyDescent="0.3">
      <c r="A265" s="200" t="s">
        <v>1733</v>
      </c>
      <c r="B265" s="200" t="s">
        <v>1734</v>
      </c>
      <c r="C265" s="201" t="s">
        <v>1566</v>
      </c>
      <c r="D265" s="200" t="s">
        <v>1733</v>
      </c>
    </row>
    <row r="266" spans="1:4" ht="41.4" x14ac:dyDescent="0.3">
      <c r="A266" s="200" t="s">
        <v>1735</v>
      </c>
      <c r="B266" s="200" t="s">
        <v>1736</v>
      </c>
      <c r="C266" s="201" t="s">
        <v>1566</v>
      </c>
      <c r="D266" s="200" t="s">
        <v>1735</v>
      </c>
    </row>
    <row r="267" spans="1:4" ht="55.2" x14ac:dyDescent="0.3">
      <c r="A267" s="202" t="s">
        <v>1737</v>
      </c>
      <c r="B267" s="202" t="s">
        <v>1738</v>
      </c>
      <c r="C267" s="201" t="s">
        <v>1566</v>
      </c>
      <c r="D267" s="202" t="s">
        <v>1737</v>
      </c>
    </row>
    <row r="268" spans="1:4" ht="82.8" x14ac:dyDescent="0.3">
      <c r="A268" s="202" t="s">
        <v>1739</v>
      </c>
      <c r="B268" s="202" t="s">
        <v>1740</v>
      </c>
      <c r="C268" s="201" t="s">
        <v>1566</v>
      </c>
      <c r="D268" s="202" t="s">
        <v>1739</v>
      </c>
    </row>
    <row r="269" spans="1:4" ht="69" x14ac:dyDescent="0.3">
      <c r="A269" s="202" t="s">
        <v>1741</v>
      </c>
      <c r="B269" s="202" t="s">
        <v>1742</v>
      </c>
      <c r="C269" s="201" t="s">
        <v>1566</v>
      </c>
      <c r="D269" s="202" t="s">
        <v>1741</v>
      </c>
    </row>
    <row r="270" spans="1:4" ht="69" x14ac:dyDescent="0.3">
      <c r="A270" s="200" t="s">
        <v>1743</v>
      </c>
      <c r="B270" s="200" t="s">
        <v>1744</v>
      </c>
      <c r="C270" s="201" t="s">
        <v>1566</v>
      </c>
      <c r="D270" s="200" t="s">
        <v>1743</v>
      </c>
    </row>
    <row r="271" spans="1:4" ht="55.2" x14ac:dyDescent="0.3">
      <c r="A271" s="202" t="s">
        <v>1745</v>
      </c>
      <c r="B271" s="202" t="s">
        <v>1746</v>
      </c>
      <c r="C271" s="201" t="s">
        <v>1566</v>
      </c>
      <c r="D271" s="202" t="s">
        <v>1745</v>
      </c>
    </row>
    <row r="272" spans="1:4" ht="151.80000000000001" x14ac:dyDescent="0.3">
      <c r="A272" s="202" t="s">
        <v>1747</v>
      </c>
      <c r="B272" s="202" t="s">
        <v>1748</v>
      </c>
      <c r="C272" s="201" t="s">
        <v>1566</v>
      </c>
      <c r="D272" s="202" t="s">
        <v>1747</v>
      </c>
    </row>
    <row r="273" spans="1:4" ht="82.8" x14ac:dyDescent="0.3">
      <c r="A273" s="202" t="s">
        <v>1749</v>
      </c>
      <c r="B273" s="202" t="s">
        <v>1750</v>
      </c>
      <c r="C273" s="201" t="s">
        <v>1566</v>
      </c>
      <c r="D273" s="202" t="s">
        <v>1749</v>
      </c>
    </row>
    <row r="274" spans="1:4" ht="41.4" x14ac:dyDescent="0.3">
      <c r="A274" s="202" t="s">
        <v>1751</v>
      </c>
      <c r="B274" s="202" t="s">
        <v>1752</v>
      </c>
      <c r="C274" s="201" t="s">
        <v>1566</v>
      </c>
      <c r="D274" s="202" t="s">
        <v>1751</v>
      </c>
    </row>
    <row r="275" spans="1:4" ht="55.2" x14ac:dyDescent="0.3">
      <c r="A275" s="202" t="s">
        <v>1753</v>
      </c>
      <c r="B275" s="202" t="s">
        <v>1754</v>
      </c>
      <c r="C275" s="201" t="s">
        <v>1566</v>
      </c>
      <c r="D275" s="202" t="s">
        <v>1753</v>
      </c>
    </row>
    <row r="276" spans="1:4" ht="20.399999999999999" x14ac:dyDescent="0.3">
      <c r="A276" s="202" t="s">
        <v>1755</v>
      </c>
      <c r="B276" s="202" t="s">
        <v>1756</v>
      </c>
      <c r="C276" s="201" t="s">
        <v>1566</v>
      </c>
      <c r="D276" s="202" t="s">
        <v>1755</v>
      </c>
    </row>
    <row r="277" spans="1:4" ht="27.6" x14ac:dyDescent="0.3">
      <c r="A277" s="202" t="s">
        <v>1757</v>
      </c>
      <c r="B277" s="202" t="s">
        <v>1758</v>
      </c>
      <c r="C277" s="201" t="s">
        <v>1566</v>
      </c>
      <c r="D277" s="202" t="s">
        <v>1757</v>
      </c>
    </row>
    <row r="278" spans="1:4" ht="20.399999999999999" x14ac:dyDescent="0.3">
      <c r="A278" s="202" t="s">
        <v>1759</v>
      </c>
      <c r="B278" s="202" t="s">
        <v>1760</v>
      </c>
      <c r="C278" s="201" t="s">
        <v>1566</v>
      </c>
      <c r="D278" s="202" t="s">
        <v>1759</v>
      </c>
    </row>
    <row r="279" spans="1:4" ht="27.6" x14ac:dyDescent="0.3">
      <c r="A279" s="202" t="s">
        <v>1761</v>
      </c>
      <c r="B279" s="202" t="s">
        <v>1762</v>
      </c>
      <c r="C279" s="201" t="s">
        <v>1566</v>
      </c>
      <c r="D279" s="202" t="s">
        <v>1761</v>
      </c>
    </row>
    <row r="280" spans="1:4" ht="55.2" x14ac:dyDescent="0.3">
      <c r="A280" s="202" t="s">
        <v>1763</v>
      </c>
      <c r="B280" s="202" t="s">
        <v>1764</v>
      </c>
      <c r="C280" s="201" t="s">
        <v>1566</v>
      </c>
      <c r="D280" s="202" t="s">
        <v>1763</v>
      </c>
    </row>
    <row r="281" spans="1:4" ht="55.2" x14ac:dyDescent="0.3">
      <c r="A281" s="200" t="s">
        <v>1765</v>
      </c>
      <c r="B281" s="200" t="s">
        <v>1766</v>
      </c>
      <c r="C281" s="201" t="s">
        <v>1566</v>
      </c>
      <c r="D281" s="200" t="s">
        <v>1765</v>
      </c>
    </row>
    <row r="282" spans="1:4" ht="55.2" x14ac:dyDescent="0.3">
      <c r="A282" s="202" t="s">
        <v>1767</v>
      </c>
      <c r="B282" s="202" t="s">
        <v>1768</v>
      </c>
      <c r="C282" s="201" t="s">
        <v>1566</v>
      </c>
      <c r="D282" s="202" t="s">
        <v>1767</v>
      </c>
    </row>
    <row r="283" spans="1:4" ht="55.2" x14ac:dyDescent="0.3">
      <c r="A283" s="202" t="s">
        <v>1769</v>
      </c>
      <c r="B283" s="202" t="s">
        <v>1770</v>
      </c>
      <c r="C283" s="201" t="s">
        <v>1566</v>
      </c>
      <c r="D283" s="202" t="s">
        <v>1769</v>
      </c>
    </row>
    <row r="284" spans="1:4" ht="27.6" x14ac:dyDescent="0.3">
      <c r="A284" s="202" t="s">
        <v>1771</v>
      </c>
      <c r="B284" s="202" t="s">
        <v>1772</v>
      </c>
      <c r="C284" s="201" t="s">
        <v>1566</v>
      </c>
      <c r="D284" s="202" t="s">
        <v>1771</v>
      </c>
    </row>
    <row r="285" spans="1:4" ht="20.399999999999999" x14ac:dyDescent="0.3">
      <c r="A285" s="200" t="s">
        <v>1773</v>
      </c>
      <c r="B285" s="200" t="s">
        <v>1774</v>
      </c>
      <c r="C285" s="201" t="s">
        <v>1566</v>
      </c>
      <c r="D285" s="200" t="s">
        <v>1773</v>
      </c>
    </row>
    <row r="286" spans="1:4" ht="55.2" x14ac:dyDescent="0.3">
      <c r="A286" s="200" t="s">
        <v>1775</v>
      </c>
      <c r="B286" s="200" t="s">
        <v>1776</v>
      </c>
      <c r="C286" s="201" t="s">
        <v>1566</v>
      </c>
      <c r="D286" s="200" t="s">
        <v>1775</v>
      </c>
    </row>
    <row r="287" spans="1:4" ht="27.6" x14ac:dyDescent="0.3">
      <c r="A287" s="202" t="s">
        <v>1777</v>
      </c>
      <c r="B287" s="202" t="s">
        <v>1778</v>
      </c>
      <c r="C287" s="201" t="s">
        <v>1566</v>
      </c>
      <c r="D287" s="202" t="s">
        <v>1777</v>
      </c>
    </row>
    <row r="288" spans="1:4" ht="20.399999999999999" x14ac:dyDescent="0.3">
      <c r="A288" s="202" t="s">
        <v>1779</v>
      </c>
      <c r="B288" s="202" t="s">
        <v>1780</v>
      </c>
      <c r="C288" s="201" t="s">
        <v>1566</v>
      </c>
      <c r="D288" s="202" t="s">
        <v>1779</v>
      </c>
    </row>
    <row r="289" spans="1:4" ht="41.4" x14ac:dyDescent="0.3">
      <c r="A289" s="202" t="s">
        <v>1781</v>
      </c>
      <c r="B289" s="202" t="s">
        <v>1782</v>
      </c>
      <c r="C289" s="201" t="s">
        <v>1566</v>
      </c>
      <c r="D289" s="202" t="s">
        <v>1781</v>
      </c>
    </row>
    <row r="290" spans="1:4" ht="27.6" x14ac:dyDescent="0.3">
      <c r="A290" s="202" t="s">
        <v>1783</v>
      </c>
      <c r="B290" s="202" t="s">
        <v>1784</v>
      </c>
      <c r="C290" s="201" t="s">
        <v>1566</v>
      </c>
      <c r="D290" s="202" t="s">
        <v>1783</v>
      </c>
    </row>
    <row r="291" spans="1:4" ht="41.4" x14ac:dyDescent="0.3">
      <c r="A291" s="202" t="s">
        <v>1785</v>
      </c>
      <c r="B291" s="202" t="s">
        <v>1786</v>
      </c>
      <c r="C291" s="201" t="s">
        <v>1566</v>
      </c>
      <c r="D291" s="202" t="s">
        <v>1785</v>
      </c>
    </row>
    <row r="292" spans="1:4" ht="27.6" x14ac:dyDescent="0.3">
      <c r="A292" s="200" t="s">
        <v>1787</v>
      </c>
      <c r="B292" s="200" t="s">
        <v>1788</v>
      </c>
      <c r="C292" s="201" t="s">
        <v>1566</v>
      </c>
      <c r="D292" s="200" t="s">
        <v>1787</v>
      </c>
    </row>
    <row r="293" spans="1:4" ht="20.399999999999999" x14ac:dyDescent="0.3">
      <c r="A293" s="202" t="s">
        <v>1789</v>
      </c>
      <c r="B293" s="202" t="s">
        <v>1790</v>
      </c>
      <c r="C293" s="201" t="s">
        <v>1566</v>
      </c>
      <c r="D293" s="202" t="s">
        <v>1789</v>
      </c>
    </row>
    <row r="294" spans="1:4" ht="55.2" x14ac:dyDescent="0.3">
      <c r="A294" s="202" t="s">
        <v>1791</v>
      </c>
      <c r="B294" s="202" t="s">
        <v>1792</v>
      </c>
      <c r="C294" s="201" t="s">
        <v>1566</v>
      </c>
      <c r="D294" s="202" t="s">
        <v>1791</v>
      </c>
    </row>
    <row r="295" spans="1:4" ht="69" x14ac:dyDescent="0.3">
      <c r="A295" s="202" t="s">
        <v>1793</v>
      </c>
      <c r="B295" s="202" t="s">
        <v>1794</v>
      </c>
      <c r="C295" s="201" t="s">
        <v>1566</v>
      </c>
      <c r="D295" s="202" t="s">
        <v>1793</v>
      </c>
    </row>
    <row r="296" spans="1:4" ht="55.2" x14ac:dyDescent="0.3">
      <c r="A296" s="202" t="s">
        <v>1795</v>
      </c>
      <c r="B296" s="202" t="s">
        <v>1796</v>
      </c>
      <c r="C296" s="201" t="s">
        <v>1566</v>
      </c>
      <c r="D296" s="202" t="s">
        <v>1795</v>
      </c>
    </row>
    <row r="297" spans="1:4" ht="41.4" x14ac:dyDescent="0.3">
      <c r="A297" s="202" t="s">
        <v>1797</v>
      </c>
      <c r="B297" s="202" t="s">
        <v>1798</v>
      </c>
      <c r="C297" s="201" t="s">
        <v>1566</v>
      </c>
      <c r="D297" s="202" t="s">
        <v>1797</v>
      </c>
    </row>
    <row r="298" spans="1:4" ht="27.6" x14ac:dyDescent="0.3">
      <c r="A298" s="202" t="s">
        <v>1799</v>
      </c>
      <c r="B298" s="202" t="s">
        <v>1800</v>
      </c>
      <c r="C298" s="201" t="s">
        <v>1566</v>
      </c>
      <c r="D298" s="202" t="s">
        <v>1799</v>
      </c>
    </row>
    <row r="299" spans="1:4" ht="69" x14ac:dyDescent="0.3">
      <c r="A299" s="200" t="s">
        <v>1801</v>
      </c>
      <c r="B299" s="200" t="s">
        <v>1802</v>
      </c>
      <c r="C299" s="201" t="s">
        <v>1566</v>
      </c>
      <c r="D299" s="200" t="s">
        <v>1801</v>
      </c>
    </row>
    <row r="300" spans="1:4" ht="41.4" x14ac:dyDescent="0.3">
      <c r="A300" s="200" t="s">
        <v>1803</v>
      </c>
      <c r="B300" s="200" t="s">
        <v>1804</v>
      </c>
      <c r="C300" s="201" t="s">
        <v>1566</v>
      </c>
      <c r="D300" s="200" t="s">
        <v>1803</v>
      </c>
    </row>
    <row r="301" spans="1:4" ht="27.6" x14ac:dyDescent="0.3">
      <c r="A301" s="200" t="s">
        <v>1805</v>
      </c>
      <c r="B301" s="200" t="s">
        <v>1806</v>
      </c>
      <c r="C301" s="201" t="s">
        <v>1566</v>
      </c>
      <c r="D301" s="200" t="s">
        <v>1805</v>
      </c>
    </row>
    <row r="302" spans="1:4" ht="27.6" x14ac:dyDescent="0.3">
      <c r="A302" s="200" t="s">
        <v>1807</v>
      </c>
      <c r="B302" s="200" t="s">
        <v>1808</v>
      </c>
      <c r="C302" s="201" t="s">
        <v>1566</v>
      </c>
      <c r="D302" s="200" t="s">
        <v>1807</v>
      </c>
    </row>
    <row r="303" spans="1:4" ht="41.4" x14ac:dyDescent="0.3">
      <c r="A303" s="202" t="s">
        <v>1809</v>
      </c>
      <c r="B303" s="202" t="s">
        <v>1810</v>
      </c>
      <c r="C303" s="201" t="s">
        <v>1566</v>
      </c>
      <c r="D303" s="202" t="s">
        <v>1809</v>
      </c>
    </row>
    <row r="304" spans="1:4" ht="55.2" x14ac:dyDescent="0.3">
      <c r="A304" s="202" t="s">
        <v>1811</v>
      </c>
      <c r="B304" s="202" t="s">
        <v>1812</v>
      </c>
      <c r="C304" s="201" t="s">
        <v>1566</v>
      </c>
      <c r="D304" s="202" t="s">
        <v>1811</v>
      </c>
    </row>
    <row r="305" spans="1:4" ht="41.4" x14ac:dyDescent="0.3">
      <c r="A305" s="202" t="s">
        <v>1813</v>
      </c>
      <c r="B305" s="202" t="s">
        <v>1814</v>
      </c>
      <c r="C305" s="201" t="s">
        <v>1566</v>
      </c>
      <c r="D305" s="202" t="s">
        <v>1813</v>
      </c>
    </row>
    <row r="306" spans="1:4" ht="55.2" x14ac:dyDescent="0.3">
      <c r="A306" s="202" t="s">
        <v>1815</v>
      </c>
      <c r="B306" s="202" t="s">
        <v>1816</v>
      </c>
      <c r="C306" s="201" t="s">
        <v>1566</v>
      </c>
      <c r="D306" s="202" t="s">
        <v>1815</v>
      </c>
    </row>
    <row r="307" spans="1:4" ht="69" x14ac:dyDescent="0.3">
      <c r="A307" s="202" t="s">
        <v>1817</v>
      </c>
      <c r="B307" s="202" t="s">
        <v>1818</v>
      </c>
      <c r="C307" s="201" t="s">
        <v>1566</v>
      </c>
      <c r="D307" s="202" t="s">
        <v>1817</v>
      </c>
    </row>
    <row r="308" spans="1:4" ht="55.2" x14ac:dyDescent="0.3">
      <c r="A308" s="202" t="s">
        <v>1819</v>
      </c>
      <c r="B308" s="202" t="s">
        <v>1820</v>
      </c>
      <c r="C308" s="201" t="s">
        <v>1566</v>
      </c>
      <c r="D308" s="202" t="s">
        <v>1819</v>
      </c>
    </row>
    <row r="309" spans="1:4" ht="69" x14ac:dyDescent="0.3">
      <c r="A309" s="202" t="s">
        <v>1821</v>
      </c>
      <c r="B309" s="202" t="s">
        <v>1822</v>
      </c>
      <c r="C309" s="201" t="s">
        <v>1566</v>
      </c>
      <c r="D309" s="202" t="s">
        <v>1821</v>
      </c>
    </row>
    <row r="310" spans="1:4" ht="55.2" x14ac:dyDescent="0.3">
      <c r="A310" s="202" t="s">
        <v>1823</v>
      </c>
      <c r="B310" s="202" t="s">
        <v>1824</v>
      </c>
      <c r="C310" s="201" t="s">
        <v>1566</v>
      </c>
      <c r="D310" s="202" t="s">
        <v>1823</v>
      </c>
    </row>
    <row r="311" spans="1:4" ht="69" x14ac:dyDescent="0.3">
      <c r="A311" s="202" t="s">
        <v>1825</v>
      </c>
      <c r="B311" s="202" t="s">
        <v>1826</v>
      </c>
      <c r="C311" s="201" t="s">
        <v>1566</v>
      </c>
      <c r="D311" s="202" t="s">
        <v>1825</v>
      </c>
    </row>
    <row r="312" spans="1:4" ht="82.8" x14ac:dyDescent="0.3">
      <c r="A312" s="202" t="s">
        <v>1827</v>
      </c>
      <c r="B312" s="202" t="s">
        <v>1828</v>
      </c>
      <c r="C312" s="201" t="s">
        <v>1566</v>
      </c>
      <c r="D312" s="202" t="s">
        <v>1827</v>
      </c>
    </row>
    <row r="313" spans="1:4" ht="69" x14ac:dyDescent="0.3">
      <c r="A313" s="202" t="s">
        <v>1829</v>
      </c>
      <c r="B313" s="202" t="s">
        <v>1830</v>
      </c>
      <c r="C313" s="201" t="s">
        <v>1566</v>
      </c>
      <c r="D313" s="202" t="s">
        <v>1829</v>
      </c>
    </row>
    <row r="314" spans="1:4" ht="55.2" x14ac:dyDescent="0.3">
      <c r="A314" s="202" t="s">
        <v>1831</v>
      </c>
      <c r="B314" s="202" t="s">
        <v>1832</v>
      </c>
      <c r="C314" s="201" t="s">
        <v>1566</v>
      </c>
      <c r="D314" s="202" t="s">
        <v>1831</v>
      </c>
    </row>
    <row r="315" spans="1:4" ht="69" x14ac:dyDescent="0.3">
      <c r="A315" s="202" t="s">
        <v>1833</v>
      </c>
      <c r="B315" s="202" t="s">
        <v>1834</v>
      </c>
      <c r="C315" s="201" t="s">
        <v>1566</v>
      </c>
      <c r="D315" s="202" t="s">
        <v>1833</v>
      </c>
    </row>
    <row r="316" spans="1:4" ht="55.2" x14ac:dyDescent="0.3">
      <c r="A316" s="202" t="s">
        <v>1835</v>
      </c>
      <c r="B316" s="202" t="s">
        <v>1836</v>
      </c>
      <c r="C316" s="201" t="s">
        <v>1566</v>
      </c>
      <c r="D316" s="202" t="s">
        <v>1835</v>
      </c>
    </row>
    <row r="317" spans="1:4" ht="41.4" x14ac:dyDescent="0.3">
      <c r="A317" s="202" t="s">
        <v>1837</v>
      </c>
      <c r="B317" s="202" t="s">
        <v>1838</v>
      </c>
      <c r="C317" s="201" t="s">
        <v>1566</v>
      </c>
      <c r="D317" s="202" t="s">
        <v>1837</v>
      </c>
    </row>
    <row r="318" spans="1:4" ht="55.2" x14ac:dyDescent="0.3">
      <c r="A318" s="202" t="s">
        <v>1839</v>
      </c>
      <c r="B318" s="202" t="s">
        <v>1840</v>
      </c>
      <c r="C318" s="201" t="s">
        <v>1566</v>
      </c>
      <c r="D318" s="202" t="s">
        <v>1839</v>
      </c>
    </row>
    <row r="319" spans="1:4" ht="41.4" x14ac:dyDescent="0.3">
      <c r="A319" s="200" t="s">
        <v>1841</v>
      </c>
      <c r="B319" s="200" t="s">
        <v>1842</v>
      </c>
      <c r="C319" s="201" t="s">
        <v>1566</v>
      </c>
      <c r="D319" s="200" t="s">
        <v>1841</v>
      </c>
    </row>
    <row r="320" spans="1:4" ht="55.2" x14ac:dyDescent="0.3">
      <c r="A320" s="202" t="s">
        <v>1843</v>
      </c>
      <c r="B320" s="202" t="s">
        <v>1844</v>
      </c>
      <c r="C320" s="201" t="s">
        <v>1566</v>
      </c>
      <c r="D320" s="202" t="s">
        <v>1843</v>
      </c>
    </row>
    <row r="321" spans="1:4" ht="55.2" x14ac:dyDescent="0.3">
      <c r="A321" s="202" t="s">
        <v>1845</v>
      </c>
      <c r="B321" s="202" t="s">
        <v>1846</v>
      </c>
      <c r="C321" s="201" t="s">
        <v>1566</v>
      </c>
      <c r="D321" s="202" t="s">
        <v>1845</v>
      </c>
    </row>
    <row r="322" spans="1:4" ht="27.6" x14ac:dyDescent="0.3">
      <c r="A322" s="202" t="s">
        <v>1847</v>
      </c>
      <c r="B322" s="202" t="s">
        <v>1848</v>
      </c>
      <c r="C322" s="201" t="s">
        <v>1566</v>
      </c>
      <c r="D322" s="202" t="s">
        <v>1847</v>
      </c>
    </row>
    <row r="323" spans="1:4" ht="69" x14ac:dyDescent="0.3">
      <c r="A323" s="202" t="s">
        <v>1849</v>
      </c>
      <c r="B323" s="202" t="s">
        <v>1850</v>
      </c>
      <c r="C323" s="201" t="s">
        <v>1566</v>
      </c>
      <c r="D323" s="202" t="s">
        <v>1849</v>
      </c>
    </row>
    <row r="324" spans="1:4" ht="82.8" x14ac:dyDescent="0.3">
      <c r="A324" s="202" t="s">
        <v>1851</v>
      </c>
      <c r="B324" s="202" t="s">
        <v>1852</v>
      </c>
      <c r="C324" s="201" t="s">
        <v>1566</v>
      </c>
      <c r="D324" s="202" t="s">
        <v>1851</v>
      </c>
    </row>
    <row r="325" spans="1:4" ht="27.6" x14ac:dyDescent="0.3">
      <c r="A325" s="202" t="s">
        <v>1853</v>
      </c>
      <c r="B325" s="202" t="s">
        <v>1854</v>
      </c>
      <c r="C325" s="201" t="s">
        <v>1566</v>
      </c>
      <c r="D325" s="202" t="s">
        <v>1853</v>
      </c>
    </row>
    <row r="326" spans="1:4" ht="41.4" x14ac:dyDescent="0.3">
      <c r="A326" s="202" t="s">
        <v>1855</v>
      </c>
      <c r="B326" s="202" t="s">
        <v>1856</v>
      </c>
      <c r="C326" s="201" t="s">
        <v>1566</v>
      </c>
      <c r="D326" s="202" t="s">
        <v>1855</v>
      </c>
    </row>
    <row r="327" spans="1:4" ht="69" x14ac:dyDescent="0.3">
      <c r="A327" s="202" t="s">
        <v>1857</v>
      </c>
      <c r="B327" s="202" t="s">
        <v>1858</v>
      </c>
      <c r="C327" s="201" t="s">
        <v>1566</v>
      </c>
      <c r="D327" s="202" t="s">
        <v>1857</v>
      </c>
    </row>
    <row r="328" spans="1:4" ht="41.4" x14ac:dyDescent="0.3">
      <c r="A328" s="202" t="s">
        <v>1859</v>
      </c>
      <c r="B328" s="202" t="s">
        <v>1860</v>
      </c>
      <c r="C328" s="201" t="s">
        <v>1566</v>
      </c>
      <c r="D328" s="202" t="s">
        <v>1859</v>
      </c>
    </row>
    <row r="329" spans="1:4" ht="41.4" x14ac:dyDescent="0.3">
      <c r="A329" s="200" t="s">
        <v>1861</v>
      </c>
      <c r="B329" s="200" t="s">
        <v>1862</v>
      </c>
      <c r="C329" s="201" t="s">
        <v>1566</v>
      </c>
      <c r="D329" s="200" t="s">
        <v>1861</v>
      </c>
    </row>
    <row r="330" spans="1:4" ht="55.2" x14ac:dyDescent="0.3">
      <c r="A330" s="200" t="s">
        <v>1863</v>
      </c>
      <c r="B330" s="200" t="s">
        <v>1864</v>
      </c>
      <c r="C330" s="201" t="s">
        <v>1566</v>
      </c>
      <c r="D330" s="200" t="s">
        <v>1863</v>
      </c>
    </row>
    <row r="331" spans="1:4" ht="41.4" x14ac:dyDescent="0.3">
      <c r="A331" s="202" t="s">
        <v>1865</v>
      </c>
      <c r="B331" s="202" t="s">
        <v>1866</v>
      </c>
      <c r="C331" s="201" t="s">
        <v>1566</v>
      </c>
      <c r="D331" s="202" t="s">
        <v>1865</v>
      </c>
    </row>
    <row r="332" spans="1:4" ht="69" x14ac:dyDescent="0.3">
      <c r="A332" s="202" t="s">
        <v>1867</v>
      </c>
      <c r="B332" s="202" t="s">
        <v>1868</v>
      </c>
      <c r="C332" s="201" t="s">
        <v>1566</v>
      </c>
      <c r="D332" s="202" t="s">
        <v>1867</v>
      </c>
    </row>
    <row r="333" spans="1:4" ht="124.2" x14ac:dyDescent="0.3">
      <c r="A333" s="202" t="s">
        <v>1869</v>
      </c>
      <c r="B333" s="202" t="s">
        <v>1870</v>
      </c>
      <c r="C333" s="201" t="s">
        <v>1566</v>
      </c>
      <c r="D333" s="202" t="s">
        <v>1869</v>
      </c>
    </row>
    <row r="334" spans="1:4" ht="41.4" x14ac:dyDescent="0.3">
      <c r="A334" s="200" t="s">
        <v>1871</v>
      </c>
      <c r="B334" s="200" t="s">
        <v>1872</v>
      </c>
      <c r="C334" s="201" t="s">
        <v>1566</v>
      </c>
      <c r="D334" s="200" t="s">
        <v>1871</v>
      </c>
    </row>
    <row r="335" spans="1:4" ht="96.6" x14ac:dyDescent="0.3">
      <c r="A335" s="200" t="s">
        <v>1873</v>
      </c>
      <c r="B335" s="203" t="s">
        <v>1874</v>
      </c>
      <c r="C335" s="201" t="s">
        <v>1566</v>
      </c>
      <c r="D335" s="200" t="s">
        <v>1873</v>
      </c>
    </row>
    <row r="336" spans="1:4" ht="55.2" x14ac:dyDescent="0.3">
      <c r="A336" s="200" t="s">
        <v>1875</v>
      </c>
      <c r="B336" s="200" t="s">
        <v>1876</v>
      </c>
      <c r="C336" s="201" t="s">
        <v>1566</v>
      </c>
      <c r="D336" s="200" t="s">
        <v>1875</v>
      </c>
    </row>
    <row r="337" spans="1:4" ht="20.399999999999999" x14ac:dyDescent="0.3">
      <c r="A337" s="200" t="s">
        <v>1877</v>
      </c>
      <c r="B337" s="200" t="s">
        <v>1878</v>
      </c>
      <c r="C337" s="201" t="s">
        <v>1566</v>
      </c>
      <c r="D337" s="200" t="s">
        <v>1877</v>
      </c>
    </row>
    <row r="338" spans="1:4" ht="27.6" x14ac:dyDescent="0.3">
      <c r="A338" s="202" t="s">
        <v>1877</v>
      </c>
      <c r="B338" s="202" t="s">
        <v>1879</v>
      </c>
      <c r="C338" s="201" t="s">
        <v>1566</v>
      </c>
      <c r="D338" s="202" t="s">
        <v>1877</v>
      </c>
    </row>
    <row r="339" spans="1:4" ht="96.6" x14ac:dyDescent="0.3">
      <c r="A339" s="202" t="s">
        <v>1880</v>
      </c>
      <c r="B339" s="202" t="s">
        <v>1881</v>
      </c>
      <c r="C339" s="201" t="s">
        <v>1566</v>
      </c>
      <c r="D339" s="202" t="s">
        <v>1880</v>
      </c>
    </row>
    <row r="340" spans="1:4" ht="55.2" x14ac:dyDescent="0.3">
      <c r="A340" s="202" t="s">
        <v>1882</v>
      </c>
      <c r="B340" s="202" t="s">
        <v>1883</v>
      </c>
      <c r="C340" s="201" t="s">
        <v>1566</v>
      </c>
      <c r="D340" s="202" t="s">
        <v>1882</v>
      </c>
    </row>
    <row r="341" spans="1:4" ht="55.2" x14ac:dyDescent="0.3">
      <c r="A341" s="202" t="s">
        <v>1884</v>
      </c>
      <c r="B341" s="202" t="s">
        <v>1885</v>
      </c>
      <c r="C341" s="201" t="s">
        <v>1566</v>
      </c>
      <c r="D341" s="202" t="s">
        <v>1884</v>
      </c>
    </row>
    <row r="342" spans="1:4" ht="55.2" x14ac:dyDescent="0.3">
      <c r="A342" s="202" t="s">
        <v>1886</v>
      </c>
      <c r="B342" s="202" t="s">
        <v>1887</v>
      </c>
      <c r="C342" s="201" t="s">
        <v>1566</v>
      </c>
      <c r="D342" s="202" t="s">
        <v>1886</v>
      </c>
    </row>
    <row r="343" spans="1:4" ht="55.2" x14ac:dyDescent="0.3">
      <c r="A343" s="202" t="s">
        <v>1888</v>
      </c>
      <c r="B343" s="202" t="s">
        <v>1889</v>
      </c>
      <c r="C343" s="201" t="s">
        <v>1566</v>
      </c>
      <c r="D343" s="202" t="s">
        <v>1888</v>
      </c>
    </row>
    <row r="344" spans="1:4" ht="55.2" x14ac:dyDescent="0.3">
      <c r="A344" s="202" t="s">
        <v>1890</v>
      </c>
      <c r="B344" s="202" t="s">
        <v>1891</v>
      </c>
      <c r="C344" s="201" t="s">
        <v>1566</v>
      </c>
      <c r="D344" s="202" t="s">
        <v>1890</v>
      </c>
    </row>
    <row r="345" spans="1:4" ht="69" x14ac:dyDescent="0.3">
      <c r="A345" s="200" t="s">
        <v>1892</v>
      </c>
      <c r="B345" s="203" t="s">
        <v>1893</v>
      </c>
      <c r="C345" s="201" t="s">
        <v>1566</v>
      </c>
      <c r="D345" s="200" t="s">
        <v>1892</v>
      </c>
    </row>
    <row r="346" spans="1:4" ht="96.6" x14ac:dyDescent="0.3">
      <c r="A346" s="200" t="s">
        <v>1894</v>
      </c>
      <c r="B346" s="200" t="s">
        <v>1895</v>
      </c>
      <c r="C346" s="201" t="s">
        <v>1566</v>
      </c>
      <c r="D346" s="200" t="s">
        <v>1894</v>
      </c>
    </row>
    <row r="347" spans="1:4" ht="27.6" x14ac:dyDescent="0.3">
      <c r="A347" s="200" t="s">
        <v>1896</v>
      </c>
      <c r="B347" s="200" t="s">
        <v>1897</v>
      </c>
      <c r="C347" s="201" t="s">
        <v>1566</v>
      </c>
      <c r="D347" s="200" t="s">
        <v>1896</v>
      </c>
    </row>
    <row r="348" spans="1:4" ht="41.4" x14ac:dyDescent="0.3">
      <c r="A348" s="202" t="s">
        <v>1898</v>
      </c>
      <c r="B348" s="202" t="s">
        <v>1899</v>
      </c>
      <c r="C348" s="201" t="s">
        <v>1566</v>
      </c>
      <c r="D348" s="202" t="s">
        <v>1898</v>
      </c>
    </row>
    <row r="349" spans="1:4" ht="41.4" x14ac:dyDescent="0.3">
      <c r="A349" s="202" t="s">
        <v>1898</v>
      </c>
      <c r="B349" s="202" t="s">
        <v>1900</v>
      </c>
      <c r="C349" s="201" t="s">
        <v>1566</v>
      </c>
      <c r="D349" s="202" t="s">
        <v>1898</v>
      </c>
    </row>
    <row r="350" spans="1:4" ht="41.4" x14ac:dyDescent="0.3">
      <c r="A350" s="202" t="s">
        <v>1901</v>
      </c>
      <c r="B350" s="202" t="s">
        <v>1902</v>
      </c>
      <c r="C350" s="201" t="s">
        <v>1566</v>
      </c>
      <c r="D350" s="202" t="s">
        <v>1901</v>
      </c>
    </row>
    <row r="351" spans="1:4" ht="27.6" x14ac:dyDescent="0.3">
      <c r="A351" s="202" t="s">
        <v>1903</v>
      </c>
      <c r="B351" s="202" t="s">
        <v>1904</v>
      </c>
      <c r="C351" s="201" t="s">
        <v>1566</v>
      </c>
      <c r="D351" s="202" t="s">
        <v>1903</v>
      </c>
    </row>
    <row r="352" spans="1:4" ht="27.6" x14ac:dyDescent="0.3">
      <c r="A352" s="202" t="s">
        <v>1905</v>
      </c>
      <c r="B352" s="202" t="s">
        <v>1906</v>
      </c>
      <c r="C352" s="201" t="s">
        <v>1566</v>
      </c>
      <c r="D352" s="202" t="s">
        <v>1905</v>
      </c>
    </row>
    <row r="353" spans="1:4" ht="27.6" x14ac:dyDescent="0.3">
      <c r="A353" s="202" t="s">
        <v>1907</v>
      </c>
      <c r="B353" s="202" t="s">
        <v>1908</v>
      </c>
      <c r="C353" s="201" t="s">
        <v>1566</v>
      </c>
      <c r="D353" s="202" t="s">
        <v>1907</v>
      </c>
    </row>
    <row r="354" spans="1:4" ht="82.8" x14ac:dyDescent="0.3">
      <c r="A354" s="202" t="s">
        <v>1909</v>
      </c>
      <c r="B354" s="202" t="s">
        <v>1910</v>
      </c>
      <c r="C354" s="201" t="s">
        <v>1566</v>
      </c>
      <c r="D354" s="202" t="s">
        <v>1909</v>
      </c>
    </row>
    <row r="355" spans="1:4" ht="27.6" x14ac:dyDescent="0.3">
      <c r="A355" s="200" t="s">
        <v>1911</v>
      </c>
      <c r="B355" s="200" t="s">
        <v>1912</v>
      </c>
      <c r="C355" s="201" t="s">
        <v>1566</v>
      </c>
      <c r="D355" s="200" t="s">
        <v>1911</v>
      </c>
    </row>
    <row r="356" spans="1:4" ht="41.4" x14ac:dyDescent="0.3">
      <c r="A356" s="200" t="s">
        <v>1913</v>
      </c>
      <c r="B356" s="200" t="s">
        <v>1914</v>
      </c>
      <c r="C356" s="201" t="s">
        <v>1566</v>
      </c>
      <c r="D356" s="200" t="s">
        <v>1913</v>
      </c>
    </row>
    <row r="357" spans="1:4" ht="27.6" x14ac:dyDescent="0.3">
      <c r="A357" s="202" t="s">
        <v>1915</v>
      </c>
      <c r="B357" s="202" t="s">
        <v>1916</v>
      </c>
      <c r="C357" s="201" t="s">
        <v>1566</v>
      </c>
      <c r="D357" s="202" t="s">
        <v>1915</v>
      </c>
    </row>
    <row r="358" spans="1:4" ht="27.6" x14ac:dyDescent="0.3">
      <c r="A358" s="202" t="s">
        <v>1915</v>
      </c>
      <c r="B358" s="202" t="s">
        <v>1917</v>
      </c>
      <c r="C358" s="201" t="s">
        <v>1566</v>
      </c>
      <c r="D358" s="202" t="s">
        <v>1915</v>
      </c>
    </row>
    <row r="359" spans="1:4" ht="69" x14ac:dyDescent="0.3">
      <c r="A359" s="202" t="s">
        <v>1918</v>
      </c>
      <c r="B359" s="202" t="s">
        <v>1919</v>
      </c>
      <c r="C359" s="201" t="s">
        <v>1566</v>
      </c>
      <c r="D359" s="202" t="s">
        <v>1918</v>
      </c>
    </row>
    <row r="360" spans="1:4" ht="27.6" x14ac:dyDescent="0.3">
      <c r="A360" s="202" t="s">
        <v>1920</v>
      </c>
      <c r="B360" s="202" t="s">
        <v>1921</v>
      </c>
      <c r="C360" s="201" t="s">
        <v>1566</v>
      </c>
      <c r="D360" s="202" t="s">
        <v>1920</v>
      </c>
    </row>
    <row r="361" spans="1:4" ht="27.6" x14ac:dyDescent="0.3">
      <c r="A361" s="202" t="s">
        <v>1922</v>
      </c>
      <c r="B361" s="202" t="s">
        <v>1923</v>
      </c>
      <c r="C361" s="201" t="s">
        <v>1566</v>
      </c>
      <c r="D361" s="202" t="s">
        <v>1922</v>
      </c>
    </row>
    <row r="362" spans="1:4" ht="27.6" x14ac:dyDescent="0.3">
      <c r="A362" s="202" t="s">
        <v>1924</v>
      </c>
      <c r="B362" s="202" t="s">
        <v>1925</v>
      </c>
      <c r="C362" s="201" t="s">
        <v>1566</v>
      </c>
      <c r="D362" s="202" t="s">
        <v>1924</v>
      </c>
    </row>
    <row r="363" spans="1:4" ht="55.2" x14ac:dyDescent="0.3">
      <c r="A363" s="202" t="s">
        <v>1926</v>
      </c>
      <c r="B363" s="202" t="s">
        <v>1927</v>
      </c>
      <c r="C363" s="201" t="s">
        <v>1566</v>
      </c>
      <c r="D363" s="202" t="s">
        <v>1926</v>
      </c>
    </row>
    <row r="364" spans="1:4" ht="82.8" x14ac:dyDescent="0.3">
      <c r="A364" s="202" t="s">
        <v>1928</v>
      </c>
      <c r="B364" s="202" t="s">
        <v>1929</v>
      </c>
      <c r="C364" s="201" t="s">
        <v>1566</v>
      </c>
      <c r="D364" s="202" t="s">
        <v>1928</v>
      </c>
    </row>
    <row r="365" spans="1:4" ht="41.4" x14ac:dyDescent="0.3">
      <c r="A365" s="202" t="s">
        <v>1930</v>
      </c>
      <c r="B365" s="202" t="s">
        <v>1931</v>
      </c>
      <c r="C365" s="201" t="s">
        <v>1566</v>
      </c>
      <c r="D365" s="202" t="s">
        <v>1930</v>
      </c>
    </row>
    <row r="366" spans="1:4" ht="82.8" x14ac:dyDescent="0.3">
      <c r="A366" s="202" t="s">
        <v>1932</v>
      </c>
      <c r="B366" s="202" t="s">
        <v>1933</v>
      </c>
      <c r="C366" s="201" t="s">
        <v>1566</v>
      </c>
      <c r="D366" s="202" t="s">
        <v>1932</v>
      </c>
    </row>
    <row r="367" spans="1:4" ht="69" x14ac:dyDescent="0.3">
      <c r="A367" s="202" t="s">
        <v>1934</v>
      </c>
      <c r="B367" s="202" t="s">
        <v>1935</v>
      </c>
      <c r="C367" s="201" t="s">
        <v>1566</v>
      </c>
      <c r="D367" s="202" t="s">
        <v>1934</v>
      </c>
    </row>
    <row r="368" spans="1:4" ht="41.4" x14ac:dyDescent="0.3">
      <c r="A368" s="202" t="s">
        <v>1936</v>
      </c>
      <c r="B368" s="202" t="s">
        <v>1937</v>
      </c>
      <c r="C368" s="201" t="s">
        <v>1566</v>
      </c>
      <c r="D368" s="202" t="s">
        <v>1936</v>
      </c>
    </row>
    <row r="369" spans="1:4" ht="55.2" x14ac:dyDescent="0.3">
      <c r="A369" s="202" t="s">
        <v>1938</v>
      </c>
      <c r="B369" s="202" t="s">
        <v>1939</v>
      </c>
      <c r="C369" s="201" t="s">
        <v>1566</v>
      </c>
      <c r="D369" s="202" t="s">
        <v>1938</v>
      </c>
    </row>
    <row r="370" spans="1:4" ht="69" x14ac:dyDescent="0.3">
      <c r="A370" s="202" t="s">
        <v>1940</v>
      </c>
      <c r="B370" s="202" t="s">
        <v>1941</v>
      </c>
      <c r="C370" s="201" t="s">
        <v>1566</v>
      </c>
      <c r="D370" s="202" t="s">
        <v>1940</v>
      </c>
    </row>
    <row r="371" spans="1:4" ht="20.399999999999999" x14ac:dyDescent="0.3">
      <c r="A371" s="202" t="s">
        <v>1942</v>
      </c>
      <c r="B371" s="202" t="s">
        <v>1943</v>
      </c>
      <c r="C371" s="201" t="s">
        <v>1566</v>
      </c>
      <c r="D371" s="202" t="s">
        <v>1942</v>
      </c>
    </row>
    <row r="372" spans="1:4" ht="27.6" x14ac:dyDescent="0.3">
      <c r="A372" s="202" t="s">
        <v>1944</v>
      </c>
      <c r="B372" s="202" t="s">
        <v>1945</v>
      </c>
      <c r="C372" s="201" t="s">
        <v>1566</v>
      </c>
      <c r="D372" s="202" t="s">
        <v>1944</v>
      </c>
    </row>
    <row r="373" spans="1:4" ht="27.6" x14ac:dyDescent="0.3">
      <c r="A373" s="202" t="s">
        <v>1946</v>
      </c>
      <c r="B373" s="202" t="s">
        <v>1947</v>
      </c>
      <c r="C373" s="201" t="s">
        <v>1566</v>
      </c>
      <c r="D373" s="202" t="s">
        <v>1946</v>
      </c>
    </row>
    <row r="374" spans="1:4" ht="41.4" x14ac:dyDescent="0.3">
      <c r="A374" s="200" t="s">
        <v>1948</v>
      </c>
      <c r="B374" s="200" t="s">
        <v>1949</v>
      </c>
      <c r="C374" s="201" t="s">
        <v>1566</v>
      </c>
      <c r="D374" s="200" t="s">
        <v>1948</v>
      </c>
    </row>
    <row r="375" spans="1:4" ht="41.4" x14ac:dyDescent="0.3">
      <c r="A375" s="200" t="s">
        <v>1950</v>
      </c>
      <c r="B375" s="200" t="s">
        <v>1951</v>
      </c>
      <c r="C375" s="201" t="s">
        <v>1566</v>
      </c>
      <c r="D375" s="200" t="s">
        <v>1950</v>
      </c>
    </row>
    <row r="376" spans="1:4" ht="27.6" x14ac:dyDescent="0.3">
      <c r="A376" s="202" t="s">
        <v>1952</v>
      </c>
      <c r="B376" s="202" t="s">
        <v>1953</v>
      </c>
      <c r="C376" s="201" t="s">
        <v>1566</v>
      </c>
      <c r="D376" s="202" t="s">
        <v>1952</v>
      </c>
    </row>
    <row r="377" spans="1:4" ht="27.6" x14ac:dyDescent="0.3">
      <c r="A377" s="202" t="s">
        <v>1952</v>
      </c>
      <c r="B377" s="202" t="s">
        <v>1954</v>
      </c>
      <c r="C377" s="201" t="s">
        <v>1566</v>
      </c>
      <c r="D377" s="202" t="s">
        <v>1952</v>
      </c>
    </row>
    <row r="378" spans="1:4" ht="96.6" x14ac:dyDescent="0.3">
      <c r="A378" s="202" t="s">
        <v>1955</v>
      </c>
      <c r="B378" s="202" t="s">
        <v>1956</v>
      </c>
      <c r="C378" s="201" t="s">
        <v>1566</v>
      </c>
      <c r="D378" s="202" t="s">
        <v>1955</v>
      </c>
    </row>
    <row r="379" spans="1:4" ht="124.2" x14ac:dyDescent="0.3">
      <c r="A379" s="202" t="s">
        <v>1957</v>
      </c>
      <c r="B379" s="202" t="s">
        <v>1958</v>
      </c>
      <c r="C379" s="201" t="s">
        <v>1566</v>
      </c>
      <c r="D379" s="202" t="s">
        <v>1957</v>
      </c>
    </row>
    <row r="380" spans="1:4" ht="55.2" x14ac:dyDescent="0.3">
      <c r="A380" s="202" t="s">
        <v>1959</v>
      </c>
      <c r="B380" s="202" t="s">
        <v>1960</v>
      </c>
      <c r="C380" s="201" t="s">
        <v>1566</v>
      </c>
      <c r="D380" s="202" t="s">
        <v>1959</v>
      </c>
    </row>
    <row r="381" spans="1:4" ht="82.8" x14ac:dyDescent="0.3">
      <c r="A381" s="200" t="s">
        <v>1961</v>
      </c>
      <c r="B381" s="200" t="s">
        <v>1962</v>
      </c>
      <c r="C381" s="201" t="s">
        <v>1566</v>
      </c>
      <c r="D381" s="200" t="s">
        <v>1961</v>
      </c>
    </row>
    <row r="382" spans="1:4" ht="41.4" x14ac:dyDescent="0.3">
      <c r="A382" s="200" t="s">
        <v>1963</v>
      </c>
      <c r="B382" s="200" t="s">
        <v>1964</v>
      </c>
      <c r="C382" s="201" t="s">
        <v>1566</v>
      </c>
      <c r="D382" s="200" t="s">
        <v>1963</v>
      </c>
    </row>
    <row r="383" spans="1:4" ht="27.6" x14ac:dyDescent="0.3">
      <c r="A383" s="202" t="s">
        <v>1965</v>
      </c>
      <c r="B383" s="202" t="s">
        <v>1966</v>
      </c>
      <c r="C383" s="201" t="s">
        <v>1566</v>
      </c>
      <c r="D383" s="202" t="s">
        <v>1965</v>
      </c>
    </row>
    <row r="384" spans="1:4" ht="41.4" x14ac:dyDescent="0.3">
      <c r="A384" s="202" t="s">
        <v>1967</v>
      </c>
      <c r="B384" s="202" t="s">
        <v>1968</v>
      </c>
      <c r="C384" s="201" t="s">
        <v>1566</v>
      </c>
      <c r="D384" s="202" t="s">
        <v>1967</v>
      </c>
    </row>
    <row r="385" spans="1:4" ht="41.4" x14ac:dyDescent="0.3">
      <c r="A385" s="200" t="s">
        <v>1969</v>
      </c>
      <c r="B385" s="200" t="s">
        <v>1970</v>
      </c>
      <c r="C385" s="201" t="s">
        <v>1566</v>
      </c>
      <c r="D385" s="200" t="s">
        <v>1969</v>
      </c>
    </row>
    <row r="386" spans="1:4" ht="41.4" x14ac:dyDescent="0.3">
      <c r="A386" s="202" t="s">
        <v>1971</v>
      </c>
      <c r="B386" s="202" t="s">
        <v>1972</v>
      </c>
      <c r="C386" s="201" t="s">
        <v>1566</v>
      </c>
      <c r="D386" s="202" t="s">
        <v>1971</v>
      </c>
    </row>
    <row r="387" spans="1:4" ht="41.4" x14ac:dyDescent="0.3">
      <c r="A387" s="202" t="s">
        <v>1973</v>
      </c>
      <c r="B387" s="202" t="s">
        <v>1974</v>
      </c>
      <c r="C387" s="201" t="s">
        <v>1566</v>
      </c>
      <c r="D387" s="202" t="s">
        <v>1973</v>
      </c>
    </row>
    <row r="388" spans="1:4" ht="41.4" x14ac:dyDescent="0.3">
      <c r="A388" s="200" t="s">
        <v>1973</v>
      </c>
      <c r="B388" s="200" t="s">
        <v>1975</v>
      </c>
      <c r="C388" s="201" t="s">
        <v>1566</v>
      </c>
      <c r="D388" s="200" t="s">
        <v>1973</v>
      </c>
    </row>
    <row r="389" spans="1:4" ht="69" x14ac:dyDescent="0.3">
      <c r="A389" s="200" t="s">
        <v>1976</v>
      </c>
      <c r="B389" s="200" t="s">
        <v>1977</v>
      </c>
      <c r="C389" s="201" t="s">
        <v>1566</v>
      </c>
      <c r="D389" s="200" t="s">
        <v>1976</v>
      </c>
    </row>
    <row r="390" spans="1:4" ht="27.6" x14ac:dyDescent="0.3">
      <c r="A390" s="202" t="s">
        <v>1978</v>
      </c>
      <c r="B390" s="202" t="s">
        <v>1979</v>
      </c>
      <c r="C390" s="201" t="s">
        <v>1566</v>
      </c>
      <c r="D390" s="202" t="s">
        <v>1978</v>
      </c>
    </row>
    <row r="391" spans="1:4" ht="41.4" x14ac:dyDescent="0.3">
      <c r="A391" s="202" t="s">
        <v>1980</v>
      </c>
      <c r="B391" s="202" t="s">
        <v>1981</v>
      </c>
      <c r="C391" s="201" t="s">
        <v>1566</v>
      </c>
      <c r="D391" s="202" t="s">
        <v>1980</v>
      </c>
    </row>
    <row r="392" spans="1:4" ht="138" x14ac:dyDescent="0.3">
      <c r="A392" s="200" t="s">
        <v>1982</v>
      </c>
      <c r="B392" s="200" t="s">
        <v>1983</v>
      </c>
      <c r="C392" s="201" t="s">
        <v>1566</v>
      </c>
      <c r="D392" s="200" t="s">
        <v>1982</v>
      </c>
    </row>
    <row r="393" spans="1:4" ht="193.2" x14ac:dyDescent="0.3">
      <c r="A393" s="200" t="s">
        <v>1984</v>
      </c>
      <c r="B393" s="200" t="s">
        <v>1985</v>
      </c>
      <c r="C393" s="201" t="s">
        <v>1566</v>
      </c>
      <c r="D393" s="200" t="s">
        <v>1984</v>
      </c>
    </row>
    <row r="394" spans="1:4" ht="69" x14ac:dyDescent="0.3">
      <c r="A394" s="202" t="s">
        <v>1986</v>
      </c>
      <c r="B394" s="202" t="s">
        <v>1987</v>
      </c>
      <c r="C394" s="201" t="s">
        <v>1566</v>
      </c>
      <c r="D394" s="202" t="s">
        <v>1986</v>
      </c>
    </row>
    <row r="395" spans="1:4" ht="55.2" x14ac:dyDescent="0.3">
      <c r="A395" s="202" t="s">
        <v>1988</v>
      </c>
      <c r="B395" s="202" t="s">
        <v>1989</v>
      </c>
      <c r="C395" s="201" t="s">
        <v>1566</v>
      </c>
      <c r="D395" s="202" t="s">
        <v>1988</v>
      </c>
    </row>
    <row r="396" spans="1:4" ht="69" x14ac:dyDescent="0.3">
      <c r="A396" s="202" t="s">
        <v>1990</v>
      </c>
      <c r="B396" s="202" t="s">
        <v>1991</v>
      </c>
      <c r="C396" s="201" t="s">
        <v>1566</v>
      </c>
      <c r="D396" s="202" t="s">
        <v>1990</v>
      </c>
    </row>
    <row r="397" spans="1:4" ht="69" x14ac:dyDescent="0.3">
      <c r="A397" s="202" t="s">
        <v>1992</v>
      </c>
      <c r="B397" s="202" t="s">
        <v>1993</v>
      </c>
      <c r="C397" s="201" t="s">
        <v>1566</v>
      </c>
      <c r="D397" s="202" t="s">
        <v>1992</v>
      </c>
    </row>
    <row r="398" spans="1:4" ht="151.80000000000001" x14ac:dyDescent="0.3">
      <c r="A398" s="202" t="s">
        <v>1994</v>
      </c>
      <c r="B398" s="202" t="s">
        <v>1995</v>
      </c>
      <c r="C398" s="201" t="s">
        <v>1566</v>
      </c>
      <c r="D398" s="202" t="s">
        <v>1994</v>
      </c>
    </row>
    <row r="399" spans="1:4" ht="69" x14ac:dyDescent="0.3">
      <c r="A399" s="202" t="s">
        <v>1996</v>
      </c>
      <c r="B399" s="202" t="s">
        <v>1997</v>
      </c>
      <c r="C399" s="201" t="s">
        <v>1566</v>
      </c>
      <c r="D399" s="202" t="s">
        <v>1996</v>
      </c>
    </row>
    <row r="400" spans="1:4" ht="27.6" x14ac:dyDescent="0.3">
      <c r="A400" s="202" t="s">
        <v>1998</v>
      </c>
      <c r="B400" s="202" t="s">
        <v>1999</v>
      </c>
      <c r="C400" s="201" t="s">
        <v>1566</v>
      </c>
      <c r="D400" s="202" t="s">
        <v>1998</v>
      </c>
    </row>
    <row r="401" spans="1:4" ht="151.80000000000001" x14ac:dyDescent="0.3">
      <c r="A401" s="200" t="s">
        <v>2000</v>
      </c>
      <c r="B401" s="200" t="s">
        <v>2001</v>
      </c>
      <c r="C401" s="201" t="s">
        <v>1566</v>
      </c>
      <c r="D401" s="200" t="s">
        <v>2000</v>
      </c>
    </row>
    <row r="402" spans="1:4" ht="110.4" x14ac:dyDescent="0.3">
      <c r="A402" s="202" t="s">
        <v>2002</v>
      </c>
      <c r="B402" s="202" t="s">
        <v>2003</v>
      </c>
      <c r="C402" s="201" t="s">
        <v>1566</v>
      </c>
      <c r="D402" s="202" t="s">
        <v>2002</v>
      </c>
    </row>
    <row r="403" spans="1:4" ht="55.2" x14ac:dyDescent="0.3">
      <c r="A403" s="202" t="s">
        <v>2004</v>
      </c>
      <c r="B403" s="202" t="s">
        <v>2005</v>
      </c>
      <c r="C403" s="201" t="s">
        <v>1566</v>
      </c>
      <c r="D403" s="202" t="s">
        <v>2004</v>
      </c>
    </row>
    <row r="404" spans="1:4" ht="110.4" x14ac:dyDescent="0.3">
      <c r="A404" s="202" t="s">
        <v>2006</v>
      </c>
      <c r="B404" s="202" t="s">
        <v>2007</v>
      </c>
      <c r="C404" s="201" t="s">
        <v>1566</v>
      </c>
      <c r="D404" s="202" t="s">
        <v>2006</v>
      </c>
    </row>
    <row r="405" spans="1:4" ht="27.6" x14ac:dyDescent="0.3">
      <c r="A405" s="202" t="s">
        <v>2008</v>
      </c>
      <c r="B405" s="202" t="s">
        <v>2009</v>
      </c>
      <c r="C405" s="201" t="s">
        <v>1566</v>
      </c>
      <c r="D405" s="202" t="s">
        <v>2008</v>
      </c>
    </row>
    <row r="406" spans="1:4" ht="41.4" x14ac:dyDescent="0.3">
      <c r="A406" s="202" t="s">
        <v>2010</v>
      </c>
      <c r="B406" s="202" t="s">
        <v>2011</v>
      </c>
      <c r="C406" s="201" t="s">
        <v>1566</v>
      </c>
      <c r="D406" s="202" t="s">
        <v>2010</v>
      </c>
    </row>
    <row r="407" spans="1:4" ht="82.8" x14ac:dyDescent="0.3">
      <c r="A407" s="200" t="s">
        <v>2012</v>
      </c>
      <c r="B407" s="203" t="s">
        <v>2013</v>
      </c>
      <c r="C407" s="201" t="s">
        <v>1566</v>
      </c>
      <c r="D407" s="200" t="s">
        <v>2012</v>
      </c>
    </row>
    <row r="408" spans="1:4" ht="69" x14ac:dyDescent="0.3">
      <c r="A408" s="200" t="s">
        <v>2014</v>
      </c>
      <c r="B408" s="200" t="s">
        <v>2015</v>
      </c>
      <c r="C408" s="201" t="s">
        <v>1566</v>
      </c>
      <c r="D408" s="200" t="s">
        <v>2014</v>
      </c>
    </row>
    <row r="409" spans="1:4" ht="20.399999999999999" x14ac:dyDescent="0.3">
      <c r="A409" s="200" t="s">
        <v>2016</v>
      </c>
      <c r="B409" s="200" t="s">
        <v>2017</v>
      </c>
      <c r="C409" s="201" t="s">
        <v>1566</v>
      </c>
      <c r="D409" s="200" t="s">
        <v>2016</v>
      </c>
    </row>
    <row r="410" spans="1:4" ht="27.6" x14ac:dyDescent="0.3">
      <c r="A410" s="202" t="s">
        <v>2018</v>
      </c>
      <c r="B410" s="202" t="s">
        <v>2019</v>
      </c>
      <c r="C410" s="201" t="s">
        <v>1566</v>
      </c>
      <c r="D410" s="202" t="s">
        <v>2018</v>
      </c>
    </row>
    <row r="411" spans="1:4" ht="27.6" x14ac:dyDescent="0.3">
      <c r="A411" s="202" t="s">
        <v>2020</v>
      </c>
      <c r="B411" s="202" t="s">
        <v>2021</v>
      </c>
      <c r="C411" s="201" t="s">
        <v>1566</v>
      </c>
      <c r="D411" s="202" t="s">
        <v>2020</v>
      </c>
    </row>
    <row r="412" spans="1:4" ht="69" x14ac:dyDescent="0.3">
      <c r="A412" s="200" t="s">
        <v>2022</v>
      </c>
      <c r="B412" s="200" t="s">
        <v>2023</v>
      </c>
      <c r="C412" s="201" t="s">
        <v>1566</v>
      </c>
      <c r="D412" s="200" t="s">
        <v>2022</v>
      </c>
    </row>
    <row r="413" spans="1:4" ht="41.4" x14ac:dyDescent="0.3">
      <c r="A413" s="202" t="s">
        <v>2024</v>
      </c>
      <c r="B413" s="202" t="s">
        <v>2025</v>
      </c>
      <c r="C413" s="201" t="s">
        <v>1566</v>
      </c>
      <c r="D413" s="202" t="s">
        <v>2024</v>
      </c>
    </row>
    <row r="414" spans="1:4" ht="27.6" x14ac:dyDescent="0.3">
      <c r="A414" s="202" t="s">
        <v>2026</v>
      </c>
      <c r="B414" s="202" t="s">
        <v>2027</v>
      </c>
      <c r="C414" s="201" t="s">
        <v>1566</v>
      </c>
      <c r="D414" s="202" t="s">
        <v>2026</v>
      </c>
    </row>
    <row r="415" spans="1:4" ht="69" x14ac:dyDescent="0.3">
      <c r="A415" s="200" t="s">
        <v>2028</v>
      </c>
      <c r="B415" s="200" t="s">
        <v>2029</v>
      </c>
      <c r="C415" s="201" t="s">
        <v>1566</v>
      </c>
      <c r="D415" s="200" t="s">
        <v>2028</v>
      </c>
    </row>
    <row r="416" spans="1:4" ht="69" x14ac:dyDescent="0.3">
      <c r="A416" s="202" t="s">
        <v>2030</v>
      </c>
      <c r="B416" s="202" t="s">
        <v>2031</v>
      </c>
      <c r="C416" s="201" t="s">
        <v>1566</v>
      </c>
      <c r="D416" s="202" t="s">
        <v>2030</v>
      </c>
    </row>
    <row r="417" spans="1:4" ht="27.6" x14ac:dyDescent="0.3">
      <c r="A417" s="202" t="s">
        <v>2032</v>
      </c>
      <c r="B417" s="202" t="s">
        <v>2033</v>
      </c>
      <c r="C417" s="201" t="s">
        <v>1566</v>
      </c>
      <c r="D417" s="202" t="s">
        <v>2032</v>
      </c>
    </row>
    <row r="418" spans="1:4" ht="41.4" x14ac:dyDescent="0.3">
      <c r="A418" s="202" t="s">
        <v>2034</v>
      </c>
      <c r="B418" s="202" t="s">
        <v>2035</v>
      </c>
      <c r="C418" s="201" t="s">
        <v>1566</v>
      </c>
      <c r="D418" s="202" t="s">
        <v>2034</v>
      </c>
    </row>
    <row r="419" spans="1:4" ht="55.2" x14ac:dyDescent="0.3">
      <c r="A419" s="202" t="s">
        <v>2036</v>
      </c>
      <c r="B419" s="202" t="s">
        <v>2037</v>
      </c>
      <c r="C419" s="201" t="s">
        <v>1566</v>
      </c>
      <c r="D419" s="202" t="s">
        <v>2036</v>
      </c>
    </row>
    <row r="420" spans="1:4" ht="55.2" x14ac:dyDescent="0.3">
      <c r="A420" s="202" t="s">
        <v>2038</v>
      </c>
      <c r="B420" s="202" t="s">
        <v>2039</v>
      </c>
      <c r="C420" s="201" t="s">
        <v>1566</v>
      </c>
      <c r="D420" s="202" t="s">
        <v>2038</v>
      </c>
    </row>
    <row r="421" spans="1:4" ht="82.8" x14ac:dyDescent="0.3">
      <c r="A421" s="202" t="s">
        <v>2040</v>
      </c>
      <c r="B421" s="202" t="s">
        <v>2041</v>
      </c>
      <c r="C421" s="201" t="s">
        <v>1566</v>
      </c>
      <c r="D421" s="202" t="s">
        <v>2040</v>
      </c>
    </row>
    <row r="422" spans="1:4" ht="96.6" x14ac:dyDescent="0.3">
      <c r="A422" s="202" t="s">
        <v>2042</v>
      </c>
      <c r="B422" s="202" t="s">
        <v>2043</v>
      </c>
      <c r="C422" s="201" t="s">
        <v>1566</v>
      </c>
      <c r="D422" s="202" t="s">
        <v>2042</v>
      </c>
    </row>
    <row r="423" spans="1:4" ht="82.8" x14ac:dyDescent="0.3">
      <c r="A423" s="200" t="s">
        <v>2044</v>
      </c>
      <c r="B423" s="200" t="s">
        <v>2045</v>
      </c>
      <c r="C423" s="201" t="s">
        <v>1566</v>
      </c>
      <c r="D423" s="200" t="s">
        <v>2044</v>
      </c>
    </row>
    <row r="424" spans="1:4" ht="69" x14ac:dyDescent="0.3">
      <c r="A424" s="202" t="s">
        <v>2046</v>
      </c>
      <c r="B424" s="202" t="s">
        <v>2047</v>
      </c>
      <c r="C424" s="201" t="s">
        <v>1566</v>
      </c>
      <c r="D424" s="202" t="s">
        <v>2046</v>
      </c>
    </row>
    <row r="425" spans="1:4" ht="27.6" x14ac:dyDescent="0.3">
      <c r="A425" s="202" t="s">
        <v>2048</v>
      </c>
      <c r="B425" s="202" t="s">
        <v>2049</v>
      </c>
      <c r="C425" s="201" t="s">
        <v>1566</v>
      </c>
      <c r="D425" s="202" t="s">
        <v>2048</v>
      </c>
    </row>
    <row r="426" spans="1:4" ht="55.2" x14ac:dyDescent="0.3">
      <c r="A426" s="202" t="s">
        <v>2050</v>
      </c>
      <c r="B426" s="202" t="s">
        <v>2051</v>
      </c>
      <c r="C426" s="201" t="s">
        <v>1566</v>
      </c>
      <c r="D426" s="202" t="s">
        <v>2050</v>
      </c>
    </row>
    <row r="427" spans="1:4" ht="69" x14ac:dyDescent="0.3">
      <c r="A427" s="202" t="s">
        <v>2052</v>
      </c>
      <c r="B427" s="202" t="s">
        <v>2053</v>
      </c>
      <c r="C427" s="201" t="s">
        <v>1566</v>
      </c>
      <c r="D427" s="202" t="s">
        <v>2052</v>
      </c>
    </row>
    <row r="428" spans="1:4" ht="82.8" x14ac:dyDescent="0.3">
      <c r="A428" s="202" t="s">
        <v>2054</v>
      </c>
      <c r="B428" s="202" t="s">
        <v>2055</v>
      </c>
      <c r="C428" s="201" t="s">
        <v>1566</v>
      </c>
      <c r="D428" s="202" t="s">
        <v>2054</v>
      </c>
    </row>
    <row r="429" spans="1:4" ht="82.8" x14ac:dyDescent="0.3">
      <c r="A429" s="202" t="s">
        <v>2056</v>
      </c>
      <c r="B429" s="202" t="s">
        <v>2057</v>
      </c>
      <c r="C429" s="201" t="s">
        <v>1566</v>
      </c>
      <c r="D429" s="202" t="s">
        <v>2056</v>
      </c>
    </row>
    <row r="430" spans="1:4" ht="82.8" x14ac:dyDescent="0.3">
      <c r="A430" s="202" t="s">
        <v>2058</v>
      </c>
      <c r="B430" s="202" t="s">
        <v>2059</v>
      </c>
      <c r="C430" s="201" t="s">
        <v>1566</v>
      </c>
      <c r="D430" s="202" t="s">
        <v>2058</v>
      </c>
    </row>
    <row r="431" spans="1:4" ht="41.4" x14ac:dyDescent="0.3">
      <c r="A431" s="202" t="s">
        <v>2060</v>
      </c>
      <c r="B431" s="202" t="s">
        <v>2061</v>
      </c>
      <c r="C431" s="201" t="s">
        <v>1566</v>
      </c>
      <c r="D431" s="202" t="s">
        <v>2060</v>
      </c>
    </row>
    <row r="432" spans="1:4" ht="82.8" x14ac:dyDescent="0.3">
      <c r="A432" s="202" t="s">
        <v>2062</v>
      </c>
      <c r="B432" s="202" t="s">
        <v>2063</v>
      </c>
      <c r="C432" s="201" t="s">
        <v>1566</v>
      </c>
      <c r="D432" s="202" t="s">
        <v>2062</v>
      </c>
    </row>
    <row r="433" spans="1:4" ht="96.6" x14ac:dyDescent="0.3">
      <c r="A433" s="202" t="s">
        <v>2064</v>
      </c>
      <c r="B433" s="202" t="s">
        <v>2065</v>
      </c>
      <c r="C433" s="201" t="s">
        <v>1566</v>
      </c>
      <c r="D433" s="202" t="s">
        <v>2064</v>
      </c>
    </row>
    <row r="434" spans="1:4" ht="96.6" x14ac:dyDescent="0.3">
      <c r="A434" s="202" t="s">
        <v>2066</v>
      </c>
      <c r="B434" s="202" t="s">
        <v>2067</v>
      </c>
      <c r="C434" s="201" t="s">
        <v>1566</v>
      </c>
      <c r="D434" s="202" t="s">
        <v>2066</v>
      </c>
    </row>
    <row r="435" spans="1:4" ht="96.6" x14ac:dyDescent="0.3">
      <c r="A435" s="202" t="s">
        <v>2068</v>
      </c>
      <c r="B435" s="202" t="s">
        <v>2069</v>
      </c>
      <c r="C435" s="201" t="s">
        <v>1566</v>
      </c>
      <c r="D435" s="202" t="s">
        <v>2068</v>
      </c>
    </row>
    <row r="436" spans="1:4" ht="124.2" x14ac:dyDescent="0.3">
      <c r="A436" s="202" t="s">
        <v>2070</v>
      </c>
      <c r="B436" s="202" t="s">
        <v>2071</v>
      </c>
      <c r="C436" s="201" t="s">
        <v>1566</v>
      </c>
      <c r="D436" s="202" t="s">
        <v>2070</v>
      </c>
    </row>
    <row r="437" spans="1:4" ht="69" x14ac:dyDescent="0.3">
      <c r="A437" s="200" t="s">
        <v>2072</v>
      </c>
      <c r="B437" s="200" t="s">
        <v>2073</v>
      </c>
      <c r="C437" s="201" t="s">
        <v>1566</v>
      </c>
      <c r="D437" s="200" t="s">
        <v>2072</v>
      </c>
    </row>
    <row r="438" spans="1:4" ht="55.2" x14ac:dyDescent="0.3">
      <c r="A438" s="202" t="s">
        <v>2074</v>
      </c>
      <c r="B438" s="202" t="s">
        <v>2075</v>
      </c>
      <c r="C438" s="201" t="s">
        <v>1566</v>
      </c>
      <c r="D438" s="202" t="s">
        <v>2074</v>
      </c>
    </row>
    <row r="439" spans="1:4" ht="41.4" x14ac:dyDescent="0.3">
      <c r="A439" s="202" t="s">
        <v>2076</v>
      </c>
      <c r="B439" s="202" t="s">
        <v>2077</v>
      </c>
      <c r="C439" s="201" t="s">
        <v>1566</v>
      </c>
      <c r="D439" s="202" t="s">
        <v>2076</v>
      </c>
    </row>
    <row r="440" spans="1:4" ht="110.4" x14ac:dyDescent="0.3">
      <c r="A440" s="202" t="s">
        <v>2078</v>
      </c>
      <c r="B440" s="202" t="s">
        <v>2079</v>
      </c>
      <c r="C440" s="201" t="s">
        <v>1566</v>
      </c>
      <c r="D440" s="202" t="s">
        <v>2078</v>
      </c>
    </row>
    <row r="441" spans="1:4" ht="82.8" x14ac:dyDescent="0.3">
      <c r="A441" s="202" t="s">
        <v>2080</v>
      </c>
      <c r="B441" s="202" t="s">
        <v>2081</v>
      </c>
      <c r="C441" s="201" t="s">
        <v>1566</v>
      </c>
      <c r="D441" s="202" t="s">
        <v>2080</v>
      </c>
    </row>
    <row r="442" spans="1:4" ht="96.6" x14ac:dyDescent="0.3">
      <c r="A442" s="202" t="s">
        <v>2082</v>
      </c>
      <c r="B442" s="202" t="s">
        <v>2083</v>
      </c>
      <c r="C442" s="201" t="s">
        <v>1566</v>
      </c>
      <c r="D442" s="202" t="s">
        <v>2082</v>
      </c>
    </row>
    <row r="443" spans="1:4" ht="69" x14ac:dyDescent="0.3">
      <c r="A443" s="202" t="s">
        <v>2084</v>
      </c>
      <c r="B443" s="202" t="s">
        <v>2085</v>
      </c>
      <c r="C443" s="201" t="s">
        <v>1566</v>
      </c>
      <c r="D443" s="202" t="s">
        <v>2084</v>
      </c>
    </row>
    <row r="444" spans="1:4" ht="96.6" x14ac:dyDescent="0.3">
      <c r="A444" s="202" t="s">
        <v>2086</v>
      </c>
      <c r="B444" s="202" t="s">
        <v>2087</v>
      </c>
      <c r="C444" s="201" t="s">
        <v>1566</v>
      </c>
      <c r="D444" s="202" t="s">
        <v>2086</v>
      </c>
    </row>
    <row r="445" spans="1:4" ht="124.2" x14ac:dyDescent="0.3">
      <c r="A445" s="202" t="s">
        <v>2088</v>
      </c>
      <c r="B445" s="202" t="s">
        <v>2089</v>
      </c>
      <c r="C445" s="201" t="s">
        <v>1566</v>
      </c>
      <c r="D445" s="202" t="s">
        <v>2088</v>
      </c>
    </row>
    <row r="446" spans="1:4" ht="110.4" x14ac:dyDescent="0.3">
      <c r="A446" s="202" t="s">
        <v>2090</v>
      </c>
      <c r="B446" s="202" t="s">
        <v>2091</v>
      </c>
      <c r="C446" s="201" t="s">
        <v>1566</v>
      </c>
      <c r="D446" s="202" t="s">
        <v>2090</v>
      </c>
    </row>
    <row r="447" spans="1:4" ht="138" x14ac:dyDescent="0.3">
      <c r="A447" s="202" t="s">
        <v>2092</v>
      </c>
      <c r="B447" s="202" t="s">
        <v>2093</v>
      </c>
      <c r="C447" s="201" t="s">
        <v>1566</v>
      </c>
      <c r="D447" s="202" t="s">
        <v>2092</v>
      </c>
    </row>
    <row r="448" spans="1:4" ht="138" x14ac:dyDescent="0.3">
      <c r="A448" s="202" t="s">
        <v>2094</v>
      </c>
      <c r="B448" s="202" t="s">
        <v>2095</v>
      </c>
      <c r="C448" s="201" t="s">
        <v>1566</v>
      </c>
      <c r="D448" s="202" t="s">
        <v>2094</v>
      </c>
    </row>
    <row r="449" spans="1:4" ht="138" x14ac:dyDescent="0.3">
      <c r="A449" s="202" t="s">
        <v>2096</v>
      </c>
      <c r="B449" s="202" t="s">
        <v>2097</v>
      </c>
      <c r="C449" s="201" t="s">
        <v>1566</v>
      </c>
      <c r="D449" s="202" t="s">
        <v>2096</v>
      </c>
    </row>
    <row r="450" spans="1:4" ht="55.2" x14ac:dyDescent="0.3">
      <c r="A450" s="202" t="s">
        <v>2098</v>
      </c>
      <c r="B450" s="202" t="s">
        <v>2099</v>
      </c>
      <c r="C450" s="201" t="s">
        <v>1566</v>
      </c>
      <c r="D450" s="202" t="s">
        <v>2098</v>
      </c>
    </row>
    <row r="451" spans="1:4" ht="96.6" x14ac:dyDescent="0.3">
      <c r="A451" s="202" t="s">
        <v>2100</v>
      </c>
      <c r="B451" s="202" t="s">
        <v>2101</v>
      </c>
      <c r="C451" s="201" t="s">
        <v>1566</v>
      </c>
      <c r="D451" s="202" t="s">
        <v>2100</v>
      </c>
    </row>
    <row r="452" spans="1:4" ht="27.6" x14ac:dyDescent="0.3">
      <c r="A452" s="200" t="s">
        <v>2102</v>
      </c>
      <c r="B452" s="200" t="s">
        <v>2103</v>
      </c>
      <c r="C452" s="201" t="s">
        <v>1566</v>
      </c>
      <c r="D452" s="200" t="s">
        <v>2102</v>
      </c>
    </row>
    <row r="453" spans="1:4" ht="82.8" x14ac:dyDescent="0.3">
      <c r="A453" s="200" t="s">
        <v>2104</v>
      </c>
      <c r="B453" s="200" t="s">
        <v>2105</v>
      </c>
      <c r="C453" s="201" t="s">
        <v>1566</v>
      </c>
      <c r="D453" s="200" t="s">
        <v>2104</v>
      </c>
    </row>
    <row r="454" spans="1:4" ht="27.6" x14ac:dyDescent="0.3">
      <c r="A454" s="202" t="s">
        <v>2106</v>
      </c>
      <c r="B454" s="202" t="s">
        <v>2107</v>
      </c>
      <c r="C454" s="201" t="s">
        <v>1566</v>
      </c>
      <c r="D454" s="202" t="s">
        <v>2106</v>
      </c>
    </row>
    <row r="455" spans="1:4" ht="27.6" x14ac:dyDescent="0.3">
      <c r="A455" s="202" t="s">
        <v>2106</v>
      </c>
      <c r="B455" s="202" t="s">
        <v>2108</v>
      </c>
      <c r="C455" s="201" t="s">
        <v>1566</v>
      </c>
      <c r="D455" s="202" t="s">
        <v>2106</v>
      </c>
    </row>
    <row r="456" spans="1:4" ht="69" x14ac:dyDescent="0.3">
      <c r="A456" s="200" t="s">
        <v>2109</v>
      </c>
      <c r="B456" s="200" t="s">
        <v>2110</v>
      </c>
      <c r="C456" s="201" t="s">
        <v>1566</v>
      </c>
      <c r="D456" s="200" t="s">
        <v>2109</v>
      </c>
    </row>
    <row r="457" spans="1:4" ht="55.2" x14ac:dyDescent="0.3">
      <c r="A457" s="200" t="s">
        <v>2111</v>
      </c>
      <c r="B457" s="200" t="s">
        <v>2112</v>
      </c>
      <c r="C457" s="201" t="s">
        <v>1566</v>
      </c>
      <c r="D457" s="200" t="s">
        <v>2111</v>
      </c>
    </row>
    <row r="458" spans="1:4" ht="41.4" x14ac:dyDescent="0.3">
      <c r="A458" s="202" t="s">
        <v>2113</v>
      </c>
      <c r="B458" s="202" t="s">
        <v>2114</v>
      </c>
      <c r="C458" s="201" t="s">
        <v>1566</v>
      </c>
      <c r="D458" s="202" t="s">
        <v>2113</v>
      </c>
    </row>
    <row r="459" spans="1:4" ht="55.2" x14ac:dyDescent="0.3">
      <c r="A459" s="202" t="s">
        <v>2115</v>
      </c>
      <c r="B459" s="202" t="s">
        <v>2116</v>
      </c>
      <c r="C459" s="201" t="s">
        <v>1566</v>
      </c>
      <c r="D459" s="202" t="s">
        <v>2115</v>
      </c>
    </row>
    <row r="460" spans="1:4" ht="82.8" x14ac:dyDescent="0.3">
      <c r="A460" s="200" t="s">
        <v>2117</v>
      </c>
      <c r="B460" s="200" t="s">
        <v>2118</v>
      </c>
      <c r="C460" s="201" t="s">
        <v>1566</v>
      </c>
      <c r="D460" s="200" t="s">
        <v>2117</v>
      </c>
    </row>
    <row r="461" spans="1:4" ht="82.8" x14ac:dyDescent="0.3">
      <c r="A461" s="202" t="s">
        <v>2119</v>
      </c>
      <c r="B461" s="202" t="s">
        <v>2120</v>
      </c>
      <c r="C461" s="201" t="s">
        <v>1566</v>
      </c>
      <c r="D461" s="202" t="s">
        <v>2119</v>
      </c>
    </row>
    <row r="462" spans="1:4" ht="41.4" x14ac:dyDescent="0.3">
      <c r="A462" s="202" t="s">
        <v>2121</v>
      </c>
      <c r="B462" s="202" t="s">
        <v>2122</v>
      </c>
      <c r="C462" s="201" t="s">
        <v>1566</v>
      </c>
      <c r="D462" s="202" t="s">
        <v>2121</v>
      </c>
    </row>
    <row r="463" spans="1:4" ht="55.2" x14ac:dyDescent="0.3">
      <c r="A463" s="200" t="s">
        <v>2123</v>
      </c>
      <c r="B463" s="203" t="s">
        <v>2124</v>
      </c>
      <c r="C463" s="201" t="s">
        <v>1566</v>
      </c>
      <c r="D463" s="200" t="s">
        <v>2123</v>
      </c>
    </row>
    <row r="464" spans="1:4" ht="82.8" x14ac:dyDescent="0.3">
      <c r="A464" s="200" t="s">
        <v>2125</v>
      </c>
      <c r="B464" s="200" t="s">
        <v>2126</v>
      </c>
      <c r="C464" s="201" t="s">
        <v>1566</v>
      </c>
      <c r="D464" s="200" t="s">
        <v>2125</v>
      </c>
    </row>
    <row r="465" spans="1:4" ht="27.6" x14ac:dyDescent="0.3">
      <c r="A465" s="200" t="s">
        <v>2127</v>
      </c>
      <c r="B465" s="200" t="s">
        <v>2128</v>
      </c>
      <c r="C465" s="201" t="s">
        <v>1566</v>
      </c>
      <c r="D465" s="200" t="s">
        <v>2127</v>
      </c>
    </row>
    <row r="466" spans="1:4" ht="96.6" x14ac:dyDescent="0.3">
      <c r="A466" s="202" t="s">
        <v>2129</v>
      </c>
      <c r="B466" s="202" t="s">
        <v>2130</v>
      </c>
      <c r="C466" s="201" t="s">
        <v>1566</v>
      </c>
      <c r="D466" s="202" t="s">
        <v>2129</v>
      </c>
    </row>
    <row r="467" spans="1:4" ht="41.4" x14ac:dyDescent="0.3">
      <c r="A467" s="202" t="s">
        <v>2131</v>
      </c>
      <c r="B467" s="202" t="s">
        <v>2132</v>
      </c>
      <c r="C467" s="201" t="s">
        <v>1566</v>
      </c>
      <c r="D467" s="202" t="s">
        <v>2131</v>
      </c>
    </row>
    <row r="468" spans="1:4" ht="27.6" x14ac:dyDescent="0.3">
      <c r="A468" s="202" t="s">
        <v>2133</v>
      </c>
      <c r="B468" s="202" t="s">
        <v>2134</v>
      </c>
      <c r="C468" s="201" t="s">
        <v>1566</v>
      </c>
      <c r="D468" s="202" t="s">
        <v>2133</v>
      </c>
    </row>
    <row r="469" spans="1:4" ht="69" x14ac:dyDescent="0.3">
      <c r="A469" s="202" t="s">
        <v>2135</v>
      </c>
      <c r="B469" s="202" t="s">
        <v>2136</v>
      </c>
      <c r="C469" s="201" t="s">
        <v>1566</v>
      </c>
      <c r="D469" s="202" t="s">
        <v>2135</v>
      </c>
    </row>
    <row r="470" spans="1:4" ht="82.8" x14ac:dyDescent="0.3">
      <c r="A470" s="202" t="s">
        <v>2137</v>
      </c>
      <c r="B470" s="202" t="s">
        <v>2138</v>
      </c>
      <c r="C470" s="201" t="s">
        <v>1566</v>
      </c>
      <c r="D470" s="202" t="s">
        <v>2137</v>
      </c>
    </row>
    <row r="471" spans="1:4" ht="55.2" x14ac:dyDescent="0.3">
      <c r="A471" s="202" t="s">
        <v>2139</v>
      </c>
      <c r="B471" s="202" t="s">
        <v>2140</v>
      </c>
      <c r="C471" s="201" t="s">
        <v>1566</v>
      </c>
      <c r="D471" s="202" t="s">
        <v>2139</v>
      </c>
    </row>
    <row r="472" spans="1:4" ht="82.8" x14ac:dyDescent="0.3">
      <c r="A472" s="202" t="s">
        <v>2141</v>
      </c>
      <c r="B472" s="202" t="s">
        <v>2142</v>
      </c>
      <c r="C472" s="201" t="s">
        <v>1566</v>
      </c>
      <c r="D472" s="202" t="s">
        <v>2141</v>
      </c>
    </row>
    <row r="473" spans="1:4" ht="41.4" x14ac:dyDescent="0.3">
      <c r="A473" s="200" t="s">
        <v>2143</v>
      </c>
      <c r="B473" s="200" t="s">
        <v>2144</v>
      </c>
      <c r="C473" s="201" t="s">
        <v>1566</v>
      </c>
      <c r="D473" s="200" t="s">
        <v>2143</v>
      </c>
    </row>
    <row r="474" spans="1:4" ht="27.6" x14ac:dyDescent="0.3">
      <c r="A474" s="200" t="s">
        <v>2145</v>
      </c>
      <c r="B474" s="200" t="s">
        <v>2146</v>
      </c>
      <c r="C474" s="201" t="s">
        <v>1566</v>
      </c>
      <c r="D474" s="200" t="s">
        <v>2145</v>
      </c>
    </row>
    <row r="475" spans="1:4" ht="110.4" x14ac:dyDescent="0.3">
      <c r="A475" s="200" t="s">
        <v>2147</v>
      </c>
      <c r="B475" s="200" t="s">
        <v>2148</v>
      </c>
      <c r="C475" s="201" t="s">
        <v>1566</v>
      </c>
      <c r="D475" s="200" t="s">
        <v>2147</v>
      </c>
    </row>
    <row r="476" spans="1:4" ht="20.399999999999999" x14ac:dyDescent="0.3">
      <c r="A476" s="202" t="s">
        <v>2149</v>
      </c>
      <c r="B476" s="202" t="s">
        <v>2150</v>
      </c>
      <c r="C476" s="201" t="s">
        <v>1566</v>
      </c>
      <c r="D476" s="202" t="s">
        <v>2149</v>
      </c>
    </row>
    <row r="477" spans="1:4" ht="20.399999999999999" x14ac:dyDescent="0.3">
      <c r="A477" s="202" t="s">
        <v>2149</v>
      </c>
      <c r="B477" s="202" t="s">
        <v>2151</v>
      </c>
      <c r="C477" s="201" t="s">
        <v>1566</v>
      </c>
      <c r="D477" s="202" t="s">
        <v>2149</v>
      </c>
    </row>
    <row r="478" spans="1:4" ht="55.2" x14ac:dyDescent="0.3">
      <c r="A478" s="202" t="s">
        <v>2152</v>
      </c>
      <c r="B478" s="202" t="s">
        <v>2153</v>
      </c>
      <c r="C478" s="201" t="s">
        <v>1566</v>
      </c>
      <c r="D478" s="202" t="s">
        <v>2152</v>
      </c>
    </row>
    <row r="479" spans="1:4" ht="69" x14ac:dyDescent="0.3">
      <c r="A479" s="202" t="s">
        <v>2154</v>
      </c>
      <c r="B479" s="202" t="s">
        <v>2155</v>
      </c>
      <c r="C479" s="201" t="s">
        <v>1566</v>
      </c>
      <c r="D479" s="202" t="s">
        <v>2154</v>
      </c>
    </row>
    <row r="480" spans="1:4" ht="55.2" x14ac:dyDescent="0.3">
      <c r="A480" s="202" t="s">
        <v>2156</v>
      </c>
      <c r="B480" s="202" t="s">
        <v>2157</v>
      </c>
      <c r="C480" s="201" t="s">
        <v>1566</v>
      </c>
      <c r="D480" s="202" t="s">
        <v>2156</v>
      </c>
    </row>
    <row r="481" spans="1:4" ht="96.6" x14ac:dyDescent="0.3">
      <c r="A481" s="202" t="s">
        <v>2158</v>
      </c>
      <c r="B481" s="202" t="s">
        <v>2159</v>
      </c>
      <c r="C481" s="201" t="s">
        <v>1566</v>
      </c>
      <c r="D481" s="202" t="s">
        <v>2158</v>
      </c>
    </row>
    <row r="482" spans="1:4" ht="69" x14ac:dyDescent="0.3">
      <c r="A482" s="202" t="s">
        <v>2160</v>
      </c>
      <c r="B482" s="202" t="s">
        <v>2161</v>
      </c>
      <c r="C482" s="201" t="s">
        <v>1566</v>
      </c>
      <c r="D482" s="202" t="s">
        <v>2160</v>
      </c>
    </row>
    <row r="483" spans="1:4" ht="27.6" x14ac:dyDescent="0.3">
      <c r="A483" s="202" t="s">
        <v>2162</v>
      </c>
      <c r="B483" s="202" t="s">
        <v>2163</v>
      </c>
      <c r="C483" s="201" t="s">
        <v>1566</v>
      </c>
      <c r="D483" s="202" t="s">
        <v>2162</v>
      </c>
    </row>
    <row r="484" spans="1:4" ht="27.6" x14ac:dyDescent="0.3">
      <c r="A484" s="202" t="s">
        <v>2164</v>
      </c>
      <c r="B484" s="202" t="s">
        <v>2165</v>
      </c>
      <c r="C484" s="201" t="s">
        <v>1566</v>
      </c>
      <c r="D484" s="202" t="s">
        <v>2164</v>
      </c>
    </row>
    <row r="485" spans="1:4" ht="55.2" x14ac:dyDescent="0.3">
      <c r="A485" s="202" t="s">
        <v>2166</v>
      </c>
      <c r="B485" s="202" t="s">
        <v>2167</v>
      </c>
      <c r="C485" s="201" t="s">
        <v>1566</v>
      </c>
      <c r="D485" s="202" t="s">
        <v>2166</v>
      </c>
    </row>
    <row r="486" spans="1:4" ht="55.2" x14ac:dyDescent="0.3">
      <c r="A486" s="202" t="s">
        <v>2168</v>
      </c>
      <c r="B486" s="202" t="s">
        <v>2169</v>
      </c>
      <c r="C486" s="201" t="s">
        <v>1566</v>
      </c>
      <c r="D486" s="202" t="s">
        <v>2168</v>
      </c>
    </row>
    <row r="487" spans="1:4" ht="124.2" x14ac:dyDescent="0.3">
      <c r="A487" s="202" t="s">
        <v>2170</v>
      </c>
      <c r="B487" s="202" t="s">
        <v>2171</v>
      </c>
      <c r="C487" s="201" t="s">
        <v>1566</v>
      </c>
      <c r="D487" s="202" t="s">
        <v>2170</v>
      </c>
    </row>
    <row r="488" spans="1:4" ht="82.8" x14ac:dyDescent="0.3">
      <c r="A488" s="202" t="s">
        <v>2172</v>
      </c>
      <c r="B488" s="202" t="s">
        <v>2173</v>
      </c>
      <c r="C488" s="201" t="s">
        <v>1566</v>
      </c>
      <c r="D488" s="202" t="s">
        <v>2172</v>
      </c>
    </row>
    <row r="489" spans="1:4" ht="41.4" x14ac:dyDescent="0.3">
      <c r="A489" s="200" t="s">
        <v>2174</v>
      </c>
      <c r="B489" s="203" t="s">
        <v>2175</v>
      </c>
      <c r="C489" s="201" t="s">
        <v>1566</v>
      </c>
      <c r="D489" s="200" t="s">
        <v>2174</v>
      </c>
    </row>
    <row r="490" spans="1:4" ht="69" x14ac:dyDescent="0.3">
      <c r="A490" s="200" t="s">
        <v>2176</v>
      </c>
      <c r="B490" s="200" t="s">
        <v>2177</v>
      </c>
      <c r="C490" s="201" t="s">
        <v>1566</v>
      </c>
      <c r="D490" s="200" t="s">
        <v>2176</v>
      </c>
    </row>
    <row r="491" spans="1:4" ht="110.4" x14ac:dyDescent="0.3">
      <c r="A491" s="200" t="s">
        <v>2178</v>
      </c>
      <c r="B491" s="200" t="s">
        <v>2179</v>
      </c>
      <c r="C491" s="201" t="s">
        <v>1566</v>
      </c>
      <c r="D491" s="200" t="s">
        <v>2178</v>
      </c>
    </row>
    <row r="492" spans="1:4" ht="27.6" x14ac:dyDescent="0.3">
      <c r="A492" s="202" t="s">
        <v>2180</v>
      </c>
      <c r="B492" s="202" t="s">
        <v>2181</v>
      </c>
      <c r="C492" s="201" t="s">
        <v>1566</v>
      </c>
      <c r="D492" s="202" t="s">
        <v>2180</v>
      </c>
    </row>
    <row r="493" spans="1:4" ht="27.6" x14ac:dyDescent="0.3">
      <c r="A493" s="202" t="s">
        <v>2180</v>
      </c>
      <c r="B493" s="202" t="s">
        <v>2182</v>
      </c>
      <c r="C493" s="201" t="s">
        <v>1566</v>
      </c>
      <c r="D493" s="202" t="s">
        <v>2180</v>
      </c>
    </row>
    <row r="494" spans="1:4" ht="138" x14ac:dyDescent="0.3">
      <c r="A494" s="202" t="s">
        <v>2183</v>
      </c>
      <c r="B494" s="202" t="s">
        <v>2184</v>
      </c>
      <c r="C494" s="201" t="s">
        <v>1566</v>
      </c>
      <c r="D494" s="202" t="s">
        <v>2183</v>
      </c>
    </row>
    <row r="495" spans="1:4" ht="124.2" x14ac:dyDescent="0.3">
      <c r="A495" s="202" t="s">
        <v>2185</v>
      </c>
      <c r="B495" s="202" t="s">
        <v>2186</v>
      </c>
      <c r="C495" s="201" t="s">
        <v>1566</v>
      </c>
      <c r="D495" s="202" t="s">
        <v>2185</v>
      </c>
    </row>
    <row r="496" spans="1:4" ht="82.8" x14ac:dyDescent="0.3">
      <c r="A496" s="200" t="s">
        <v>2187</v>
      </c>
      <c r="B496" s="200" t="s">
        <v>2188</v>
      </c>
      <c r="C496" s="201" t="s">
        <v>1566</v>
      </c>
      <c r="D496" s="200" t="s">
        <v>2187</v>
      </c>
    </row>
    <row r="497" spans="1:4" ht="27.6" x14ac:dyDescent="0.3">
      <c r="A497" s="200" t="s">
        <v>2189</v>
      </c>
      <c r="B497" s="200" t="s">
        <v>2190</v>
      </c>
      <c r="C497" s="201" t="s">
        <v>1566</v>
      </c>
      <c r="D497" s="200" t="s">
        <v>2189</v>
      </c>
    </row>
    <row r="498" spans="1:4" ht="55.2" x14ac:dyDescent="0.3">
      <c r="A498" s="202" t="s">
        <v>2191</v>
      </c>
      <c r="B498" s="202" t="s">
        <v>2192</v>
      </c>
      <c r="C498" s="201" t="s">
        <v>1566</v>
      </c>
      <c r="D498" s="202" t="s">
        <v>2191</v>
      </c>
    </row>
    <row r="499" spans="1:4" ht="41.4" x14ac:dyDescent="0.3">
      <c r="A499" s="202" t="s">
        <v>2193</v>
      </c>
      <c r="B499" s="202" t="s">
        <v>2194</v>
      </c>
      <c r="C499" s="201" t="s">
        <v>1566</v>
      </c>
      <c r="D499" s="202" t="s">
        <v>2193</v>
      </c>
    </row>
    <row r="500" spans="1:4" ht="138" x14ac:dyDescent="0.3">
      <c r="A500" s="202" t="s">
        <v>2195</v>
      </c>
      <c r="B500" s="202" t="s">
        <v>2196</v>
      </c>
      <c r="C500" s="201" t="s">
        <v>1566</v>
      </c>
      <c r="D500" s="202" t="s">
        <v>2195</v>
      </c>
    </row>
    <row r="501" spans="1:4" ht="69" x14ac:dyDescent="0.3">
      <c r="A501" s="202" t="s">
        <v>2197</v>
      </c>
      <c r="B501" s="202" t="s">
        <v>2198</v>
      </c>
      <c r="C501" s="201" t="s">
        <v>1566</v>
      </c>
      <c r="D501" s="202" t="s">
        <v>2197</v>
      </c>
    </row>
    <row r="502" spans="1:4" ht="69" x14ac:dyDescent="0.3">
      <c r="A502" s="202" t="s">
        <v>2199</v>
      </c>
      <c r="B502" s="202" t="s">
        <v>2200</v>
      </c>
      <c r="C502" s="201" t="s">
        <v>1566</v>
      </c>
      <c r="D502" s="202" t="s">
        <v>2199</v>
      </c>
    </row>
    <row r="503" spans="1:4" ht="69" x14ac:dyDescent="0.3">
      <c r="A503" s="202" t="s">
        <v>2201</v>
      </c>
      <c r="B503" s="202" t="s">
        <v>2202</v>
      </c>
      <c r="C503" s="201" t="s">
        <v>1566</v>
      </c>
      <c r="D503" s="202" t="s">
        <v>2201</v>
      </c>
    </row>
    <row r="504" spans="1:4" ht="82.8" x14ac:dyDescent="0.3">
      <c r="A504" s="202" t="s">
        <v>2203</v>
      </c>
      <c r="B504" s="202" t="s">
        <v>2204</v>
      </c>
      <c r="C504" s="201" t="s">
        <v>1566</v>
      </c>
      <c r="D504" s="202" t="s">
        <v>2203</v>
      </c>
    </row>
    <row r="505" spans="1:4" ht="41.4" x14ac:dyDescent="0.3">
      <c r="A505" s="200" t="s">
        <v>2205</v>
      </c>
      <c r="B505" s="200" t="s">
        <v>2206</v>
      </c>
      <c r="C505" s="201" t="s">
        <v>1566</v>
      </c>
      <c r="D505" s="200" t="s">
        <v>2205</v>
      </c>
    </row>
    <row r="506" spans="1:4" ht="41.4" x14ac:dyDescent="0.3">
      <c r="A506" s="200" t="s">
        <v>2207</v>
      </c>
      <c r="B506" s="200" t="s">
        <v>2208</v>
      </c>
      <c r="C506" s="201" t="s">
        <v>1566</v>
      </c>
      <c r="D506" s="200" t="s">
        <v>2207</v>
      </c>
    </row>
    <row r="507" spans="1:4" ht="27.6" x14ac:dyDescent="0.3">
      <c r="A507" s="202" t="s">
        <v>2209</v>
      </c>
      <c r="B507" s="202" t="s">
        <v>2210</v>
      </c>
      <c r="C507" s="201" t="s">
        <v>1566</v>
      </c>
      <c r="D507" s="202" t="s">
        <v>2209</v>
      </c>
    </row>
    <row r="508" spans="1:4" ht="69" x14ac:dyDescent="0.3">
      <c r="A508" s="202" t="s">
        <v>2211</v>
      </c>
      <c r="B508" s="202" t="s">
        <v>2212</v>
      </c>
      <c r="C508" s="201" t="s">
        <v>1566</v>
      </c>
      <c r="D508" s="202" t="s">
        <v>2211</v>
      </c>
    </row>
    <row r="509" spans="1:4" ht="69" x14ac:dyDescent="0.3">
      <c r="A509" s="200" t="s">
        <v>2213</v>
      </c>
      <c r="B509" s="200" t="s">
        <v>2214</v>
      </c>
      <c r="C509" s="201" t="s">
        <v>1566</v>
      </c>
      <c r="D509" s="200" t="s">
        <v>2213</v>
      </c>
    </row>
    <row r="510" spans="1:4" ht="27.6" x14ac:dyDescent="0.3">
      <c r="A510" s="200" t="s">
        <v>2215</v>
      </c>
      <c r="B510" s="200" t="s">
        <v>2216</v>
      </c>
      <c r="C510" s="201" t="s">
        <v>1566</v>
      </c>
      <c r="D510" s="200" t="s">
        <v>2215</v>
      </c>
    </row>
    <row r="511" spans="1:4" ht="27.6" x14ac:dyDescent="0.3">
      <c r="A511" s="202" t="s">
        <v>2217</v>
      </c>
      <c r="B511" s="202" t="s">
        <v>2218</v>
      </c>
      <c r="C511" s="201" t="s">
        <v>1566</v>
      </c>
      <c r="D511" s="202" t="s">
        <v>2217</v>
      </c>
    </row>
    <row r="512" spans="1:4" ht="82.8" x14ac:dyDescent="0.3">
      <c r="A512" s="202" t="s">
        <v>2219</v>
      </c>
      <c r="B512" s="202" t="s">
        <v>2220</v>
      </c>
      <c r="C512" s="201" t="s">
        <v>1566</v>
      </c>
      <c r="D512" s="202" t="s">
        <v>2219</v>
      </c>
    </row>
    <row r="513" spans="1:4" ht="27.6" x14ac:dyDescent="0.3">
      <c r="A513" s="202" t="s">
        <v>2221</v>
      </c>
      <c r="B513" s="202" t="s">
        <v>2222</v>
      </c>
      <c r="C513" s="201" t="s">
        <v>1566</v>
      </c>
      <c r="D513" s="202" t="s">
        <v>2221</v>
      </c>
    </row>
    <row r="514" spans="1:4" ht="124.2" x14ac:dyDescent="0.3">
      <c r="A514" s="202" t="s">
        <v>2223</v>
      </c>
      <c r="B514" s="202" t="s">
        <v>2224</v>
      </c>
      <c r="C514" s="201" t="s">
        <v>1566</v>
      </c>
      <c r="D514" s="202" t="s">
        <v>2223</v>
      </c>
    </row>
    <row r="515" spans="1:4" ht="55.2" x14ac:dyDescent="0.3">
      <c r="A515" s="202" t="s">
        <v>2225</v>
      </c>
      <c r="B515" s="202" t="s">
        <v>2226</v>
      </c>
      <c r="C515" s="201" t="s">
        <v>1566</v>
      </c>
      <c r="D515" s="202" t="s">
        <v>2225</v>
      </c>
    </row>
    <row r="516" spans="1:4" ht="138" x14ac:dyDescent="0.3">
      <c r="A516" s="202" t="s">
        <v>2227</v>
      </c>
      <c r="B516" s="202" t="s">
        <v>2228</v>
      </c>
      <c r="C516" s="201" t="s">
        <v>1566</v>
      </c>
      <c r="D516" s="202" t="s">
        <v>2227</v>
      </c>
    </row>
    <row r="517" spans="1:4" ht="96.6" x14ac:dyDescent="0.3">
      <c r="A517" s="202" t="s">
        <v>2229</v>
      </c>
      <c r="B517" s="202" t="s">
        <v>2230</v>
      </c>
      <c r="C517" s="201" t="s">
        <v>1566</v>
      </c>
      <c r="D517" s="202" t="s">
        <v>2229</v>
      </c>
    </row>
    <row r="518" spans="1:4" ht="55.2" x14ac:dyDescent="0.3">
      <c r="A518" s="202" t="s">
        <v>2231</v>
      </c>
      <c r="B518" s="202" t="s">
        <v>2232</v>
      </c>
      <c r="C518" s="201" t="s">
        <v>1566</v>
      </c>
      <c r="D518" s="202" t="s">
        <v>2231</v>
      </c>
    </row>
    <row r="519" spans="1:4" ht="96.6" x14ac:dyDescent="0.3">
      <c r="A519" s="202" t="s">
        <v>2233</v>
      </c>
      <c r="B519" s="202" t="s">
        <v>2234</v>
      </c>
      <c r="C519" s="201" t="s">
        <v>1566</v>
      </c>
      <c r="D519" s="202" t="s">
        <v>2233</v>
      </c>
    </row>
    <row r="520" spans="1:4" ht="27.6" x14ac:dyDescent="0.3">
      <c r="A520" s="202" t="s">
        <v>2235</v>
      </c>
      <c r="B520" s="202" t="s">
        <v>2236</v>
      </c>
      <c r="C520" s="201" t="s">
        <v>1566</v>
      </c>
      <c r="D520" s="202" t="s">
        <v>2235</v>
      </c>
    </row>
    <row r="521" spans="1:4" ht="69" x14ac:dyDescent="0.3">
      <c r="A521" s="202" t="s">
        <v>2237</v>
      </c>
      <c r="B521" s="202" t="s">
        <v>2238</v>
      </c>
      <c r="C521" s="201" t="s">
        <v>1566</v>
      </c>
      <c r="D521" s="202" t="s">
        <v>2237</v>
      </c>
    </row>
    <row r="522" spans="1:4" ht="41.4" x14ac:dyDescent="0.3">
      <c r="A522" s="200" t="s">
        <v>2239</v>
      </c>
      <c r="B522" s="203" t="s">
        <v>2240</v>
      </c>
      <c r="C522" s="201" t="s">
        <v>1566</v>
      </c>
      <c r="D522" s="200" t="s">
        <v>2239</v>
      </c>
    </row>
    <row r="523" spans="1:4" ht="110.4" x14ac:dyDescent="0.3">
      <c r="A523" s="200" t="s">
        <v>2241</v>
      </c>
      <c r="B523" s="200" t="s">
        <v>2242</v>
      </c>
      <c r="C523" s="201" t="s">
        <v>1566</v>
      </c>
      <c r="D523" s="200" t="s">
        <v>2241</v>
      </c>
    </row>
    <row r="524" spans="1:4" ht="27.6" x14ac:dyDescent="0.3">
      <c r="A524" s="200" t="s">
        <v>2243</v>
      </c>
      <c r="B524" s="200" t="s">
        <v>2244</v>
      </c>
      <c r="C524" s="201" t="s">
        <v>1566</v>
      </c>
      <c r="D524" s="200" t="s">
        <v>2243</v>
      </c>
    </row>
    <row r="525" spans="1:4" ht="55.2" x14ac:dyDescent="0.3">
      <c r="A525" s="202" t="s">
        <v>2245</v>
      </c>
      <c r="B525" s="202" t="s">
        <v>2246</v>
      </c>
      <c r="C525" s="201" t="s">
        <v>1566</v>
      </c>
      <c r="D525" s="202" t="s">
        <v>2245</v>
      </c>
    </row>
    <row r="526" spans="1:4" ht="41.4" x14ac:dyDescent="0.3">
      <c r="A526" s="202" t="s">
        <v>2247</v>
      </c>
      <c r="B526" s="202" t="s">
        <v>2248</v>
      </c>
      <c r="C526" s="201" t="s">
        <v>1566</v>
      </c>
      <c r="D526" s="202" t="s">
        <v>2247</v>
      </c>
    </row>
    <row r="527" spans="1:4" ht="27.6" x14ac:dyDescent="0.3">
      <c r="A527" s="202" t="s">
        <v>2249</v>
      </c>
      <c r="B527" s="202" t="s">
        <v>2250</v>
      </c>
      <c r="C527" s="201" t="s">
        <v>1566</v>
      </c>
      <c r="D527" s="202" t="s">
        <v>2249</v>
      </c>
    </row>
    <row r="528" spans="1:4" ht="27.6" x14ac:dyDescent="0.3">
      <c r="A528" s="200" t="s">
        <v>2251</v>
      </c>
      <c r="B528" s="200" t="s">
        <v>2252</v>
      </c>
      <c r="C528" s="201" t="s">
        <v>1566</v>
      </c>
      <c r="D528" s="200" t="s">
        <v>2251</v>
      </c>
    </row>
    <row r="529" spans="1:4" ht="41.4" x14ac:dyDescent="0.3">
      <c r="A529" s="202" t="s">
        <v>2253</v>
      </c>
      <c r="B529" s="202" t="s">
        <v>2254</v>
      </c>
      <c r="C529" s="201" t="s">
        <v>1566</v>
      </c>
      <c r="D529" s="202" t="s">
        <v>2253</v>
      </c>
    </row>
    <row r="530" spans="1:4" ht="27.6" x14ac:dyDescent="0.3">
      <c r="A530" s="202" t="s">
        <v>2255</v>
      </c>
      <c r="B530" s="202" t="s">
        <v>2256</v>
      </c>
      <c r="C530" s="201" t="s">
        <v>1566</v>
      </c>
      <c r="D530" s="202" t="s">
        <v>2255</v>
      </c>
    </row>
    <row r="531" spans="1:4" ht="20.399999999999999" x14ac:dyDescent="0.3">
      <c r="A531" s="200" t="s">
        <v>2257</v>
      </c>
      <c r="B531" s="200" t="s">
        <v>2258</v>
      </c>
      <c r="C531" s="201" t="s">
        <v>1566</v>
      </c>
      <c r="D531" s="200" t="s">
        <v>2257</v>
      </c>
    </row>
    <row r="532" spans="1:4" ht="20.399999999999999" x14ac:dyDescent="0.3">
      <c r="A532" s="200" t="s">
        <v>2259</v>
      </c>
      <c r="B532" s="200" t="s">
        <v>2260</v>
      </c>
      <c r="C532" s="201" t="s">
        <v>1566</v>
      </c>
      <c r="D532" s="200" t="s">
        <v>2259</v>
      </c>
    </row>
    <row r="533" spans="1:4" ht="27.6" x14ac:dyDescent="0.3">
      <c r="A533" s="200" t="s">
        <v>2261</v>
      </c>
      <c r="B533" s="200" t="s">
        <v>2262</v>
      </c>
      <c r="C533" s="201" t="s">
        <v>1566</v>
      </c>
      <c r="D533" s="200" t="s">
        <v>2261</v>
      </c>
    </row>
    <row r="534" spans="1:4" ht="55.2" x14ac:dyDescent="0.3">
      <c r="A534" s="200" t="s">
        <v>2263</v>
      </c>
      <c r="B534" s="200" t="s">
        <v>2264</v>
      </c>
      <c r="C534" s="201" t="s">
        <v>1566</v>
      </c>
      <c r="D534" s="200" t="s">
        <v>2263</v>
      </c>
    </row>
    <row r="535" spans="1:4" ht="69" x14ac:dyDescent="0.3">
      <c r="A535" s="200" t="s">
        <v>2265</v>
      </c>
      <c r="B535" s="200" t="s">
        <v>2266</v>
      </c>
      <c r="C535" s="201" t="s">
        <v>1566</v>
      </c>
      <c r="D535" s="200" t="s">
        <v>2265</v>
      </c>
    </row>
    <row r="536" spans="1:4" ht="41.4" x14ac:dyDescent="0.3">
      <c r="A536" s="200" t="s">
        <v>2267</v>
      </c>
      <c r="B536" s="200" t="s">
        <v>2268</v>
      </c>
      <c r="C536" s="201" t="s">
        <v>1566</v>
      </c>
      <c r="D536" s="200" t="s">
        <v>2267</v>
      </c>
    </row>
    <row r="537" spans="1:4" ht="20.399999999999999" x14ac:dyDescent="0.3">
      <c r="A537" s="200" t="s">
        <v>2269</v>
      </c>
      <c r="B537" s="203" t="s">
        <v>2270</v>
      </c>
      <c r="C537" s="201" t="s">
        <v>1566</v>
      </c>
      <c r="D537" s="200" t="s">
        <v>2269</v>
      </c>
    </row>
    <row r="538" spans="1:4" ht="41.4" x14ac:dyDescent="0.3">
      <c r="A538" s="200" t="s">
        <v>2271</v>
      </c>
      <c r="B538" s="200" t="s">
        <v>2272</v>
      </c>
      <c r="C538" s="201" t="s">
        <v>1566</v>
      </c>
      <c r="D538" s="200" t="s">
        <v>2271</v>
      </c>
    </row>
    <row r="539" spans="1:4" ht="55.2" x14ac:dyDescent="0.3">
      <c r="A539" s="200" t="s">
        <v>2273</v>
      </c>
      <c r="B539" s="200" t="s">
        <v>2274</v>
      </c>
      <c r="C539" s="201" t="s">
        <v>1566</v>
      </c>
      <c r="D539" s="200" t="s">
        <v>2273</v>
      </c>
    </row>
    <row r="540" spans="1:4" ht="55.2" x14ac:dyDescent="0.3">
      <c r="A540" s="200" t="s">
        <v>2275</v>
      </c>
      <c r="B540" s="200" t="s">
        <v>2276</v>
      </c>
      <c r="C540" s="201" t="s">
        <v>1566</v>
      </c>
      <c r="D540" s="200" t="s">
        <v>2275</v>
      </c>
    </row>
    <row r="541" spans="1:4" ht="20.399999999999999" x14ac:dyDescent="0.3">
      <c r="A541" s="200" t="s">
        <v>2277</v>
      </c>
      <c r="B541" s="200" t="s">
        <v>2278</v>
      </c>
      <c r="C541" s="201" t="s">
        <v>1566</v>
      </c>
      <c r="D541" s="200" t="s">
        <v>2277</v>
      </c>
    </row>
    <row r="542" spans="1:4" ht="41.4" x14ac:dyDescent="0.3">
      <c r="A542" s="200" t="s">
        <v>2279</v>
      </c>
      <c r="B542" s="200" t="s">
        <v>2280</v>
      </c>
      <c r="C542" s="201" t="s">
        <v>1566</v>
      </c>
      <c r="D542" s="200" t="s">
        <v>2279</v>
      </c>
    </row>
    <row r="543" spans="1:4" ht="55.2" x14ac:dyDescent="0.3">
      <c r="A543" s="200" t="s">
        <v>2281</v>
      </c>
      <c r="B543" s="200" t="s">
        <v>2282</v>
      </c>
      <c r="C543" s="201" t="s">
        <v>1566</v>
      </c>
      <c r="D543" s="200" t="s">
        <v>2281</v>
      </c>
    </row>
    <row r="544" spans="1:4" ht="69" x14ac:dyDescent="0.3">
      <c r="A544" s="200" t="s">
        <v>2283</v>
      </c>
      <c r="B544" s="200" t="s">
        <v>2284</v>
      </c>
      <c r="C544" s="201" t="s">
        <v>1566</v>
      </c>
      <c r="D544" s="200" t="s">
        <v>2283</v>
      </c>
    </row>
    <row r="545" spans="1:4" ht="41.4" x14ac:dyDescent="0.3">
      <c r="A545" s="200" t="s">
        <v>2285</v>
      </c>
      <c r="B545" s="203" t="s">
        <v>2286</v>
      </c>
      <c r="C545" s="201" t="s">
        <v>1566</v>
      </c>
      <c r="D545" s="200" t="s">
        <v>2285</v>
      </c>
    </row>
    <row r="546" spans="1:4" ht="41.4" x14ac:dyDescent="0.3">
      <c r="A546" s="200" t="s">
        <v>2285</v>
      </c>
      <c r="B546" s="200" t="s">
        <v>2287</v>
      </c>
      <c r="C546" s="201" t="s">
        <v>1566</v>
      </c>
      <c r="D546" s="200" t="s">
        <v>2285</v>
      </c>
    </row>
    <row r="547" spans="1:4" ht="41.4" x14ac:dyDescent="0.3">
      <c r="A547" s="200" t="s">
        <v>2288</v>
      </c>
      <c r="B547" s="200" t="s">
        <v>2289</v>
      </c>
      <c r="C547" s="201" t="s">
        <v>1566</v>
      </c>
      <c r="D547" s="200" t="s">
        <v>2288</v>
      </c>
    </row>
    <row r="548" spans="1:4" ht="96.6" x14ac:dyDescent="0.3">
      <c r="A548" s="200" t="s">
        <v>2290</v>
      </c>
      <c r="B548" s="200" t="s">
        <v>2291</v>
      </c>
      <c r="C548" s="201" t="s">
        <v>1566</v>
      </c>
      <c r="D548" s="200" t="s">
        <v>2290</v>
      </c>
    </row>
    <row r="549" spans="1:4" ht="27.6" x14ac:dyDescent="0.3">
      <c r="A549" s="200" t="s">
        <v>2292</v>
      </c>
      <c r="B549" s="200" t="s">
        <v>2293</v>
      </c>
      <c r="C549" s="201" t="s">
        <v>1566</v>
      </c>
      <c r="D549" s="200" t="s">
        <v>2292</v>
      </c>
    </row>
    <row r="550" spans="1:4" ht="27.6" x14ac:dyDescent="0.3">
      <c r="A550" s="200" t="s">
        <v>2294</v>
      </c>
      <c r="B550" s="200" t="s">
        <v>2295</v>
      </c>
      <c r="C550" s="201" t="s">
        <v>1566</v>
      </c>
      <c r="D550" s="200" t="s">
        <v>2294</v>
      </c>
    </row>
    <row r="551" spans="1:4" ht="55.2" x14ac:dyDescent="0.3">
      <c r="A551" s="202" t="s">
        <v>2296</v>
      </c>
      <c r="B551" s="202" t="s">
        <v>2297</v>
      </c>
      <c r="C551" s="201" t="s">
        <v>1566</v>
      </c>
      <c r="D551" s="202" t="s">
        <v>2296</v>
      </c>
    </row>
    <row r="552" spans="1:4" ht="41.4" x14ac:dyDescent="0.3">
      <c r="A552" s="202" t="s">
        <v>2298</v>
      </c>
      <c r="B552" s="202" t="s">
        <v>2299</v>
      </c>
      <c r="C552" s="201" t="s">
        <v>1566</v>
      </c>
      <c r="D552" s="202" t="s">
        <v>2298</v>
      </c>
    </row>
    <row r="553" spans="1:4" ht="41.4" x14ac:dyDescent="0.3">
      <c r="A553" s="202" t="s">
        <v>2300</v>
      </c>
      <c r="B553" s="202" t="s">
        <v>2301</v>
      </c>
      <c r="C553" s="201" t="s">
        <v>1566</v>
      </c>
      <c r="D553" s="202" t="s">
        <v>2300</v>
      </c>
    </row>
    <row r="554" spans="1:4" ht="151.80000000000001" x14ac:dyDescent="0.3">
      <c r="A554" s="202" t="s">
        <v>2302</v>
      </c>
      <c r="B554" s="202" t="s">
        <v>2303</v>
      </c>
      <c r="C554" s="201" t="s">
        <v>1566</v>
      </c>
      <c r="D554" s="202" t="s">
        <v>2302</v>
      </c>
    </row>
    <row r="555" spans="1:4" ht="82.8" x14ac:dyDescent="0.3">
      <c r="A555" s="202" t="s">
        <v>2304</v>
      </c>
      <c r="B555" s="202" t="s">
        <v>2305</v>
      </c>
      <c r="C555" s="201" t="s">
        <v>1566</v>
      </c>
      <c r="D555" s="202" t="s">
        <v>2304</v>
      </c>
    </row>
    <row r="556" spans="1:4" ht="82.8" x14ac:dyDescent="0.3">
      <c r="A556" s="202" t="s">
        <v>2306</v>
      </c>
      <c r="B556" s="202" t="s">
        <v>2307</v>
      </c>
      <c r="C556" s="201" t="s">
        <v>1566</v>
      </c>
      <c r="D556" s="202" t="s">
        <v>2306</v>
      </c>
    </row>
    <row r="557" spans="1:4" ht="69" x14ac:dyDescent="0.3">
      <c r="A557" s="202" t="s">
        <v>2308</v>
      </c>
      <c r="B557" s="202" t="s">
        <v>2309</v>
      </c>
      <c r="C557" s="201" t="s">
        <v>1566</v>
      </c>
      <c r="D557" s="202" t="s">
        <v>2308</v>
      </c>
    </row>
    <row r="558" spans="1:4" ht="96.6" x14ac:dyDescent="0.3">
      <c r="A558" s="200" t="s">
        <v>2310</v>
      </c>
      <c r="B558" s="200" t="s">
        <v>2311</v>
      </c>
      <c r="C558" s="201" t="s">
        <v>1566</v>
      </c>
      <c r="D558" s="200" t="s">
        <v>2310</v>
      </c>
    </row>
    <row r="559" spans="1:4" ht="55.2" x14ac:dyDescent="0.3">
      <c r="A559" s="202" t="s">
        <v>2312</v>
      </c>
      <c r="B559" s="202" t="s">
        <v>2313</v>
      </c>
      <c r="C559" s="201" t="s">
        <v>1566</v>
      </c>
      <c r="D559" s="202" t="s">
        <v>2312</v>
      </c>
    </row>
    <row r="560" spans="1:4" ht="41.4" x14ac:dyDescent="0.3">
      <c r="A560" s="202" t="s">
        <v>2314</v>
      </c>
      <c r="B560" s="202" t="s">
        <v>2315</v>
      </c>
      <c r="C560" s="201" t="s">
        <v>1566</v>
      </c>
      <c r="D560" s="202" t="s">
        <v>2314</v>
      </c>
    </row>
    <row r="561" spans="1:4" ht="55.2" x14ac:dyDescent="0.3">
      <c r="A561" s="202" t="s">
        <v>2316</v>
      </c>
      <c r="B561" s="202" t="s">
        <v>2317</v>
      </c>
      <c r="C561" s="201" t="s">
        <v>1566</v>
      </c>
      <c r="D561" s="202" t="s">
        <v>2316</v>
      </c>
    </row>
    <row r="562" spans="1:4" ht="27.6" x14ac:dyDescent="0.3">
      <c r="A562" s="202" t="s">
        <v>2318</v>
      </c>
      <c r="B562" s="202" t="s">
        <v>2319</v>
      </c>
      <c r="C562" s="201" t="s">
        <v>1566</v>
      </c>
      <c r="D562" s="202" t="s">
        <v>2318</v>
      </c>
    </row>
    <row r="563" spans="1:4" ht="55.2" x14ac:dyDescent="0.3">
      <c r="A563" s="202" t="s">
        <v>2320</v>
      </c>
      <c r="B563" s="202" t="s">
        <v>2321</v>
      </c>
      <c r="C563" s="201" t="s">
        <v>1566</v>
      </c>
      <c r="D563" s="202" t="s">
        <v>2320</v>
      </c>
    </row>
    <row r="564" spans="1:4" ht="55.2" x14ac:dyDescent="0.3">
      <c r="A564" s="202" t="s">
        <v>2322</v>
      </c>
      <c r="B564" s="202" t="s">
        <v>2323</v>
      </c>
      <c r="C564" s="201" t="s">
        <v>1566</v>
      </c>
      <c r="D564" s="202" t="s">
        <v>2322</v>
      </c>
    </row>
    <row r="565" spans="1:4" ht="55.2" x14ac:dyDescent="0.3">
      <c r="A565" s="202" t="s">
        <v>2324</v>
      </c>
      <c r="B565" s="202" t="s">
        <v>2325</v>
      </c>
      <c r="C565" s="201" t="s">
        <v>1566</v>
      </c>
      <c r="D565" s="202" t="s">
        <v>2324</v>
      </c>
    </row>
    <row r="566" spans="1:4" ht="27.6" x14ac:dyDescent="0.3">
      <c r="A566" s="202" t="s">
        <v>2326</v>
      </c>
      <c r="B566" s="202" t="s">
        <v>2327</v>
      </c>
      <c r="C566" s="201" t="s">
        <v>1566</v>
      </c>
      <c r="D566" s="202" t="s">
        <v>2326</v>
      </c>
    </row>
    <row r="567" spans="1:4" ht="55.2" x14ac:dyDescent="0.3">
      <c r="A567" s="200" t="s">
        <v>2328</v>
      </c>
      <c r="B567" s="200" t="s">
        <v>2329</v>
      </c>
      <c r="C567" s="201" t="s">
        <v>1566</v>
      </c>
      <c r="D567" s="200" t="s">
        <v>2328</v>
      </c>
    </row>
    <row r="568" spans="1:4" ht="55.2" x14ac:dyDescent="0.3">
      <c r="A568" s="200" t="s">
        <v>2330</v>
      </c>
      <c r="B568" s="200" t="s">
        <v>2331</v>
      </c>
      <c r="C568" s="201" t="s">
        <v>1566</v>
      </c>
      <c r="D568" s="200" t="s">
        <v>2330</v>
      </c>
    </row>
    <row r="569" spans="1:4" ht="41.4" x14ac:dyDescent="0.3">
      <c r="A569" s="200" t="s">
        <v>2332</v>
      </c>
      <c r="B569" s="200" t="s">
        <v>2333</v>
      </c>
      <c r="C569" s="201" t="s">
        <v>1566</v>
      </c>
      <c r="D569" s="200" t="s">
        <v>2332</v>
      </c>
    </row>
    <row r="570" spans="1:4" ht="41.4" x14ac:dyDescent="0.3">
      <c r="A570" s="200" t="s">
        <v>2334</v>
      </c>
      <c r="B570" s="200" t="s">
        <v>2335</v>
      </c>
      <c r="C570" s="201" t="s">
        <v>1566</v>
      </c>
      <c r="D570" s="200" t="s">
        <v>2334</v>
      </c>
    </row>
    <row r="571" spans="1:4" ht="55.2" x14ac:dyDescent="0.3">
      <c r="A571" s="200" t="s">
        <v>2336</v>
      </c>
      <c r="B571" s="200" t="s">
        <v>2337</v>
      </c>
      <c r="C571" s="201" t="s">
        <v>1566</v>
      </c>
      <c r="D571" s="200" t="s">
        <v>2336</v>
      </c>
    </row>
    <row r="572" spans="1:4" ht="55.2" x14ac:dyDescent="0.3">
      <c r="A572" s="200" t="s">
        <v>2336</v>
      </c>
      <c r="B572" s="200" t="s">
        <v>2338</v>
      </c>
      <c r="C572" s="201" t="s">
        <v>1566</v>
      </c>
      <c r="D572" s="200" t="s">
        <v>2336</v>
      </c>
    </row>
    <row r="573" spans="1:4" ht="82.8" x14ac:dyDescent="0.3">
      <c r="A573" s="202" t="s">
        <v>2339</v>
      </c>
      <c r="B573" s="202" t="s">
        <v>2340</v>
      </c>
      <c r="C573" s="201" t="s">
        <v>1566</v>
      </c>
      <c r="D573" s="202" t="s">
        <v>2339</v>
      </c>
    </row>
    <row r="574" spans="1:4" ht="82.8" x14ac:dyDescent="0.3">
      <c r="A574" s="202" t="s">
        <v>2339</v>
      </c>
      <c r="B574" s="202" t="s">
        <v>2341</v>
      </c>
      <c r="C574" s="201" t="s">
        <v>1566</v>
      </c>
      <c r="D574" s="202" t="s">
        <v>2339</v>
      </c>
    </row>
    <row r="575" spans="1:4" ht="41.4" x14ac:dyDescent="0.3">
      <c r="A575" s="200" t="s">
        <v>2342</v>
      </c>
      <c r="B575" s="200" t="s">
        <v>2343</v>
      </c>
      <c r="C575" s="201" t="s">
        <v>1566</v>
      </c>
      <c r="D575" s="200" t="s">
        <v>2342</v>
      </c>
    </row>
    <row r="576" spans="1:4" ht="96.6" x14ac:dyDescent="0.3">
      <c r="A576" s="200" t="s">
        <v>2344</v>
      </c>
      <c r="B576" s="200" t="s">
        <v>2345</v>
      </c>
      <c r="C576" s="201" t="s">
        <v>1566</v>
      </c>
      <c r="D576" s="200" t="s">
        <v>2344</v>
      </c>
    </row>
    <row r="577" spans="1:4" ht="82.8" x14ac:dyDescent="0.3">
      <c r="A577" s="202" t="s">
        <v>2346</v>
      </c>
      <c r="B577" s="202" t="s">
        <v>2347</v>
      </c>
      <c r="C577" s="201" t="s">
        <v>1566</v>
      </c>
      <c r="D577" s="202" t="s">
        <v>2346</v>
      </c>
    </row>
    <row r="578" spans="1:4" ht="41.4" x14ac:dyDescent="0.3">
      <c r="A578" s="202" t="s">
        <v>2348</v>
      </c>
      <c r="B578" s="202" t="s">
        <v>2349</v>
      </c>
      <c r="C578" s="201" t="s">
        <v>1566</v>
      </c>
      <c r="D578" s="202" t="s">
        <v>2348</v>
      </c>
    </row>
    <row r="579" spans="1:4" ht="27.6" x14ac:dyDescent="0.3">
      <c r="A579" s="202" t="s">
        <v>2350</v>
      </c>
      <c r="B579" s="202" t="s">
        <v>2351</v>
      </c>
      <c r="C579" s="201" t="s">
        <v>1566</v>
      </c>
      <c r="D579" s="202" t="s">
        <v>2350</v>
      </c>
    </row>
    <row r="580" spans="1:4" ht="69" x14ac:dyDescent="0.3">
      <c r="A580" s="202" t="s">
        <v>2352</v>
      </c>
      <c r="B580" s="202" t="s">
        <v>2353</v>
      </c>
      <c r="C580" s="201" t="s">
        <v>1566</v>
      </c>
      <c r="D580" s="202" t="s">
        <v>2352</v>
      </c>
    </row>
    <row r="581" spans="1:4" ht="55.2" x14ac:dyDescent="0.3">
      <c r="A581" s="200" t="s">
        <v>2354</v>
      </c>
      <c r="B581" s="200" t="s">
        <v>2355</v>
      </c>
      <c r="C581" s="201" t="s">
        <v>1566</v>
      </c>
      <c r="D581" s="200" t="s">
        <v>2354</v>
      </c>
    </row>
    <row r="582" spans="1:4" ht="55.2" x14ac:dyDescent="0.3">
      <c r="A582" s="200" t="s">
        <v>2356</v>
      </c>
      <c r="B582" s="200" t="s">
        <v>2357</v>
      </c>
      <c r="C582" s="201" t="s">
        <v>1566</v>
      </c>
      <c r="D582" s="200" t="s">
        <v>2356</v>
      </c>
    </row>
    <row r="583" spans="1:4" ht="41.4" x14ac:dyDescent="0.3">
      <c r="A583" s="200" t="s">
        <v>2358</v>
      </c>
      <c r="B583" s="200" t="s">
        <v>2359</v>
      </c>
      <c r="C583" s="201" t="s">
        <v>1566</v>
      </c>
      <c r="D583" s="200" t="s">
        <v>2358</v>
      </c>
    </row>
    <row r="584" spans="1:4" ht="27.6" x14ac:dyDescent="0.3">
      <c r="A584" s="200" t="s">
        <v>2360</v>
      </c>
      <c r="B584" s="200" t="s">
        <v>2361</v>
      </c>
      <c r="C584" s="201" t="s">
        <v>1566</v>
      </c>
      <c r="D584" s="200" t="s">
        <v>2360</v>
      </c>
    </row>
    <row r="585" spans="1:4" ht="27.6" x14ac:dyDescent="0.3">
      <c r="A585" s="200" t="s">
        <v>2362</v>
      </c>
      <c r="B585" s="200" t="s">
        <v>2363</v>
      </c>
      <c r="C585" s="201" t="s">
        <v>1566</v>
      </c>
      <c r="D585" s="200" t="s">
        <v>2362</v>
      </c>
    </row>
    <row r="586" spans="1:4" ht="20.399999999999999" x14ac:dyDescent="0.3">
      <c r="A586" s="200" t="s">
        <v>2364</v>
      </c>
      <c r="B586" s="200" t="s">
        <v>2365</v>
      </c>
      <c r="C586" s="201" t="s">
        <v>1566</v>
      </c>
      <c r="D586" s="200" t="s">
        <v>2364</v>
      </c>
    </row>
    <row r="587" spans="1:4" ht="27.6" x14ac:dyDescent="0.3">
      <c r="A587" s="202" t="s">
        <v>2366</v>
      </c>
      <c r="B587" s="202" t="s">
        <v>2367</v>
      </c>
      <c r="C587" s="201" t="s">
        <v>1566</v>
      </c>
      <c r="D587" s="202" t="s">
        <v>2366</v>
      </c>
    </row>
    <row r="588" spans="1:4" ht="55.2" x14ac:dyDescent="0.3">
      <c r="A588" s="202" t="s">
        <v>2368</v>
      </c>
      <c r="B588" s="202" t="s">
        <v>2369</v>
      </c>
      <c r="C588" s="201" t="s">
        <v>1566</v>
      </c>
      <c r="D588" s="202" t="s">
        <v>2368</v>
      </c>
    </row>
    <row r="589" spans="1:4" ht="151.80000000000001" x14ac:dyDescent="0.3">
      <c r="A589" s="202" t="s">
        <v>2370</v>
      </c>
      <c r="B589" s="202" t="s">
        <v>2371</v>
      </c>
      <c r="C589" s="201" t="s">
        <v>1566</v>
      </c>
      <c r="D589" s="202" t="s">
        <v>2370</v>
      </c>
    </row>
    <row r="590" spans="1:4" ht="138" x14ac:dyDescent="0.3">
      <c r="A590" s="202" t="s">
        <v>2372</v>
      </c>
      <c r="B590" s="202" t="s">
        <v>2373</v>
      </c>
      <c r="C590" s="201" t="s">
        <v>1566</v>
      </c>
      <c r="D590" s="202" t="s">
        <v>2372</v>
      </c>
    </row>
    <row r="591" spans="1:4" ht="41.4" x14ac:dyDescent="0.3">
      <c r="A591" s="202" t="s">
        <v>2374</v>
      </c>
      <c r="B591" s="202" t="s">
        <v>2375</v>
      </c>
      <c r="C591" s="201" t="s">
        <v>1566</v>
      </c>
      <c r="D591" s="202" t="s">
        <v>2374</v>
      </c>
    </row>
    <row r="592" spans="1:4" ht="82.8" x14ac:dyDescent="0.3">
      <c r="A592" s="202" t="s">
        <v>2376</v>
      </c>
      <c r="B592" s="202" t="s">
        <v>2377</v>
      </c>
      <c r="C592" s="201" t="s">
        <v>1566</v>
      </c>
      <c r="D592" s="202" t="s">
        <v>2376</v>
      </c>
    </row>
    <row r="593" spans="1:4" ht="55.2" x14ac:dyDescent="0.3">
      <c r="A593" s="200" t="s">
        <v>2368</v>
      </c>
      <c r="B593" s="200" t="s">
        <v>2378</v>
      </c>
      <c r="C593" s="201" t="s">
        <v>1566</v>
      </c>
      <c r="D593" s="200" t="s">
        <v>2368</v>
      </c>
    </row>
    <row r="594" spans="1:4" ht="27.6" x14ac:dyDescent="0.3">
      <c r="A594" s="200" t="s">
        <v>2379</v>
      </c>
      <c r="B594" s="200" t="s">
        <v>2380</v>
      </c>
      <c r="C594" s="201" t="s">
        <v>1566</v>
      </c>
      <c r="D594" s="200" t="s">
        <v>2379</v>
      </c>
    </row>
    <row r="595" spans="1:4" ht="27.6" x14ac:dyDescent="0.3">
      <c r="A595" s="202" t="s">
        <v>2381</v>
      </c>
      <c r="B595" s="202" t="s">
        <v>2382</v>
      </c>
      <c r="C595" s="201" t="s">
        <v>1566</v>
      </c>
      <c r="D595" s="202" t="s">
        <v>2381</v>
      </c>
    </row>
    <row r="596" spans="1:4" ht="27.6" x14ac:dyDescent="0.3">
      <c r="A596" s="202" t="s">
        <v>2381</v>
      </c>
      <c r="B596" s="202" t="s">
        <v>2383</v>
      </c>
      <c r="C596" s="201" t="s">
        <v>1566</v>
      </c>
      <c r="D596" s="202" t="s">
        <v>2381</v>
      </c>
    </row>
    <row r="597" spans="1:4" ht="27.6" x14ac:dyDescent="0.3">
      <c r="A597" s="200" t="s">
        <v>2384</v>
      </c>
      <c r="B597" s="203" t="s">
        <v>2385</v>
      </c>
      <c r="C597" s="201" t="s">
        <v>1566</v>
      </c>
      <c r="D597" s="200" t="s">
        <v>2384</v>
      </c>
    </row>
    <row r="598" spans="1:4" ht="27.6" x14ac:dyDescent="0.3">
      <c r="A598" s="200" t="s">
        <v>2386</v>
      </c>
      <c r="B598" s="200" t="s">
        <v>2387</v>
      </c>
      <c r="C598" s="201" t="s">
        <v>1566</v>
      </c>
      <c r="D598" s="200" t="s">
        <v>2386</v>
      </c>
    </row>
    <row r="599" spans="1:4" ht="69" x14ac:dyDescent="0.3">
      <c r="A599" s="200" t="s">
        <v>2388</v>
      </c>
      <c r="B599" s="200" t="s">
        <v>2389</v>
      </c>
      <c r="C599" s="201" t="s">
        <v>1566</v>
      </c>
      <c r="D599" s="200" t="s">
        <v>2388</v>
      </c>
    </row>
    <row r="600" spans="1:4" ht="41.4" x14ac:dyDescent="0.3">
      <c r="A600" s="200" t="s">
        <v>2390</v>
      </c>
      <c r="B600" s="200" t="s">
        <v>2391</v>
      </c>
      <c r="C600" s="201" t="s">
        <v>1566</v>
      </c>
      <c r="D600" s="200" t="s">
        <v>2390</v>
      </c>
    </row>
    <row r="601" spans="1:4" ht="41.4" x14ac:dyDescent="0.3">
      <c r="A601" s="200" t="s">
        <v>2390</v>
      </c>
      <c r="B601" s="200" t="s">
        <v>2392</v>
      </c>
      <c r="C601" s="201" t="s">
        <v>1566</v>
      </c>
      <c r="D601" s="200" t="s">
        <v>2390</v>
      </c>
    </row>
    <row r="602" spans="1:4" ht="82.8" x14ac:dyDescent="0.3">
      <c r="A602" s="202" t="s">
        <v>2393</v>
      </c>
      <c r="B602" s="202" t="s">
        <v>2394</v>
      </c>
      <c r="C602" s="201" t="s">
        <v>1566</v>
      </c>
      <c r="D602" s="202" t="s">
        <v>2393</v>
      </c>
    </row>
    <row r="603" spans="1:4" ht="82.8" x14ac:dyDescent="0.3">
      <c r="A603" s="202" t="s">
        <v>2393</v>
      </c>
      <c r="B603" s="202" t="s">
        <v>2395</v>
      </c>
      <c r="C603" s="201" t="s">
        <v>1566</v>
      </c>
      <c r="D603" s="202" t="s">
        <v>2393</v>
      </c>
    </row>
    <row r="604" spans="1:4" ht="41.4" x14ac:dyDescent="0.3">
      <c r="A604" s="200" t="s">
        <v>2396</v>
      </c>
      <c r="B604" s="203" t="s">
        <v>2397</v>
      </c>
      <c r="C604" s="201" t="s">
        <v>1566</v>
      </c>
      <c r="D604" s="200" t="s">
        <v>2396</v>
      </c>
    </row>
    <row r="605" spans="1:4" ht="55.2" x14ac:dyDescent="0.3">
      <c r="A605" s="200" t="s">
        <v>2398</v>
      </c>
      <c r="B605" s="200" t="s">
        <v>2399</v>
      </c>
      <c r="C605" s="201" t="s">
        <v>1566</v>
      </c>
      <c r="D605" s="200" t="s">
        <v>2398</v>
      </c>
    </row>
    <row r="606" spans="1:4" ht="41.4" x14ac:dyDescent="0.3">
      <c r="A606" s="200" t="s">
        <v>2400</v>
      </c>
      <c r="B606" s="200" t="s">
        <v>2401</v>
      </c>
      <c r="C606" s="201" t="s">
        <v>1566</v>
      </c>
      <c r="D606" s="200" t="s">
        <v>2400</v>
      </c>
    </row>
    <row r="607" spans="1:4" ht="27.6" x14ac:dyDescent="0.3">
      <c r="A607" s="200" t="s">
        <v>2402</v>
      </c>
      <c r="B607" s="200" t="s">
        <v>2403</v>
      </c>
      <c r="C607" s="201" t="s">
        <v>1566</v>
      </c>
      <c r="D607" s="200" t="s">
        <v>2402</v>
      </c>
    </row>
    <row r="608" spans="1:4" ht="82.8" x14ac:dyDescent="0.3">
      <c r="A608" s="202" t="s">
        <v>2404</v>
      </c>
      <c r="B608" s="202" t="s">
        <v>2405</v>
      </c>
      <c r="C608" s="201" t="s">
        <v>1566</v>
      </c>
      <c r="D608" s="202" t="s">
        <v>2404</v>
      </c>
    </row>
    <row r="609" spans="1:4" ht="27.6" x14ac:dyDescent="0.3">
      <c r="A609" s="202" t="s">
        <v>2406</v>
      </c>
      <c r="B609" s="202" t="s">
        <v>2407</v>
      </c>
      <c r="C609" s="201" t="s">
        <v>1566</v>
      </c>
      <c r="D609" s="202" t="s">
        <v>2406</v>
      </c>
    </row>
    <row r="610" spans="1:4" ht="82.8" x14ac:dyDescent="0.3">
      <c r="A610" s="202" t="s">
        <v>2408</v>
      </c>
      <c r="B610" s="202" t="s">
        <v>2409</v>
      </c>
      <c r="C610" s="201" t="s">
        <v>1566</v>
      </c>
      <c r="D610" s="202" t="s">
        <v>2408</v>
      </c>
    </row>
    <row r="611" spans="1:4" ht="124.2" x14ac:dyDescent="0.3">
      <c r="A611" s="202" t="s">
        <v>2410</v>
      </c>
      <c r="B611" s="202" t="s">
        <v>2411</v>
      </c>
      <c r="C611" s="201" t="s">
        <v>1566</v>
      </c>
      <c r="D611" s="202" t="s">
        <v>2410</v>
      </c>
    </row>
    <row r="612" spans="1:4" ht="69" x14ac:dyDescent="0.3">
      <c r="A612" s="202" t="s">
        <v>2412</v>
      </c>
      <c r="B612" s="202" t="s">
        <v>2413</v>
      </c>
      <c r="C612" s="201" t="s">
        <v>1566</v>
      </c>
      <c r="D612" s="202" t="s">
        <v>2412</v>
      </c>
    </row>
    <row r="613" spans="1:4" ht="82.8" x14ac:dyDescent="0.3">
      <c r="A613" s="202" t="s">
        <v>2414</v>
      </c>
      <c r="B613" s="202" t="s">
        <v>2415</v>
      </c>
      <c r="C613" s="201" t="s">
        <v>1566</v>
      </c>
      <c r="D613" s="202" t="s">
        <v>2414</v>
      </c>
    </row>
    <row r="614" spans="1:4" ht="69" x14ac:dyDescent="0.3">
      <c r="A614" s="202" t="s">
        <v>2416</v>
      </c>
      <c r="B614" s="202" t="s">
        <v>2417</v>
      </c>
      <c r="C614" s="201" t="s">
        <v>1566</v>
      </c>
      <c r="D614" s="202" t="s">
        <v>2416</v>
      </c>
    </row>
    <row r="615" spans="1:4" ht="69" x14ac:dyDescent="0.3">
      <c r="A615" s="200" t="s">
        <v>2418</v>
      </c>
      <c r="B615" s="200" t="s">
        <v>2419</v>
      </c>
      <c r="C615" s="201" t="s">
        <v>1566</v>
      </c>
      <c r="D615" s="200" t="s">
        <v>2418</v>
      </c>
    </row>
    <row r="616" spans="1:4" ht="55.2" x14ac:dyDescent="0.3">
      <c r="A616" s="200" t="s">
        <v>2420</v>
      </c>
      <c r="B616" s="200" t="s">
        <v>2421</v>
      </c>
      <c r="C616" s="201" t="s">
        <v>1566</v>
      </c>
      <c r="D616" s="200" t="s">
        <v>2420</v>
      </c>
    </row>
    <row r="617" spans="1:4" ht="27.6" x14ac:dyDescent="0.3">
      <c r="A617" s="200" t="s">
        <v>2422</v>
      </c>
      <c r="B617" s="200" t="s">
        <v>2423</v>
      </c>
      <c r="C617" s="201" t="s">
        <v>1566</v>
      </c>
      <c r="D617" s="200" t="s">
        <v>2422</v>
      </c>
    </row>
    <row r="618" spans="1:4" ht="41.4" x14ac:dyDescent="0.3">
      <c r="A618" s="200" t="s">
        <v>2424</v>
      </c>
      <c r="B618" s="200" t="s">
        <v>2425</v>
      </c>
      <c r="C618" s="201" t="s">
        <v>1566</v>
      </c>
      <c r="D618" s="200" t="s">
        <v>2424</v>
      </c>
    </row>
    <row r="619" spans="1:4" ht="55.2" x14ac:dyDescent="0.3">
      <c r="A619" s="200" t="s">
        <v>2426</v>
      </c>
      <c r="B619" s="200" t="s">
        <v>2427</v>
      </c>
      <c r="C619" s="201" t="s">
        <v>1566</v>
      </c>
      <c r="D619" s="200" t="s">
        <v>2426</v>
      </c>
    </row>
    <row r="620" spans="1:4" ht="55.2" x14ac:dyDescent="0.3">
      <c r="A620" s="202" t="s">
        <v>2428</v>
      </c>
      <c r="B620" s="202" t="s">
        <v>2429</v>
      </c>
      <c r="C620" s="201" t="s">
        <v>1566</v>
      </c>
      <c r="D620" s="202" t="s">
        <v>2428</v>
      </c>
    </row>
    <row r="621" spans="1:4" ht="41.4" x14ac:dyDescent="0.3">
      <c r="A621" s="202" t="s">
        <v>2430</v>
      </c>
      <c r="B621" s="202" t="s">
        <v>2431</v>
      </c>
      <c r="C621" s="201" t="s">
        <v>1566</v>
      </c>
      <c r="D621" s="202" t="s">
        <v>2430</v>
      </c>
    </row>
    <row r="622" spans="1:4" ht="69" x14ac:dyDescent="0.3">
      <c r="A622" s="202" t="s">
        <v>2432</v>
      </c>
      <c r="B622" s="202" t="s">
        <v>2433</v>
      </c>
      <c r="C622" s="201" t="s">
        <v>1566</v>
      </c>
      <c r="D622" s="202" t="s">
        <v>2432</v>
      </c>
    </row>
    <row r="623" spans="1:4" ht="96.6" x14ac:dyDescent="0.3">
      <c r="A623" s="202" t="s">
        <v>2434</v>
      </c>
      <c r="B623" s="202" t="s">
        <v>2435</v>
      </c>
      <c r="C623" s="201" t="s">
        <v>1566</v>
      </c>
      <c r="D623" s="202" t="s">
        <v>2434</v>
      </c>
    </row>
    <row r="624" spans="1:4" ht="41.4" x14ac:dyDescent="0.3">
      <c r="A624" s="200" t="s">
        <v>2436</v>
      </c>
      <c r="B624" s="203" t="s">
        <v>2437</v>
      </c>
      <c r="C624" s="201" t="s">
        <v>1566</v>
      </c>
      <c r="D624" s="200" t="s">
        <v>2436</v>
      </c>
    </row>
    <row r="625" spans="1:4" ht="55.2" x14ac:dyDescent="0.3">
      <c r="A625" s="200" t="s">
        <v>2438</v>
      </c>
      <c r="B625" s="200" t="s">
        <v>2439</v>
      </c>
      <c r="C625" s="201" t="s">
        <v>1566</v>
      </c>
      <c r="D625" s="200" t="s">
        <v>2438</v>
      </c>
    </row>
    <row r="626" spans="1:4" ht="41.4" x14ac:dyDescent="0.3">
      <c r="A626" s="200" t="s">
        <v>2440</v>
      </c>
      <c r="B626" s="200" t="s">
        <v>2441</v>
      </c>
      <c r="C626" s="201" t="s">
        <v>1566</v>
      </c>
      <c r="D626" s="200" t="s">
        <v>2440</v>
      </c>
    </row>
    <row r="627" spans="1:4" ht="27.6" x14ac:dyDescent="0.3">
      <c r="A627" s="202" t="s">
        <v>2442</v>
      </c>
      <c r="B627" s="202" t="s">
        <v>2443</v>
      </c>
      <c r="C627" s="201" t="s">
        <v>1566</v>
      </c>
      <c r="D627" s="202" t="s">
        <v>2442</v>
      </c>
    </row>
    <row r="628" spans="1:4" ht="27.6" x14ac:dyDescent="0.3">
      <c r="A628" s="204" t="s">
        <v>2444</v>
      </c>
      <c r="B628" s="202" t="s">
        <v>2445</v>
      </c>
      <c r="C628" s="201" t="s">
        <v>1566</v>
      </c>
      <c r="D628" s="204" t="s">
        <v>2444</v>
      </c>
    </row>
    <row r="629" spans="1:4" ht="41.4" x14ac:dyDescent="0.3">
      <c r="A629" s="204" t="s">
        <v>2446</v>
      </c>
      <c r="B629" s="202" t="s">
        <v>2447</v>
      </c>
      <c r="C629" s="201" t="s">
        <v>1566</v>
      </c>
      <c r="D629" s="204" t="s">
        <v>2446</v>
      </c>
    </row>
    <row r="630" spans="1:4" ht="110.4" x14ac:dyDescent="0.3">
      <c r="A630" s="204" t="s">
        <v>2448</v>
      </c>
      <c r="B630" s="202" t="s">
        <v>2449</v>
      </c>
      <c r="C630" s="201" t="s">
        <v>1566</v>
      </c>
      <c r="D630" s="204" t="s">
        <v>2448</v>
      </c>
    </row>
    <row r="631" spans="1:4" ht="96.6" x14ac:dyDescent="0.3">
      <c r="A631" s="202" t="s">
        <v>2450</v>
      </c>
      <c r="B631" s="202" t="s">
        <v>2451</v>
      </c>
      <c r="C631" s="201" t="s">
        <v>1566</v>
      </c>
      <c r="D631" s="202" t="s">
        <v>2450</v>
      </c>
    </row>
    <row r="632" spans="1:4" ht="69" x14ac:dyDescent="0.3">
      <c r="A632" s="202" t="s">
        <v>2452</v>
      </c>
      <c r="B632" s="202" t="s">
        <v>2453</v>
      </c>
      <c r="C632" s="201" t="s">
        <v>1566</v>
      </c>
      <c r="D632" s="202" t="s">
        <v>2452</v>
      </c>
    </row>
    <row r="633" spans="1:4" ht="41.4" x14ac:dyDescent="0.3">
      <c r="A633" s="202" t="s">
        <v>2454</v>
      </c>
      <c r="B633" s="202" t="s">
        <v>2455</v>
      </c>
      <c r="C633" s="201" t="s">
        <v>1566</v>
      </c>
      <c r="D633" s="202" t="s">
        <v>2454</v>
      </c>
    </row>
    <row r="634" spans="1:4" ht="69" x14ac:dyDescent="0.3">
      <c r="A634" s="202" t="s">
        <v>2456</v>
      </c>
      <c r="B634" s="202" t="s">
        <v>2457</v>
      </c>
      <c r="C634" s="201" t="s">
        <v>1566</v>
      </c>
      <c r="D634" s="202" t="s">
        <v>2456</v>
      </c>
    </row>
    <row r="635" spans="1:4" ht="69" x14ac:dyDescent="0.3">
      <c r="A635" s="202" t="s">
        <v>2458</v>
      </c>
      <c r="B635" s="202" t="s">
        <v>2459</v>
      </c>
      <c r="C635" s="201" t="s">
        <v>1566</v>
      </c>
      <c r="D635" s="202" t="s">
        <v>2458</v>
      </c>
    </row>
    <row r="636" spans="1:4" ht="27.6" x14ac:dyDescent="0.3">
      <c r="A636" s="200" t="s">
        <v>2460</v>
      </c>
      <c r="B636" s="200" t="s">
        <v>2461</v>
      </c>
      <c r="C636" s="201" t="s">
        <v>1566</v>
      </c>
      <c r="D636" s="200" t="s">
        <v>2460</v>
      </c>
    </row>
    <row r="637" spans="1:4" ht="41.4" x14ac:dyDescent="0.3">
      <c r="A637" s="204" t="s">
        <v>2462</v>
      </c>
      <c r="B637" s="202" t="s">
        <v>2463</v>
      </c>
      <c r="C637" s="201" t="s">
        <v>1566</v>
      </c>
      <c r="D637" s="204" t="s">
        <v>2462</v>
      </c>
    </row>
    <row r="638" spans="1:4" ht="69" x14ac:dyDescent="0.3">
      <c r="A638" s="204" t="s">
        <v>2464</v>
      </c>
      <c r="B638" s="202" t="s">
        <v>2465</v>
      </c>
      <c r="C638" s="201" t="s">
        <v>1566</v>
      </c>
      <c r="D638" s="204" t="s">
        <v>2464</v>
      </c>
    </row>
    <row r="639" spans="1:4" ht="27.6" x14ac:dyDescent="0.3">
      <c r="A639" s="202" t="s">
        <v>2466</v>
      </c>
      <c r="B639" s="202" t="s">
        <v>2467</v>
      </c>
      <c r="C639" s="201" t="s">
        <v>1566</v>
      </c>
      <c r="D639" s="202" t="s">
        <v>2466</v>
      </c>
    </row>
    <row r="640" spans="1:4" ht="41.4" x14ac:dyDescent="0.3">
      <c r="A640" s="202" t="s">
        <v>2468</v>
      </c>
      <c r="B640" s="202" t="s">
        <v>2469</v>
      </c>
      <c r="C640" s="201" t="s">
        <v>1566</v>
      </c>
      <c r="D640" s="202" t="s">
        <v>2468</v>
      </c>
    </row>
    <row r="641" spans="1:4" ht="69" x14ac:dyDescent="0.3">
      <c r="A641" s="200" t="s">
        <v>2470</v>
      </c>
      <c r="B641" s="200" t="s">
        <v>2471</v>
      </c>
      <c r="C641" s="201" t="s">
        <v>1566</v>
      </c>
      <c r="D641" s="200" t="s">
        <v>2470</v>
      </c>
    </row>
    <row r="642" spans="1:4" ht="27.6" x14ac:dyDescent="0.3">
      <c r="A642" s="202" t="s">
        <v>2472</v>
      </c>
      <c r="B642" s="202" t="s">
        <v>2473</v>
      </c>
      <c r="C642" s="201" t="s">
        <v>1566</v>
      </c>
      <c r="D642" s="202" t="s">
        <v>2472</v>
      </c>
    </row>
    <row r="643" spans="1:4" ht="27.6" x14ac:dyDescent="0.3">
      <c r="A643" s="202" t="s">
        <v>2474</v>
      </c>
      <c r="B643" s="202" t="s">
        <v>2475</v>
      </c>
      <c r="C643" s="201" t="s">
        <v>1566</v>
      </c>
      <c r="D643" s="202" t="s">
        <v>2474</v>
      </c>
    </row>
    <row r="644" spans="1:4" ht="55.2" x14ac:dyDescent="0.3">
      <c r="A644" s="202" t="s">
        <v>2476</v>
      </c>
      <c r="B644" s="202" t="s">
        <v>2477</v>
      </c>
      <c r="C644" s="201" t="s">
        <v>1566</v>
      </c>
      <c r="D644" s="202" t="s">
        <v>2476</v>
      </c>
    </row>
    <row r="645" spans="1:4" ht="55.2" x14ac:dyDescent="0.3">
      <c r="A645" s="202" t="s">
        <v>2478</v>
      </c>
      <c r="B645" s="202" t="s">
        <v>2479</v>
      </c>
      <c r="C645" s="201" t="s">
        <v>1566</v>
      </c>
      <c r="D645" s="202" t="s">
        <v>2478</v>
      </c>
    </row>
    <row r="646" spans="1:4" ht="55.2" x14ac:dyDescent="0.3">
      <c r="A646" s="202" t="s">
        <v>2480</v>
      </c>
      <c r="B646" s="202" t="s">
        <v>2481</v>
      </c>
      <c r="C646" s="201" t="s">
        <v>1566</v>
      </c>
      <c r="D646" s="202" t="s">
        <v>2480</v>
      </c>
    </row>
    <row r="647" spans="1:4" ht="69" x14ac:dyDescent="0.3">
      <c r="A647" s="202" t="s">
        <v>2482</v>
      </c>
      <c r="B647" s="202" t="s">
        <v>2483</v>
      </c>
      <c r="C647" s="201" t="s">
        <v>1566</v>
      </c>
      <c r="D647" s="202" t="s">
        <v>2482</v>
      </c>
    </row>
    <row r="648" spans="1:4" ht="69" x14ac:dyDescent="0.3">
      <c r="A648" s="200" t="s">
        <v>2484</v>
      </c>
      <c r="B648" s="200" t="s">
        <v>2485</v>
      </c>
      <c r="C648" s="201" t="s">
        <v>1566</v>
      </c>
      <c r="D648" s="200" t="s">
        <v>2484</v>
      </c>
    </row>
    <row r="649" spans="1:4" ht="41.4" x14ac:dyDescent="0.3">
      <c r="A649" s="200" t="s">
        <v>2486</v>
      </c>
      <c r="B649" s="200" t="s">
        <v>2487</v>
      </c>
      <c r="C649" s="201" t="s">
        <v>1566</v>
      </c>
      <c r="D649" s="200" t="s">
        <v>2486</v>
      </c>
    </row>
    <row r="650" spans="1:4" ht="27.6" x14ac:dyDescent="0.3">
      <c r="A650" s="202" t="s">
        <v>2488</v>
      </c>
      <c r="B650" s="202" t="s">
        <v>2489</v>
      </c>
      <c r="C650" s="201" t="s">
        <v>1566</v>
      </c>
      <c r="D650" s="202" t="s">
        <v>2488</v>
      </c>
    </row>
    <row r="651" spans="1:4" ht="69" x14ac:dyDescent="0.3">
      <c r="A651" s="202" t="s">
        <v>2490</v>
      </c>
      <c r="B651" s="202" t="s">
        <v>2491</v>
      </c>
      <c r="C651" s="201" t="s">
        <v>1566</v>
      </c>
      <c r="D651" s="202" t="s">
        <v>2490</v>
      </c>
    </row>
    <row r="652" spans="1:4" ht="69" x14ac:dyDescent="0.3">
      <c r="A652" s="202" t="s">
        <v>2492</v>
      </c>
      <c r="B652" s="202" t="s">
        <v>2493</v>
      </c>
      <c r="C652" s="201" t="s">
        <v>1566</v>
      </c>
      <c r="D652" s="202" t="s">
        <v>2492</v>
      </c>
    </row>
    <row r="653" spans="1:4" ht="220.8" x14ac:dyDescent="0.3">
      <c r="A653" s="202" t="s">
        <v>2494</v>
      </c>
      <c r="B653" s="202" t="s">
        <v>2495</v>
      </c>
      <c r="C653" s="201" t="s">
        <v>1566</v>
      </c>
      <c r="D653" s="202" t="s">
        <v>2494</v>
      </c>
    </row>
    <row r="654" spans="1:4" ht="82.8" x14ac:dyDescent="0.3">
      <c r="A654" s="202" t="s">
        <v>2496</v>
      </c>
      <c r="B654" s="202" t="s">
        <v>2497</v>
      </c>
      <c r="C654" s="201" t="s">
        <v>1566</v>
      </c>
      <c r="D654" s="202" t="s">
        <v>2496</v>
      </c>
    </row>
    <row r="655" spans="1:4" ht="69" x14ac:dyDescent="0.3">
      <c r="A655" s="202" t="s">
        <v>2498</v>
      </c>
      <c r="B655" s="202" t="s">
        <v>2499</v>
      </c>
      <c r="C655" s="201" t="s">
        <v>1566</v>
      </c>
      <c r="D655" s="202" t="s">
        <v>2498</v>
      </c>
    </row>
    <row r="656" spans="1:4" ht="110.4" x14ac:dyDescent="0.3">
      <c r="A656" s="202" t="s">
        <v>2500</v>
      </c>
      <c r="B656" s="202" t="s">
        <v>2501</v>
      </c>
      <c r="C656" s="201" t="s">
        <v>1566</v>
      </c>
      <c r="D656" s="202" t="s">
        <v>2500</v>
      </c>
    </row>
    <row r="657" spans="1:4" ht="110.4" x14ac:dyDescent="0.3">
      <c r="A657" s="202" t="s">
        <v>2502</v>
      </c>
      <c r="B657" s="202" t="s">
        <v>2503</v>
      </c>
      <c r="C657" s="201" t="s">
        <v>1566</v>
      </c>
      <c r="D657" s="202" t="s">
        <v>2502</v>
      </c>
    </row>
    <row r="658" spans="1:4" ht="41.4" x14ac:dyDescent="0.3">
      <c r="A658" s="200" t="s">
        <v>2504</v>
      </c>
      <c r="B658" s="200" t="s">
        <v>2505</v>
      </c>
      <c r="C658" s="201" t="s">
        <v>1566</v>
      </c>
      <c r="D658" s="200" t="s">
        <v>2504</v>
      </c>
    </row>
    <row r="659" spans="1:4" ht="55.2" x14ac:dyDescent="0.3">
      <c r="A659" s="200" t="s">
        <v>2506</v>
      </c>
      <c r="B659" s="200" t="s">
        <v>2507</v>
      </c>
      <c r="C659" s="201" t="s">
        <v>1566</v>
      </c>
      <c r="D659" s="200" t="s">
        <v>2506</v>
      </c>
    </row>
    <row r="660" spans="1:4" ht="27.6" x14ac:dyDescent="0.3">
      <c r="A660" s="202" t="s">
        <v>2508</v>
      </c>
      <c r="B660" s="202" t="s">
        <v>2509</v>
      </c>
      <c r="C660" s="201" t="s">
        <v>1566</v>
      </c>
      <c r="D660" s="202" t="s">
        <v>2508</v>
      </c>
    </row>
    <row r="661" spans="1:4" ht="27.6" x14ac:dyDescent="0.3">
      <c r="A661" s="202" t="s">
        <v>2508</v>
      </c>
      <c r="B661" s="202" t="s">
        <v>2510</v>
      </c>
      <c r="C661" s="201" t="s">
        <v>1566</v>
      </c>
      <c r="D661" s="202" t="s">
        <v>2508</v>
      </c>
    </row>
    <row r="662" spans="1:4" ht="41.4" x14ac:dyDescent="0.3">
      <c r="A662" s="202" t="s">
        <v>2511</v>
      </c>
      <c r="B662" s="202" t="s">
        <v>2512</v>
      </c>
      <c r="C662" s="201" t="s">
        <v>1566</v>
      </c>
      <c r="D662" s="202" t="s">
        <v>2511</v>
      </c>
    </row>
    <row r="663" spans="1:4" ht="69" x14ac:dyDescent="0.3">
      <c r="A663" s="202" t="s">
        <v>2513</v>
      </c>
      <c r="B663" s="202" t="s">
        <v>2514</v>
      </c>
      <c r="C663" s="201" t="s">
        <v>1566</v>
      </c>
      <c r="D663" s="202" t="s">
        <v>2513</v>
      </c>
    </row>
    <row r="664" spans="1:4" ht="41.4" x14ac:dyDescent="0.3">
      <c r="A664" s="200" t="s">
        <v>2515</v>
      </c>
      <c r="B664" s="200" t="s">
        <v>2516</v>
      </c>
      <c r="C664" s="201" t="s">
        <v>1566</v>
      </c>
      <c r="D664" s="200" t="s">
        <v>2515</v>
      </c>
    </row>
    <row r="665" spans="1:4" ht="41.4" x14ac:dyDescent="0.3">
      <c r="A665" s="200" t="s">
        <v>2517</v>
      </c>
      <c r="B665" s="200" t="s">
        <v>2518</v>
      </c>
      <c r="C665" s="201" t="s">
        <v>1566</v>
      </c>
      <c r="D665" s="200" t="s">
        <v>2517</v>
      </c>
    </row>
    <row r="666" spans="1:4" ht="55.2" x14ac:dyDescent="0.3">
      <c r="A666" s="200" t="s">
        <v>2519</v>
      </c>
      <c r="B666" s="200" t="s">
        <v>2520</v>
      </c>
      <c r="C666" s="201" t="s">
        <v>1566</v>
      </c>
      <c r="D666" s="200" t="s">
        <v>2519</v>
      </c>
    </row>
    <row r="667" spans="1:4" ht="41.4" x14ac:dyDescent="0.3">
      <c r="A667" s="200" t="s">
        <v>2521</v>
      </c>
      <c r="B667" s="200" t="s">
        <v>2522</v>
      </c>
      <c r="C667" s="201" t="s">
        <v>1566</v>
      </c>
      <c r="D667" s="200" t="s">
        <v>2521</v>
      </c>
    </row>
    <row r="668" spans="1:4" ht="55.2" x14ac:dyDescent="0.3">
      <c r="A668" s="200" t="s">
        <v>2523</v>
      </c>
      <c r="B668" s="200" t="s">
        <v>2524</v>
      </c>
      <c r="C668" s="201" t="s">
        <v>1566</v>
      </c>
      <c r="D668" s="200" t="s">
        <v>2523</v>
      </c>
    </row>
    <row r="669" spans="1:4" ht="41.4" x14ac:dyDescent="0.3">
      <c r="A669" s="202" t="s">
        <v>2525</v>
      </c>
      <c r="B669" s="202" t="s">
        <v>2526</v>
      </c>
      <c r="C669" s="201" t="s">
        <v>1566</v>
      </c>
      <c r="D669" s="202" t="s">
        <v>2525</v>
      </c>
    </row>
    <row r="670" spans="1:4" ht="55.2" x14ac:dyDescent="0.3">
      <c r="A670" s="202" t="s">
        <v>2527</v>
      </c>
      <c r="B670" s="202" t="s">
        <v>2528</v>
      </c>
      <c r="C670" s="201" t="s">
        <v>1566</v>
      </c>
      <c r="D670" s="202" t="s">
        <v>2527</v>
      </c>
    </row>
    <row r="671" spans="1:4" ht="41.4" x14ac:dyDescent="0.3">
      <c r="A671" s="202" t="s">
        <v>2529</v>
      </c>
      <c r="B671" s="202" t="s">
        <v>2530</v>
      </c>
      <c r="C671" s="201" t="s">
        <v>1566</v>
      </c>
      <c r="D671" s="202" t="s">
        <v>2529</v>
      </c>
    </row>
    <row r="672" spans="1:4" ht="55.2" x14ac:dyDescent="0.3">
      <c r="A672" s="200" t="s">
        <v>2531</v>
      </c>
      <c r="B672" s="200" t="s">
        <v>2532</v>
      </c>
      <c r="C672" s="201" t="s">
        <v>1566</v>
      </c>
      <c r="D672" s="200" t="s">
        <v>2531</v>
      </c>
    </row>
    <row r="673" spans="1:4" ht="41.4" x14ac:dyDescent="0.3">
      <c r="A673" s="200" t="s">
        <v>2533</v>
      </c>
      <c r="B673" s="200" t="s">
        <v>2534</v>
      </c>
      <c r="C673" s="201" t="s">
        <v>1566</v>
      </c>
      <c r="D673" s="200" t="s">
        <v>2533</v>
      </c>
    </row>
    <row r="674" spans="1:4" ht="55.2" x14ac:dyDescent="0.3">
      <c r="A674" s="200" t="s">
        <v>2535</v>
      </c>
      <c r="B674" s="200" t="s">
        <v>2536</v>
      </c>
      <c r="C674" s="201" t="s">
        <v>1566</v>
      </c>
      <c r="D674" s="200" t="s">
        <v>2535</v>
      </c>
    </row>
    <row r="675" spans="1:4" ht="69" x14ac:dyDescent="0.3">
      <c r="A675" s="202" t="s">
        <v>2537</v>
      </c>
      <c r="B675" s="202" t="s">
        <v>2538</v>
      </c>
      <c r="C675" s="201" t="s">
        <v>1566</v>
      </c>
      <c r="D675" s="202" t="s">
        <v>2537</v>
      </c>
    </row>
    <row r="676" spans="1:4" ht="41.4" x14ac:dyDescent="0.3">
      <c r="A676" s="202" t="s">
        <v>2539</v>
      </c>
      <c r="B676" s="202" t="s">
        <v>2540</v>
      </c>
      <c r="C676" s="201" t="s">
        <v>1566</v>
      </c>
      <c r="D676" s="202" t="s">
        <v>2539</v>
      </c>
    </row>
    <row r="677" spans="1:4" ht="82.8" x14ac:dyDescent="0.3">
      <c r="A677" s="200" t="s">
        <v>2541</v>
      </c>
      <c r="B677" s="200" t="s">
        <v>2542</v>
      </c>
      <c r="C677" s="201" t="s">
        <v>1566</v>
      </c>
      <c r="D677" s="200" t="s">
        <v>2541</v>
      </c>
    </row>
    <row r="678" spans="1:4" ht="55.2" x14ac:dyDescent="0.3">
      <c r="A678" s="202" t="s">
        <v>2543</v>
      </c>
      <c r="B678" s="202" t="s">
        <v>2544</v>
      </c>
      <c r="C678" s="201" t="s">
        <v>1566</v>
      </c>
      <c r="D678" s="202" t="s">
        <v>2543</v>
      </c>
    </row>
    <row r="679" spans="1:4" ht="27.6" x14ac:dyDescent="0.3">
      <c r="A679" s="202" t="s">
        <v>2545</v>
      </c>
      <c r="B679" s="202" t="s">
        <v>2546</v>
      </c>
      <c r="C679" s="201" t="s">
        <v>1566</v>
      </c>
      <c r="D679" s="202" t="s">
        <v>2545</v>
      </c>
    </row>
    <row r="680" spans="1:4" ht="96.6" x14ac:dyDescent="0.3">
      <c r="A680" s="200" t="s">
        <v>2547</v>
      </c>
      <c r="B680" s="200" t="s">
        <v>2548</v>
      </c>
      <c r="C680" s="201" t="s">
        <v>1566</v>
      </c>
      <c r="D680" s="200" t="s">
        <v>2547</v>
      </c>
    </row>
    <row r="681" spans="1:4" ht="55.2" x14ac:dyDescent="0.3">
      <c r="A681" s="200" t="s">
        <v>2549</v>
      </c>
      <c r="B681" s="200" t="s">
        <v>2550</v>
      </c>
      <c r="C681" s="201" t="s">
        <v>1566</v>
      </c>
      <c r="D681" s="200" t="s">
        <v>2549</v>
      </c>
    </row>
    <row r="682" spans="1:4" ht="27.6" x14ac:dyDescent="0.3">
      <c r="A682" s="200" t="s">
        <v>2551</v>
      </c>
      <c r="B682" s="200" t="s">
        <v>2552</v>
      </c>
      <c r="C682" s="201" t="s">
        <v>1566</v>
      </c>
      <c r="D682" s="200" t="s">
        <v>2551</v>
      </c>
    </row>
    <row r="683" spans="1:4" ht="27.6" x14ac:dyDescent="0.3">
      <c r="A683" s="202" t="s">
        <v>2553</v>
      </c>
      <c r="B683" s="202" t="s">
        <v>2554</v>
      </c>
      <c r="C683" s="201" t="s">
        <v>1566</v>
      </c>
      <c r="D683" s="202" t="s">
        <v>2553</v>
      </c>
    </row>
    <row r="684" spans="1:4" ht="27.6" x14ac:dyDescent="0.3">
      <c r="A684" s="202" t="s">
        <v>2555</v>
      </c>
      <c r="B684" s="202" t="s">
        <v>2556</v>
      </c>
      <c r="C684" s="201" t="s">
        <v>1566</v>
      </c>
      <c r="D684" s="202" t="s">
        <v>2555</v>
      </c>
    </row>
    <row r="685" spans="1:4" ht="55.2" x14ac:dyDescent="0.3">
      <c r="A685" s="202" t="s">
        <v>2557</v>
      </c>
      <c r="B685" s="202" t="s">
        <v>2558</v>
      </c>
      <c r="C685" s="201" t="s">
        <v>1566</v>
      </c>
      <c r="D685" s="202" t="s">
        <v>2557</v>
      </c>
    </row>
    <row r="686" spans="1:4" ht="20.399999999999999" x14ac:dyDescent="0.3">
      <c r="A686" s="200" t="s">
        <v>2559</v>
      </c>
      <c r="B686" s="200" t="s">
        <v>2560</v>
      </c>
      <c r="C686" s="201" t="s">
        <v>1566</v>
      </c>
      <c r="D686" s="200" t="s">
        <v>2559</v>
      </c>
    </row>
    <row r="687" spans="1:4" ht="41.4" x14ac:dyDescent="0.3">
      <c r="A687" s="200" t="s">
        <v>2561</v>
      </c>
      <c r="B687" s="200" t="s">
        <v>2562</v>
      </c>
      <c r="C687" s="201" t="s">
        <v>1566</v>
      </c>
      <c r="D687" s="200" t="s">
        <v>2561</v>
      </c>
    </row>
    <row r="688" spans="1:4" ht="41.4" x14ac:dyDescent="0.3">
      <c r="A688" s="202" t="s">
        <v>2563</v>
      </c>
      <c r="B688" s="202" t="s">
        <v>2564</v>
      </c>
      <c r="C688" s="201" t="s">
        <v>1566</v>
      </c>
      <c r="D688" s="202" t="s">
        <v>2563</v>
      </c>
    </row>
    <row r="689" spans="1:4" ht="55.2" x14ac:dyDescent="0.3">
      <c r="A689" s="202" t="s">
        <v>2565</v>
      </c>
      <c r="B689" s="202" t="s">
        <v>2566</v>
      </c>
      <c r="C689" s="201" t="s">
        <v>1566</v>
      </c>
      <c r="D689" s="202" t="s">
        <v>2565</v>
      </c>
    </row>
    <row r="690" spans="1:4" ht="55.2" x14ac:dyDescent="0.3">
      <c r="A690" s="200" t="s">
        <v>2567</v>
      </c>
      <c r="B690" s="200" t="s">
        <v>2568</v>
      </c>
      <c r="C690" s="201" t="s">
        <v>1566</v>
      </c>
      <c r="D690" s="200" t="s">
        <v>2567</v>
      </c>
    </row>
    <row r="691" spans="1:4" ht="69" x14ac:dyDescent="0.3">
      <c r="A691" s="200" t="s">
        <v>2569</v>
      </c>
      <c r="B691" s="200" t="s">
        <v>2570</v>
      </c>
      <c r="C691" s="201" t="s">
        <v>1566</v>
      </c>
      <c r="D691" s="200" t="s">
        <v>2569</v>
      </c>
    </row>
    <row r="692" spans="1:4" ht="55.2" x14ac:dyDescent="0.3">
      <c r="A692" s="200" t="s">
        <v>2571</v>
      </c>
      <c r="B692" s="200" t="s">
        <v>2572</v>
      </c>
      <c r="C692" s="201" t="s">
        <v>1566</v>
      </c>
      <c r="D692" s="200" t="s">
        <v>2571</v>
      </c>
    </row>
    <row r="693" spans="1:4" ht="27.6" x14ac:dyDescent="0.3">
      <c r="A693" s="200" t="s">
        <v>2573</v>
      </c>
      <c r="B693" s="200" t="s">
        <v>2574</v>
      </c>
      <c r="C693" s="201" t="s">
        <v>1566</v>
      </c>
      <c r="D693" s="200" t="s">
        <v>2573</v>
      </c>
    </row>
    <row r="694" spans="1:4" ht="27.6" x14ac:dyDescent="0.3">
      <c r="A694" s="202" t="s">
        <v>2575</v>
      </c>
      <c r="B694" s="202" t="s">
        <v>2576</v>
      </c>
      <c r="C694" s="201" t="s">
        <v>1566</v>
      </c>
      <c r="D694" s="202" t="s">
        <v>2575</v>
      </c>
    </row>
    <row r="695" spans="1:4" ht="55.2" x14ac:dyDescent="0.3">
      <c r="A695" s="202" t="s">
        <v>2577</v>
      </c>
      <c r="B695" s="202" t="s">
        <v>2578</v>
      </c>
      <c r="C695" s="201" t="s">
        <v>1566</v>
      </c>
      <c r="D695" s="202" t="s">
        <v>2577</v>
      </c>
    </row>
    <row r="696" spans="1:4" ht="124.2" x14ac:dyDescent="0.3">
      <c r="A696" s="200" t="s">
        <v>2579</v>
      </c>
      <c r="B696" s="200" t="s">
        <v>2580</v>
      </c>
      <c r="C696" s="201" t="s">
        <v>1566</v>
      </c>
      <c r="D696" s="200" t="s">
        <v>2579</v>
      </c>
    </row>
    <row r="697" spans="1:4" ht="82.8" x14ac:dyDescent="0.3">
      <c r="A697" s="200" t="s">
        <v>2581</v>
      </c>
      <c r="B697" s="200" t="s">
        <v>2582</v>
      </c>
      <c r="C697" s="201" t="s">
        <v>1566</v>
      </c>
      <c r="D697" s="200" t="s">
        <v>2581</v>
      </c>
    </row>
    <row r="698" spans="1:4" ht="41.4" x14ac:dyDescent="0.3">
      <c r="A698" s="200" t="s">
        <v>2583</v>
      </c>
      <c r="B698" s="200" t="s">
        <v>2584</v>
      </c>
      <c r="C698" s="201" t="s">
        <v>1566</v>
      </c>
      <c r="D698" s="200" t="s">
        <v>2583</v>
      </c>
    </row>
    <row r="699" spans="1:4" ht="27.6" x14ac:dyDescent="0.3">
      <c r="A699" s="202" t="s">
        <v>2585</v>
      </c>
      <c r="B699" s="202" t="s">
        <v>2586</v>
      </c>
      <c r="C699" s="201" t="s">
        <v>1566</v>
      </c>
      <c r="D699" s="202" t="s">
        <v>2585</v>
      </c>
    </row>
    <row r="700" spans="1:4" ht="27.6" x14ac:dyDescent="0.3">
      <c r="A700" s="202" t="s">
        <v>2585</v>
      </c>
      <c r="B700" s="202" t="s">
        <v>2587</v>
      </c>
      <c r="C700" s="201" t="s">
        <v>1566</v>
      </c>
      <c r="D700" s="202" t="s">
        <v>2585</v>
      </c>
    </row>
    <row r="701" spans="1:4" ht="82.8" x14ac:dyDescent="0.3">
      <c r="A701" s="202" t="s">
        <v>2588</v>
      </c>
      <c r="B701" s="202" t="s">
        <v>2589</v>
      </c>
      <c r="C701" s="201" t="s">
        <v>1566</v>
      </c>
      <c r="D701" s="202" t="s">
        <v>2588</v>
      </c>
    </row>
    <row r="702" spans="1:4" ht="41.4" x14ac:dyDescent="0.3">
      <c r="A702" s="200" t="s">
        <v>2590</v>
      </c>
      <c r="B702" s="200" t="s">
        <v>2591</v>
      </c>
      <c r="C702" s="201" t="s">
        <v>1566</v>
      </c>
      <c r="D702" s="200" t="s">
        <v>2590</v>
      </c>
    </row>
    <row r="703" spans="1:4" ht="41.4" x14ac:dyDescent="0.3">
      <c r="A703" s="200" t="s">
        <v>2592</v>
      </c>
      <c r="B703" s="200" t="s">
        <v>2593</v>
      </c>
      <c r="C703" s="201" t="s">
        <v>1566</v>
      </c>
      <c r="D703" s="200" t="s">
        <v>2592</v>
      </c>
    </row>
    <row r="704" spans="1:4" ht="82.8" x14ac:dyDescent="0.3">
      <c r="A704" s="200" t="s">
        <v>2594</v>
      </c>
      <c r="B704" s="200" t="s">
        <v>2595</v>
      </c>
      <c r="C704" s="201" t="s">
        <v>1566</v>
      </c>
      <c r="D704" s="200" t="s">
        <v>2594</v>
      </c>
    </row>
    <row r="705" spans="1:4" ht="27.6" x14ac:dyDescent="0.3">
      <c r="A705" s="202" t="s">
        <v>2596</v>
      </c>
      <c r="B705" s="202" t="s">
        <v>2597</v>
      </c>
      <c r="C705" s="201" t="s">
        <v>1566</v>
      </c>
      <c r="D705" s="202" t="s">
        <v>2596</v>
      </c>
    </row>
    <row r="706" spans="1:4" ht="82.8" x14ac:dyDescent="0.3">
      <c r="A706" s="202" t="s">
        <v>2598</v>
      </c>
      <c r="B706" s="202" t="s">
        <v>2599</v>
      </c>
      <c r="C706" s="201" t="s">
        <v>1566</v>
      </c>
      <c r="D706" s="202" t="s">
        <v>2598</v>
      </c>
    </row>
    <row r="707" spans="1:4" ht="82.8" x14ac:dyDescent="0.3">
      <c r="A707" s="202" t="s">
        <v>2600</v>
      </c>
      <c r="B707" s="202" t="s">
        <v>2601</v>
      </c>
      <c r="C707" s="201" t="s">
        <v>1566</v>
      </c>
      <c r="D707" s="202" t="s">
        <v>2600</v>
      </c>
    </row>
    <row r="708" spans="1:4" ht="55.2" x14ac:dyDescent="0.3">
      <c r="A708" s="202" t="s">
        <v>2602</v>
      </c>
      <c r="B708" s="202" t="s">
        <v>2603</v>
      </c>
      <c r="C708" s="201" t="s">
        <v>1566</v>
      </c>
      <c r="D708" s="202" t="s">
        <v>2602</v>
      </c>
    </row>
    <row r="709" spans="1:4" ht="96.6" x14ac:dyDescent="0.3">
      <c r="A709" s="202" t="s">
        <v>2604</v>
      </c>
      <c r="B709" s="202" t="s">
        <v>2605</v>
      </c>
      <c r="C709" s="201" t="s">
        <v>1566</v>
      </c>
      <c r="D709" s="202" t="s">
        <v>2604</v>
      </c>
    </row>
    <row r="710" spans="1:4" ht="124.2" x14ac:dyDescent="0.3">
      <c r="A710" s="202" t="s">
        <v>2606</v>
      </c>
      <c r="B710" s="202" t="s">
        <v>2607</v>
      </c>
      <c r="C710" s="201" t="s">
        <v>1566</v>
      </c>
      <c r="D710" s="202" t="s">
        <v>2606</v>
      </c>
    </row>
    <row r="711" spans="1:4" ht="41.4" x14ac:dyDescent="0.3">
      <c r="A711" s="202" t="s">
        <v>2608</v>
      </c>
      <c r="B711" s="202" t="s">
        <v>2609</v>
      </c>
      <c r="C711" s="201" t="s">
        <v>1566</v>
      </c>
      <c r="D711" s="202" t="s">
        <v>2608</v>
      </c>
    </row>
    <row r="712" spans="1:4" ht="55.2" x14ac:dyDescent="0.3">
      <c r="A712" s="202" t="s">
        <v>2610</v>
      </c>
      <c r="B712" s="202" t="s">
        <v>2611</v>
      </c>
      <c r="C712" s="201" t="s">
        <v>1566</v>
      </c>
      <c r="D712" s="202" t="s">
        <v>2610</v>
      </c>
    </row>
    <row r="713" spans="1:4" ht="55.2" x14ac:dyDescent="0.3">
      <c r="A713" s="200" t="s">
        <v>2612</v>
      </c>
      <c r="B713" s="203" t="s">
        <v>2613</v>
      </c>
      <c r="C713" s="201" t="s">
        <v>1566</v>
      </c>
      <c r="D713" s="200" t="s">
        <v>2612</v>
      </c>
    </row>
    <row r="714" spans="1:4" ht="55.2" x14ac:dyDescent="0.3">
      <c r="A714" s="200" t="s">
        <v>2614</v>
      </c>
      <c r="B714" s="200" t="s">
        <v>2615</v>
      </c>
      <c r="C714" s="201" t="s">
        <v>1566</v>
      </c>
      <c r="D714" s="200" t="s">
        <v>2614</v>
      </c>
    </row>
    <row r="715" spans="1:4" ht="27.6" x14ac:dyDescent="0.3">
      <c r="A715" s="200" t="s">
        <v>2616</v>
      </c>
      <c r="B715" s="200" t="s">
        <v>2617</v>
      </c>
      <c r="C715" s="201" t="s">
        <v>1566</v>
      </c>
      <c r="D715" s="200" t="s">
        <v>2616</v>
      </c>
    </row>
    <row r="716" spans="1:4" ht="27.6" x14ac:dyDescent="0.3">
      <c r="A716" s="202" t="s">
        <v>2618</v>
      </c>
      <c r="B716" s="202" t="s">
        <v>2619</v>
      </c>
      <c r="C716" s="201" t="s">
        <v>1566</v>
      </c>
      <c r="D716" s="202" t="s">
        <v>2618</v>
      </c>
    </row>
    <row r="717" spans="1:4" ht="27.6" x14ac:dyDescent="0.3">
      <c r="A717" s="202" t="s">
        <v>2618</v>
      </c>
      <c r="B717" s="202" t="s">
        <v>2620</v>
      </c>
      <c r="C717" s="201" t="s">
        <v>1566</v>
      </c>
      <c r="D717" s="202" t="s">
        <v>2618</v>
      </c>
    </row>
    <row r="718" spans="1:4" ht="41.4" x14ac:dyDescent="0.3">
      <c r="A718" s="202" t="s">
        <v>2621</v>
      </c>
      <c r="B718" s="202" t="s">
        <v>2622</v>
      </c>
      <c r="C718" s="201" t="s">
        <v>1566</v>
      </c>
      <c r="D718" s="202" t="s">
        <v>2621</v>
      </c>
    </row>
    <row r="719" spans="1:4" ht="20.399999999999999" x14ac:dyDescent="0.3">
      <c r="A719" s="202" t="s">
        <v>2623</v>
      </c>
      <c r="B719" s="202" t="s">
        <v>2624</v>
      </c>
      <c r="C719" s="201" t="s">
        <v>1566</v>
      </c>
      <c r="D719" s="202" t="s">
        <v>2623</v>
      </c>
    </row>
    <row r="720" spans="1:4" ht="27.6" x14ac:dyDescent="0.3">
      <c r="A720" s="202" t="s">
        <v>2625</v>
      </c>
      <c r="B720" s="202" t="s">
        <v>2626</v>
      </c>
      <c r="C720" s="201" t="s">
        <v>1566</v>
      </c>
      <c r="D720" s="202" t="s">
        <v>2625</v>
      </c>
    </row>
    <row r="721" spans="1:4" ht="69" x14ac:dyDescent="0.3">
      <c r="A721" s="202" t="s">
        <v>2627</v>
      </c>
      <c r="B721" s="202" t="s">
        <v>2628</v>
      </c>
      <c r="C721" s="201" t="s">
        <v>1566</v>
      </c>
      <c r="D721" s="202" t="s">
        <v>2627</v>
      </c>
    </row>
    <row r="722" spans="1:4" ht="41.4" x14ac:dyDescent="0.3">
      <c r="A722" s="202" t="s">
        <v>2629</v>
      </c>
      <c r="B722" s="202" t="s">
        <v>2630</v>
      </c>
      <c r="C722" s="201" t="s">
        <v>1566</v>
      </c>
      <c r="D722" s="202" t="s">
        <v>2629</v>
      </c>
    </row>
    <row r="723" spans="1:4" ht="27.6" x14ac:dyDescent="0.3">
      <c r="A723" s="202" t="s">
        <v>2631</v>
      </c>
      <c r="B723" s="202" t="s">
        <v>2632</v>
      </c>
      <c r="C723" s="201" t="s">
        <v>1566</v>
      </c>
      <c r="D723" s="202" t="s">
        <v>2631</v>
      </c>
    </row>
    <row r="724" spans="1:4" ht="55.2" x14ac:dyDescent="0.3">
      <c r="A724" s="202" t="s">
        <v>2633</v>
      </c>
      <c r="B724" s="202" t="s">
        <v>2634</v>
      </c>
      <c r="C724" s="201" t="s">
        <v>1566</v>
      </c>
      <c r="D724" s="202" t="s">
        <v>2633</v>
      </c>
    </row>
    <row r="725" spans="1:4" ht="55.2" x14ac:dyDescent="0.3">
      <c r="A725" s="202" t="s">
        <v>2635</v>
      </c>
      <c r="B725" s="202" t="s">
        <v>2636</v>
      </c>
      <c r="C725" s="201" t="s">
        <v>1566</v>
      </c>
      <c r="D725" s="202" t="s">
        <v>2635</v>
      </c>
    </row>
    <row r="726" spans="1:4" ht="96.6" x14ac:dyDescent="0.3">
      <c r="A726" s="202" t="s">
        <v>2637</v>
      </c>
      <c r="B726" s="202" t="s">
        <v>2638</v>
      </c>
      <c r="C726" s="201" t="s">
        <v>1566</v>
      </c>
      <c r="D726" s="202" t="s">
        <v>2637</v>
      </c>
    </row>
    <row r="727" spans="1:4" ht="55.2" x14ac:dyDescent="0.3">
      <c r="A727" s="202" t="s">
        <v>2639</v>
      </c>
      <c r="B727" s="202" t="s">
        <v>2640</v>
      </c>
      <c r="C727" s="201" t="s">
        <v>1566</v>
      </c>
      <c r="D727" s="202" t="s">
        <v>2639</v>
      </c>
    </row>
    <row r="728" spans="1:4" ht="124.2" x14ac:dyDescent="0.3">
      <c r="A728" s="200" t="s">
        <v>2641</v>
      </c>
      <c r="B728" s="200" t="s">
        <v>2642</v>
      </c>
      <c r="C728" s="201" t="s">
        <v>1566</v>
      </c>
      <c r="D728" s="200" t="s">
        <v>2641</v>
      </c>
    </row>
    <row r="729" spans="1:4" ht="69" x14ac:dyDescent="0.3">
      <c r="A729" s="200" t="s">
        <v>2643</v>
      </c>
      <c r="B729" s="200" t="s">
        <v>2644</v>
      </c>
      <c r="C729" s="201" t="s">
        <v>1566</v>
      </c>
      <c r="D729" s="200" t="s">
        <v>2643</v>
      </c>
    </row>
    <row r="730" spans="1:4" ht="41.4" x14ac:dyDescent="0.3">
      <c r="A730" s="202" t="s">
        <v>2645</v>
      </c>
      <c r="B730" s="202" t="s">
        <v>2646</v>
      </c>
      <c r="C730" s="201" t="s">
        <v>1566</v>
      </c>
      <c r="D730" s="202" t="s">
        <v>2645</v>
      </c>
    </row>
    <row r="731" spans="1:4" ht="41.4" x14ac:dyDescent="0.3">
      <c r="A731" s="202" t="s">
        <v>2645</v>
      </c>
      <c r="B731" s="202" t="s">
        <v>2647</v>
      </c>
      <c r="C731" s="201" t="s">
        <v>1566</v>
      </c>
      <c r="D731" s="202" t="s">
        <v>2645</v>
      </c>
    </row>
    <row r="732" spans="1:4" ht="41.4" x14ac:dyDescent="0.3">
      <c r="A732" s="202" t="s">
        <v>2648</v>
      </c>
      <c r="B732" s="202" t="s">
        <v>2649</v>
      </c>
      <c r="C732" s="201" t="s">
        <v>1566</v>
      </c>
      <c r="D732" s="202" t="s">
        <v>2648</v>
      </c>
    </row>
    <row r="733" spans="1:4" ht="27.6" x14ac:dyDescent="0.3">
      <c r="A733" s="200" t="s">
        <v>2650</v>
      </c>
      <c r="B733" s="200" t="s">
        <v>2651</v>
      </c>
      <c r="C733" s="201" t="s">
        <v>1566</v>
      </c>
      <c r="D733" s="200" t="s">
        <v>2650</v>
      </c>
    </row>
    <row r="734" spans="1:4" ht="41.4" x14ac:dyDescent="0.3">
      <c r="A734" s="200" t="s">
        <v>2652</v>
      </c>
      <c r="B734" s="200" t="s">
        <v>2653</v>
      </c>
      <c r="C734" s="201" t="s">
        <v>1566</v>
      </c>
      <c r="D734" s="200" t="s">
        <v>2652</v>
      </c>
    </row>
    <row r="735" spans="1:4" ht="41.4" x14ac:dyDescent="0.3">
      <c r="A735" s="200" t="s">
        <v>2654</v>
      </c>
      <c r="B735" s="200" t="s">
        <v>2655</v>
      </c>
      <c r="C735" s="201" t="s">
        <v>1566</v>
      </c>
      <c r="D735" s="200" t="s">
        <v>2654</v>
      </c>
    </row>
    <row r="736" spans="1:4" ht="55.2" x14ac:dyDescent="0.3">
      <c r="A736" s="200" t="s">
        <v>2656</v>
      </c>
      <c r="B736" s="200" t="s">
        <v>2657</v>
      </c>
      <c r="C736" s="201" t="s">
        <v>1566</v>
      </c>
      <c r="D736" s="200" t="s">
        <v>2656</v>
      </c>
    </row>
    <row r="737" spans="1:4" ht="41.4" x14ac:dyDescent="0.3">
      <c r="A737" s="200" t="s">
        <v>2658</v>
      </c>
      <c r="B737" s="200" t="s">
        <v>2659</v>
      </c>
      <c r="C737" s="201" t="s">
        <v>1566</v>
      </c>
      <c r="D737" s="200" t="s">
        <v>2658</v>
      </c>
    </row>
    <row r="738" spans="1:4" ht="41.4" x14ac:dyDescent="0.3">
      <c r="A738" s="200" t="s">
        <v>2660</v>
      </c>
      <c r="B738" s="200" t="s">
        <v>2661</v>
      </c>
      <c r="C738" s="201" t="s">
        <v>1566</v>
      </c>
      <c r="D738" s="200" t="s">
        <v>2660</v>
      </c>
    </row>
    <row r="739" spans="1:4" ht="41.4" x14ac:dyDescent="0.3">
      <c r="A739" s="200" t="s">
        <v>2662</v>
      </c>
      <c r="B739" s="200" t="s">
        <v>2663</v>
      </c>
      <c r="C739" s="201" t="s">
        <v>1566</v>
      </c>
      <c r="D739" s="200" t="s">
        <v>2662</v>
      </c>
    </row>
    <row r="740" spans="1:4" ht="69" x14ac:dyDescent="0.3">
      <c r="A740" s="200" t="s">
        <v>2664</v>
      </c>
      <c r="B740" s="200" t="s">
        <v>2665</v>
      </c>
      <c r="C740" s="201" t="s">
        <v>1566</v>
      </c>
      <c r="D740" s="200" t="s">
        <v>2664</v>
      </c>
    </row>
    <row r="741" spans="1:4" ht="27.6" x14ac:dyDescent="0.3">
      <c r="A741" s="200" t="s">
        <v>2666</v>
      </c>
      <c r="B741" s="200" t="s">
        <v>2667</v>
      </c>
      <c r="C741" s="201" t="s">
        <v>1566</v>
      </c>
      <c r="D741" s="200" t="s">
        <v>2666</v>
      </c>
    </row>
    <row r="742" spans="1:4" ht="27.6" x14ac:dyDescent="0.3">
      <c r="A742" s="202" t="s">
        <v>2668</v>
      </c>
      <c r="B742" s="202" t="s">
        <v>2669</v>
      </c>
      <c r="C742" s="201" t="s">
        <v>1566</v>
      </c>
      <c r="D742" s="202" t="s">
        <v>2668</v>
      </c>
    </row>
    <row r="743" spans="1:4" ht="27.6" x14ac:dyDescent="0.3">
      <c r="A743" s="202" t="s">
        <v>2670</v>
      </c>
      <c r="B743" s="202" t="s">
        <v>2671</v>
      </c>
      <c r="C743" s="201" t="s">
        <v>1566</v>
      </c>
      <c r="D743" s="202" t="s">
        <v>2670</v>
      </c>
    </row>
    <row r="744" spans="1:4" ht="20.399999999999999" x14ac:dyDescent="0.3">
      <c r="A744" s="202" t="s">
        <v>2672</v>
      </c>
      <c r="B744" s="202" t="s">
        <v>2673</v>
      </c>
      <c r="C744" s="201" t="s">
        <v>1566</v>
      </c>
      <c r="D744" s="202" t="s">
        <v>2672</v>
      </c>
    </row>
    <row r="745" spans="1:4" ht="20.399999999999999" x14ac:dyDescent="0.3">
      <c r="A745" s="200" t="s">
        <v>2674</v>
      </c>
      <c r="B745" s="200" t="s">
        <v>2675</v>
      </c>
      <c r="C745" s="201" t="s">
        <v>1566</v>
      </c>
      <c r="D745" s="200" t="s">
        <v>2674</v>
      </c>
    </row>
    <row r="746" spans="1:4" ht="20.399999999999999" x14ac:dyDescent="0.3">
      <c r="A746" s="200" t="s">
        <v>2676</v>
      </c>
      <c r="B746" s="200" t="s">
        <v>2677</v>
      </c>
      <c r="C746" s="201" t="s">
        <v>1566</v>
      </c>
      <c r="D746" s="200" t="s">
        <v>2676</v>
      </c>
    </row>
    <row r="747" spans="1:4" ht="20.399999999999999" x14ac:dyDescent="0.3">
      <c r="A747" s="202" t="s">
        <v>2678</v>
      </c>
      <c r="B747" s="202" t="s">
        <v>2679</v>
      </c>
      <c r="C747" s="201" t="s">
        <v>1566</v>
      </c>
      <c r="D747" s="202" t="s">
        <v>2678</v>
      </c>
    </row>
    <row r="748" spans="1:4" ht="27.6" x14ac:dyDescent="0.3">
      <c r="A748" s="202" t="s">
        <v>2680</v>
      </c>
      <c r="B748" s="202" t="s">
        <v>2681</v>
      </c>
      <c r="C748" s="201" t="s">
        <v>1566</v>
      </c>
      <c r="D748" s="202" t="s">
        <v>2680</v>
      </c>
    </row>
    <row r="749" spans="1:4" ht="20.399999999999999" x14ac:dyDescent="0.3">
      <c r="A749" s="202" t="s">
        <v>2682</v>
      </c>
      <c r="B749" s="202" t="s">
        <v>2683</v>
      </c>
      <c r="C749" s="201" t="s">
        <v>1566</v>
      </c>
      <c r="D749" s="202" t="s">
        <v>2682</v>
      </c>
    </row>
    <row r="750" spans="1:4" ht="20.399999999999999" x14ac:dyDescent="0.3">
      <c r="A750" s="202" t="s">
        <v>2684</v>
      </c>
      <c r="B750" s="202" t="s">
        <v>2685</v>
      </c>
      <c r="C750" s="201" t="s">
        <v>1566</v>
      </c>
      <c r="D750" s="202" t="s">
        <v>2684</v>
      </c>
    </row>
    <row r="751" spans="1:4" ht="20.399999999999999" x14ac:dyDescent="0.3">
      <c r="A751" s="202" t="s">
        <v>2686</v>
      </c>
      <c r="B751" s="202" t="s">
        <v>2687</v>
      </c>
      <c r="C751" s="201" t="s">
        <v>1566</v>
      </c>
      <c r="D751" s="202" t="s">
        <v>2686</v>
      </c>
    </row>
    <row r="752" spans="1:4" ht="27.6" x14ac:dyDescent="0.3">
      <c r="A752" s="202" t="s">
        <v>2688</v>
      </c>
      <c r="B752" s="202" t="s">
        <v>2689</v>
      </c>
      <c r="C752" s="201" t="s">
        <v>1566</v>
      </c>
      <c r="D752" s="202" t="s">
        <v>2688</v>
      </c>
    </row>
    <row r="753" spans="1:4" ht="27.6" x14ac:dyDescent="0.3">
      <c r="A753" s="202" t="s">
        <v>2690</v>
      </c>
      <c r="B753" s="202" t="s">
        <v>2691</v>
      </c>
      <c r="C753" s="201" t="s">
        <v>1566</v>
      </c>
      <c r="D753" s="202" t="s">
        <v>2690</v>
      </c>
    </row>
    <row r="754" spans="1:4" ht="27.6" x14ac:dyDescent="0.3">
      <c r="A754" s="202" t="s">
        <v>2692</v>
      </c>
      <c r="B754" s="202" t="s">
        <v>2693</v>
      </c>
      <c r="C754" s="201" t="s">
        <v>1566</v>
      </c>
      <c r="D754" s="202" t="s">
        <v>2692</v>
      </c>
    </row>
    <row r="755" spans="1:4" ht="20.399999999999999" x14ac:dyDescent="0.3">
      <c r="A755" s="202" t="s">
        <v>2694</v>
      </c>
      <c r="B755" s="202" t="s">
        <v>2695</v>
      </c>
      <c r="C755" s="201" t="s">
        <v>1566</v>
      </c>
      <c r="D755" s="202" t="s">
        <v>2694</v>
      </c>
    </row>
    <row r="756" spans="1:4" ht="20.399999999999999" x14ac:dyDescent="0.3">
      <c r="A756" s="200" t="s">
        <v>2696</v>
      </c>
      <c r="B756" s="200" t="s">
        <v>2697</v>
      </c>
      <c r="C756" s="201" t="s">
        <v>1566</v>
      </c>
      <c r="D756" s="200" t="s">
        <v>2696</v>
      </c>
    </row>
    <row r="757" spans="1:4" ht="69" x14ac:dyDescent="0.3">
      <c r="A757" s="200" t="s">
        <v>2698</v>
      </c>
      <c r="B757" s="200" t="s">
        <v>2699</v>
      </c>
      <c r="C757" s="201" t="s">
        <v>1566</v>
      </c>
      <c r="D757" s="200" t="s">
        <v>2698</v>
      </c>
    </row>
    <row r="758" spans="1:4" ht="27.6" x14ac:dyDescent="0.3">
      <c r="A758" s="200" t="s">
        <v>2700</v>
      </c>
      <c r="B758" s="200" t="s">
        <v>2701</v>
      </c>
      <c r="C758" s="201" t="s">
        <v>1566</v>
      </c>
      <c r="D758" s="200" t="s">
        <v>2700</v>
      </c>
    </row>
    <row r="759" spans="1:4" ht="20.399999999999999" x14ac:dyDescent="0.3">
      <c r="A759" s="200" t="s">
        <v>2702</v>
      </c>
      <c r="B759" s="200" t="s">
        <v>2703</v>
      </c>
      <c r="C759" s="201" t="s">
        <v>1566</v>
      </c>
      <c r="D759" s="200" t="s">
        <v>2702</v>
      </c>
    </row>
    <row r="760" spans="1:4" ht="20.399999999999999" x14ac:dyDescent="0.3">
      <c r="A760" s="200" t="s">
        <v>2704</v>
      </c>
      <c r="B760" s="200" t="s">
        <v>2705</v>
      </c>
      <c r="C760" s="201" t="s">
        <v>1566</v>
      </c>
      <c r="D760" s="200" t="s">
        <v>2704</v>
      </c>
    </row>
    <row r="761" spans="1:4" ht="20.399999999999999" x14ac:dyDescent="0.3">
      <c r="A761" s="200" t="s">
        <v>2706</v>
      </c>
      <c r="B761" s="200" t="s">
        <v>2707</v>
      </c>
      <c r="C761" s="201" t="s">
        <v>1566</v>
      </c>
      <c r="D761" s="200" t="s">
        <v>2706</v>
      </c>
    </row>
    <row r="762" spans="1:4" ht="20.399999999999999" x14ac:dyDescent="0.3">
      <c r="A762" s="200" t="s">
        <v>2708</v>
      </c>
      <c r="B762" s="203" t="s">
        <v>2709</v>
      </c>
      <c r="C762" s="201" t="s">
        <v>1566</v>
      </c>
      <c r="D762" s="200" t="s">
        <v>2708</v>
      </c>
    </row>
    <row r="763" spans="1:4" ht="27.6" x14ac:dyDescent="0.3">
      <c r="A763" s="200" t="s">
        <v>2710</v>
      </c>
      <c r="B763" s="200" t="s">
        <v>2711</v>
      </c>
      <c r="C763" s="201" t="s">
        <v>1566</v>
      </c>
      <c r="D763" s="200" t="s">
        <v>2710</v>
      </c>
    </row>
    <row r="764" spans="1:4" ht="55.2" x14ac:dyDescent="0.3">
      <c r="A764" s="200" t="s">
        <v>2712</v>
      </c>
      <c r="B764" s="200" t="s">
        <v>2713</v>
      </c>
      <c r="C764" s="201" t="s">
        <v>1566</v>
      </c>
      <c r="D764" s="200" t="s">
        <v>2712</v>
      </c>
    </row>
    <row r="765" spans="1:4" ht="55.2" x14ac:dyDescent="0.3">
      <c r="A765" s="200" t="s">
        <v>2714</v>
      </c>
      <c r="B765" s="200" t="s">
        <v>2715</v>
      </c>
      <c r="C765" s="201" t="s">
        <v>1566</v>
      </c>
      <c r="D765" s="200" t="s">
        <v>2714</v>
      </c>
    </row>
    <row r="766" spans="1:4" ht="69" x14ac:dyDescent="0.3">
      <c r="A766" s="200" t="s">
        <v>2716</v>
      </c>
      <c r="B766" s="200" t="s">
        <v>2717</v>
      </c>
      <c r="C766" s="201" t="s">
        <v>1566</v>
      </c>
      <c r="D766" s="200" t="s">
        <v>2716</v>
      </c>
    </row>
    <row r="767" spans="1:4" ht="41.4" x14ac:dyDescent="0.3">
      <c r="A767" s="200" t="s">
        <v>2718</v>
      </c>
      <c r="B767" s="200" t="s">
        <v>2719</v>
      </c>
      <c r="C767" s="201" t="s">
        <v>1566</v>
      </c>
      <c r="D767" s="200" t="s">
        <v>2718</v>
      </c>
    </row>
    <row r="768" spans="1:4" ht="55.2" x14ac:dyDescent="0.3">
      <c r="A768" s="202" t="s">
        <v>2720</v>
      </c>
      <c r="B768" s="202" t="s">
        <v>2721</v>
      </c>
      <c r="C768" s="201" t="s">
        <v>1566</v>
      </c>
      <c r="D768" s="202" t="s">
        <v>2720</v>
      </c>
    </row>
    <row r="769" spans="1:4" ht="55.2" x14ac:dyDescent="0.3">
      <c r="A769" s="202" t="s">
        <v>2722</v>
      </c>
      <c r="B769" s="202" t="s">
        <v>2723</v>
      </c>
      <c r="C769" s="201" t="s">
        <v>1566</v>
      </c>
      <c r="D769" s="202" t="s">
        <v>2722</v>
      </c>
    </row>
    <row r="770" spans="1:4" ht="27.6" x14ac:dyDescent="0.3">
      <c r="A770" s="200" t="s">
        <v>2724</v>
      </c>
      <c r="B770" s="200" t="s">
        <v>2725</v>
      </c>
      <c r="C770" s="201" t="s">
        <v>1566</v>
      </c>
      <c r="D770" s="200" t="s">
        <v>2724</v>
      </c>
    </row>
    <row r="771" spans="1:4" ht="27.6" x14ac:dyDescent="0.3">
      <c r="A771" s="200" t="s">
        <v>2726</v>
      </c>
      <c r="B771" s="200" t="s">
        <v>2727</v>
      </c>
      <c r="C771" s="201" t="s">
        <v>1566</v>
      </c>
      <c r="D771" s="200" t="s">
        <v>2726</v>
      </c>
    </row>
    <row r="772" spans="1:4" ht="41.4" x14ac:dyDescent="0.3">
      <c r="A772" s="200" t="s">
        <v>2728</v>
      </c>
      <c r="B772" s="200" t="s">
        <v>2729</v>
      </c>
      <c r="C772" s="201" t="s">
        <v>1566</v>
      </c>
      <c r="D772" s="200" t="s">
        <v>2728</v>
      </c>
    </row>
    <row r="773" spans="1:4" ht="55.2" x14ac:dyDescent="0.3">
      <c r="A773" s="202" t="s">
        <v>2730</v>
      </c>
      <c r="B773" s="202" t="s">
        <v>2731</v>
      </c>
      <c r="C773" s="201" t="s">
        <v>1566</v>
      </c>
      <c r="D773" s="202" t="s">
        <v>2730</v>
      </c>
    </row>
    <row r="774" spans="1:4" ht="55.2" x14ac:dyDescent="0.3">
      <c r="A774" s="202" t="s">
        <v>2730</v>
      </c>
      <c r="B774" s="202" t="s">
        <v>2732</v>
      </c>
      <c r="C774" s="201" t="s">
        <v>1566</v>
      </c>
      <c r="D774" s="202" t="s">
        <v>2730</v>
      </c>
    </row>
    <row r="775" spans="1:4" ht="27.6" x14ac:dyDescent="0.3">
      <c r="A775" s="202" t="s">
        <v>2733</v>
      </c>
      <c r="B775" s="202" t="s">
        <v>2734</v>
      </c>
      <c r="C775" s="201" t="s">
        <v>1566</v>
      </c>
      <c r="D775" s="202" t="s">
        <v>2733</v>
      </c>
    </row>
    <row r="776" spans="1:4" ht="82.8" x14ac:dyDescent="0.3">
      <c r="A776" s="202" t="s">
        <v>2735</v>
      </c>
      <c r="B776" s="202" t="s">
        <v>2736</v>
      </c>
      <c r="C776" s="201" t="s">
        <v>1566</v>
      </c>
      <c r="D776" s="202" t="s">
        <v>2735</v>
      </c>
    </row>
    <row r="777" spans="1:4" ht="55.2" x14ac:dyDescent="0.3">
      <c r="A777" s="200" t="s">
        <v>2737</v>
      </c>
      <c r="B777" s="200" t="s">
        <v>2738</v>
      </c>
      <c r="C777" s="201" t="s">
        <v>1566</v>
      </c>
      <c r="D777" s="200" t="s">
        <v>2737</v>
      </c>
    </row>
    <row r="778" spans="1:4" ht="55.2" x14ac:dyDescent="0.3">
      <c r="A778" s="200" t="s">
        <v>2739</v>
      </c>
      <c r="B778" s="200" t="s">
        <v>2740</v>
      </c>
      <c r="C778" s="201" t="s">
        <v>1566</v>
      </c>
      <c r="D778" s="200" t="s">
        <v>2739</v>
      </c>
    </row>
    <row r="779" spans="1:4" ht="27.6" x14ac:dyDescent="0.3">
      <c r="A779" s="200" t="s">
        <v>2741</v>
      </c>
      <c r="B779" s="200" t="s">
        <v>2742</v>
      </c>
      <c r="C779" s="201" t="s">
        <v>1566</v>
      </c>
      <c r="D779" s="200" t="s">
        <v>2741</v>
      </c>
    </row>
    <row r="780" spans="1:4" ht="27.6" x14ac:dyDescent="0.3">
      <c r="A780" s="200" t="s">
        <v>2741</v>
      </c>
      <c r="B780" s="200" t="s">
        <v>2743</v>
      </c>
      <c r="C780" s="201" t="s">
        <v>1566</v>
      </c>
      <c r="D780" s="200" t="s">
        <v>2741</v>
      </c>
    </row>
    <row r="781" spans="1:4" ht="82.8" x14ac:dyDescent="0.3">
      <c r="A781" s="202" t="s">
        <v>2744</v>
      </c>
      <c r="B781" s="202" t="s">
        <v>2745</v>
      </c>
      <c r="C781" s="201" t="s">
        <v>1566</v>
      </c>
      <c r="D781" s="202" t="s">
        <v>2744</v>
      </c>
    </row>
    <row r="782" spans="1:4" ht="82.8" x14ac:dyDescent="0.3">
      <c r="A782" s="202" t="s">
        <v>2746</v>
      </c>
      <c r="B782" s="202" t="s">
        <v>2747</v>
      </c>
      <c r="C782" s="201" t="s">
        <v>1566</v>
      </c>
      <c r="D782" s="202" t="s">
        <v>2746</v>
      </c>
    </row>
    <row r="783" spans="1:4" ht="82.8" x14ac:dyDescent="0.3">
      <c r="A783" s="200" t="s">
        <v>2748</v>
      </c>
      <c r="B783" s="200" t="s">
        <v>2749</v>
      </c>
      <c r="C783" s="201" t="s">
        <v>1566</v>
      </c>
      <c r="D783" s="200" t="s">
        <v>2748</v>
      </c>
    </row>
    <row r="784" spans="1:4" ht="69" x14ac:dyDescent="0.3">
      <c r="A784" s="200" t="s">
        <v>2750</v>
      </c>
      <c r="B784" s="200" t="s">
        <v>2751</v>
      </c>
      <c r="C784" s="201" t="s">
        <v>1566</v>
      </c>
      <c r="D784" s="200" t="s">
        <v>2750</v>
      </c>
    </row>
    <row r="785" spans="1:4" ht="55.2" x14ac:dyDescent="0.3">
      <c r="A785" s="200" t="s">
        <v>2752</v>
      </c>
      <c r="B785" s="200" t="s">
        <v>2753</v>
      </c>
      <c r="C785" s="201" t="s">
        <v>1566</v>
      </c>
      <c r="D785" s="200" t="s">
        <v>2752</v>
      </c>
    </row>
    <row r="786" spans="1:4" ht="41.4" x14ac:dyDescent="0.3">
      <c r="A786" s="200" t="s">
        <v>2754</v>
      </c>
      <c r="B786" s="200" t="s">
        <v>2755</v>
      </c>
      <c r="C786" s="201" t="s">
        <v>1566</v>
      </c>
      <c r="D786" s="200" t="s">
        <v>2754</v>
      </c>
    </row>
    <row r="787" spans="1:4" ht="41.4" x14ac:dyDescent="0.3">
      <c r="A787" s="200" t="s">
        <v>2756</v>
      </c>
      <c r="B787" s="200" t="s">
        <v>2757</v>
      </c>
      <c r="C787" s="201" t="s">
        <v>1566</v>
      </c>
      <c r="D787" s="200" t="s">
        <v>2756</v>
      </c>
    </row>
    <row r="788" spans="1:4" ht="69" x14ac:dyDescent="0.3">
      <c r="A788" s="200" t="s">
        <v>2758</v>
      </c>
      <c r="B788" s="200" t="s">
        <v>2759</v>
      </c>
      <c r="C788" s="201" t="s">
        <v>1566</v>
      </c>
      <c r="D788" s="200" t="s">
        <v>2758</v>
      </c>
    </row>
    <row r="789" spans="1:4" ht="41.4" x14ac:dyDescent="0.3">
      <c r="A789" s="200" t="s">
        <v>2760</v>
      </c>
      <c r="B789" s="200" t="s">
        <v>2761</v>
      </c>
      <c r="C789" s="201" t="s">
        <v>1566</v>
      </c>
      <c r="D789" s="200" t="s">
        <v>2760</v>
      </c>
    </row>
    <row r="790" spans="1:4" ht="27.6" x14ac:dyDescent="0.3">
      <c r="A790" s="200" t="s">
        <v>2762</v>
      </c>
      <c r="B790" s="200" t="s">
        <v>2763</v>
      </c>
      <c r="C790" s="201" t="s">
        <v>1566</v>
      </c>
      <c r="D790" s="200" t="s">
        <v>2762</v>
      </c>
    </row>
    <row r="791" spans="1:4" ht="27.6" x14ac:dyDescent="0.3">
      <c r="A791" s="200" t="s">
        <v>2764</v>
      </c>
      <c r="B791" s="200" t="s">
        <v>2765</v>
      </c>
      <c r="C791" s="201" t="s">
        <v>1566</v>
      </c>
      <c r="D791" s="200" t="s">
        <v>2764</v>
      </c>
    </row>
    <row r="792" spans="1:4" ht="41.4" x14ac:dyDescent="0.3">
      <c r="A792" s="200" t="s">
        <v>2766</v>
      </c>
      <c r="B792" s="200" t="s">
        <v>2767</v>
      </c>
      <c r="C792" s="201" t="s">
        <v>1566</v>
      </c>
      <c r="D792" s="200" t="s">
        <v>2766</v>
      </c>
    </row>
    <row r="793" spans="1:4" ht="41.4" x14ac:dyDescent="0.3">
      <c r="A793" s="200" t="s">
        <v>2768</v>
      </c>
      <c r="B793" s="200" t="s">
        <v>2769</v>
      </c>
      <c r="C793" s="201" t="s">
        <v>1566</v>
      </c>
      <c r="D793" s="200" t="s">
        <v>2768</v>
      </c>
    </row>
    <row r="794" spans="1:4" ht="27.6" x14ac:dyDescent="0.3">
      <c r="A794" s="202" t="s">
        <v>2770</v>
      </c>
      <c r="B794" s="202" t="s">
        <v>2771</v>
      </c>
      <c r="C794" s="201" t="s">
        <v>1566</v>
      </c>
      <c r="D794" s="202" t="s">
        <v>2770</v>
      </c>
    </row>
    <row r="795" spans="1:4" ht="41.4" x14ac:dyDescent="0.3">
      <c r="A795" s="202" t="s">
        <v>2772</v>
      </c>
      <c r="B795" s="202" t="s">
        <v>2773</v>
      </c>
      <c r="C795" s="201" t="s">
        <v>1566</v>
      </c>
      <c r="D795" s="202" t="s">
        <v>2772</v>
      </c>
    </row>
    <row r="796" spans="1:4" ht="27.6" x14ac:dyDescent="0.3">
      <c r="A796" s="200" t="s">
        <v>2774</v>
      </c>
      <c r="B796" s="200" t="s">
        <v>2775</v>
      </c>
      <c r="C796" s="201" t="s">
        <v>1566</v>
      </c>
      <c r="D796" s="200" t="s">
        <v>2774</v>
      </c>
    </row>
    <row r="797" spans="1:4" ht="41.4" x14ac:dyDescent="0.3">
      <c r="A797" s="200" t="s">
        <v>2776</v>
      </c>
      <c r="B797" s="200" t="s">
        <v>2777</v>
      </c>
      <c r="C797" s="201" t="s">
        <v>1566</v>
      </c>
      <c r="D797" s="200" t="s">
        <v>2776</v>
      </c>
    </row>
    <row r="798" spans="1:4" ht="27.6" x14ac:dyDescent="0.3">
      <c r="A798" s="202" t="s">
        <v>2778</v>
      </c>
      <c r="B798" s="202" t="s">
        <v>2779</v>
      </c>
      <c r="C798" s="201" t="s">
        <v>1566</v>
      </c>
      <c r="D798" s="202" t="s">
        <v>2778</v>
      </c>
    </row>
    <row r="799" spans="1:4" ht="82.8" x14ac:dyDescent="0.3">
      <c r="A799" s="202" t="s">
        <v>2780</v>
      </c>
      <c r="B799" s="202" t="s">
        <v>2781</v>
      </c>
      <c r="C799" s="201" t="s">
        <v>1566</v>
      </c>
      <c r="D799" s="202" t="s">
        <v>2780</v>
      </c>
    </row>
    <row r="800" spans="1:4" ht="55.2" x14ac:dyDescent="0.3">
      <c r="A800" s="202" t="s">
        <v>2782</v>
      </c>
      <c r="B800" s="202" t="s">
        <v>2783</v>
      </c>
      <c r="C800" s="201" t="s">
        <v>1566</v>
      </c>
      <c r="D800" s="202" t="s">
        <v>2782</v>
      </c>
    </row>
    <row r="801" spans="1:4" ht="96.6" x14ac:dyDescent="0.3">
      <c r="A801" s="202" t="s">
        <v>2784</v>
      </c>
      <c r="B801" s="202" t="s">
        <v>2785</v>
      </c>
      <c r="C801" s="201" t="s">
        <v>1566</v>
      </c>
      <c r="D801" s="202" t="s">
        <v>2784</v>
      </c>
    </row>
    <row r="802" spans="1:4" ht="124.2" x14ac:dyDescent="0.3">
      <c r="A802" s="202" t="s">
        <v>2786</v>
      </c>
      <c r="B802" s="202" t="s">
        <v>2787</v>
      </c>
      <c r="C802" s="201" t="s">
        <v>1566</v>
      </c>
      <c r="D802" s="202" t="s">
        <v>2786</v>
      </c>
    </row>
    <row r="803" spans="1:4" ht="41.4" x14ac:dyDescent="0.3">
      <c r="A803" s="202" t="s">
        <v>2788</v>
      </c>
      <c r="B803" s="202" t="s">
        <v>2789</v>
      </c>
      <c r="C803" s="201" t="s">
        <v>1566</v>
      </c>
      <c r="D803" s="202" t="s">
        <v>2788</v>
      </c>
    </row>
    <row r="804" spans="1:4" ht="69" x14ac:dyDescent="0.3">
      <c r="A804" s="202" t="s">
        <v>2790</v>
      </c>
      <c r="B804" s="202" t="s">
        <v>2791</v>
      </c>
      <c r="C804" s="201" t="s">
        <v>1566</v>
      </c>
      <c r="D804" s="202" t="s">
        <v>2790</v>
      </c>
    </row>
    <row r="805" spans="1:4" ht="96.6" x14ac:dyDescent="0.3">
      <c r="A805" s="202" t="s">
        <v>2792</v>
      </c>
      <c r="B805" s="202" t="s">
        <v>2793</v>
      </c>
      <c r="C805" s="201" t="s">
        <v>1566</v>
      </c>
      <c r="D805" s="202" t="s">
        <v>2792</v>
      </c>
    </row>
    <row r="806" spans="1:4" ht="110.4" x14ac:dyDescent="0.3">
      <c r="A806" s="202" t="s">
        <v>2794</v>
      </c>
      <c r="B806" s="202" t="s">
        <v>2795</v>
      </c>
      <c r="C806" s="201" t="s">
        <v>1566</v>
      </c>
      <c r="D806" s="202" t="s">
        <v>2794</v>
      </c>
    </row>
    <row r="807" spans="1:4" ht="96.6" x14ac:dyDescent="0.3">
      <c r="A807" s="202" t="s">
        <v>2796</v>
      </c>
      <c r="B807" s="202" t="s">
        <v>2797</v>
      </c>
      <c r="C807" s="201" t="s">
        <v>1566</v>
      </c>
      <c r="D807" s="202" t="s">
        <v>2796</v>
      </c>
    </row>
    <row r="808" spans="1:4" ht="165.6" x14ac:dyDescent="0.3">
      <c r="A808" s="202" t="s">
        <v>2798</v>
      </c>
      <c r="B808" s="202" t="s">
        <v>2799</v>
      </c>
      <c r="C808" s="201" t="s">
        <v>1566</v>
      </c>
      <c r="D808" s="202" t="s">
        <v>2798</v>
      </c>
    </row>
    <row r="809" spans="1:4" ht="41.4" x14ac:dyDescent="0.3">
      <c r="A809" s="202" t="s">
        <v>2800</v>
      </c>
      <c r="B809" s="202" t="s">
        <v>2801</v>
      </c>
      <c r="C809" s="201" t="s">
        <v>1566</v>
      </c>
      <c r="D809" s="202" t="s">
        <v>2800</v>
      </c>
    </row>
    <row r="810" spans="1:4" ht="69" x14ac:dyDescent="0.3">
      <c r="A810" s="202" t="s">
        <v>2802</v>
      </c>
      <c r="B810" s="202" t="s">
        <v>2803</v>
      </c>
      <c r="C810" s="201" t="s">
        <v>1566</v>
      </c>
      <c r="D810" s="202" t="s">
        <v>2802</v>
      </c>
    </row>
    <row r="811" spans="1:4" ht="82.8" x14ac:dyDescent="0.3">
      <c r="A811" s="200" t="s">
        <v>2804</v>
      </c>
      <c r="B811" s="203" t="s">
        <v>2805</v>
      </c>
      <c r="C811" s="201" t="s">
        <v>1566</v>
      </c>
      <c r="D811" s="200" t="s">
        <v>2804</v>
      </c>
    </row>
    <row r="812" spans="1:4" ht="82.8" x14ac:dyDescent="0.3">
      <c r="A812" s="200" t="s">
        <v>2806</v>
      </c>
      <c r="B812" s="200" t="s">
        <v>2807</v>
      </c>
      <c r="C812" s="201" t="s">
        <v>1566</v>
      </c>
      <c r="D812" s="200" t="s">
        <v>2806</v>
      </c>
    </row>
    <row r="813" spans="1:4" ht="55.2" x14ac:dyDescent="0.3">
      <c r="A813" s="200" t="s">
        <v>2808</v>
      </c>
      <c r="B813" s="200" t="s">
        <v>2809</v>
      </c>
      <c r="C813" s="201" t="s">
        <v>1566</v>
      </c>
      <c r="D813" s="200" t="s">
        <v>2808</v>
      </c>
    </row>
    <row r="814" spans="1:4" ht="69" x14ac:dyDescent="0.3">
      <c r="A814" s="202" t="s">
        <v>2810</v>
      </c>
      <c r="B814" s="202" t="s">
        <v>2811</v>
      </c>
      <c r="C814" s="201" t="s">
        <v>1566</v>
      </c>
      <c r="D814" s="202" t="s">
        <v>2810</v>
      </c>
    </row>
    <row r="815" spans="1:4" ht="55.2" x14ac:dyDescent="0.3">
      <c r="A815" s="202" t="s">
        <v>2812</v>
      </c>
      <c r="B815" s="202" t="s">
        <v>2813</v>
      </c>
      <c r="C815" s="201" t="s">
        <v>1566</v>
      </c>
      <c r="D815" s="202" t="s">
        <v>2812</v>
      </c>
    </row>
    <row r="816" spans="1:4" ht="82.8" x14ac:dyDescent="0.3">
      <c r="A816" s="202" t="s">
        <v>2814</v>
      </c>
      <c r="B816" s="202" t="s">
        <v>2815</v>
      </c>
      <c r="C816" s="201" t="s">
        <v>1566</v>
      </c>
      <c r="D816" s="202" t="s">
        <v>2814</v>
      </c>
    </row>
    <row r="817" spans="1:4" ht="124.2" x14ac:dyDescent="0.3">
      <c r="A817" s="202" t="s">
        <v>2816</v>
      </c>
      <c r="B817" s="202" t="s">
        <v>2817</v>
      </c>
      <c r="C817" s="201" t="s">
        <v>1566</v>
      </c>
      <c r="D817" s="202" t="s">
        <v>2816</v>
      </c>
    </row>
    <row r="818" spans="1:4" ht="41.4" x14ac:dyDescent="0.3">
      <c r="A818" s="200" t="s">
        <v>2818</v>
      </c>
      <c r="B818" s="200" t="s">
        <v>2819</v>
      </c>
      <c r="C818" s="201" t="s">
        <v>1566</v>
      </c>
      <c r="D818" s="200" t="s">
        <v>2818</v>
      </c>
    </row>
    <row r="819" spans="1:4" ht="96.6" x14ac:dyDescent="0.3">
      <c r="A819" s="200" t="s">
        <v>2820</v>
      </c>
      <c r="B819" s="200" t="s">
        <v>2821</v>
      </c>
      <c r="C819" s="201" t="s">
        <v>1566</v>
      </c>
      <c r="D819" s="200" t="s">
        <v>2820</v>
      </c>
    </row>
    <row r="820" spans="1:4" ht="41.4" x14ac:dyDescent="0.3">
      <c r="A820" s="200" t="s">
        <v>2822</v>
      </c>
      <c r="B820" s="200" t="s">
        <v>2823</v>
      </c>
      <c r="C820" s="201" t="s">
        <v>1566</v>
      </c>
      <c r="D820" s="200" t="s">
        <v>2822</v>
      </c>
    </row>
    <row r="821" spans="1:4" ht="55.2" x14ac:dyDescent="0.3">
      <c r="A821" s="202" t="s">
        <v>2824</v>
      </c>
      <c r="B821" s="202" t="s">
        <v>2825</v>
      </c>
      <c r="C821" s="201" t="s">
        <v>1566</v>
      </c>
      <c r="D821" s="202" t="s">
        <v>2824</v>
      </c>
    </row>
    <row r="822" spans="1:4" ht="55.2" x14ac:dyDescent="0.3">
      <c r="A822" s="202" t="s">
        <v>2824</v>
      </c>
      <c r="B822" s="202" t="s">
        <v>2826</v>
      </c>
      <c r="C822" s="201" t="s">
        <v>1566</v>
      </c>
      <c r="D822" s="202" t="s">
        <v>2824</v>
      </c>
    </row>
    <row r="823" spans="1:4" ht="27.6" x14ac:dyDescent="0.3">
      <c r="A823" s="202" t="s">
        <v>2827</v>
      </c>
      <c r="B823" s="202" t="s">
        <v>2828</v>
      </c>
      <c r="C823" s="201" t="s">
        <v>1566</v>
      </c>
      <c r="D823" s="202" t="s">
        <v>2827</v>
      </c>
    </row>
    <row r="824" spans="1:4" ht="41.4" x14ac:dyDescent="0.3">
      <c r="A824" s="202" t="s">
        <v>2829</v>
      </c>
      <c r="B824" s="202" t="s">
        <v>2830</v>
      </c>
      <c r="C824" s="201" t="s">
        <v>1566</v>
      </c>
      <c r="D824" s="202" t="s">
        <v>2829</v>
      </c>
    </row>
    <row r="825" spans="1:4" ht="69" x14ac:dyDescent="0.3">
      <c r="A825" s="202" t="s">
        <v>2831</v>
      </c>
      <c r="B825" s="202" t="s">
        <v>2832</v>
      </c>
      <c r="C825" s="201" t="s">
        <v>1566</v>
      </c>
      <c r="D825" s="202" t="s">
        <v>2831</v>
      </c>
    </row>
    <row r="826" spans="1:4" ht="124.2" x14ac:dyDescent="0.3">
      <c r="A826" s="200" t="s">
        <v>2833</v>
      </c>
      <c r="B826" s="200" t="s">
        <v>2834</v>
      </c>
      <c r="C826" s="201" t="s">
        <v>1566</v>
      </c>
      <c r="D826" s="200" t="s">
        <v>2833</v>
      </c>
    </row>
    <row r="827" spans="1:4" ht="55.2" x14ac:dyDescent="0.3">
      <c r="A827" s="200" t="s">
        <v>2835</v>
      </c>
      <c r="B827" s="200" t="s">
        <v>2836</v>
      </c>
      <c r="C827" s="201" t="s">
        <v>1566</v>
      </c>
      <c r="D827" s="200" t="s">
        <v>2835</v>
      </c>
    </row>
    <row r="828" spans="1:4" ht="41.4" x14ac:dyDescent="0.3">
      <c r="A828" s="202" t="s">
        <v>2837</v>
      </c>
      <c r="B828" s="202" t="s">
        <v>2838</v>
      </c>
      <c r="C828" s="201" t="s">
        <v>1566</v>
      </c>
      <c r="D828" s="202" t="s">
        <v>2837</v>
      </c>
    </row>
    <row r="829" spans="1:4" ht="41.4" x14ac:dyDescent="0.3">
      <c r="A829" s="202" t="s">
        <v>2837</v>
      </c>
      <c r="B829" s="202" t="s">
        <v>2839</v>
      </c>
      <c r="C829" s="201" t="s">
        <v>1566</v>
      </c>
      <c r="D829" s="202" t="s">
        <v>2837</v>
      </c>
    </row>
    <row r="830" spans="1:4" ht="96.6" x14ac:dyDescent="0.3">
      <c r="A830" s="202" t="s">
        <v>2840</v>
      </c>
      <c r="B830" s="202" t="s">
        <v>2841</v>
      </c>
      <c r="C830" s="201" t="s">
        <v>1566</v>
      </c>
      <c r="D830" s="202" t="s">
        <v>2840</v>
      </c>
    </row>
    <row r="831" spans="1:4" ht="55.2" x14ac:dyDescent="0.3">
      <c r="A831" s="202" t="s">
        <v>2842</v>
      </c>
      <c r="B831" s="202" t="s">
        <v>2843</v>
      </c>
      <c r="C831" s="201" t="s">
        <v>1566</v>
      </c>
      <c r="D831" s="202" t="s">
        <v>2842</v>
      </c>
    </row>
    <row r="832" spans="1:4" ht="69" x14ac:dyDescent="0.3">
      <c r="A832" s="202" t="s">
        <v>2844</v>
      </c>
      <c r="B832" s="202" t="s">
        <v>2845</v>
      </c>
      <c r="C832" s="201" t="s">
        <v>1566</v>
      </c>
      <c r="D832" s="202" t="s">
        <v>2844</v>
      </c>
    </row>
    <row r="833" spans="1:4" ht="69" x14ac:dyDescent="0.3">
      <c r="A833" s="202" t="s">
        <v>2846</v>
      </c>
      <c r="B833" s="202" t="s">
        <v>2847</v>
      </c>
      <c r="C833" s="201" t="s">
        <v>1566</v>
      </c>
      <c r="D833" s="202" t="s">
        <v>2846</v>
      </c>
    </row>
    <row r="834" spans="1:4" ht="69" x14ac:dyDescent="0.3">
      <c r="A834" s="202" t="s">
        <v>2848</v>
      </c>
      <c r="B834" s="202" t="s">
        <v>2849</v>
      </c>
      <c r="C834" s="201" t="s">
        <v>1566</v>
      </c>
      <c r="D834" s="202" t="s">
        <v>2848</v>
      </c>
    </row>
    <row r="835" spans="1:4" ht="41.4" x14ac:dyDescent="0.3">
      <c r="A835" s="202" t="s">
        <v>2850</v>
      </c>
      <c r="B835" s="202" t="s">
        <v>2851</v>
      </c>
      <c r="C835" s="201" t="s">
        <v>1566</v>
      </c>
      <c r="D835" s="202" t="s">
        <v>2850</v>
      </c>
    </row>
    <row r="836" spans="1:4" ht="165.6" x14ac:dyDescent="0.3">
      <c r="A836" s="202" t="s">
        <v>2852</v>
      </c>
      <c r="B836" s="202" t="s">
        <v>2853</v>
      </c>
      <c r="C836" s="201" t="s">
        <v>1566</v>
      </c>
      <c r="D836" s="202" t="s">
        <v>2852</v>
      </c>
    </row>
    <row r="837" spans="1:4" ht="55.2" x14ac:dyDescent="0.3">
      <c r="A837" s="202" t="s">
        <v>2854</v>
      </c>
      <c r="B837" s="202" t="s">
        <v>2855</v>
      </c>
      <c r="C837" s="201" t="s">
        <v>1566</v>
      </c>
      <c r="D837" s="202" t="s">
        <v>2854</v>
      </c>
    </row>
    <row r="838" spans="1:4" ht="27.6" x14ac:dyDescent="0.3">
      <c r="A838" s="202" t="s">
        <v>2856</v>
      </c>
      <c r="B838" s="202" t="s">
        <v>2857</v>
      </c>
      <c r="C838" s="201" t="s">
        <v>1566</v>
      </c>
      <c r="D838" s="202" t="s">
        <v>2856</v>
      </c>
    </row>
    <row r="839" spans="1:4" ht="41.4" x14ac:dyDescent="0.3">
      <c r="A839" s="202" t="s">
        <v>2858</v>
      </c>
      <c r="B839" s="202" t="s">
        <v>2859</v>
      </c>
      <c r="C839" s="201" t="s">
        <v>1566</v>
      </c>
      <c r="D839" s="202" t="s">
        <v>2858</v>
      </c>
    </row>
    <row r="840" spans="1:4" ht="110.4" x14ac:dyDescent="0.3">
      <c r="A840" s="202" t="s">
        <v>2860</v>
      </c>
      <c r="B840" s="202" t="s">
        <v>2861</v>
      </c>
      <c r="C840" s="201" t="s">
        <v>1566</v>
      </c>
      <c r="D840" s="202" t="s">
        <v>2860</v>
      </c>
    </row>
    <row r="841" spans="1:4" ht="138" x14ac:dyDescent="0.3">
      <c r="A841" s="202" t="s">
        <v>2862</v>
      </c>
      <c r="B841" s="202" t="s">
        <v>2863</v>
      </c>
      <c r="C841" s="201" t="s">
        <v>1566</v>
      </c>
      <c r="D841" s="202" t="s">
        <v>2862</v>
      </c>
    </row>
    <row r="842" spans="1:4" ht="82.8" x14ac:dyDescent="0.3">
      <c r="A842" s="202" t="s">
        <v>2864</v>
      </c>
      <c r="B842" s="202" t="s">
        <v>2865</v>
      </c>
      <c r="C842" s="201" t="s">
        <v>1566</v>
      </c>
      <c r="D842" s="202" t="s">
        <v>2864</v>
      </c>
    </row>
    <row r="843" spans="1:4" ht="193.2" x14ac:dyDescent="0.3">
      <c r="A843" s="202" t="s">
        <v>2866</v>
      </c>
      <c r="B843" s="202" t="s">
        <v>2867</v>
      </c>
      <c r="C843" s="201" t="s">
        <v>1566</v>
      </c>
      <c r="D843" s="202" t="s">
        <v>2866</v>
      </c>
    </row>
    <row r="844" spans="1:4" ht="69" x14ac:dyDescent="0.3">
      <c r="A844" s="202" t="s">
        <v>2868</v>
      </c>
      <c r="B844" s="202" t="s">
        <v>2869</v>
      </c>
      <c r="C844" s="201" t="s">
        <v>1566</v>
      </c>
      <c r="D844" s="202" t="s">
        <v>2868</v>
      </c>
    </row>
    <row r="845" spans="1:4" ht="55.2" x14ac:dyDescent="0.3">
      <c r="A845" s="202" t="s">
        <v>2870</v>
      </c>
      <c r="B845" s="202" t="s">
        <v>2871</v>
      </c>
      <c r="C845" s="201" t="s">
        <v>1566</v>
      </c>
      <c r="D845" s="202" t="s">
        <v>2870</v>
      </c>
    </row>
    <row r="846" spans="1:4" ht="82.8" x14ac:dyDescent="0.3">
      <c r="A846" s="200" t="s">
        <v>2872</v>
      </c>
      <c r="B846" s="200" t="s">
        <v>2873</v>
      </c>
      <c r="C846" s="201" t="s">
        <v>1566</v>
      </c>
      <c r="D846" s="200" t="s">
        <v>2872</v>
      </c>
    </row>
    <row r="847" spans="1:4" ht="55.2" x14ac:dyDescent="0.3">
      <c r="A847" s="200" t="s">
        <v>2874</v>
      </c>
      <c r="B847" s="200" t="s">
        <v>2875</v>
      </c>
      <c r="C847" s="201" t="s">
        <v>1566</v>
      </c>
      <c r="D847" s="200" t="s">
        <v>2874</v>
      </c>
    </row>
    <row r="848" spans="1:4" ht="27.6" x14ac:dyDescent="0.3">
      <c r="A848" s="202" t="s">
        <v>2876</v>
      </c>
      <c r="B848" s="202" t="s">
        <v>2877</v>
      </c>
      <c r="C848" s="201" t="s">
        <v>1566</v>
      </c>
      <c r="D848" s="202" t="s">
        <v>2876</v>
      </c>
    </row>
    <row r="849" spans="1:4" ht="27.6" x14ac:dyDescent="0.3">
      <c r="A849" s="202" t="s">
        <v>2876</v>
      </c>
      <c r="B849" s="202" t="s">
        <v>2878</v>
      </c>
      <c r="C849" s="201" t="s">
        <v>1566</v>
      </c>
      <c r="D849" s="202" t="s">
        <v>2876</v>
      </c>
    </row>
    <row r="850" spans="1:4" ht="27.6" x14ac:dyDescent="0.3">
      <c r="A850" s="202" t="s">
        <v>2879</v>
      </c>
      <c r="B850" s="202" t="s">
        <v>2880</v>
      </c>
      <c r="C850" s="201" t="s">
        <v>1566</v>
      </c>
      <c r="D850" s="202" t="s">
        <v>2879</v>
      </c>
    </row>
    <row r="851" spans="1:4" ht="69" x14ac:dyDescent="0.3">
      <c r="A851" s="202" t="s">
        <v>2881</v>
      </c>
      <c r="B851" s="202" t="s">
        <v>2882</v>
      </c>
      <c r="C851" s="201" t="s">
        <v>1566</v>
      </c>
      <c r="D851" s="202" t="s">
        <v>2881</v>
      </c>
    </row>
    <row r="852" spans="1:4" ht="55.2" x14ac:dyDescent="0.3">
      <c r="A852" s="202" t="s">
        <v>2883</v>
      </c>
      <c r="B852" s="202" t="s">
        <v>2884</v>
      </c>
      <c r="C852" s="201" t="s">
        <v>1566</v>
      </c>
      <c r="D852" s="202" t="s">
        <v>2883</v>
      </c>
    </row>
    <row r="853" spans="1:4" ht="55.2" x14ac:dyDescent="0.3">
      <c r="A853" s="202" t="s">
        <v>2885</v>
      </c>
      <c r="B853" s="202" t="s">
        <v>2886</v>
      </c>
      <c r="C853" s="201" t="s">
        <v>1566</v>
      </c>
      <c r="D853" s="202" t="s">
        <v>2885</v>
      </c>
    </row>
    <row r="854" spans="1:4" ht="41.4" x14ac:dyDescent="0.3">
      <c r="A854" s="202" t="s">
        <v>2887</v>
      </c>
      <c r="B854" s="202" t="s">
        <v>2888</v>
      </c>
      <c r="C854" s="201" t="s">
        <v>1566</v>
      </c>
      <c r="D854" s="202" t="s">
        <v>2887</v>
      </c>
    </row>
    <row r="855" spans="1:4" ht="69" x14ac:dyDescent="0.3">
      <c r="A855" s="202" t="s">
        <v>2889</v>
      </c>
      <c r="B855" s="202" t="s">
        <v>2890</v>
      </c>
      <c r="C855" s="201" t="s">
        <v>1566</v>
      </c>
      <c r="D855" s="202" t="s">
        <v>2889</v>
      </c>
    </row>
    <row r="856" spans="1:4" ht="41.4" x14ac:dyDescent="0.3">
      <c r="A856" s="200" t="s">
        <v>2891</v>
      </c>
      <c r="B856" s="200" t="s">
        <v>2892</v>
      </c>
      <c r="C856" s="201" t="s">
        <v>1566</v>
      </c>
      <c r="D856" s="200" t="s">
        <v>2891</v>
      </c>
    </row>
    <row r="857" spans="1:4" ht="69" x14ac:dyDescent="0.3">
      <c r="A857" s="200" t="s">
        <v>2893</v>
      </c>
      <c r="B857" s="200" t="s">
        <v>2894</v>
      </c>
      <c r="C857" s="201" t="s">
        <v>1566</v>
      </c>
      <c r="D857" s="200" t="s">
        <v>2893</v>
      </c>
    </row>
    <row r="858" spans="1:4" ht="82.8" x14ac:dyDescent="0.3">
      <c r="A858" s="202" t="s">
        <v>2895</v>
      </c>
      <c r="B858" s="202" t="s">
        <v>2896</v>
      </c>
      <c r="C858" s="201" t="s">
        <v>1566</v>
      </c>
      <c r="D858" s="202" t="s">
        <v>2895</v>
      </c>
    </row>
    <row r="859" spans="1:4" ht="82.8" x14ac:dyDescent="0.3">
      <c r="A859" s="202" t="s">
        <v>2897</v>
      </c>
      <c r="B859" s="202" t="s">
        <v>2898</v>
      </c>
      <c r="C859" s="201" t="s">
        <v>1566</v>
      </c>
      <c r="D859" s="202" t="s">
        <v>2897</v>
      </c>
    </row>
    <row r="860" spans="1:4" ht="110.4" x14ac:dyDescent="0.3">
      <c r="A860" s="202" t="s">
        <v>2899</v>
      </c>
      <c r="B860" s="202" t="s">
        <v>2900</v>
      </c>
      <c r="C860" s="201" t="s">
        <v>1566</v>
      </c>
      <c r="D860" s="202" t="s">
        <v>2899</v>
      </c>
    </row>
    <row r="861" spans="1:4" ht="96.6" x14ac:dyDescent="0.3">
      <c r="A861" s="202" t="s">
        <v>2901</v>
      </c>
      <c r="B861" s="202" t="s">
        <v>2902</v>
      </c>
      <c r="C861" s="201" t="s">
        <v>1566</v>
      </c>
      <c r="D861" s="202" t="s">
        <v>2901</v>
      </c>
    </row>
    <row r="862" spans="1:4" ht="179.4" x14ac:dyDescent="0.3">
      <c r="A862" s="202" t="s">
        <v>2903</v>
      </c>
      <c r="B862" s="202" t="s">
        <v>2904</v>
      </c>
      <c r="C862" s="201" t="s">
        <v>1566</v>
      </c>
      <c r="D862" s="202" t="s">
        <v>2903</v>
      </c>
    </row>
    <row r="863" spans="1:4" ht="110.4" x14ac:dyDescent="0.3">
      <c r="A863" s="202" t="s">
        <v>2905</v>
      </c>
      <c r="B863" s="202" t="s">
        <v>2906</v>
      </c>
      <c r="C863" s="201" t="s">
        <v>1566</v>
      </c>
      <c r="D863" s="202" t="s">
        <v>2905</v>
      </c>
    </row>
    <row r="864" spans="1:4" ht="55.2" x14ac:dyDescent="0.3">
      <c r="A864" s="202" t="s">
        <v>2907</v>
      </c>
      <c r="B864" s="202" t="s">
        <v>2908</v>
      </c>
      <c r="C864" s="201" t="s">
        <v>1566</v>
      </c>
      <c r="D864" s="202" t="s">
        <v>2907</v>
      </c>
    </row>
    <row r="865" spans="1:4" ht="82.8" x14ac:dyDescent="0.3">
      <c r="A865" s="202" t="s">
        <v>2909</v>
      </c>
      <c r="B865" s="202" t="s">
        <v>2910</v>
      </c>
      <c r="C865" s="201" t="s">
        <v>1566</v>
      </c>
      <c r="D865" s="202" t="s">
        <v>2909</v>
      </c>
    </row>
    <row r="866" spans="1:4" ht="69" x14ac:dyDescent="0.3">
      <c r="A866" s="200" t="s">
        <v>2911</v>
      </c>
      <c r="B866" s="200" t="s">
        <v>2912</v>
      </c>
      <c r="C866" s="201" t="s">
        <v>1566</v>
      </c>
      <c r="D866" s="200" t="s">
        <v>2911</v>
      </c>
    </row>
    <row r="867" spans="1:4" ht="96.6" x14ac:dyDescent="0.3">
      <c r="A867" s="202" t="s">
        <v>2913</v>
      </c>
      <c r="B867" s="202" t="s">
        <v>2914</v>
      </c>
      <c r="C867" s="201" t="s">
        <v>1566</v>
      </c>
      <c r="D867" s="202" t="s">
        <v>2913</v>
      </c>
    </row>
    <row r="868" spans="1:4" ht="20.399999999999999" x14ac:dyDescent="0.3">
      <c r="A868" s="202" t="s">
        <v>2915</v>
      </c>
      <c r="B868" s="202" t="s">
        <v>2916</v>
      </c>
      <c r="C868" s="201" t="s">
        <v>1566</v>
      </c>
      <c r="D868" s="202" t="s">
        <v>2915</v>
      </c>
    </row>
    <row r="869" spans="1:4" ht="41.4" x14ac:dyDescent="0.3">
      <c r="A869" s="200" t="s">
        <v>2917</v>
      </c>
      <c r="B869" s="200" t="s">
        <v>2918</v>
      </c>
      <c r="C869" s="201" t="s">
        <v>1566</v>
      </c>
      <c r="D869" s="200" t="s">
        <v>2917</v>
      </c>
    </row>
    <row r="870" spans="1:4" ht="55.2" x14ac:dyDescent="0.3">
      <c r="A870" s="200" t="s">
        <v>2919</v>
      </c>
      <c r="B870" s="200" t="s">
        <v>2920</v>
      </c>
      <c r="C870" s="201" t="s">
        <v>1566</v>
      </c>
      <c r="D870" s="200" t="s">
        <v>2919</v>
      </c>
    </row>
    <row r="871" spans="1:4" ht="82.8" x14ac:dyDescent="0.3">
      <c r="A871" s="202" t="s">
        <v>2921</v>
      </c>
      <c r="B871" s="202" t="s">
        <v>2922</v>
      </c>
      <c r="C871" s="201" t="s">
        <v>1566</v>
      </c>
      <c r="D871" s="202" t="s">
        <v>2921</v>
      </c>
    </row>
    <row r="872" spans="1:4" ht="82.8" x14ac:dyDescent="0.3">
      <c r="A872" s="202" t="s">
        <v>2921</v>
      </c>
      <c r="B872" s="202" t="s">
        <v>2923</v>
      </c>
      <c r="C872" s="201" t="s">
        <v>1566</v>
      </c>
      <c r="D872" s="202" t="s">
        <v>2921</v>
      </c>
    </row>
    <row r="873" spans="1:4" ht="124.2" x14ac:dyDescent="0.3">
      <c r="A873" s="202" t="s">
        <v>2924</v>
      </c>
      <c r="B873" s="202" t="s">
        <v>2925</v>
      </c>
      <c r="C873" s="201" t="s">
        <v>1566</v>
      </c>
      <c r="D873" s="202" t="s">
        <v>2924</v>
      </c>
    </row>
    <row r="874" spans="1:4" ht="96.6" x14ac:dyDescent="0.3">
      <c r="A874" s="202" t="s">
        <v>2926</v>
      </c>
      <c r="B874" s="202" t="s">
        <v>2927</v>
      </c>
      <c r="C874" s="201" t="s">
        <v>1566</v>
      </c>
      <c r="D874" s="202" t="s">
        <v>2926</v>
      </c>
    </row>
    <row r="875" spans="1:4" ht="41.4" x14ac:dyDescent="0.3">
      <c r="A875" s="202" t="s">
        <v>2928</v>
      </c>
      <c r="B875" s="202" t="s">
        <v>2929</v>
      </c>
      <c r="C875" s="201" t="s">
        <v>1566</v>
      </c>
      <c r="D875" s="202" t="s">
        <v>2928</v>
      </c>
    </row>
    <row r="876" spans="1:4" ht="82.8" x14ac:dyDescent="0.3">
      <c r="A876" s="202" t="s">
        <v>2930</v>
      </c>
      <c r="B876" s="202" t="s">
        <v>2931</v>
      </c>
      <c r="C876" s="201" t="s">
        <v>1566</v>
      </c>
      <c r="D876" s="202" t="s">
        <v>2930</v>
      </c>
    </row>
    <row r="877" spans="1:4" ht="82.8" x14ac:dyDescent="0.3">
      <c r="A877" s="202" t="s">
        <v>2932</v>
      </c>
      <c r="B877" s="202" t="s">
        <v>2933</v>
      </c>
      <c r="C877" s="201" t="s">
        <v>1566</v>
      </c>
      <c r="D877" s="202" t="s">
        <v>2932</v>
      </c>
    </row>
    <row r="878" spans="1:4" ht="41.4" x14ac:dyDescent="0.3">
      <c r="A878" s="202" t="s">
        <v>2934</v>
      </c>
      <c r="B878" s="202" t="s">
        <v>2935</v>
      </c>
      <c r="C878" s="201" t="s">
        <v>1566</v>
      </c>
      <c r="D878" s="202" t="s">
        <v>2934</v>
      </c>
    </row>
    <row r="879" spans="1:4" ht="69" x14ac:dyDescent="0.3">
      <c r="A879" s="200" t="s">
        <v>2936</v>
      </c>
      <c r="B879" s="200" t="s">
        <v>2937</v>
      </c>
      <c r="C879" s="201" t="s">
        <v>1566</v>
      </c>
      <c r="D879" s="200" t="s">
        <v>2936</v>
      </c>
    </row>
    <row r="880" spans="1:4" ht="55.2" x14ac:dyDescent="0.3">
      <c r="A880" s="200" t="s">
        <v>2938</v>
      </c>
      <c r="B880" s="200" t="s">
        <v>2939</v>
      </c>
      <c r="C880" s="201" t="s">
        <v>1566</v>
      </c>
      <c r="D880" s="200" t="s">
        <v>2938</v>
      </c>
    </row>
    <row r="881" spans="1:4" ht="55.2" x14ac:dyDescent="0.3">
      <c r="A881" s="202" t="s">
        <v>2940</v>
      </c>
      <c r="B881" s="202" t="s">
        <v>2941</v>
      </c>
      <c r="C881" s="201" t="s">
        <v>1566</v>
      </c>
      <c r="D881" s="202" t="s">
        <v>2940</v>
      </c>
    </row>
    <row r="882" spans="1:4" ht="55.2" x14ac:dyDescent="0.3">
      <c r="A882" s="202" t="s">
        <v>2940</v>
      </c>
      <c r="B882" s="202" t="s">
        <v>2942</v>
      </c>
      <c r="C882" s="201" t="s">
        <v>1566</v>
      </c>
      <c r="D882" s="202" t="s">
        <v>2940</v>
      </c>
    </row>
    <row r="883" spans="1:4" ht="27.6" x14ac:dyDescent="0.3">
      <c r="A883" s="202" t="s">
        <v>2943</v>
      </c>
      <c r="B883" s="202" t="s">
        <v>2944</v>
      </c>
      <c r="C883" s="201" t="s">
        <v>1566</v>
      </c>
      <c r="D883" s="202" t="s">
        <v>2943</v>
      </c>
    </row>
    <row r="884" spans="1:4" ht="55.2" x14ac:dyDescent="0.3">
      <c r="A884" s="202" t="s">
        <v>2945</v>
      </c>
      <c r="B884" s="202" t="s">
        <v>2946</v>
      </c>
      <c r="C884" s="201" t="s">
        <v>1566</v>
      </c>
      <c r="D884" s="202" t="s">
        <v>2945</v>
      </c>
    </row>
    <row r="885" spans="1:4" ht="41.4" x14ac:dyDescent="0.3">
      <c r="A885" s="202" t="s">
        <v>2947</v>
      </c>
      <c r="B885" s="202" t="s">
        <v>2948</v>
      </c>
      <c r="C885" s="201" t="s">
        <v>1566</v>
      </c>
      <c r="D885" s="202" t="s">
        <v>2947</v>
      </c>
    </row>
    <row r="886" spans="1:4" ht="69" x14ac:dyDescent="0.3">
      <c r="A886" s="202" t="s">
        <v>2949</v>
      </c>
      <c r="B886" s="202" t="s">
        <v>2950</v>
      </c>
      <c r="C886" s="201" t="s">
        <v>1566</v>
      </c>
      <c r="D886" s="202" t="s">
        <v>2949</v>
      </c>
    </row>
    <row r="887" spans="1:4" ht="55.2" x14ac:dyDescent="0.3">
      <c r="A887" s="202" t="s">
        <v>2951</v>
      </c>
      <c r="B887" s="202" t="s">
        <v>2952</v>
      </c>
      <c r="C887" s="201" t="s">
        <v>1566</v>
      </c>
      <c r="D887" s="202" t="s">
        <v>2951</v>
      </c>
    </row>
    <row r="888" spans="1:4" ht="55.2" x14ac:dyDescent="0.3">
      <c r="A888" s="200" t="s">
        <v>2953</v>
      </c>
      <c r="B888" s="200" t="s">
        <v>2954</v>
      </c>
      <c r="C888" s="201" t="s">
        <v>1566</v>
      </c>
      <c r="D888" s="200" t="s">
        <v>2953</v>
      </c>
    </row>
    <row r="889" spans="1:4" ht="41.4" x14ac:dyDescent="0.3">
      <c r="A889" s="200" t="s">
        <v>2955</v>
      </c>
      <c r="B889" s="200" t="s">
        <v>2956</v>
      </c>
      <c r="C889" s="201" t="s">
        <v>1566</v>
      </c>
      <c r="D889" s="200" t="s">
        <v>2955</v>
      </c>
    </row>
    <row r="890" spans="1:4" ht="69" x14ac:dyDescent="0.3">
      <c r="A890" s="200" t="s">
        <v>2957</v>
      </c>
      <c r="B890" s="203" t="s">
        <v>2958</v>
      </c>
      <c r="C890" s="201" t="s">
        <v>1566</v>
      </c>
      <c r="D890" s="200" t="s">
        <v>2957</v>
      </c>
    </row>
    <row r="891" spans="1:4" ht="69" x14ac:dyDescent="0.3">
      <c r="A891" s="200" t="s">
        <v>2957</v>
      </c>
      <c r="B891" s="200" t="s">
        <v>2959</v>
      </c>
      <c r="C891" s="201" t="s">
        <v>1566</v>
      </c>
      <c r="D891" s="200" t="s">
        <v>2957</v>
      </c>
    </row>
    <row r="892" spans="1:4" ht="41.4" x14ac:dyDescent="0.3">
      <c r="A892" s="200" t="s">
        <v>2960</v>
      </c>
      <c r="B892" s="200" t="s">
        <v>2961</v>
      </c>
      <c r="C892" s="201" t="s">
        <v>1566</v>
      </c>
      <c r="D892" s="200" t="s">
        <v>2960</v>
      </c>
    </row>
    <row r="893" spans="1:4" ht="124.2" x14ac:dyDescent="0.3">
      <c r="A893" s="202" t="s">
        <v>2962</v>
      </c>
      <c r="B893" s="202" t="s">
        <v>2963</v>
      </c>
      <c r="C893" s="201" t="s">
        <v>1566</v>
      </c>
      <c r="D893" s="202" t="s">
        <v>2962</v>
      </c>
    </row>
    <row r="894" spans="1:4" ht="55.2" x14ac:dyDescent="0.3">
      <c r="A894" s="202" t="s">
        <v>2964</v>
      </c>
      <c r="B894" s="202" t="s">
        <v>2965</v>
      </c>
      <c r="C894" s="201" t="s">
        <v>1566</v>
      </c>
      <c r="D894" s="202" t="s">
        <v>2964</v>
      </c>
    </row>
    <row r="895" spans="1:4" ht="69" x14ac:dyDescent="0.3">
      <c r="A895" s="202" t="s">
        <v>2966</v>
      </c>
      <c r="B895" s="202" t="s">
        <v>2967</v>
      </c>
      <c r="C895" s="201" t="s">
        <v>1566</v>
      </c>
      <c r="D895" s="202" t="s">
        <v>2966</v>
      </c>
    </row>
    <row r="896" spans="1:4" ht="27.6" x14ac:dyDescent="0.3">
      <c r="A896" s="202" t="s">
        <v>2968</v>
      </c>
      <c r="B896" s="202" t="s">
        <v>2969</v>
      </c>
      <c r="C896" s="201" t="s">
        <v>1566</v>
      </c>
      <c r="D896" s="202" t="s">
        <v>2968</v>
      </c>
    </row>
    <row r="897" spans="1:4" ht="27.6" x14ac:dyDescent="0.3">
      <c r="A897" s="200" t="s">
        <v>2970</v>
      </c>
      <c r="B897" s="200" t="s">
        <v>2971</v>
      </c>
      <c r="C897" s="201" t="s">
        <v>1566</v>
      </c>
      <c r="D897" s="200" t="s">
        <v>2970</v>
      </c>
    </row>
    <row r="898" spans="1:4" ht="27.6" x14ac:dyDescent="0.3">
      <c r="A898" s="200" t="s">
        <v>2972</v>
      </c>
      <c r="B898" s="200" t="s">
        <v>2973</v>
      </c>
      <c r="C898" s="201" t="s">
        <v>1566</v>
      </c>
      <c r="D898" s="200" t="s">
        <v>2972</v>
      </c>
    </row>
    <row r="899" spans="1:4" ht="69" x14ac:dyDescent="0.3">
      <c r="A899" s="200" t="s">
        <v>2974</v>
      </c>
      <c r="B899" s="200" t="s">
        <v>2975</v>
      </c>
      <c r="C899" s="201" t="s">
        <v>1566</v>
      </c>
      <c r="D899" s="200" t="s">
        <v>2974</v>
      </c>
    </row>
    <row r="900" spans="1:4" ht="69" x14ac:dyDescent="0.3">
      <c r="A900" s="202" t="s">
        <v>2976</v>
      </c>
      <c r="B900" s="202" t="s">
        <v>2977</v>
      </c>
      <c r="C900" s="201" t="s">
        <v>1566</v>
      </c>
      <c r="D900" s="202" t="s">
        <v>2976</v>
      </c>
    </row>
    <row r="901" spans="1:4" ht="69" x14ac:dyDescent="0.3">
      <c r="A901" s="202" t="s">
        <v>2976</v>
      </c>
      <c r="B901" s="202" t="s">
        <v>2978</v>
      </c>
      <c r="C901" s="201" t="s">
        <v>1566</v>
      </c>
      <c r="D901" s="202" t="s">
        <v>2976</v>
      </c>
    </row>
    <row r="902" spans="1:4" ht="69" x14ac:dyDescent="0.3">
      <c r="A902" s="202" t="s">
        <v>2979</v>
      </c>
      <c r="B902" s="202" t="s">
        <v>2980</v>
      </c>
      <c r="C902" s="201" t="s">
        <v>1566</v>
      </c>
      <c r="D902" s="202" t="s">
        <v>2979</v>
      </c>
    </row>
    <row r="903" spans="1:4" ht="96.6" x14ac:dyDescent="0.3">
      <c r="A903" s="202" t="s">
        <v>2981</v>
      </c>
      <c r="B903" s="202" t="s">
        <v>2982</v>
      </c>
      <c r="C903" s="201" t="s">
        <v>1566</v>
      </c>
      <c r="D903" s="202" t="s">
        <v>2981</v>
      </c>
    </row>
    <row r="904" spans="1:4" ht="41.4" x14ac:dyDescent="0.3">
      <c r="A904" s="202" t="s">
        <v>2983</v>
      </c>
      <c r="B904" s="202" t="s">
        <v>2984</v>
      </c>
      <c r="C904" s="201" t="s">
        <v>1566</v>
      </c>
      <c r="D904" s="202" t="s">
        <v>2983</v>
      </c>
    </row>
    <row r="905" spans="1:4" ht="41.4" x14ac:dyDescent="0.3">
      <c r="A905" s="202" t="s">
        <v>2985</v>
      </c>
      <c r="B905" s="202" t="s">
        <v>2986</v>
      </c>
      <c r="C905" s="201" t="s">
        <v>1566</v>
      </c>
      <c r="D905" s="202" t="s">
        <v>2985</v>
      </c>
    </row>
    <row r="906" spans="1:4" ht="27.6" x14ac:dyDescent="0.3">
      <c r="A906" s="200" t="s">
        <v>2987</v>
      </c>
      <c r="B906" s="200" t="s">
        <v>2988</v>
      </c>
      <c r="C906" s="201" t="s">
        <v>1566</v>
      </c>
      <c r="D906" s="200" t="s">
        <v>2987</v>
      </c>
    </row>
    <row r="907" spans="1:4" ht="69" x14ac:dyDescent="0.3">
      <c r="A907" s="200" t="s">
        <v>2989</v>
      </c>
      <c r="B907" s="200" t="s">
        <v>2990</v>
      </c>
      <c r="C907" s="201" t="s">
        <v>1566</v>
      </c>
      <c r="D907" s="200" t="s">
        <v>2989</v>
      </c>
    </row>
    <row r="908" spans="1:4" ht="27.6" x14ac:dyDescent="0.3">
      <c r="A908" s="200" t="s">
        <v>2991</v>
      </c>
      <c r="B908" s="200" t="s">
        <v>2992</v>
      </c>
      <c r="C908" s="201" t="s">
        <v>1566</v>
      </c>
      <c r="D908" s="200" t="s">
        <v>2991</v>
      </c>
    </row>
    <row r="909" spans="1:4" ht="41.4" x14ac:dyDescent="0.3">
      <c r="A909" s="202" t="s">
        <v>2993</v>
      </c>
      <c r="B909" s="202" t="s">
        <v>2994</v>
      </c>
      <c r="C909" s="201" t="s">
        <v>1566</v>
      </c>
      <c r="D909" s="202" t="s">
        <v>2993</v>
      </c>
    </row>
    <row r="910" spans="1:4" ht="69" x14ac:dyDescent="0.3">
      <c r="A910" s="202" t="s">
        <v>2995</v>
      </c>
      <c r="B910" s="202" t="s">
        <v>2996</v>
      </c>
      <c r="C910" s="201" t="s">
        <v>1566</v>
      </c>
      <c r="D910" s="202" t="s">
        <v>2995</v>
      </c>
    </row>
    <row r="911" spans="1:4" ht="27.6" x14ac:dyDescent="0.3">
      <c r="A911" s="202" t="s">
        <v>2997</v>
      </c>
      <c r="B911" s="202" t="s">
        <v>2998</v>
      </c>
      <c r="C911" s="201" t="s">
        <v>1566</v>
      </c>
      <c r="D911" s="202" t="s">
        <v>2997</v>
      </c>
    </row>
    <row r="912" spans="1:4" ht="27.6" x14ac:dyDescent="0.3">
      <c r="A912" s="200" t="s">
        <v>2999</v>
      </c>
      <c r="B912" s="200" t="s">
        <v>3000</v>
      </c>
      <c r="C912" s="201" t="s">
        <v>1566</v>
      </c>
      <c r="D912" s="200" t="s">
        <v>2999</v>
      </c>
    </row>
    <row r="913" spans="1:4" ht="55.2" x14ac:dyDescent="0.3">
      <c r="A913" s="200" t="s">
        <v>3001</v>
      </c>
      <c r="B913" s="200" t="s">
        <v>3002</v>
      </c>
      <c r="C913" s="201" t="s">
        <v>1566</v>
      </c>
      <c r="D913" s="200" t="s">
        <v>3001</v>
      </c>
    </row>
    <row r="914" spans="1:4" ht="41.4" x14ac:dyDescent="0.3">
      <c r="A914" s="200" t="s">
        <v>3003</v>
      </c>
      <c r="B914" s="200" t="s">
        <v>3004</v>
      </c>
      <c r="C914" s="201" t="s">
        <v>1566</v>
      </c>
      <c r="D914" s="200" t="s">
        <v>3003</v>
      </c>
    </row>
    <row r="915" spans="1:4" ht="55.2" x14ac:dyDescent="0.3">
      <c r="A915" s="200" t="s">
        <v>3005</v>
      </c>
      <c r="B915" s="200" t="s">
        <v>3006</v>
      </c>
      <c r="C915" s="201" t="s">
        <v>1566</v>
      </c>
      <c r="D915" s="200" t="s">
        <v>3005</v>
      </c>
    </row>
    <row r="916" spans="1:4" ht="55.2" x14ac:dyDescent="0.3">
      <c r="A916" s="200" t="s">
        <v>3005</v>
      </c>
      <c r="B916" s="200" t="s">
        <v>3007</v>
      </c>
      <c r="C916" s="201" t="s">
        <v>1566</v>
      </c>
      <c r="D916" s="200" t="s">
        <v>3005</v>
      </c>
    </row>
    <row r="917" spans="1:4" ht="27.6" x14ac:dyDescent="0.3">
      <c r="A917" s="202" t="s">
        <v>3008</v>
      </c>
      <c r="B917" s="202" t="s">
        <v>3009</v>
      </c>
      <c r="C917" s="201" t="s">
        <v>1566</v>
      </c>
      <c r="D917" s="202" t="s">
        <v>3008</v>
      </c>
    </row>
    <row r="918" spans="1:4" ht="55.2" x14ac:dyDescent="0.3">
      <c r="A918" s="202" t="s">
        <v>3010</v>
      </c>
      <c r="B918" s="202" t="s">
        <v>3011</v>
      </c>
      <c r="C918" s="201" t="s">
        <v>1566</v>
      </c>
      <c r="D918" s="202" t="s">
        <v>3010</v>
      </c>
    </row>
    <row r="919" spans="1:4" ht="27.6" x14ac:dyDescent="0.3">
      <c r="A919" s="202" t="s">
        <v>3012</v>
      </c>
      <c r="B919" s="202" t="s">
        <v>3013</v>
      </c>
      <c r="C919" s="201" t="s">
        <v>1566</v>
      </c>
      <c r="D919" s="202" t="s">
        <v>3012</v>
      </c>
    </row>
    <row r="920" spans="1:4" ht="41.4" x14ac:dyDescent="0.3">
      <c r="A920" s="202" t="s">
        <v>3014</v>
      </c>
      <c r="B920" s="202" t="s">
        <v>3015</v>
      </c>
      <c r="C920" s="201" t="s">
        <v>1566</v>
      </c>
      <c r="D920" s="202" t="s">
        <v>3014</v>
      </c>
    </row>
    <row r="921" spans="1:4" ht="27.6" x14ac:dyDescent="0.3">
      <c r="A921" s="202" t="s">
        <v>3016</v>
      </c>
      <c r="B921" s="202" t="s">
        <v>3017</v>
      </c>
      <c r="C921" s="201" t="s">
        <v>1566</v>
      </c>
      <c r="D921" s="202" t="s">
        <v>3016</v>
      </c>
    </row>
    <row r="922" spans="1:4" ht="27.6" x14ac:dyDescent="0.3">
      <c r="A922" s="202" t="s">
        <v>3018</v>
      </c>
      <c r="B922" s="202" t="s">
        <v>3019</v>
      </c>
      <c r="C922" s="201" t="s">
        <v>1566</v>
      </c>
      <c r="D922" s="202" t="s">
        <v>3018</v>
      </c>
    </row>
    <row r="923" spans="1:4" ht="27.6" x14ac:dyDescent="0.3">
      <c r="A923" s="200" t="s">
        <v>3020</v>
      </c>
      <c r="B923" s="200" t="s">
        <v>3021</v>
      </c>
      <c r="C923" s="201" t="s">
        <v>1566</v>
      </c>
      <c r="D923" s="200" t="s">
        <v>3020</v>
      </c>
    </row>
    <row r="924" spans="1:4" ht="27.6" x14ac:dyDescent="0.3">
      <c r="A924" s="200" t="s">
        <v>3022</v>
      </c>
      <c r="B924" s="200" t="s">
        <v>3023</v>
      </c>
      <c r="C924" s="201" t="s">
        <v>1566</v>
      </c>
      <c r="D924" s="200" t="s">
        <v>3022</v>
      </c>
    </row>
    <row r="925" spans="1:4" ht="41.4" x14ac:dyDescent="0.3">
      <c r="A925" s="200" t="s">
        <v>3024</v>
      </c>
      <c r="B925" s="200" t="s">
        <v>3025</v>
      </c>
      <c r="C925" s="201" t="s">
        <v>1566</v>
      </c>
      <c r="D925" s="200" t="s">
        <v>3024</v>
      </c>
    </row>
    <row r="926" spans="1:4" ht="41.4" x14ac:dyDescent="0.3">
      <c r="A926" s="202" t="s">
        <v>3026</v>
      </c>
      <c r="B926" s="202" t="s">
        <v>3027</v>
      </c>
      <c r="C926" s="201" t="s">
        <v>1566</v>
      </c>
      <c r="D926" s="202" t="s">
        <v>3026</v>
      </c>
    </row>
    <row r="927" spans="1:4" ht="41.4" x14ac:dyDescent="0.3">
      <c r="A927" s="202" t="s">
        <v>3026</v>
      </c>
      <c r="B927" s="202" t="s">
        <v>3028</v>
      </c>
      <c r="C927" s="201" t="s">
        <v>1566</v>
      </c>
      <c r="D927" s="202" t="s">
        <v>3026</v>
      </c>
    </row>
    <row r="928" spans="1:4" ht="41.4" x14ac:dyDescent="0.3">
      <c r="A928" s="202" t="s">
        <v>3029</v>
      </c>
      <c r="B928" s="202" t="s">
        <v>3030</v>
      </c>
      <c r="C928" s="201" t="s">
        <v>1566</v>
      </c>
      <c r="D928" s="202" t="s">
        <v>3029</v>
      </c>
    </row>
    <row r="929" spans="1:4" ht="82.8" x14ac:dyDescent="0.3">
      <c r="A929" s="200" t="s">
        <v>3031</v>
      </c>
      <c r="B929" s="203" t="s">
        <v>3032</v>
      </c>
      <c r="C929" s="201" t="s">
        <v>1566</v>
      </c>
      <c r="D929" s="200" t="s">
        <v>3031</v>
      </c>
    </row>
    <row r="930" spans="1:4" ht="69" x14ac:dyDescent="0.3">
      <c r="A930" s="200" t="s">
        <v>3033</v>
      </c>
      <c r="B930" s="200" t="s">
        <v>3034</v>
      </c>
      <c r="C930" s="201" t="s">
        <v>1566</v>
      </c>
      <c r="D930" s="200" t="s">
        <v>3033</v>
      </c>
    </row>
    <row r="931" spans="1:4" ht="55.2" x14ac:dyDescent="0.3">
      <c r="A931" s="200" t="s">
        <v>3035</v>
      </c>
      <c r="B931" s="200" t="s">
        <v>3036</v>
      </c>
      <c r="C931" s="201" t="s">
        <v>1566</v>
      </c>
      <c r="D931" s="200" t="s">
        <v>3035</v>
      </c>
    </row>
    <row r="932" spans="1:4" ht="41.4" x14ac:dyDescent="0.3">
      <c r="A932" s="202" t="s">
        <v>3037</v>
      </c>
      <c r="B932" s="202" t="s">
        <v>3038</v>
      </c>
      <c r="C932" s="201" t="s">
        <v>1566</v>
      </c>
      <c r="D932" s="202" t="s">
        <v>3037</v>
      </c>
    </row>
    <row r="933" spans="1:4" ht="82.8" x14ac:dyDescent="0.3">
      <c r="A933" s="202" t="s">
        <v>3039</v>
      </c>
      <c r="B933" s="202" t="s">
        <v>3040</v>
      </c>
      <c r="C933" s="201" t="s">
        <v>1566</v>
      </c>
      <c r="D933" s="202" t="s">
        <v>3039</v>
      </c>
    </row>
    <row r="934" spans="1:4" ht="69" x14ac:dyDescent="0.3">
      <c r="A934" s="202" t="s">
        <v>3041</v>
      </c>
      <c r="B934" s="202" t="s">
        <v>3042</v>
      </c>
      <c r="C934" s="201" t="s">
        <v>1566</v>
      </c>
      <c r="D934" s="202" t="s">
        <v>3041</v>
      </c>
    </row>
    <row r="935" spans="1:4" ht="20.399999999999999" x14ac:dyDescent="0.3">
      <c r="A935" s="202" t="s">
        <v>3043</v>
      </c>
      <c r="B935" s="202" t="s">
        <v>3044</v>
      </c>
      <c r="C935" s="201" t="s">
        <v>1566</v>
      </c>
      <c r="D935" s="202" t="s">
        <v>3043</v>
      </c>
    </row>
    <row r="936" spans="1:4" ht="27.6" x14ac:dyDescent="0.3">
      <c r="A936" s="202" t="s">
        <v>3045</v>
      </c>
      <c r="B936" s="202" t="s">
        <v>3046</v>
      </c>
      <c r="C936" s="201" t="s">
        <v>1566</v>
      </c>
      <c r="D936" s="202" t="s">
        <v>3045</v>
      </c>
    </row>
    <row r="937" spans="1:4" ht="41.4" x14ac:dyDescent="0.3">
      <c r="A937" s="200" t="s">
        <v>3047</v>
      </c>
      <c r="B937" s="200" t="s">
        <v>3048</v>
      </c>
      <c r="C937" s="201" t="s">
        <v>1566</v>
      </c>
      <c r="D937" s="200" t="s">
        <v>3047</v>
      </c>
    </row>
    <row r="938" spans="1:4" ht="55.2" x14ac:dyDescent="0.3">
      <c r="A938" s="202" t="s">
        <v>3049</v>
      </c>
      <c r="B938" s="202" t="s">
        <v>3050</v>
      </c>
      <c r="C938" s="201" t="s">
        <v>1566</v>
      </c>
      <c r="D938" s="202" t="s">
        <v>3049</v>
      </c>
    </row>
    <row r="939" spans="1:4" ht="55.2" x14ac:dyDescent="0.3">
      <c r="A939" s="202" t="s">
        <v>3051</v>
      </c>
      <c r="B939" s="202" t="s">
        <v>3052</v>
      </c>
      <c r="C939" s="201" t="s">
        <v>1566</v>
      </c>
      <c r="D939" s="202" t="s">
        <v>3051</v>
      </c>
    </row>
    <row r="940" spans="1:4" ht="69" x14ac:dyDescent="0.3">
      <c r="A940" s="200" t="s">
        <v>3053</v>
      </c>
      <c r="B940" s="200" t="s">
        <v>3054</v>
      </c>
      <c r="C940" s="201" t="s">
        <v>1566</v>
      </c>
      <c r="D940" s="200" t="s">
        <v>3053</v>
      </c>
    </row>
    <row r="941" spans="1:4" ht="27.6" x14ac:dyDescent="0.3">
      <c r="A941" s="200" t="s">
        <v>3055</v>
      </c>
      <c r="B941" s="200" t="s">
        <v>3056</v>
      </c>
      <c r="C941" s="201" t="s">
        <v>1566</v>
      </c>
      <c r="D941" s="200" t="s">
        <v>3055</v>
      </c>
    </row>
    <row r="942" spans="1:4" ht="27.6" x14ac:dyDescent="0.3">
      <c r="A942" s="200" t="s">
        <v>3057</v>
      </c>
      <c r="B942" s="200" t="s">
        <v>3058</v>
      </c>
      <c r="C942" s="201" t="s">
        <v>1566</v>
      </c>
      <c r="D942" s="200" t="s">
        <v>3057</v>
      </c>
    </row>
    <row r="943" spans="1:4" ht="55.2" x14ac:dyDescent="0.3">
      <c r="A943" s="202" t="s">
        <v>3059</v>
      </c>
      <c r="B943" s="202" t="s">
        <v>3060</v>
      </c>
      <c r="C943" s="201" t="s">
        <v>1566</v>
      </c>
      <c r="D943" s="202" t="s">
        <v>3059</v>
      </c>
    </row>
    <row r="944" spans="1:4" ht="82.8" x14ac:dyDescent="0.3">
      <c r="A944" s="202" t="s">
        <v>3061</v>
      </c>
      <c r="B944" s="202" t="s">
        <v>3062</v>
      </c>
      <c r="C944" s="201" t="s">
        <v>1566</v>
      </c>
      <c r="D944" s="202" t="s">
        <v>3061</v>
      </c>
    </row>
    <row r="945" spans="1:4" ht="55.2" x14ac:dyDescent="0.3">
      <c r="A945" s="202" t="s">
        <v>3063</v>
      </c>
      <c r="B945" s="202" t="s">
        <v>3064</v>
      </c>
      <c r="C945" s="201" t="s">
        <v>1566</v>
      </c>
      <c r="D945" s="202" t="s">
        <v>3063</v>
      </c>
    </row>
    <row r="946" spans="1:4" ht="82.8" x14ac:dyDescent="0.3">
      <c r="A946" s="200" t="s">
        <v>3065</v>
      </c>
      <c r="B946" s="200" t="s">
        <v>3066</v>
      </c>
      <c r="C946" s="201" t="s">
        <v>1566</v>
      </c>
      <c r="D946" s="200" t="s">
        <v>3065</v>
      </c>
    </row>
    <row r="947" spans="1:4" ht="27.6" x14ac:dyDescent="0.3">
      <c r="A947" s="200" t="s">
        <v>3067</v>
      </c>
      <c r="B947" s="200" t="s">
        <v>3068</v>
      </c>
      <c r="C947" s="201" t="s">
        <v>1566</v>
      </c>
      <c r="D947" s="200" t="s">
        <v>3067</v>
      </c>
    </row>
    <row r="948" spans="1:4" ht="41.4" x14ac:dyDescent="0.3">
      <c r="A948" s="202" t="s">
        <v>3069</v>
      </c>
      <c r="B948" s="202" t="s">
        <v>3070</v>
      </c>
      <c r="C948" s="201" t="s">
        <v>1566</v>
      </c>
      <c r="D948" s="202" t="s">
        <v>3069</v>
      </c>
    </row>
    <row r="949" spans="1:4" ht="41.4" x14ac:dyDescent="0.3">
      <c r="A949" s="202" t="s">
        <v>3071</v>
      </c>
      <c r="B949" s="202" t="s">
        <v>3072</v>
      </c>
      <c r="C949" s="201" t="s">
        <v>1566</v>
      </c>
      <c r="D949" s="202" t="s">
        <v>3071</v>
      </c>
    </row>
    <row r="950" spans="1:4" ht="55.2" x14ac:dyDescent="0.3">
      <c r="A950" s="200" t="s">
        <v>3073</v>
      </c>
      <c r="B950" s="200" t="s">
        <v>3074</v>
      </c>
      <c r="C950" s="201" t="s">
        <v>1566</v>
      </c>
      <c r="D950" s="200" t="s">
        <v>3073</v>
      </c>
    </row>
    <row r="951" spans="1:4" ht="27.6" x14ac:dyDescent="0.3">
      <c r="A951" s="202" t="s">
        <v>3075</v>
      </c>
      <c r="B951" s="202" t="s">
        <v>3076</v>
      </c>
      <c r="C951" s="201" t="s">
        <v>1566</v>
      </c>
      <c r="D951" s="202" t="s">
        <v>3075</v>
      </c>
    </row>
    <row r="952" spans="1:4" ht="55.2" x14ac:dyDescent="0.3">
      <c r="A952" s="202" t="s">
        <v>3077</v>
      </c>
      <c r="B952" s="202" t="s">
        <v>3078</v>
      </c>
      <c r="C952" s="201" t="s">
        <v>1566</v>
      </c>
      <c r="D952" s="202" t="s">
        <v>3077</v>
      </c>
    </row>
    <row r="953" spans="1:4" ht="27.6" x14ac:dyDescent="0.3">
      <c r="A953" s="202" t="s">
        <v>3079</v>
      </c>
      <c r="B953" s="202" t="s">
        <v>3080</v>
      </c>
      <c r="C953" s="201" t="s">
        <v>1566</v>
      </c>
      <c r="D953" s="202" t="s">
        <v>3079</v>
      </c>
    </row>
    <row r="954" spans="1:4" ht="27.6" x14ac:dyDescent="0.3">
      <c r="A954" s="202" t="s">
        <v>3081</v>
      </c>
      <c r="B954" s="202" t="s">
        <v>3082</v>
      </c>
      <c r="C954" s="201" t="s">
        <v>1566</v>
      </c>
      <c r="D954" s="202" t="s">
        <v>3081</v>
      </c>
    </row>
    <row r="955" spans="1:4" ht="82.8" x14ac:dyDescent="0.3">
      <c r="A955" s="202" t="s">
        <v>3083</v>
      </c>
      <c r="B955" s="202" t="s">
        <v>3084</v>
      </c>
      <c r="C955" s="201" t="s">
        <v>1566</v>
      </c>
      <c r="D955" s="202" t="s">
        <v>3083</v>
      </c>
    </row>
    <row r="956" spans="1:4" ht="27.6" x14ac:dyDescent="0.3">
      <c r="A956" s="202" t="s">
        <v>3085</v>
      </c>
      <c r="B956" s="202" t="s">
        <v>3086</v>
      </c>
      <c r="C956" s="201" t="s">
        <v>1566</v>
      </c>
      <c r="D956" s="202" t="s">
        <v>3085</v>
      </c>
    </row>
    <row r="957" spans="1:4" ht="41.4" x14ac:dyDescent="0.3">
      <c r="A957" s="202" t="s">
        <v>3087</v>
      </c>
      <c r="B957" s="202" t="s">
        <v>3088</v>
      </c>
      <c r="C957" s="201" t="s">
        <v>1566</v>
      </c>
      <c r="D957" s="202" t="s">
        <v>3087</v>
      </c>
    </row>
    <row r="958" spans="1:4" ht="27.6" x14ac:dyDescent="0.3">
      <c r="A958" s="202" t="s">
        <v>3089</v>
      </c>
      <c r="B958" s="202" t="s">
        <v>3090</v>
      </c>
      <c r="C958" s="201" t="s">
        <v>1566</v>
      </c>
      <c r="D958" s="202" t="s">
        <v>3089</v>
      </c>
    </row>
    <row r="959" spans="1:4" ht="69" x14ac:dyDescent="0.3">
      <c r="A959" s="202" t="s">
        <v>3091</v>
      </c>
      <c r="B959" s="202" t="s">
        <v>3092</v>
      </c>
      <c r="C959" s="201" t="s">
        <v>1566</v>
      </c>
      <c r="D959" s="202" t="s">
        <v>3091</v>
      </c>
    </row>
    <row r="960" spans="1:4" ht="82.8" x14ac:dyDescent="0.3">
      <c r="A960" s="202" t="s">
        <v>3093</v>
      </c>
      <c r="B960" s="202" t="s">
        <v>3094</v>
      </c>
      <c r="C960" s="201" t="s">
        <v>1566</v>
      </c>
      <c r="D960" s="202" t="s">
        <v>3093</v>
      </c>
    </row>
    <row r="961" spans="1:4" ht="110.4" x14ac:dyDescent="0.3">
      <c r="A961" s="200" t="s">
        <v>3095</v>
      </c>
      <c r="B961" s="200" t="s">
        <v>3096</v>
      </c>
      <c r="C961" s="201" t="s">
        <v>1566</v>
      </c>
      <c r="D961" s="200" t="s">
        <v>3095</v>
      </c>
    </row>
    <row r="962" spans="1:4" ht="82.8" x14ac:dyDescent="0.3">
      <c r="A962" s="202" t="s">
        <v>3097</v>
      </c>
      <c r="B962" s="202" t="s">
        <v>3098</v>
      </c>
      <c r="C962" s="201" t="s">
        <v>1566</v>
      </c>
      <c r="D962" s="202" t="s">
        <v>3097</v>
      </c>
    </row>
    <row r="963" spans="1:4" ht="82.8" x14ac:dyDescent="0.3">
      <c r="A963" s="202" t="s">
        <v>3099</v>
      </c>
      <c r="B963" s="202" t="s">
        <v>3100</v>
      </c>
      <c r="C963" s="201" t="s">
        <v>1566</v>
      </c>
      <c r="D963" s="202" t="s">
        <v>3099</v>
      </c>
    </row>
    <row r="964" spans="1:4" ht="69" x14ac:dyDescent="0.3">
      <c r="A964" s="200" t="s">
        <v>3101</v>
      </c>
      <c r="B964" s="200" t="s">
        <v>3102</v>
      </c>
      <c r="C964" s="201" t="s">
        <v>1566</v>
      </c>
      <c r="D964" s="200" t="s">
        <v>3101</v>
      </c>
    </row>
    <row r="965" spans="1:4" ht="96.6" x14ac:dyDescent="0.3">
      <c r="A965" s="200" t="s">
        <v>3103</v>
      </c>
      <c r="B965" s="200" t="s">
        <v>3104</v>
      </c>
      <c r="C965" s="201" t="s">
        <v>1566</v>
      </c>
      <c r="D965" s="200" t="s">
        <v>3103</v>
      </c>
    </row>
    <row r="966" spans="1:4" ht="55.2" x14ac:dyDescent="0.3">
      <c r="A966" s="202" t="s">
        <v>3105</v>
      </c>
      <c r="B966" s="202" t="s">
        <v>3106</v>
      </c>
      <c r="C966" s="201" t="s">
        <v>1566</v>
      </c>
      <c r="D966" s="202" t="s">
        <v>3105</v>
      </c>
    </row>
    <row r="967" spans="1:4" ht="69" x14ac:dyDescent="0.3">
      <c r="A967" s="202" t="s">
        <v>3107</v>
      </c>
      <c r="B967" s="202" t="s">
        <v>3108</v>
      </c>
      <c r="C967" s="201" t="s">
        <v>1566</v>
      </c>
      <c r="D967" s="202" t="s">
        <v>3107</v>
      </c>
    </row>
    <row r="968" spans="1:4" ht="193.2" x14ac:dyDescent="0.3">
      <c r="A968" s="202" t="s">
        <v>3109</v>
      </c>
      <c r="B968" s="202" t="s">
        <v>3110</v>
      </c>
      <c r="C968" s="201" t="s">
        <v>1566</v>
      </c>
      <c r="D968" s="202" t="s">
        <v>3109</v>
      </c>
    </row>
    <row r="969" spans="1:4" ht="69" x14ac:dyDescent="0.3">
      <c r="A969" s="202" t="s">
        <v>3111</v>
      </c>
      <c r="B969" s="202" t="s">
        <v>3112</v>
      </c>
      <c r="C969" s="201" t="s">
        <v>1566</v>
      </c>
      <c r="D969" s="202" t="s">
        <v>3111</v>
      </c>
    </row>
    <row r="970" spans="1:4" ht="55.2" x14ac:dyDescent="0.3">
      <c r="A970" s="202" t="s">
        <v>3113</v>
      </c>
      <c r="B970" s="202" t="s">
        <v>3114</v>
      </c>
      <c r="C970" s="201" t="s">
        <v>1566</v>
      </c>
      <c r="D970" s="202" t="s">
        <v>3113</v>
      </c>
    </row>
    <row r="971" spans="1:4" ht="69" x14ac:dyDescent="0.3">
      <c r="A971" s="202" t="s">
        <v>3115</v>
      </c>
      <c r="B971" s="202" t="s">
        <v>3116</v>
      </c>
      <c r="C971" s="201" t="s">
        <v>1566</v>
      </c>
      <c r="D971" s="202" t="s">
        <v>3115</v>
      </c>
    </row>
    <row r="972" spans="1:4" ht="55.2" x14ac:dyDescent="0.3">
      <c r="A972" s="200" t="s">
        <v>3117</v>
      </c>
      <c r="B972" s="200" t="s">
        <v>3118</v>
      </c>
      <c r="C972" s="201" t="s">
        <v>1566</v>
      </c>
      <c r="D972" s="200" t="s">
        <v>3117</v>
      </c>
    </row>
    <row r="973" spans="1:4" ht="27.6" x14ac:dyDescent="0.3">
      <c r="A973" s="202" t="s">
        <v>3119</v>
      </c>
      <c r="B973" s="202" t="s">
        <v>3120</v>
      </c>
      <c r="C973" s="201" t="s">
        <v>1566</v>
      </c>
      <c r="D973" s="202" t="s">
        <v>3119</v>
      </c>
    </row>
    <row r="974" spans="1:4" ht="69" x14ac:dyDescent="0.3">
      <c r="A974" s="202" t="s">
        <v>3121</v>
      </c>
      <c r="B974" s="202" t="s">
        <v>3122</v>
      </c>
      <c r="C974" s="201" t="s">
        <v>1566</v>
      </c>
      <c r="D974" s="202" t="s">
        <v>3121</v>
      </c>
    </row>
    <row r="975" spans="1:4" ht="69" x14ac:dyDescent="0.3">
      <c r="A975" s="202" t="s">
        <v>3123</v>
      </c>
      <c r="B975" s="202" t="s">
        <v>3124</v>
      </c>
      <c r="C975" s="201" t="s">
        <v>1566</v>
      </c>
      <c r="D975" s="202" t="s">
        <v>3123</v>
      </c>
    </row>
    <row r="976" spans="1:4" ht="151.80000000000001" x14ac:dyDescent="0.3">
      <c r="A976" s="202" t="s">
        <v>3125</v>
      </c>
      <c r="B976" s="202" t="s">
        <v>3126</v>
      </c>
      <c r="C976" s="201" t="s">
        <v>1566</v>
      </c>
      <c r="D976" s="202" t="s">
        <v>3125</v>
      </c>
    </row>
    <row r="977" spans="1:4" ht="69" x14ac:dyDescent="0.3">
      <c r="A977" s="202" t="s">
        <v>3127</v>
      </c>
      <c r="B977" s="202" t="s">
        <v>3128</v>
      </c>
      <c r="C977" s="201" t="s">
        <v>1566</v>
      </c>
      <c r="D977" s="202" t="s">
        <v>3127</v>
      </c>
    </row>
    <row r="978" spans="1:4" ht="82.8" x14ac:dyDescent="0.3">
      <c r="A978" s="202" t="s">
        <v>3129</v>
      </c>
      <c r="B978" s="202" t="s">
        <v>3130</v>
      </c>
      <c r="C978" s="201" t="s">
        <v>1566</v>
      </c>
      <c r="D978" s="202" t="s">
        <v>3129</v>
      </c>
    </row>
    <row r="979" spans="1:4" ht="151.80000000000001" x14ac:dyDescent="0.3">
      <c r="A979" s="202" t="s">
        <v>3131</v>
      </c>
      <c r="B979" s="202" t="s">
        <v>3132</v>
      </c>
      <c r="C979" s="201" t="s">
        <v>1566</v>
      </c>
      <c r="D979" s="202" t="s">
        <v>3131</v>
      </c>
    </row>
    <row r="980" spans="1:4" ht="82.8" x14ac:dyDescent="0.3">
      <c r="A980" s="202" t="s">
        <v>3133</v>
      </c>
      <c r="B980" s="202" t="s">
        <v>3134</v>
      </c>
      <c r="C980" s="201" t="s">
        <v>1566</v>
      </c>
      <c r="D980" s="202" t="s">
        <v>3133</v>
      </c>
    </row>
    <row r="981" spans="1:4" ht="69" x14ac:dyDescent="0.3">
      <c r="A981" s="202" t="s">
        <v>3135</v>
      </c>
      <c r="B981" s="202" t="s">
        <v>3136</v>
      </c>
      <c r="C981" s="201" t="s">
        <v>1566</v>
      </c>
      <c r="D981" s="202" t="s">
        <v>3135</v>
      </c>
    </row>
    <row r="982" spans="1:4" ht="82.8" x14ac:dyDescent="0.3">
      <c r="A982" s="202" t="s">
        <v>3137</v>
      </c>
      <c r="B982" s="202" t="s">
        <v>3138</v>
      </c>
      <c r="C982" s="201" t="s">
        <v>1566</v>
      </c>
      <c r="D982" s="202" t="s">
        <v>3137</v>
      </c>
    </row>
    <row r="983" spans="1:4" ht="69" x14ac:dyDescent="0.3">
      <c r="A983" s="202" t="s">
        <v>3139</v>
      </c>
      <c r="B983" s="202" t="s">
        <v>3140</v>
      </c>
      <c r="C983" s="201" t="s">
        <v>1566</v>
      </c>
      <c r="D983" s="202" t="s">
        <v>3139</v>
      </c>
    </row>
    <row r="984" spans="1:4" ht="55.2" x14ac:dyDescent="0.3">
      <c r="A984" s="202" t="s">
        <v>3141</v>
      </c>
      <c r="B984" s="202" t="s">
        <v>3142</v>
      </c>
      <c r="C984" s="201" t="s">
        <v>1566</v>
      </c>
      <c r="D984" s="202" t="s">
        <v>3141</v>
      </c>
    </row>
    <row r="985" spans="1:4" ht="55.2" x14ac:dyDescent="0.3">
      <c r="A985" s="202" t="s">
        <v>3143</v>
      </c>
      <c r="B985" s="202" t="s">
        <v>3144</v>
      </c>
      <c r="C985" s="201" t="s">
        <v>1566</v>
      </c>
      <c r="D985" s="202" t="s">
        <v>3143</v>
      </c>
    </row>
    <row r="986" spans="1:4" ht="55.2" x14ac:dyDescent="0.3">
      <c r="A986" s="202" t="s">
        <v>3145</v>
      </c>
      <c r="B986" s="202" t="s">
        <v>3146</v>
      </c>
      <c r="C986" s="201" t="s">
        <v>1566</v>
      </c>
      <c r="D986" s="202" t="s">
        <v>3145</v>
      </c>
    </row>
    <row r="987" spans="1:4" ht="27.6" x14ac:dyDescent="0.3">
      <c r="A987" s="202" t="s">
        <v>3147</v>
      </c>
      <c r="B987" s="202" t="s">
        <v>3148</v>
      </c>
      <c r="C987" s="201" t="s">
        <v>1566</v>
      </c>
      <c r="D987" s="202" t="s">
        <v>3147</v>
      </c>
    </row>
    <row r="988" spans="1:4" ht="82.8" x14ac:dyDescent="0.3">
      <c r="A988" s="202" t="s">
        <v>3149</v>
      </c>
      <c r="B988" s="202" t="s">
        <v>3150</v>
      </c>
      <c r="C988" s="201" t="s">
        <v>1566</v>
      </c>
      <c r="D988" s="202" t="s">
        <v>3149</v>
      </c>
    </row>
    <row r="989" spans="1:4" ht="27.6" x14ac:dyDescent="0.3">
      <c r="A989" s="202" t="s">
        <v>3151</v>
      </c>
      <c r="B989" s="202" t="s">
        <v>3152</v>
      </c>
      <c r="C989" s="201" t="s">
        <v>1566</v>
      </c>
      <c r="D989" s="202" t="s">
        <v>3151</v>
      </c>
    </row>
    <row r="990" spans="1:4" ht="41.4" x14ac:dyDescent="0.3">
      <c r="A990" s="202" t="s">
        <v>3153</v>
      </c>
      <c r="B990" s="202" t="s">
        <v>3154</v>
      </c>
      <c r="C990" s="201" t="s">
        <v>1566</v>
      </c>
      <c r="D990" s="202" t="s">
        <v>3153</v>
      </c>
    </row>
    <row r="991" spans="1:4" ht="124.2" x14ac:dyDescent="0.3">
      <c r="A991" s="200" t="s">
        <v>3155</v>
      </c>
      <c r="B991" s="200" t="s">
        <v>3156</v>
      </c>
      <c r="C991" s="201" t="s">
        <v>1566</v>
      </c>
      <c r="D991" s="200" t="s">
        <v>3155</v>
      </c>
    </row>
    <row r="992" spans="1:4" ht="124.2" x14ac:dyDescent="0.3">
      <c r="A992" s="200" t="s">
        <v>3157</v>
      </c>
      <c r="B992" s="200" t="s">
        <v>3158</v>
      </c>
      <c r="C992" s="201" t="s">
        <v>1566</v>
      </c>
      <c r="D992" s="200" t="s">
        <v>3157</v>
      </c>
    </row>
    <row r="993" spans="1:4" ht="55.2" x14ac:dyDescent="0.3">
      <c r="A993" s="202" t="s">
        <v>3159</v>
      </c>
      <c r="B993" s="202" t="s">
        <v>3160</v>
      </c>
      <c r="C993" s="201" t="s">
        <v>1566</v>
      </c>
      <c r="D993" s="202" t="s">
        <v>3159</v>
      </c>
    </row>
    <row r="994" spans="1:4" ht="55.2" x14ac:dyDescent="0.3">
      <c r="A994" s="202" t="s">
        <v>3159</v>
      </c>
      <c r="B994" s="202" t="s">
        <v>3161</v>
      </c>
      <c r="C994" s="201" t="s">
        <v>1566</v>
      </c>
      <c r="D994" s="202" t="s">
        <v>3159</v>
      </c>
    </row>
    <row r="995" spans="1:4" ht="55.2" x14ac:dyDescent="0.3">
      <c r="A995" s="202" t="s">
        <v>3162</v>
      </c>
      <c r="B995" s="202" t="s">
        <v>3163</v>
      </c>
      <c r="C995" s="201" t="s">
        <v>1566</v>
      </c>
      <c r="D995" s="202" t="s">
        <v>3162</v>
      </c>
    </row>
    <row r="996" spans="1:4" ht="41.4" x14ac:dyDescent="0.3">
      <c r="A996" s="202" t="s">
        <v>3164</v>
      </c>
      <c r="B996" s="202" t="s">
        <v>3165</v>
      </c>
      <c r="C996" s="201" t="s">
        <v>1566</v>
      </c>
      <c r="D996" s="202" t="s">
        <v>3164</v>
      </c>
    </row>
    <row r="997" spans="1:4" ht="55.2" x14ac:dyDescent="0.3">
      <c r="A997" s="202" t="s">
        <v>3166</v>
      </c>
      <c r="B997" s="202" t="s">
        <v>3167</v>
      </c>
      <c r="C997" s="201" t="s">
        <v>1566</v>
      </c>
      <c r="D997" s="202" t="s">
        <v>3166</v>
      </c>
    </row>
    <row r="998" spans="1:4" ht="55.2" x14ac:dyDescent="0.3">
      <c r="A998" s="202" t="s">
        <v>3168</v>
      </c>
      <c r="B998" s="202" t="s">
        <v>3169</v>
      </c>
      <c r="C998" s="201" t="s">
        <v>1566</v>
      </c>
      <c r="D998" s="202" t="s">
        <v>3168</v>
      </c>
    </row>
    <row r="999" spans="1:4" ht="55.2" x14ac:dyDescent="0.3">
      <c r="A999" s="202" t="s">
        <v>3170</v>
      </c>
      <c r="B999" s="202" t="s">
        <v>3171</v>
      </c>
      <c r="C999" s="201" t="s">
        <v>1566</v>
      </c>
      <c r="D999" s="202" t="s">
        <v>3170</v>
      </c>
    </row>
    <row r="1000" spans="1:4" ht="55.2" x14ac:dyDescent="0.3">
      <c r="A1000" s="202" t="s">
        <v>3172</v>
      </c>
      <c r="B1000" s="202" t="s">
        <v>3173</v>
      </c>
      <c r="C1000" s="201" t="s">
        <v>1566</v>
      </c>
      <c r="D1000" s="202" t="s">
        <v>3172</v>
      </c>
    </row>
    <row r="1001" spans="1:4" ht="27.6" x14ac:dyDescent="0.3">
      <c r="A1001" s="202" t="s">
        <v>3174</v>
      </c>
      <c r="B1001" s="202" t="s">
        <v>3175</v>
      </c>
      <c r="C1001" s="201" t="s">
        <v>1566</v>
      </c>
      <c r="D1001" s="202" t="s">
        <v>3174</v>
      </c>
    </row>
    <row r="1002" spans="1:4" ht="41.4" x14ac:dyDescent="0.3">
      <c r="A1002" s="202" t="s">
        <v>3176</v>
      </c>
      <c r="B1002" s="202" t="s">
        <v>3177</v>
      </c>
      <c r="C1002" s="201" t="s">
        <v>1566</v>
      </c>
      <c r="D1002" s="202" t="s">
        <v>3176</v>
      </c>
    </row>
    <row r="1003" spans="1:4" ht="41.4" x14ac:dyDescent="0.3">
      <c r="A1003" s="202" t="s">
        <v>3178</v>
      </c>
      <c r="B1003" s="202" t="s">
        <v>3179</v>
      </c>
      <c r="C1003" s="201" t="s">
        <v>1566</v>
      </c>
      <c r="D1003" s="202" t="s">
        <v>3178</v>
      </c>
    </row>
    <row r="1004" spans="1:4" ht="55.2" x14ac:dyDescent="0.3">
      <c r="A1004" s="202" t="s">
        <v>3180</v>
      </c>
      <c r="B1004" s="202" t="s">
        <v>3181</v>
      </c>
      <c r="C1004" s="201" t="s">
        <v>1566</v>
      </c>
      <c r="D1004" s="202" t="s">
        <v>3180</v>
      </c>
    </row>
    <row r="1005" spans="1:4" ht="41.4" x14ac:dyDescent="0.3">
      <c r="A1005" s="202" t="s">
        <v>3182</v>
      </c>
      <c r="B1005" s="202" t="s">
        <v>3183</v>
      </c>
      <c r="C1005" s="201" t="s">
        <v>1566</v>
      </c>
      <c r="D1005" s="202" t="s">
        <v>3182</v>
      </c>
    </row>
    <row r="1006" spans="1:4" ht="138" x14ac:dyDescent="0.3">
      <c r="A1006" s="202" t="s">
        <v>3184</v>
      </c>
      <c r="B1006" s="202" t="s">
        <v>3185</v>
      </c>
      <c r="C1006" s="201" t="s">
        <v>1566</v>
      </c>
      <c r="D1006" s="202" t="s">
        <v>3184</v>
      </c>
    </row>
    <row r="1007" spans="1:4" ht="96.6" x14ac:dyDescent="0.3">
      <c r="A1007" s="202" t="s">
        <v>3186</v>
      </c>
      <c r="B1007" s="202" t="s">
        <v>3187</v>
      </c>
      <c r="C1007" s="201" t="s">
        <v>1566</v>
      </c>
      <c r="D1007" s="202" t="s">
        <v>3186</v>
      </c>
    </row>
    <row r="1008" spans="1:4" ht="41.4" x14ac:dyDescent="0.3">
      <c r="A1008" s="202" t="s">
        <v>3188</v>
      </c>
      <c r="B1008" s="202" t="s">
        <v>3189</v>
      </c>
      <c r="C1008" s="201" t="s">
        <v>1566</v>
      </c>
      <c r="D1008" s="202" t="s">
        <v>3188</v>
      </c>
    </row>
    <row r="1009" spans="1:4" ht="124.2" x14ac:dyDescent="0.3">
      <c r="A1009" s="202" t="s">
        <v>3190</v>
      </c>
      <c r="B1009" s="202" t="s">
        <v>3191</v>
      </c>
      <c r="C1009" s="201" t="s">
        <v>1566</v>
      </c>
      <c r="D1009" s="202" t="s">
        <v>3190</v>
      </c>
    </row>
    <row r="1010" spans="1:4" ht="27.6" x14ac:dyDescent="0.3">
      <c r="A1010" s="202" t="s">
        <v>3192</v>
      </c>
      <c r="B1010" s="202" t="s">
        <v>3193</v>
      </c>
      <c r="C1010" s="201" t="s">
        <v>1566</v>
      </c>
      <c r="D1010" s="202" t="s">
        <v>3192</v>
      </c>
    </row>
    <row r="1011" spans="1:4" ht="55.2" x14ac:dyDescent="0.3">
      <c r="A1011" s="202" t="s">
        <v>3194</v>
      </c>
      <c r="B1011" s="202" t="s">
        <v>3195</v>
      </c>
      <c r="C1011" s="201" t="s">
        <v>1566</v>
      </c>
      <c r="D1011" s="202" t="s">
        <v>3194</v>
      </c>
    </row>
    <row r="1012" spans="1:4" ht="55.2" x14ac:dyDescent="0.3">
      <c r="A1012" s="202" t="s">
        <v>3196</v>
      </c>
      <c r="B1012" s="202" t="s">
        <v>3197</v>
      </c>
      <c r="C1012" s="201" t="s">
        <v>1566</v>
      </c>
      <c r="D1012" s="202" t="s">
        <v>3196</v>
      </c>
    </row>
    <row r="1013" spans="1:4" ht="41.4" x14ac:dyDescent="0.3">
      <c r="A1013" s="200" t="s">
        <v>3198</v>
      </c>
      <c r="B1013" s="200" t="s">
        <v>3199</v>
      </c>
      <c r="C1013" s="201" t="s">
        <v>1566</v>
      </c>
      <c r="D1013" s="200" t="s">
        <v>3198</v>
      </c>
    </row>
    <row r="1014" spans="1:4" ht="110.4" x14ac:dyDescent="0.3">
      <c r="A1014" s="200" t="s">
        <v>3200</v>
      </c>
      <c r="B1014" s="200" t="s">
        <v>3201</v>
      </c>
      <c r="C1014" s="201" t="s">
        <v>1566</v>
      </c>
      <c r="D1014" s="200" t="s">
        <v>3200</v>
      </c>
    </row>
    <row r="1015" spans="1:4" ht="82.8" x14ac:dyDescent="0.3">
      <c r="A1015" s="202" t="s">
        <v>3202</v>
      </c>
      <c r="B1015" s="202" t="s">
        <v>3203</v>
      </c>
      <c r="C1015" s="201" t="s">
        <v>1566</v>
      </c>
      <c r="D1015" s="202" t="s">
        <v>3202</v>
      </c>
    </row>
    <row r="1016" spans="1:4" ht="41.4" x14ac:dyDescent="0.3">
      <c r="A1016" s="202" t="s">
        <v>3204</v>
      </c>
      <c r="B1016" s="202" t="s">
        <v>3205</v>
      </c>
      <c r="C1016" s="201" t="s">
        <v>1566</v>
      </c>
      <c r="D1016" s="202" t="s">
        <v>3204</v>
      </c>
    </row>
    <row r="1017" spans="1:4" ht="41.4" x14ac:dyDescent="0.3">
      <c r="A1017" s="200" t="s">
        <v>3206</v>
      </c>
      <c r="B1017" s="200" t="s">
        <v>3207</v>
      </c>
      <c r="C1017" s="201" t="s">
        <v>1566</v>
      </c>
      <c r="D1017" s="200" t="s">
        <v>3206</v>
      </c>
    </row>
    <row r="1018" spans="1:4" ht="41.4" x14ac:dyDescent="0.3">
      <c r="A1018" s="202" t="s">
        <v>3208</v>
      </c>
      <c r="B1018" s="202" t="s">
        <v>3209</v>
      </c>
      <c r="C1018" s="201" t="s">
        <v>1566</v>
      </c>
      <c r="D1018" s="202" t="s">
        <v>3208</v>
      </c>
    </row>
    <row r="1019" spans="1:4" ht="27.6" x14ac:dyDescent="0.3">
      <c r="A1019" s="202" t="s">
        <v>3210</v>
      </c>
      <c r="B1019" s="202" t="s">
        <v>3211</v>
      </c>
      <c r="C1019" s="201" t="s">
        <v>1566</v>
      </c>
      <c r="D1019" s="202" t="s">
        <v>3210</v>
      </c>
    </row>
    <row r="1020" spans="1:4" ht="55.2" x14ac:dyDescent="0.3">
      <c r="A1020" s="202" t="s">
        <v>3212</v>
      </c>
      <c r="B1020" s="202" t="s">
        <v>3213</v>
      </c>
      <c r="C1020" s="201" t="s">
        <v>1566</v>
      </c>
      <c r="D1020" s="202" t="s">
        <v>3212</v>
      </c>
    </row>
    <row r="1021" spans="1:4" ht="110.4" x14ac:dyDescent="0.3">
      <c r="A1021" s="202" t="s">
        <v>3214</v>
      </c>
      <c r="B1021" s="202" t="s">
        <v>3215</v>
      </c>
      <c r="C1021" s="201" t="s">
        <v>1566</v>
      </c>
      <c r="D1021" s="202" t="s">
        <v>3214</v>
      </c>
    </row>
    <row r="1022" spans="1:4" ht="41.4" x14ac:dyDescent="0.3">
      <c r="A1022" s="202" t="s">
        <v>3216</v>
      </c>
      <c r="B1022" s="202" t="s">
        <v>3217</v>
      </c>
      <c r="C1022" s="201" t="s">
        <v>1566</v>
      </c>
      <c r="D1022" s="202" t="s">
        <v>3216</v>
      </c>
    </row>
    <row r="1023" spans="1:4" ht="82.8" x14ac:dyDescent="0.3">
      <c r="A1023" s="202" t="s">
        <v>3218</v>
      </c>
      <c r="B1023" s="202" t="s">
        <v>3219</v>
      </c>
      <c r="C1023" s="201" t="s">
        <v>1566</v>
      </c>
      <c r="D1023" s="202" t="s">
        <v>3218</v>
      </c>
    </row>
    <row r="1024" spans="1:4" ht="69" x14ac:dyDescent="0.3">
      <c r="A1024" s="202" t="s">
        <v>3220</v>
      </c>
      <c r="B1024" s="202" t="s">
        <v>3221</v>
      </c>
      <c r="C1024" s="201" t="s">
        <v>1566</v>
      </c>
      <c r="D1024" s="202" t="s">
        <v>3220</v>
      </c>
    </row>
    <row r="1025" spans="1:4" ht="41.4" x14ac:dyDescent="0.3">
      <c r="A1025" s="200" t="s">
        <v>3222</v>
      </c>
      <c r="B1025" s="200" t="s">
        <v>3223</v>
      </c>
      <c r="C1025" s="201" t="s">
        <v>1566</v>
      </c>
      <c r="D1025" s="200" t="s">
        <v>3222</v>
      </c>
    </row>
    <row r="1026" spans="1:4" ht="69" x14ac:dyDescent="0.3">
      <c r="A1026" s="200" t="s">
        <v>3224</v>
      </c>
      <c r="B1026" s="200" t="s">
        <v>3225</v>
      </c>
      <c r="C1026" s="201" t="s">
        <v>1566</v>
      </c>
      <c r="D1026" s="200" t="s">
        <v>3224</v>
      </c>
    </row>
    <row r="1027" spans="1:4" ht="41.4" x14ac:dyDescent="0.3">
      <c r="A1027" s="202" t="s">
        <v>3226</v>
      </c>
      <c r="B1027" s="202" t="s">
        <v>3227</v>
      </c>
      <c r="C1027" s="201" t="s">
        <v>1566</v>
      </c>
      <c r="D1027" s="202" t="s">
        <v>3226</v>
      </c>
    </row>
    <row r="1028" spans="1:4" ht="41.4" x14ac:dyDescent="0.3">
      <c r="A1028" s="202" t="s">
        <v>3228</v>
      </c>
      <c r="B1028" s="202" t="s">
        <v>3229</v>
      </c>
      <c r="C1028" s="201" t="s">
        <v>1566</v>
      </c>
      <c r="D1028" s="202" t="s">
        <v>3228</v>
      </c>
    </row>
    <row r="1029" spans="1:4" ht="55.2" x14ac:dyDescent="0.3">
      <c r="A1029" s="202" t="s">
        <v>3230</v>
      </c>
      <c r="B1029" s="202" t="s">
        <v>3231</v>
      </c>
      <c r="C1029" s="201" t="s">
        <v>1566</v>
      </c>
      <c r="D1029" s="202" t="s">
        <v>3230</v>
      </c>
    </row>
    <row r="1030" spans="1:4" ht="27.6" x14ac:dyDescent="0.3">
      <c r="A1030" s="200" t="s">
        <v>3232</v>
      </c>
      <c r="B1030" s="200" t="s">
        <v>3233</v>
      </c>
      <c r="C1030" s="201" t="s">
        <v>1566</v>
      </c>
      <c r="D1030" s="200" t="s">
        <v>3232</v>
      </c>
    </row>
    <row r="1031" spans="1:4" ht="27.6" x14ac:dyDescent="0.3">
      <c r="A1031" s="202" t="s">
        <v>3234</v>
      </c>
      <c r="B1031" s="202" t="s">
        <v>3235</v>
      </c>
      <c r="C1031" s="201" t="s">
        <v>1566</v>
      </c>
      <c r="D1031" s="202" t="s">
        <v>3234</v>
      </c>
    </row>
    <row r="1032" spans="1:4" ht="69" x14ac:dyDescent="0.3">
      <c r="A1032" s="202" t="s">
        <v>3236</v>
      </c>
      <c r="B1032" s="202" t="s">
        <v>3237</v>
      </c>
      <c r="C1032" s="201" t="s">
        <v>1566</v>
      </c>
      <c r="D1032" s="202" t="s">
        <v>3236</v>
      </c>
    </row>
    <row r="1033" spans="1:4" ht="69" x14ac:dyDescent="0.3">
      <c r="A1033" s="202" t="s">
        <v>3238</v>
      </c>
      <c r="B1033" s="202" t="s">
        <v>3239</v>
      </c>
      <c r="C1033" s="201" t="s">
        <v>1566</v>
      </c>
      <c r="D1033" s="202" t="s">
        <v>3238</v>
      </c>
    </row>
    <row r="1034" spans="1:4" ht="82.8" x14ac:dyDescent="0.3">
      <c r="A1034" s="202" t="s">
        <v>3240</v>
      </c>
      <c r="B1034" s="202" t="s">
        <v>3241</v>
      </c>
      <c r="C1034" s="201" t="s">
        <v>1566</v>
      </c>
      <c r="D1034" s="202" t="s">
        <v>3240</v>
      </c>
    </row>
    <row r="1035" spans="1:4" ht="55.2" x14ac:dyDescent="0.3">
      <c r="A1035" s="202" t="s">
        <v>3242</v>
      </c>
      <c r="B1035" s="202" t="s">
        <v>3243</v>
      </c>
      <c r="C1035" s="201" t="s">
        <v>1566</v>
      </c>
      <c r="D1035" s="202" t="s">
        <v>3242</v>
      </c>
    </row>
    <row r="1036" spans="1:4" ht="151.80000000000001" x14ac:dyDescent="0.3">
      <c r="A1036" s="202" t="s">
        <v>3244</v>
      </c>
      <c r="B1036" s="202" t="s">
        <v>3245</v>
      </c>
      <c r="C1036" s="201" t="s">
        <v>1566</v>
      </c>
      <c r="D1036" s="202" t="s">
        <v>3244</v>
      </c>
    </row>
    <row r="1037" spans="1:4" ht="27.6" x14ac:dyDescent="0.3">
      <c r="A1037" s="202" t="s">
        <v>3246</v>
      </c>
      <c r="B1037" s="202" t="s">
        <v>3247</v>
      </c>
      <c r="C1037" s="201" t="s">
        <v>1566</v>
      </c>
      <c r="D1037" s="202" t="s">
        <v>3246</v>
      </c>
    </row>
    <row r="1038" spans="1:4" ht="41.4" x14ac:dyDescent="0.3">
      <c r="A1038" s="202" t="s">
        <v>3248</v>
      </c>
      <c r="B1038" s="202" t="s">
        <v>3249</v>
      </c>
      <c r="C1038" s="201" t="s">
        <v>1566</v>
      </c>
      <c r="D1038" s="202" t="s">
        <v>3248</v>
      </c>
    </row>
    <row r="1039" spans="1:4" ht="27.6" x14ac:dyDescent="0.3">
      <c r="A1039" s="202" t="s">
        <v>3250</v>
      </c>
      <c r="B1039" s="202" t="s">
        <v>3251</v>
      </c>
      <c r="C1039" s="201" t="s">
        <v>1566</v>
      </c>
      <c r="D1039" s="202" t="s">
        <v>3250</v>
      </c>
    </row>
    <row r="1040" spans="1:4" ht="55.2" x14ac:dyDescent="0.3">
      <c r="A1040" s="202" t="s">
        <v>3252</v>
      </c>
      <c r="B1040" s="202" t="s">
        <v>3253</v>
      </c>
      <c r="C1040" s="201" t="s">
        <v>1566</v>
      </c>
      <c r="D1040" s="202" t="s">
        <v>3252</v>
      </c>
    </row>
    <row r="1041" spans="1:4" ht="69" x14ac:dyDescent="0.3">
      <c r="A1041" s="202" t="s">
        <v>3254</v>
      </c>
      <c r="B1041" s="202" t="s">
        <v>3255</v>
      </c>
      <c r="C1041" s="201" t="s">
        <v>1566</v>
      </c>
      <c r="D1041" s="202" t="s">
        <v>3254</v>
      </c>
    </row>
    <row r="1042" spans="1:4" ht="69" x14ac:dyDescent="0.3">
      <c r="A1042" s="202" t="s">
        <v>3256</v>
      </c>
      <c r="B1042" s="202" t="s">
        <v>3257</v>
      </c>
      <c r="C1042" s="201" t="s">
        <v>1566</v>
      </c>
      <c r="D1042" s="202" t="s">
        <v>3256</v>
      </c>
    </row>
    <row r="1043" spans="1:4" ht="55.2" x14ac:dyDescent="0.3">
      <c r="A1043" s="202" t="s">
        <v>3258</v>
      </c>
      <c r="B1043" s="202" t="s">
        <v>3259</v>
      </c>
      <c r="C1043" s="201" t="s">
        <v>1566</v>
      </c>
      <c r="D1043" s="202" t="s">
        <v>3258</v>
      </c>
    </row>
    <row r="1044" spans="1:4" ht="27.6" x14ac:dyDescent="0.3">
      <c r="A1044" s="202" t="s">
        <v>3260</v>
      </c>
      <c r="B1044" s="202" t="s">
        <v>3261</v>
      </c>
      <c r="C1044" s="201" t="s">
        <v>1566</v>
      </c>
      <c r="D1044" s="202" t="s">
        <v>3260</v>
      </c>
    </row>
    <row r="1045" spans="1:4" ht="82.8" x14ac:dyDescent="0.3">
      <c r="A1045" s="202" t="s">
        <v>3262</v>
      </c>
      <c r="B1045" s="202" t="s">
        <v>3263</v>
      </c>
      <c r="C1045" s="201" t="s">
        <v>1566</v>
      </c>
      <c r="D1045" s="202" t="s">
        <v>3262</v>
      </c>
    </row>
    <row r="1046" spans="1:4" ht="41.4" x14ac:dyDescent="0.3">
      <c r="A1046" s="202" t="s">
        <v>3264</v>
      </c>
      <c r="B1046" s="202" t="s">
        <v>3265</v>
      </c>
      <c r="C1046" s="201" t="s">
        <v>1566</v>
      </c>
      <c r="D1046" s="202" t="s">
        <v>3264</v>
      </c>
    </row>
    <row r="1047" spans="1:4" ht="110.4" x14ac:dyDescent="0.3">
      <c r="A1047" s="200" t="s">
        <v>3266</v>
      </c>
      <c r="B1047" s="200" t="s">
        <v>3267</v>
      </c>
      <c r="C1047" s="201" t="s">
        <v>1566</v>
      </c>
      <c r="D1047" s="200" t="s">
        <v>3266</v>
      </c>
    </row>
    <row r="1048" spans="1:4" ht="27.6" x14ac:dyDescent="0.3">
      <c r="A1048" s="200" t="s">
        <v>3268</v>
      </c>
      <c r="B1048" s="200" t="s">
        <v>3269</v>
      </c>
      <c r="C1048" s="201" t="s">
        <v>1566</v>
      </c>
      <c r="D1048" s="200" t="s">
        <v>3268</v>
      </c>
    </row>
    <row r="1049" spans="1:4" ht="69" x14ac:dyDescent="0.3">
      <c r="A1049" s="202" t="s">
        <v>3270</v>
      </c>
      <c r="B1049" s="202" t="s">
        <v>3271</v>
      </c>
      <c r="C1049" s="201" t="s">
        <v>1566</v>
      </c>
      <c r="D1049" s="202" t="s">
        <v>3270</v>
      </c>
    </row>
    <row r="1050" spans="1:4" ht="82.8" x14ac:dyDescent="0.3">
      <c r="A1050" s="202" t="s">
        <v>3272</v>
      </c>
      <c r="B1050" s="202" t="s">
        <v>3273</v>
      </c>
      <c r="C1050" s="201" t="s">
        <v>1566</v>
      </c>
      <c r="D1050" s="202" t="s">
        <v>3272</v>
      </c>
    </row>
    <row r="1051" spans="1:4" ht="96.6" x14ac:dyDescent="0.3">
      <c r="A1051" s="202" t="s">
        <v>3274</v>
      </c>
      <c r="B1051" s="202" t="s">
        <v>3275</v>
      </c>
      <c r="C1051" s="201" t="s">
        <v>1566</v>
      </c>
      <c r="D1051" s="202" t="s">
        <v>3274</v>
      </c>
    </row>
    <row r="1052" spans="1:4" ht="110.4" x14ac:dyDescent="0.3">
      <c r="A1052" s="202" t="s">
        <v>3276</v>
      </c>
      <c r="B1052" s="202" t="s">
        <v>3277</v>
      </c>
      <c r="C1052" s="201" t="s">
        <v>1566</v>
      </c>
      <c r="D1052" s="202" t="s">
        <v>3276</v>
      </c>
    </row>
    <row r="1053" spans="1:4" ht="110.4" x14ac:dyDescent="0.3">
      <c r="A1053" s="202" t="s">
        <v>3278</v>
      </c>
      <c r="B1053" s="202" t="s">
        <v>3279</v>
      </c>
      <c r="C1053" s="201" t="s">
        <v>1566</v>
      </c>
      <c r="D1053" s="202" t="s">
        <v>3278</v>
      </c>
    </row>
    <row r="1054" spans="1:4" ht="27.6" x14ac:dyDescent="0.3">
      <c r="A1054" s="200" t="s">
        <v>3280</v>
      </c>
      <c r="B1054" s="200" t="s">
        <v>3281</v>
      </c>
      <c r="C1054" s="201" t="s">
        <v>1566</v>
      </c>
      <c r="D1054" s="200" t="s">
        <v>3280</v>
      </c>
    </row>
    <row r="1055" spans="1:4" ht="96.6" x14ac:dyDescent="0.3">
      <c r="A1055" s="200" t="s">
        <v>3282</v>
      </c>
      <c r="B1055" s="200" t="s">
        <v>3283</v>
      </c>
      <c r="C1055" s="201" t="s">
        <v>1566</v>
      </c>
      <c r="D1055" s="200" t="s">
        <v>3282</v>
      </c>
    </row>
    <row r="1056" spans="1:4" ht="55.2" x14ac:dyDescent="0.3">
      <c r="A1056" s="204" t="s">
        <v>3284</v>
      </c>
      <c r="B1056" s="202" t="s">
        <v>3285</v>
      </c>
      <c r="C1056" s="201" t="s">
        <v>1566</v>
      </c>
      <c r="D1056" s="204" t="s">
        <v>3284</v>
      </c>
    </row>
    <row r="1057" spans="1:4" ht="55.2" x14ac:dyDescent="0.3">
      <c r="A1057" s="204" t="s">
        <v>3286</v>
      </c>
      <c r="B1057" s="202" t="s">
        <v>3287</v>
      </c>
      <c r="C1057" s="201" t="s">
        <v>1566</v>
      </c>
      <c r="D1057" s="204" t="s">
        <v>3286</v>
      </c>
    </row>
    <row r="1058" spans="1:4" ht="82.8" x14ac:dyDescent="0.3">
      <c r="A1058" s="200" t="s">
        <v>3288</v>
      </c>
      <c r="B1058" s="200" t="s">
        <v>3289</v>
      </c>
      <c r="C1058" s="201" t="s">
        <v>1566</v>
      </c>
      <c r="D1058" s="200" t="s">
        <v>3288</v>
      </c>
    </row>
    <row r="1059" spans="1:4" ht="69" x14ac:dyDescent="0.3">
      <c r="A1059" s="202" t="s">
        <v>3290</v>
      </c>
      <c r="B1059" s="202" t="s">
        <v>3291</v>
      </c>
      <c r="C1059" s="201" t="s">
        <v>1566</v>
      </c>
      <c r="D1059" s="202" t="s">
        <v>3290</v>
      </c>
    </row>
    <row r="1060" spans="1:4" ht="82.8" x14ac:dyDescent="0.3">
      <c r="A1060" s="202" t="s">
        <v>3292</v>
      </c>
      <c r="B1060" s="202" t="s">
        <v>3293</v>
      </c>
      <c r="C1060" s="201" t="s">
        <v>1566</v>
      </c>
      <c r="D1060" s="202" t="s">
        <v>3292</v>
      </c>
    </row>
    <row r="1061" spans="1:4" ht="96.6" x14ac:dyDescent="0.3">
      <c r="A1061" s="202" t="s">
        <v>3294</v>
      </c>
      <c r="B1061" s="202" t="s">
        <v>3295</v>
      </c>
      <c r="C1061" s="201" t="s">
        <v>1566</v>
      </c>
      <c r="D1061" s="202" t="s">
        <v>3294</v>
      </c>
    </row>
    <row r="1062" spans="1:4" ht="179.4" x14ac:dyDescent="0.3">
      <c r="A1062" s="202" t="s">
        <v>3296</v>
      </c>
      <c r="B1062" s="202" t="s">
        <v>3297</v>
      </c>
      <c r="C1062" s="201" t="s">
        <v>1566</v>
      </c>
      <c r="D1062" s="202" t="s">
        <v>3296</v>
      </c>
    </row>
    <row r="1063" spans="1:4" ht="96.6" x14ac:dyDescent="0.3">
      <c r="A1063" s="202" t="s">
        <v>3298</v>
      </c>
      <c r="B1063" s="202" t="s">
        <v>3299</v>
      </c>
      <c r="C1063" s="201" t="s">
        <v>1566</v>
      </c>
      <c r="D1063" s="202" t="s">
        <v>3298</v>
      </c>
    </row>
    <row r="1064" spans="1:4" ht="96.6" x14ac:dyDescent="0.3">
      <c r="A1064" s="202" t="s">
        <v>3300</v>
      </c>
      <c r="B1064" s="202" t="s">
        <v>3301</v>
      </c>
      <c r="C1064" s="201" t="s">
        <v>1566</v>
      </c>
      <c r="D1064" s="202" t="s">
        <v>3300</v>
      </c>
    </row>
    <row r="1065" spans="1:4" ht="55.2" x14ac:dyDescent="0.3">
      <c r="A1065" s="202" t="s">
        <v>3302</v>
      </c>
      <c r="B1065" s="202" t="s">
        <v>3303</v>
      </c>
      <c r="C1065" s="201" t="s">
        <v>1566</v>
      </c>
      <c r="D1065" s="202" t="s">
        <v>3302</v>
      </c>
    </row>
    <row r="1066" spans="1:4" ht="69" x14ac:dyDescent="0.3">
      <c r="A1066" s="202" t="s">
        <v>3304</v>
      </c>
      <c r="B1066" s="202" t="s">
        <v>3305</v>
      </c>
      <c r="C1066" s="201" t="s">
        <v>1566</v>
      </c>
      <c r="D1066" s="202" t="s">
        <v>3304</v>
      </c>
    </row>
    <row r="1067" spans="1:4" ht="96.6" x14ac:dyDescent="0.3">
      <c r="A1067" s="202" t="s">
        <v>3306</v>
      </c>
      <c r="B1067" s="202" t="s">
        <v>3307</v>
      </c>
      <c r="C1067" s="201" t="s">
        <v>1566</v>
      </c>
      <c r="D1067" s="202" t="s">
        <v>3306</v>
      </c>
    </row>
    <row r="1068" spans="1:4" ht="124.2" x14ac:dyDescent="0.3">
      <c r="A1068" s="200" t="s">
        <v>3308</v>
      </c>
      <c r="B1068" s="203" t="s">
        <v>3309</v>
      </c>
      <c r="C1068" s="201" t="s">
        <v>1566</v>
      </c>
      <c r="D1068" s="200" t="s">
        <v>3308</v>
      </c>
    </row>
    <row r="1069" spans="1:4" ht="82.8" x14ac:dyDescent="0.3">
      <c r="A1069" s="200" t="s">
        <v>3310</v>
      </c>
      <c r="B1069" s="200" t="s">
        <v>3311</v>
      </c>
      <c r="C1069" s="201" t="s">
        <v>1566</v>
      </c>
      <c r="D1069" s="200" t="s">
        <v>3310</v>
      </c>
    </row>
    <row r="1070" spans="1:4" ht="55.2" x14ac:dyDescent="0.3">
      <c r="A1070" s="200" t="s">
        <v>3312</v>
      </c>
      <c r="B1070" s="200" t="s">
        <v>3313</v>
      </c>
      <c r="C1070" s="201" t="s">
        <v>1566</v>
      </c>
      <c r="D1070" s="200" t="s">
        <v>3312</v>
      </c>
    </row>
    <row r="1071" spans="1:4" ht="41.4" x14ac:dyDescent="0.3">
      <c r="A1071" s="202" t="s">
        <v>3314</v>
      </c>
      <c r="B1071" s="202" t="s">
        <v>3315</v>
      </c>
      <c r="C1071" s="201" t="s">
        <v>1566</v>
      </c>
      <c r="D1071" s="202" t="s">
        <v>3314</v>
      </c>
    </row>
    <row r="1072" spans="1:4" ht="41.4" x14ac:dyDescent="0.3">
      <c r="A1072" s="202" t="s">
        <v>3314</v>
      </c>
      <c r="B1072" s="202" t="s">
        <v>3316</v>
      </c>
      <c r="C1072" s="201" t="s">
        <v>1566</v>
      </c>
      <c r="D1072" s="202" t="s">
        <v>3314</v>
      </c>
    </row>
    <row r="1073" spans="1:4" ht="69" x14ac:dyDescent="0.3">
      <c r="A1073" s="202" t="s">
        <v>3317</v>
      </c>
      <c r="B1073" s="202" t="s">
        <v>3318</v>
      </c>
      <c r="C1073" s="201" t="s">
        <v>1566</v>
      </c>
      <c r="D1073" s="202" t="s">
        <v>3317</v>
      </c>
    </row>
    <row r="1074" spans="1:4" ht="110.4" x14ac:dyDescent="0.3">
      <c r="A1074" s="202" t="s">
        <v>3319</v>
      </c>
      <c r="B1074" s="202" t="s">
        <v>3320</v>
      </c>
      <c r="C1074" s="201" t="s">
        <v>1566</v>
      </c>
      <c r="D1074" s="202" t="s">
        <v>3319</v>
      </c>
    </row>
    <row r="1075" spans="1:4" ht="82.8" x14ac:dyDescent="0.3">
      <c r="A1075" s="202" t="s">
        <v>3321</v>
      </c>
      <c r="B1075" s="202" t="s">
        <v>3322</v>
      </c>
      <c r="C1075" s="201" t="s">
        <v>1566</v>
      </c>
      <c r="D1075" s="202" t="s">
        <v>3321</v>
      </c>
    </row>
    <row r="1076" spans="1:4" ht="69" x14ac:dyDescent="0.3">
      <c r="A1076" s="202" t="s">
        <v>3323</v>
      </c>
      <c r="B1076" s="202" t="s">
        <v>3324</v>
      </c>
      <c r="C1076" s="201" t="s">
        <v>1566</v>
      </c>
      <c r="D1076" s="202" t="s">
        <v>3323</v>
      </c>
    </row>
    <row r="1077" spans="1:4" ht="27.6" x14ac:dyDescent="0.3">
      <c r="A1077" s="202" t="s">
        <v>3325</v>
      </c>
      <c r="B1077" s="202" t="s">
        <v>3326</v>
      </c>
      <c r="C1077" s="201" t="s">
        <v>1566</v>
      </c>
      <c r="D1077" s="202" t="s">
        <v>3325</v>
      </c>
    </row>
    <row r="1078" spans="1:4" ht="41.4" x14ac:dyDescent="0.3">
      <c r="A1078" s="202" t="s">
        <v>3327</v>
      </c>
      <c r="B1078" s="202" t="s">
        <v>3328</v>
      </c>
      <c r="C1078" s="201" t="s">
        <v>1566</v>
      </c>
      <c r="D1078" s="202" t="s">
        <v>3327</v>
      </c>
    </row>
    <row r="1079" spans="1:4" ht="27.6" x14ac:dyDescent="0.3">
      <c r="A1079" s="202" t="s">
        <v>3329</v>
      </c>
      <c r="B1079" s="202" t="s">
        <v>3330</v>
      </c>
      <c r="C1079" s="201" t="s">
        <v>1566</v>
      </c>
      <c r="D1079" s="202" t="s">
        <v>3329</v>
      </c>
    </row>
    <row r="1080" spans="1:4" ht="27.6" x14ac:dyDescent="0.3">
      <c r="A1080" s="202" t="s">
        <v>3331</v>
      </c>
      <c r="B1080" s="202" t="s">
        <v>3332</v>
      </c>
      <c r="C1080" s="201" t="s">
        <v>1566</v>
      </c>
      <c r="D1080" s="202" t="s">
        <v>3331</v>
      </c>
    </row>
    <row r="1081" spans="1:4" ht="27.6" x14ac:dyDescent="0.3">
      <c r="A1081" s="200" t="s">
        <v>3333</v>
      </c>
      <c r="B1081" s="200" t="s">
        <v>3334</v>
      </c>
      <c r="C1081" s="201" t="s">
        <v>1566</v>
      </c>
      <c r="D1081" s="200" t="s">
        <v>3333</v>
      </c>
    </row>
    <row r="1082" spans="1:4" ht="55.2" x14ac:dyDescent="0.3">
      <c r="A1082" s="200" t="s">
        <v>3335</v>
      </c>
      <c r="B1082" s="200" t="s">
        <v>3336</v>
      </c>
      <c r="C1082" s="201" t="s">
        <v>1566</v>
      </c>
      <c r="D1082" s="200" t="s">
        <v>3335</v>
      </c>
    </row>
    <row r="1083" spans="1:4" ht="96.6" x14ac:dyDescent="0.3">
      <c r="A1083" s="202" t="s">
        <v>3337</v>
      </c>
      <c r="B1083" s="202" t="s">
        <v>3338</v>
      </c>
      <c r="C1083" s="201" t="s">
        <v>1566</v>
      </c>
      <c r="D1083" s="202" t="s">
        <v>3337</v>
      </c>
    </row>
    <row r="1084" spans="1:4" ht="96.6" x14ac:dyDescent="0.3">
      <c r="A1084" s="202" t="s">
        <v>3337</v>
      </c>
      <c r="B1084" s="202" t="s">
        <v>3339</v>
      </c>
      <c r="C1084" s="201" t="s">
        <v>1566</v>
      </c>
      <c r="D1084" s="202" t="s">
        <v>3337</v>
      </c>
    </row>
    <row r="1085" spans="1:4" ht="41.4" x14ac:dyDescent="0.3">
      <c r="A1085" s="202" t="s">
        <v>3340</v>
      </c>
      <c r="B1085" s="202" t="s">
        <v>3341</v>
      </c>
      <c r="C1085" s="201" t="s">
        <v>1566</v>
      </c>
      <c r="D1085" s="202" t="s">
        <v>3340</v>
      </c>
    </row>
    <row r="1086" spans="1:4" ht="41.4" x14ac:dyDescent="0.3">
      <c r="A1086" s="202" t="s">
        <v>3342</v>
      </c>
      <c r="B1086" s="202" t="s">
        <v>3343</v>
      </c>
      <c r="C1086" s="201" t="s">
        <v>1566</v>
      </c>
      <c r="D1086" s="202" t="s">
        <v>3342</v>
      </c>
    </row>
    <row r="1087" spans="1:4" ht="27.6" x14ac:dyDescent="0.3">
      <c r="A1087" s="202" t="s">
        <v>3344</v>
      </c>
      <c r="B1087" s="202" t="s">
        <v>3345</v>
      </c>
      <c r="C1087" s="201" t="s">
        <v>1566</v>
      </c>
      <c r="D1087" s="202" t="s">
        <v>3344</v>
      </c>
    </row>
    <row r="1088" spans="1:4" ht="27.6" x14ac:dyDescent="0.3">
      <c r="A1088" s="200" t="s">
        <v>3346</v>
      </c>
      <c r="B1088" s="200" t="s">
        <v>3347</v>
      </c>
      <c r="C1088" s="201" t="s">
        <v>1566</v>
      </c>
      <c r="D1088" s="200" t="s">
        <v>3346</v>
      </c>
    </row>
    <row r="1089" spans="1:4" ht="27.6" x14ac:dyDescent="0.3">
      <c r="A1089" s="200" t="s">
        <v>3348</v>
      </c>
      <c r="B1089" s="200" t="s">
        <v>3349</v>
      </c>
      <c r="C1089" s="201" t="s">
        <v>1566</v>
      </c>
      <c r="D1089" s="200" t="s">
        <v>3348</v>
      </c>
    </row>
    <row r="1090" spans="1:4" ht="69" x14ac:dyDescent="0.3">
      <c r="A1090" s="200" t="s">
        <v>3350</v>
      </c>
      <c r="B1090" s="200" t="s">
        <v>3351</v>
      </c>
      <c r="C1090" s="201" t="s">
        <v>1566</v>
      </c>
      <c r="D1090" s="200" t="s">
        <v>3350</v>
      </c>
    </row>
    <row r="1091" spans="1:4" ht="82.8" x14ac:dyDescent="0.3">
      <c r="A1091" s="202" t="s">
        <v>3352</v>
      </c>
      <c r="B1091" s="202" t="s">
        <v>3353</v>
      </c>
      <c r="C1091" s="201" t="s">
        <v>1566</v>
      </c>
      <c r="D1091" s="202" t="s">
        <v>3352</v>
      </c>
    </row>
    <row r="1092" spans="1:4" ht="69" x14ac:dyDescent="0.3">
      <c r="A1092" s="202" t="s">
        <v>3354</v>
      </c>
      <c r="B1092" s="202" t="s">
        <v>3355</v>
      </c>
      <c r="C1092" s="201" t="s">
        <v>1566</v>
      </c>
      <c r="D1092" s="202" t="s">
        <v>3354</v>
      </c>
    </row>
    <row r="1093" spans="1:4" ht="55.2" x14ac:dyDescent="0.3">
      <c r="A1093" s="202" t="s">
        <v>3356</v>
      </c>
      <c r="B1093" s="202" t="s">
        <v>3357</v>
      </c>
      <c r="C1093" s="201" t="s">
        <v>1566</v>
      </c>
      <c r="D1093" s="202" t="s">
        <v>3356</v>
      </c>
    </row>
    <row r="1094" spans="1:4" ht="69" x14ac:dyDescent="0.3">
      <c r="A1094" s="200" t="s">
        <v>3358</v>
      </c>
      <c r="B1094" s="203" t="s">
        <v>3359</v>
      </c>
      <c r="C1094" s="201" t="s">
        <v>1566</v>
      </c>
      <c r="D1094" s="200" t="s">
        <v>3358</v>
      </c>
    </row>
    <row r="1095" spans="1:4" ht="69" x14ac:dyDescent="0.3">
      <c r="A1095" s="200" t="s">
        <v>3360</v>
      </c>
      <c r="B1095" s="200" t="s">
        <v>3361</v>
      </c>
      <c r="C1095" s="201" t="s">
        <v>1566</v>
      </c>
      <c r="D1095" s="200" t="s">
        <v>3360</v>
      </c>
    </row>
    <row r="1096" spans="1:4" ht="41.4" x14ac:dyDescent="0.3">
      <c r="A1096" s="200" t="s">
        <v>3362</v>
      </c>
      <c r="B1096" s="200" t="s">
        <v>3363</v>
      </c>
      <c r="C1096" s="201" t="s">
        <v>1566</v>
      </c>
      <c r="D1096" s="200" t="s">
        <v>3362</v>
      </c>
    </row>
    <row r="1097" spans="1:4" ht="27.6" x14ac:dyDescent="0.3">
      <c r="A1097" s="200" t="s">
        <v>3364</v>
      </c>
      <c r="B1097" s="200" t="s">
        <v>3365</v>
      </c>
      <c r="C1097" s="201" t="s">
        <v>1566</v>
      </c>
      <c r="D1097" s="200" t="s">
        <v>3364</v>
      </c>
    </row>
    <row r="1098" spans="1:4" ht="41.4" x14ac:dyDescent="0.3">
      <c r="A1098" s="200" t="s">
        <v>3366</v>
      </c>
      <c r="B1098" s="200" t="s">
        <v>3367</v>
      </c>
      <c r="C1098" s="201" t="s">
        <v>1566</v>
      </c>
      <c r="D1098" s="200" t="s">
        <v>3366</v>
      </c>
    </row>
    <row r="1099" spans="1:4" ht="41.4" x14ac:dyDescent="0.3">
      <c r="A1099" s="200" t="s">
        <v>3368</v>
      </c>
      <c r="B1099" s="200" t="s">
        <v>3369</v>
      </c>
      <c r="C1099" s="201" t="s">
        <v>1566</v>
      </c>
      <c r="D1099" s="200" t="s">
        <v>3368</v>
      </c>
    </row>
    <row r="1100" spans="1:4" ht="55.2" x14ac:dyDescent="0.3">
      <c r="A1100" s="202" t="s">
        <v>3370</v>
      </c>
      <c r="B1100" s="202" t="s">
        <v>3371</v>
      </c>
      <c r="C1100" s="201" t="s">
        <v>1566</v>
      </c>
      <c r="D1100" s="202" t="s">
        <v>3370</v>
      </c>
    </row>
    <row r="1101" spans="1:4" ht="55.2" x14ac:dyDescent="0.3">
      <c r="A1101" s="202" t="s">
        <v>3370</v>
      </c>
      <c r="B1101" s="202" t="s">
        <v>3372</v>
      </c>
      <c r="C1101" s="201" t="s">
        <v>1566</v>
      </c>
      <c r="D1101" s="202" t="s">
        <v>3370</v>
      </c>
    </row>
    <row r="1102" spans="1:4" ht="41.4" x14ac:dyDescent="0.3">
      <c r="A1102" s="202" t="s">
        <v>3373</v>
      </c>
      <c r="B1102" s="202" t="s">
        <v>3374</v>
      </c>
      <c r="C1102" s="201" t="s">
        <v>1566</v>
      </c>
      <c r="D1102" s="202" t="s">
        <v>3373</v>
      </c>
    </row>
    <row r="1103" spans="1:4" ht="41.4" x14ac:dyDescent="0.3">
      <c r="A1103" s="202" t="s">
        <v>3375</v>
      </c>
      <c r="B1103" s="202" t="s">
        <v>3376</v>
      </c>
      <c r="C1103" s="201" t="s">
        <v>1566</v>
      </c>
      <c r="D1103" s="202" t="s">
        <v>3375</v>
      </c>
    </row>
    <row r="1104" spans="1:4" ht="41.4" x14ac:dyDescent="0.3">
      <c r="A1104" s="202" t="s">
        <v>3377</v>
      </c>
      <c r="B1104" s="202" t="s">
        <v>3378</v>
      </c>
      <c r="C1104" s="201" t="s">
        <v>1566</v>
      </c>
      <c r="D1104" s="202" t="s">
        <v>3377</v>
      </c>
    </row>
    <row r="1105" spans="1:4" ht="41.4" x14ac:dyDescent="0.3">
      <c r="A1105" s="202" t="s">
        <v>3379</v>
      </c>
      <c r="B1105" s="202" t="s">
        <v>3380</v>
      </c>
      <c r="C1105" s="201" t="s">
        <v>1566</v>
      </c>
      <c r="D1105" s="202" t="s">
        <v>3379</v>
      </c>
    </row>
    <row r="1106" spans="1:4" ht="165.6" x14ac:dyDescent="0.3">
      <c r="A1106" s="202" t="s">
        <v>3381</v>
      </c>
      <c r="B1106" s="202" t="s">
        <v>3382</v>
      </c>
      <c r="C1106" s="201" t="s">
        <v>1566</v>
      </c>
      <c r="D1106" s="202" t="s">
        <v>3381</v>
      </c>
    </row>
    <row r="1107" spans="1:4" ht="27.6" x14ac:dyDescent="0.3">
      <c r="A1107" s="202" t="s">
        <v>3383</v>
      </c>
      <c r="B1107" s="202" t="s">
        <v>3384</v>
      </c>
      <c r="C1107" s="201" t="s">
        <v>1566</v>
      </c>
      <c r="D1107" s="202" t="s">
        <v>3383</v>
      </c>
    </row>
    <row r="1108" spans="1:4" ht="110.4" x14ac:dyDescent="0.3">
      <c r="A1108" s="202" t="s">
        <v>3385</v>
      </c>
      <c r="B1108" s="202" t="s">
        <v>3386</v>
      </c>
      <c r="C1108" s="201" t="s">
        <v>1566</v>
      </c>
      <c r="D1108" s="202" t="s">
        <v>3385</v>
      </c>
    </row>
    <row r="1109" spans="1:4" ht="207" x14ac:dyDescent="0.3">
      <c r="A1109" s="202" t="s">
        <v>3387</v>
      </c>
      <c r="B1109" s="202" t="s">
        <v>3388</v>
      </c>
      <c r="C1109" s="201" t="s">
        <v>1566</v>
      </c>
      <c r="D1109" s="202" t="s">
        <v>3387</v>
      </c>
    </row>
    <row r="1110" spans="1:4" ht="82.8" x14ac:dyDescent="0.3">
      <c r="A1110" s="202" t="s">
        <v>3389</v>
      </c>
      <c r="B1110" s="202" t="s">
        <v>3390</v>
      </c>
      <c r="C1110" s="201" t="s">
        <v>1566</v>
      </c>
      <c r="D1110" s="202" t="s">
        <v>3389</v>
      </c>
    </row>
    <row r="1111" spans="1:4" ht="207" x14ac:dyDescent="0.3">
      <c r="A1111" s="200" t="s">
        <v>3391</v>
      </c>
      <c r="B1111" s="200" t="s">
        <v>3392</v>
      </c>
      <c r="C1111" s="201" t="s">
        <v>1566</v>
      </c>
      <c r="D1111" s="200" t="s">
        <v>3391</v>
      </c>
    </row>
    <row r="1112" spans="1:4" ht="124.2" x14ac:dyDescent="0.3">
      <c r="A1112" s="200" t="s">
        <v>3393</v>
      </c>
      <c r="B1112" s="200" t="s">
        <v>3394</v>
      </c>
      <c r="C1112" s="201" t="s">
        <v>1566</v>
      </c>
      <c r="D1112" s="200" t="s">
        <v>3393</v>
      </c>
    </row>
    <row r="1113" spans="1:4" ht="82.8" x14ac:dyDescent="0.3">
      <c r="A1113" s="202" t="s">
        <v>3395</v>
      </c>
      <c r="B1113" s="202" t="s">
        <v>3396</v>
      </c>
      <c r="C1113" s="201" t="s">
        <v>1566</v>
      </c>
      <c r="D1113" s="202" t="s">
        <v>3395</v>
      </c>
    </row>
    <row r="1114" spans="1:4" ht="82.8" x14ac:dyDescent="0.3">
      <c r="A1114" s="202" t="s">
        <v>3395</v>
      </c>
      <c r="B1114" s="202" t="s">
        <v>3397</v>
      </c>
      <c r="C1114" s="201" t="s">
        <v>1566</v>
      </c>
      <c r="D1114" s="202" t="s">
        <v>3395</v>
      </c>
    </row>
    <row r="1115" spans="1:4" ht="124.2" x14ac:dyDescent="0.3">
      <c r="A1115" s="202" t="s">
        <v>3398</v>
      </c>
      <c r="B1115" s="202" t="s">
        <v>3399</v>
      </c>
      <c r="C1115" s="201" t="s">
        <v>1566</v>
      </c>
      <c r="D1115" s="202" t="s">
        <v>3398</v>
      </c>
    </row>
    <row r="1116" spans="1:4" ht="82.8" x14ac:dyDescent="0.3">
      <c r="A1116" s="202" t="s">
        <v>3400</v>
      </c>
      <c r="B1116" s="202" t="s">
        <v>3401</v>
      </c>
      <c r="C1116" s="201" t="s">
        <v>1566</v>
      </c>
      <c r="D1116" s="202" t="s">
        <v>3400</v>
      </c>
    </row>
    <row r="1117" spans="1:4" ht="69" x14ac:dyDescent="0.3">
      <c r="A1117" s="202" t="s">
        <v>3402</v>
      </c>
      <c r="B1117" s="202" t="s">
        <v>3403</v>
      </c>
      <c r="C1117" s="201" t="s">
        <v>1566</v>
      </c>
      <c r="D1117" s="202" t="s">
        <v>3402</v>
      </c>
    </row>
    <row r="1118" spans="1:4" ht="55.2" x14ac:dyDescent="0.3">
      <c r="A1118" s="202" t="s">
        <v>3404</v>
      </c>
      <c r="B1118" s="202" t="s">
        <v>3405</v>
      </c>
      <c r="C1118" s="201" t="s">
        <v>1566</v>
      </c>
      <c r="D1118" s="202" t="s">
        <v>3404</v>
      </c>
    </row>
    <row r="1119" spans="1:4" ht="55.2" x14ac:dyDescent="0.3">
      <c r="A1119" s="202" t="s">
        <v>3406</v>
      </c>
      <c r="B1119" s="202" t="s">
        <v>3407</v>
      </c>
      <c r="C1119" s="201" t="s">
        <v>1566</v>
      </c>
      <c r="D1119" s="202" t="s">
        <v>3406</v>
      </c>
    </row>
    <row r="1120" spans="1:4" ht="96.6" x14ac:dyDescent="0.3">
      <c r="A1120" s="202" t="s">
        <v>3408</v>
      </c>
      <c r="B1120" s="202" t="s">
        <v>3409</v>
      </c>
      <c r="C1120" s="201" t="s">
        <v>1566</v>
      </c>
      <c r="D1120" s="202" t="s">
        <v>3408</v>
      </c>
    </row>
    <row r="1121" spans="1:4" ht="69" x14ac:dyDescent="0.3">
      <c r="A1121" s="202" t="s">
        <v>3410</v>
      </c>
      <c r="B1121" s="202" t="s">
        <v>3411</v>
      </c>
      <c r="C1121" s="201" t="s">
        <v>1566</v>
      </c>
      <c r="D1121" s="202" t="s">
        <v>3410</v>
      </c>
    </row>
    <row r="1122" spans="1:4" ht="27.6" x14ac:dyDescent="0.3">
      <c r="A1122" s="202" t="s">
        <v>3412</v>
      </c>
      <c r="B1122" s="202" t="s">
        <v>3413</v>
      </c>
      <c r="C1122" s="201" t="s">
        <v>1566</v>
      </c>
      <c r="D1122" s="202" t="s">
        <v>3412</v>
      </c>
    </row>
    <row r="1123" spans="1:4" ht="27.6" x14ac:dyDescent="0.3">
      <c r="A1123" s="202" t="s">
        <v>3414</v>
      </c>
      <c r="B1123" s="202" t="s">
        <v>3415</v>
      </c>
      <c r="C1123" s="201" t="s">
        <v>1566</v>
      </c>
      <c r="D1123" s="202" t="s">
        <v>3414</v>
      </c>
    </row>
    <row r="1124" spans="1:4" ht="41.4" x14ac:dyDescent="0.3">
      <c r="A1124" s="202" t="s">
        <v>3416</v>
      </c>
      <c r="B1124" s="202" t="s">
        <v>3417</v>
      </c>
      <c r="C1124" s="201" t="s">
        <v>1566</v>
      </c>
      <c r="D1124" s="202" t="s">
        <v>3416</v>
      </c>
    </row>
    <row r="1125" spans="1:4" ht="69" x14ac:dyDescent="0.3">
      <c r="A1125" s="202" t="s">
        <v>3418</v>
      </c>
      <c r="B1125" s="202" t="s">
        <v>3419</v>
      </c>
      <c r="C1125" s="201" t="s">
        <v>1566</v>
      </c>
      <c r="D1125" s="202" t="s">
        <v>3418</v>
      </c>
    </row>
    <row r="1126" spans="1:4" ht="55.2" x14ac:dyDescent="0.3">
      <c r="A1126" s="202" t="s">
        <v>3420</v>
      </c>
      <c r="B1126" s="202" t="s">
        <v>3421</v>
      </c>
      <c r="C1126" s="201" t="s">
        <v>1566</v>
      </c>
      <c r="D1126" s="202" t="s">
        <v>3420</v>
      </c>
    </row>
    <row r="1127" spans="1:4" ht="124.2" x14ac:dyDescent="0.3">
      <c r="A1127" s="202" t="s">
        <v>3422</v>
      </c>
      <c r="B1127" s="202" t="s">
        <v>3423</v>
      </c>
      <c r="C1127" s="201" t="s">
        <v>1566</v>
      </c>
      <c r="D1127" s="202" t="s">
        <v>3422</v>
      </c>
    </row>
    <row r="1128" spans="1:4" ht="27.6" x14ac:dyDescent="0.3">
      <c r="A1128" s="202" t="s">
        <v>3424</v>
      </c>
      <c r="B1128" s="202" t="s">
        <v>3425</v>
      </c>
      <c r="C1128" s="201" t="s">
        <v>1566</v>
      </c>
      <c r="D1128" s="202" t="s">
        <v>3424</v>
      </c>
    </row>
    <row r="1129" spans="1:4" ht="41.4" x14ac:dyDescent="0.3">
      <c r="A1129" s="200" t="s">
        <v>3426</v>
      </c>
      <c r="B1129" s="200" t="s">
        <v>3427</v>
      </c>
      <c r="C1129" s="201" t="s">
        <v>1566</v>
      </c>
      <c r="D1129" s="200" t="s">
        <v>3426</v>
      </c>
    </row>
    <row r="1130" spans="1:4" ht="55.2" x14ac:dyDescent="0.3">
      <c r="A1130" s="200" t="s">
        <v>3428</v>
      </c>
      <c r="B1130" s="200" t="s">
        <v>3429</v>
      </c>
      <c r="C1130" s="201" t="s">
        <v>1566</v>
      </c>
      <c r="D1130" s="200" t="s">
        <v>3428</v>
      </c>
    </row>
    <row r="1131" spans="1:4" ht="27.6" x14ac:dyDescent="0.3">
      <c r="A1131" s="200" t="s">
        <v>3430</v>
      </c>
      <c r="B1131" s="200" t="s">
        <v>3431</v>
      </c>
      <c r="C1131" s="201" t="s">
        <v>1566</v>
      </c>
      <c r="D1131" s="200" t="s">
        <v>3430</v>
      </c>
    </row>
    <row r="1132" spans="1:4" ht="27.6" x14ac:dyDescent="0.3">
      <c r="A1132" s="200" t="s">
        <v>3430</v>
      </c>
      <c r="B1132" s="200" t="s">
        <v>3432</v>
      </c>
      <c r="C1132" s="201" t="s">
        <v>1566</v>
      </c>
      <c r="D1132" s="200" t="s">
        <v>3430</v>
      </c>
    </row>
    <row r="1133" spans="1:4" ht="69" x14ac:dyDescent="0.3">
      <c r="A1133" s="200" t="s">
        <v>3433</v>
      </c>
      <c r="B1133" s="200" t="s">
        <v>3434</v>
      </c>
      <c r="C1133" s="201" t="s">
        <v>1566</v>
      </c>
      <c r="D1133" s="200" t="s">
        <v>3433</v>
      </c>
    </row>
    <row r="1134" spans="1:4" ht="27.6" x14ac:dyDescent="0.3">
      <c r="A1134" s="202" t="s">
        <v>3435</v>
      </c>
      <c r="B1134" s="202" t="s">
        <v>3436</v>
      </c>
      <c r="C1134" s="201" t="s">
        <v>1566</v>
      </c>
      <c r="D1134" s="202" t="s">
        <v>3435</v>
      </c>
    </row>
    <row r="1135" spans="1:4" ht="41.4" x14ac:dyDescent="0.3">
      <c r="A1135" s="202" t="s">
        <v>3437</v>
      </c>
      <c r="B1135" s="202" t="s">
        <v>3438</v>
      </c>
      <c r="C1135" s="201" t="s">
        <v>1566</v>
      </c>
      <c r="D1135" s="202" t="s">
        <v>3437</v>
      </c>
    </row>
    <row r="1136" spans="1:4" ht="27.6" x14ac:dyDescent="0.3">
      <c r="A1136" s="202" t="s">
        <v>3439</v>
      </c>
      <c r="B1136" s="202" t="s">
        <v>3440</v>
      </c>
      <c r="C1136" s="201" t="s">
        <v>1566</v>
      </c>
      <c r="D1136" s="202" t="s">
        <v>3439</v>
      </c>
    </row>
    <row r="1137" spans="1:4" ht="27.6" x14ac:dyDescent="0.3">
      <c r="A1137" s="202" t="s">
        <v>3441</v>
      </c>
      <c r="B1137" s="202" t="s">
        <v>3442</v>
      </c>
      <c r="C1137" s="201" t="s">
        <v>1566</v>
      </c>
      <c r="D1137" s="202" t="s">
        <v>3441</v>
      </c>
    </row>
    <row r="1138" spans="1:4" ht="55.2" x14ac:dyDescent="0.3">
      <c r="A1138" s="200" t="s">
        <v>3443</v>
      </c>
      <c r="B1138" s="200" t="s">
        <v>3444</v>
      </c>
      <c r="C1138" s="201" t="s">
        <v>1566</v>
      </c>
      <c r="D1138" s="200" t="s">
        <v>3443</v>
      </c>
    </row>
    <row r="1139" spans="1:4" ht="27.6" x14ac:dyDescent="0.3">
      <c r="A1139" s="200" t="s">
        <v>3445</v>
      </c>
      <c r="B1139" s="203" t="s">
        <v>3446</v>
      </c>
      <c r="C1139" s="201" t="s">
        <v>1566</v>
      </c>
      <c r="D1139" s="200" t="s">
        <v>3445</v>
      </c>
    </row>
    <row r="1140" spans="1:4" ht="69" x14ac:dyDescent="0.3">
      <c r="A1140" s="200" t="s">
        <v>3447</v>
      </c>
      <c r="B1140" s="200" t="s">
        <v>3448</v>
      </c>
      <c r="C1140" s="201" t="s">
        <v>1566</v>
      </c>
      <c r="D1140" s="200" t="s">
        <v>3447</v>
      </c>
    </row>
    <row r="1141" spans="1:4" ht="20.399999999999999" x14ac:dyDescent="0.3">
      <c r="A1141" s="200" t="s">
        <v>3449</v>
      </c>
      <c r="B1141" s="200" t="s">
        <v>3450</v>
      </c>
      <c r="C1141" s="201" t="s">
        <v>1566</v>
      </c>
      <c r="D1141" s="200" t="s">
        <v>3449</v>
      </c>
    </row>
    <row r="1142" spans="1:4" ht="20.399999999999999" x14ac:dyDescent="0.3">
      <c r="A1142" s="200" t="s">
        <v>3449</v>
      </c>
      <c r="B1142" s="200" t="s">
        <v>3451</v>
      </c>
      <c r="C1142" s="201" t="s">
        <v>1566</v>
      </c>
      <c r="D1142" s="200" t="s">
        <v>3449</v>
      </c>
    </row>
    <row r="1143" spans="1:4" ht="55.2" x14ac:dyDescent="0.3">
      <c r="A1143" s="202" t="s">
        <v>3452</v>
      </c>
      <c r="B1143" s="202" t="s">
        <v>3453</v>
      </c>
      <c r="C1143" s="201" t="s">
        <v>1566</v>
      </c>
      <c r="D1143" s="202" t="s">
        <v>3452</v>
      </c>
    </row>
    <row r="1144" spans="1:4" ht="27.6" x14ac:dyDescent="0.3">
      <c r="A1144" s="202" t="s">
        <v>3454</v>
      </c>
      <c r="B1144" s="202" t="s">
        <v>3455</v>
      </c>
      <c r="C1144" s="201" t="s">
        <v>1566</v>
      </c>
      <c r="D1144" s="202" t="s">
        <v>3454</v>
      </c>
    </row>
    <row r="1145" spans="1:4" ht="69" x14ac:dyDescent="0.3">
      <c r="A1145" s="200" t="s">
        <v>3456</v>
      </c>
      <c r="B1145" s="200" t="s">
        <v>3457</v>
      </c>
      <c r="C1145" s="201" t="s">
        <v>1566</v>
      </c>
      <c r="D1145" s="200" t="s">
        <v>3456</v>
      </c>
    </row>
    <row r="1146" spans="1:4" ht="55.2" x14ac:dyDescent="0.3">
      <c r="A1146" s="200" t="s">
        <v>3458</v>
      </c>
      <c r="B1146" s="200" t="s">
        <v>3459</v>
      </c>
      <c r="C1146" s="201" t="s">
        <v>1566</v>
      </c>
      <c r="D1146" s="200" t="s">
        <v>3458</v>
      </c>
    </row>
    <row r="1147" spans="1:4" ht="27.6" x14ac:dyDescent="0.3">
      <c r="A1147" s="202" t="s">
        <v>3460</v>
      </c>
      <c r="B1147" s="202" t="s">
        <v>3461</v>
      </c>
      <c r="C1147" s="201" t="s">
        <v>1566</v>
      </c>
      <c r="D1147" s="202" t="s">
        <v>3460</v>
      </c>
    </row>
    <row r="1148" spans="1:4" ht="27.6" x14ac:dyDescent="0.3">
      <c r="A1148" s="202" t="s">
        <v>3462</v>
      </c>
      <c r="B1148" s="202" t="s">
        <v>3463</v>
      </c>
      <c r="C1148" s="201" t="s">
        <v>1566</v>
      </c>
      <c r="D1148" s="202" t="s">
        <v>3462</v>
      </c>
    </row>
    <row r="1149" spans="1:4" ht="69" x14ac:dyDescent="0.3">
      <c r="A1149" s="200" t="s">
        <v>3464</v>
      </c>
      <c r="B1149" s="203" t="s">
        <v>3465</v>
      </c>
      <c r="C1149" s="201" t="s">
        <v>1566</v>
      </c>
      <c r="D1149" s="200" t="s">
        <v>3464</v>
      </c>
    </row>
    <row r="1150" spans="1:4" ht="96.6" x14ac:dyDescent="0.3">
      <c r="A1150" s="200" t="s">
        <v>3466</v>
      </c>
      <c r="B1150" s="200" t="s">
        <v>3467</v>
      </c>
      <c r="C1150" s="201" t="s">
        <v>1566</v>
      </c>
      <c r="D1150" s="200" t="s">
        <v>3466</v>
      </c>
    </row>
    <row r="1151" spans="1:4" ht="27.6" x14ac:dyDescent="0.3">
      <c r="A1151" s="200" t="s">
        <v>3468</v>
      </c>
      <c r="B1151" s="200" t="s">
        <v>3469</v>
      </c>
      <c r="C1151" s="201" t="s">
        <v>1566</v>
      </c>
      <c r="D1151" s="200" t="s">
        <v>3468</v>
      </c>
    </row>
    <row r="1152" spans="1:4" ht="55.2" x14ac:dyDescent="0.3">
      <c r="A1152" s="200" t="s">
        <v>3470</v>
      </c>
      <c r="B1152" s="200" t="s">
        <v>3471</v>
      </c>
      <c r="C1152" s="201" t="s">
        <v>1566</v>
      </c>
      <c r="D1152" s="200" t="s">
        <v>3470</v>
      </c>
    </row>
    <row r="1153" spans="1:4" ht="20.399999999999999" x14ac:dyDescent="0.3">
      <c r="A1153" s="202" t="s">
        <v>3472</v>
      </c>
      <c r="B1153" s="202" t="s">
        <v>3473</v>
      </c>
      <c r="C1153" s="201" t="s">
        <v>1566</v>
      </c>
      <c r="D1153" s="202" t="s">
        <v>3472</v>
      </c>
    </row>
    <row r="1154" spans="1:4" ht="41.4" x14ac:dyDescent="0.3">
      <c r="A1154" s="202" t="s">
        <v>3474</v>
      </c>
      <c r="B1154" s="202" t="s">
        <v>3475</v>
      </c>
      <c r="C1154" s="201" t="s">
        <v>1566</v>
      </c>
      <c r="D1154" s="202" t="s">
        <v>3474</v>
      </c>
    </row>
    <row r="1155" spans="1:4" ht="69" x14ac:dyDescent="0.3">
      <c r="A1155" s="202" t="s">
        <v>3476</v>
      </c>
      <c r="B1155" s="202" t="s">
        <v>3477</v>
      </c>
      <c r="C1155" s="201" t="s">
        <v>1566</v>
      </c>
      <c r="D1155" s="202" t="s">
        <v>3476</v>
      </c>
    </row>
    <row r="1156" spans="1:4" ht="55.2" x14ac:dyDescent="0.3">
      <c r="A1156" s="202" t="s">
        <v>3478</v>
      </c>
      <c r="B1156" s="202" t="s">
        <v>3479</v>
      </c>
      <c r="C1156" s="201" t="s">
        <v>1566</v>
      </c>
      <c r="D1156" s="202" t="s">
        <v>3478</v>
      </c>
    </row>
    <row r="1157" spans="1:4" ht="20.399999999999999" x14ac:dyDescent="0.3">
      <c r="A1157" s="202" t="s">
        <v>3480</v>
      </c>
      <c r="B1157" s="202" t="s">
        <v>3481</v>
      </c>
      <c r="C1157" s="201" t="s">
        <v>1566</v>
      </c>
      <c r="D1157" s="202" t="s">
        <v>3480</v>
      </c>
    </row>
    <row r="1158" spans="1:4" ht="165.6" x14ac:dyDescent="0.3">
      <c r="A1158" s="202" t="s">
        <v>3482</v>
      </c>
      <c r="B1158" s="202" t="s">
        <v>3483</v>
      </c>
      <c r="C1158" s="201" t="s">
        <v>1566</v>
      </c>
      <c r="D1158" s="202" t="s">
        <v>3482</v>
      </c>
    </row>
    <row r="1159" spans="1:4" ht="82.8" x14ac:dyDescent="0.3">
      <c r="A1159" s="202" t="s">
        <v>3484</v>
      </c>
      <c r="B1159" s="202" t="s">
        <v>3485</v>
      </c>
      <c r="C1159" s="201" t="s">
        <v>1566</v>
      </c>
      <c r="D1159" s="202" t="s">
        <v>3484</v>
      </c>
    </row>
    <row r="1160" spans="1:4" ht="69" x14ac:dyDescent="0.3">
      <c r="A1160" s="200" t="s">
        <v>3486</v>
      </c>
      <c r="B1160" s="200" t="s">
        <v>3487</v>
      </c>
      <c r="C1160" s="201" t="s">
        <v>1566</v>
      </c>
      <c r="D1160" s="200" t="s">
        <v>3486</v>
      </c>
    </row>
    <row r="1161" spans="1:4" ht="41.4" x14ac:dyDescent="0.3">
      <c r="A1161" s="202" t="s">
        <v>3488</v>
      </c>
      <c r="B1161" s="202" t="s">
        <v>3489</v>
      </c>
      <c r="C1161" s="201" t="s">
        <v>1566</v>
      </c>
      <c r="D1161" s="202" t="s">
        <v>3488</v>
      </c>
    </row>
    <row r="1162" spans="1:4" ht="41.4" x14ac:dyDescent="0.3">
      <c r="A1162" s="202" t="s">
        <v>3490</v>
      </c>
      <c r="B1162" s="202" t="s">
        <v>3491</v>
      </c>
      <c r="C1162" s="201" t="s">
        <v>1566</v>
      </c>
      <c r="D1162" s="202" t="s">
        <v>3490</v>
      </c>
    </row>
    <row r="1163" spans="1:4" ht="82.8" x14ac:dyDescent="0.3">
      <c r="A1163" s="200" t="s">
        <v>3492</v>
      </c>
      <c r="B1163" s="200" t="s">
        <v>3493</v>
      </c>
      <c r="C1163" s="201" t="s">
        <v>1566</v>
      </c>
      <c r="D1163" s="200" t="s">
        <v>3492</v>
      </c>
    </row>
    <row r="1164" spans="1:4" ht="55.2" x14ac:dyDescent="0.3">
      <c r="A1164" s="200" t="s">
        <v>3494</v>
      </c>
      <c r="B1164" s="200" t="s">
        <v>3495</v>
      </c>
      <c r="C1164" s="201" t="s">
        <v>1566</v>
      </c>
      <c r="D1164" s="200" t="s">
        <v>3494</v>
      </c>
    </row>
    <row r="1165" spans="1:4" ht="41.4" x14ac:dyDescent="0.3">
      <c r="A1165" s="200" t="s">
        <v>3496</v>
      </c>
      <c r="B1165" s="200" t="s">
        <v>3497</v>
      </c>
      <c r="C1165" s="201" t="s">
        <v>1566</v>
      </c>
      <c r="D1165" s="200" t="s">
        <v>3496</v>
      </c>
    </row>
    <row r="1166" spans="1:4" ht="41.4" x14ac:dyDescent="0.3">
      <c r="A1166" s="200" t="s">
        <v>3496</v>
      </c>
      <c r="B1166" s="200" t="s">
        <v>3498</v>
      </c>
      <c r="C1166" s="201" t="s">
        <v>1566</v>
      </c>
      <c r="D1166" s="200" t="s">
        <v>3496</v>
      </c>
    </row>
    <row r="1167" spans="1:4" ht="27.6" x14ac:dyDescent="0.3">
      <c r="A1167" s="200" t="s">
        <v>3499</v>
      </c>
      <c r="B1167" s="200" t="s">
        <v>3500</v>
      </c>
      <c r="C1167" s="201" t="s">
        <v>1566</v>
      </c>
      <c r="D1167" s="200" t="s">
        <v>3499</v>
      </c>
    </row>
    <row r="1168" spans="1:4" ht="27.6" x14ac:dyDescent="0.3">
      <c r="A1168" s="200" t="s">
        <v>3499</v>
      </c>
      <c r="B1168" s="200" t="s">
        <v>3501</v>
      </c>
      <c r="C1168" s="201" t="s">
        <v>1566</v>
      </c>
      <c r="D1168" s="200" t="s">
        <v>3499</v>
      </c>
    </row>
    <row r="1169" spans="1:4" ht="27.6" x14ac:dyDescent="0.3">
      <c r="A1169" s="200" t="s">
        <v>3502</v>
      </c>
      <c r="B1169" s="200" t="s">
        <v>3503</v>
      </c>
      <c r="C1169" s="201" t="s">
        <v>1566</v>
      </c>
      <c r="D1169" s="200" t="s">
        <v>3502</v>
      </c>
    </row>
    <row r="1170" spans="1:4" ht="27.6" x14ac:dyDescent="0.3">
      <c r="A1170" s="200" t="s">
        <v>3502</v>
      </c>
      <c r="B1170" s="200" t="s">
        <v>3504</v>
      </c>
      <c r="C1170" s="201" t="s">
        <v>1566</v>
      </c>
      <c r="D1170" s="200" t="s">
        <v>3502</v>
      </c>
    </row>
    <row r="1171" spans="1:4" ht="55.2" x14ac:dyDescent="0.3">
      <c r="A1171" s="200" t="s">
        <v>3505</v>
      </c>
      <c r="B1171" s="200" t="s">
        <v>3506</v>
      </c>
      <c r="C1171" s="201" t="s">
        <v>1566</v>
      </c>
      <c r="D1171" s="200" t="s">
        <v>3505</v>
      </c>
    </row>
    <row r="1172" spans="1:4" ht="55.2" x14ac:dyDescent="0.3">
      <c r="A1172" s="200" t="s">
        <v>3505</v>
      </c>
      <c r="B1172" s="200" t="s">
        <v>3507</v>
      </c>
      <c r="C1172" s="201" t="s">
        <v>1566</v>
      </c>
      <c r="D1172" s="200" t="s">
        <v>3505</v>
      </c>
    </row>
    <row r="1173" spans="1:4" ht="41.4" x14ac:dyDescent="0.3">
      <c r="A1173" s="200" t="s">
        <v>3508</v>
      </c>
      <c r="B1173" s="200" t="s">
        <v>3509</v>
      </c>
      <c r="C1173" s="201" t="s">
        <v>1566</v>
      </c>
      <c r="D1173" s="200" t="s">
        <v>3508</v>
      </c>
    </row>
    <row r="1174" spans="1:4" ht="27.6" x14ac:dyDescent="0.3">
      <c r="A1174" s="202" t="s">
        <v>3510</v>
      </c>
      <c r="B1174" s="202" t="s">
        <v>3511</v>
      </c>
      <c r="C1174" s="201" t="s">
        <v>1566</v>
      </c>
      <c r="D1174" s="202" t="s">
        <v>3510</v>
      </c>
    </row>
    <row r="1175" spans="1:4" ht="55.2" x14ac:dyDescent="0.3">
      <c r="A1175" s="202" t="s">
        <v>3512</v>
      </c>
      <c r="B1175" s="202" t="s">
        <v>3513</v>
      </c>
      <c r="C1175" s="201" t="s">
        <v>1566</v>
      </c>
      <c r="D1175" s="202" t="s">
        <v>3512</v>
      </c>
    </row>
    <row r="1176" spans="1:4" ht="55.2" x14ac:dyDescent="0.3">
      <c r="A1176" s="202" t="s">
        <v>3514</v>
      </c>
      <c r="B1176" s="202" t="s">
        <v>3515</v>
      </c>
      <c r="C1176" s="201" t="s">
        <v>1566</v>
      </c>
      <c r="D1176" s="202" t="s">
        <v>3514</v>
      </c>
    </row>
    <row r="1177" spans="1:4" ht="41.4" x14ac:dyDescent="0.3">
      <c r="A1177" s="202" t="s">
        <v>3516</v>
      </c>
      <c r="B1177" s="202" t="s">
        <v>3517</v>
      </c>
      <c r="C1177" s="201" t="s">
        <v>1566</v>
      </c>
      <c r="D1177" s="202" t="s">
        <v>3516</v>
      </c>
    </row>
    <row r="1178" spans="1:4" ht="55.2" x14ac:dyDescent="0.3">
      <c r="A1178" s="202" t="s">
        <v>3518</v>
      </c>
      <c r="B1178" s="202" t="s">
        <v>3519</v>
      </c>
      <c r="C1178" s="201" t="s">
        <v>1566</v>
      </c>
      <c r="D1178" s="202" t="s">
        <v>3518</v>
      </c>
    </row>
    <row r="1179" spans="1:4" ht="96.6" x14ac:dyDescent="0.3">
      <c r="A1179" s="202" t="s">
        <v>3520</v>
      </c>
      <c r="B1179" s="202" t="s">
        <v>3521</v>
      </c>
      <c r="C1179" s="201" t="s">
        <v>1566</v>
      </c>
      <c r="D1179" s="202" t="s">
        <v>3520</v>
      </c>
    </row>
    <row r="1180" spans="1:4" ht="55.2" x14ac:dyDescent="0.3">
      <c r="A1180" s="202" t="s">
        <v>3522</v>
      </c>
      <c r="B1180" s="202" t="s">
        <v>3523</v>
      </c>
      <c r="C1180" s="201" t="s">
        <v>1566</v>
      </c>
      <c r="D1180" s="202" t="s">
        <v>3522</v>
      </c>
    </row>
    <row r="1181" spans="1:4" ht="69" x14ac:dyDescent="0.3">
      <c r="A1181" s="202" t="s">
        <v>3524</v>
      </c>
      <c r="B1181" s="202" t="s">
        <v>3525</v>
      </c>
      <c r="C1181" s="201" t="s">
        <v>1566</v>
      </c>
      <c r="D1181" s="202" t="s">
        <v>3524</v>
      </c>
    </row>
    <row r="1182" spans="1:4" ht="82.8" x14ac:dyDescent="0.3">
      <c r="A1182" s="202" t="s">
        <v>3526</v>
      </c>
      <c r="B1182" s="202" t="s">
        <v>3527</v>
      </c>
      <c r="C1182" s="201" t="s">
        <v>1566</v>
      </c>
      <c r="D1182" s="202" t="s">
        <v>3526</v>
      </c>
    </row>
    <row r="1183" spans="1:4" ht="55.2" x14ac:dyDescent="0.3">
      <c r="A1183" s="200" t="s">
        <v>3528</v>
      </c>
      <c r="B1183" s="203" t="s">
        <v>3529</v>
      </c>
      <c r="C1183" s="201" t="s">
        <v>1566</v>
      </c>
      <c r="D1183" s="200" t="s">
        <v>3528</v>
      </c>
    </row>
    <row r="1184" spans="1:4" ht="41.4" x14ac:dyDescent="0.3">
      <c r="A1184" s="200" t="s">
        <v>3530</v>
      </c>
      <c r="B1184" s="200" t="s">
        <v>3531</v>
      </c>
      <c r="C1184" s="201" t="s">
        <v>1566</v>
      </c>
      <c r="D1184" s="200" t="s">
        <v>3530</v>
      </c>
    </row>
    <row r="1185" spans="1:4" ht="27.6" x14ac:dyDescent="0.3">
      <c r="A1185" s="200" t="s">
        <v>3532</v>
      </c>
      <c r="B1185" s="200" t="s">
        <v>3533</v>
      </c>
      <c r="C1185" s="201" t="s">
        <v>1566</v>
      </c>
      <c r="D1185" s="200" t="s">
        <v>3532</v>
      </c>
    </row>
    <row r="1186" spans="1:4" ht="41.4" x14ac:dyDescent="0.3">
      <c r="A1186" s="200" t="s">
        <v>3534</v>
      </c>
      <c r="B1186" s="200" t="s">
        <v>3535</v>
      </c>
      <c r="C1186" s="201" t="s">
        <v>1566</v>
      </c>
      <c r="D1186" s="200" t="s">
        <v>3534</v>
      </c>
    </row>
    <row r="1187" spans="1:4" ht="20.399999999999999" x14ac:dyDescent="0.3">
      <c r="A1187" s="200" t="s">
        <v>3536</v>
      </c>
      <c r="B1187" s="200" t="s">
        <v>3537</v>
      </c>
      <c r="C1187" s="201" t="s">
        <v>1566</v>
      </c>
      <c r="D1187" s="200" t="s">
        <v>3536</v>
      </c>
    </row>
    <row r="1188" spans="1:4" ht="27.6" x14ac:dyDescent="0.3">
      <c r="A1188" s="200" t="s">
        <v>3538</v>
      </c>
      <c r="B1188" s="200" t="s">
        <v>3539</v>
      </c>
      <c r="C1188" s="201" t="s">
        <v>1566</v>
      </c>
      <c r="D1188" s="200" t="s">
        <v>3538</v>
      </c>
    </row>
    <row r="1189" spans="1:4" ht="41.4" x14ac:dyDescent="0.3">
      <c r="A1189" s="200" t="s">
        <v>3540</v>
      </c>
      <c r="B1189" s="200" t="s">
        <v>3541</v>
      </c>
      <c r="C1189" s="201" t="s">
        <v>1566</v>
      </c>
      <c r="D1189" s="200" t="s">
        <v>3540</v>
      </c>
    </row>
    <row r="1190" spans="1:4" ht="27.6" x14ac:dyDescent="0.3">
      <c r="A1190" s="200" t="s">
        <v>3542</v>
      </c>
      <c r="B1190" s="200" t="s">
        <v>3543</v>
      </c>
      <c r="C1190" s="201" t="s">
        <v>1566</v>
      </c>
      <c r="D1190" s="200" t="s">
        <v>3542</v>
      </c>
    </row>
    <row r="1191" spans="1:4" ht="41.4" x14ac:dyDescent="0.3">
      <c r="A1191" s="200" t="s">
        <v>3544</v>
      </c>
      <c r="B1191" s="200" t="s">
        <v>3545</v>
      </c>
      <c r="C1191" s="201" t="s">
        <v>1566</v>
      </c>
      <c r="D1191" s="200" t="s">
        <v>3544</v>
      </c>
    </row>
    <row r="1192" spans="1:4" ht="55.2" x14ac:dyDescent="0.3">
      <c r="A1192" s="200" t="s">
        <v>3546</v>
      </c>
      <c r="B1192" s="200" t="s">
        <v>3547</v>
      </c>
      <c r="C1192" s="201" t="s">
        <v>1566</v>
      </c>
      <c r="D1192" s="200" t="s">
        <v>3546</v>
      </c>
    </row>
    <row r="1193" spans="1:4" ht="55.2" x14ac:dyDescent="0.3">
      <c r="A1193" s="200" t="s">
        <v>3548</v>
      </c>
      <c r="B1193" s="200" t="s">
        <v>3549</v>
      </c>
      <c r="C1193" s="201" t="s">
        <v>1566</v>
      </c>
      <c r="D1193" s="200" t="s">
        <v>3548</v>
      </c>
    </row>
    <row r="1194" spans="1:4" ht="27.6" x14ac:dyDescent="0.3">
      <c r="A1194" s="200" t="s">
        <v>3550</v>
      </c>
      <c r="B1194" s="200" t="s">
        <v>3551</v>
      </c>
      <c r="C1194" s="201" t="s">
        <v>1566</v>
      </c>
      <c r="D1194" s="200" t="s">
        <v>3550</v>
      </c>
    </row>
    <row r="1195" spans="1:4" ht="27.6" x14ac:dyDescent="0.3">
      <c r="A1195" s="200" t="s">
        <v>3552</v>
      </c>
      <c r="B1195" s="200" t="s">
        <v>3553</v>
      </c>
      <c r="C1195" s="201" t="s">
        <v>1566</v>
      </c>
      <c r="D1195" s="200" t="s">
        <v>3552</v>
      </c>
    </row>
    <row r="1196" spans="1:4" ht="27.6" x14ac:dyDescent="0.3">
      <c r="A1196" s="200" t="s">
        <v>3552</v>
      </c>
      <c r="B1196" s="203" t="s">
        <v>3554</v>
      </c>
      <c r="C1196" s="201" t="s">
        <v>1566</v>
      </c>
      <c r="D1196" s="200" t="s">
        <v>3552</v>
      </c>
    </row>
    <row r="1197" spans="1:4" x14ac:dyDescent="0.3">
      <c r="A1197" s="200" t="s">
        <v>3555</v>
      </c>
      <c r="B1197" s="200" t="s">
        <v>3556</v>
      </c>
      <c r="C1197" s="201" t="s">
        <v>3557</v>
      </c>
      <c r="D1197" s="200" t="s">
        <v>3555</v>
      </c>
    </row>
    <row r="1198" spans="1:4" x14ac:dyDescent="0.3">
      <c r="A1198" s="200" t="s">
        <v>3558</v>
      </c>
      <c r="B1198" s="200">
        <v>41</v>
      </c>
      <c r="C1198" s="201" t="s">
        <v>3557</v>
      </c>
      <c r="D1198" s="200" t="s">
        <v>3558</v>
      </c>
    </row>
    <row r="1199" spans="1:4" ht="27.6" x14ac:dyDescent="0.3">
      <c r="A1199" s="200" t="s">
        <v>3559</v>
      </c>
      <c r="B1199" s="200" t="s">
        <v>3560</v>
      </c>
      <c r="C1199" s="201" t="s">
        <v>3557</v>
      </c>
      <c r="D1199" s="200" t="s">
        <v>3559</v>
      </c>
    </row>
    <row r="1200" spans="1:4" ht="27.6" x14ac:dyDescent="0.3">
      <c r="A1200" s="200" t="s">
        <v>3559</v>
      </c>
      <c r="B1200" s="200" t="s">
        <v>3561</v>
      </c>
      <c r="C1200" s="201" t="s">
        <v>3557</v>
      </c>
      <c r="D1200" s="200" t="s">
        <v>3559</v>
      </c>
    </row>
    <row r="1201" spans="1:4" ht="27.6" x14ac:dyDescent="0.3">
      <c r="A1201" s="200" t="s">
        <v>3562</v>
      </c>
      <c r="B1201" s="203" t="s">
        <v>3563</v>
      </c>
      <c r="C1201" s="201" t="s">
        <v>3557</v>
      </c>
      <c r="D1201" s="200" t="s">
        <v>3562</v>
      </c>
    </row>
    <row r="1202" spans="1:4" ht="27.6" x14ac:dyDescent="0.3">
      <c r="A1202" s="200" t="s">
        <v>3562</v>
      </c>
      <c r="B1202" s="200" t="s">
        <v>3564</v>
      </c>
      <c r="C1202" s="201" t="s">
        <v>3557</v>
      </c>
      <c r="D1202" s="200" t="s">
        <v>3562</v>
      </c>
    </row>
    <row r="1203" spans="1:4" ht="41.4" x14ac:dyDescent="0.3">
      <c r="A1203" s="200" t="s">
        <v>3565</v>
      </c>
      <c r="B1203" s="200">
        <v>42</v>
      </c>
      <c r="C1203" s="201" t="s">
        <v>3557</v>
      </c>
      <c r="D1203" s="200" t="s">
        <v>3565</v>
      </c>
    </row>
    <row r="1204" spans="1:4" ht="41.4" x14ac:dyDescent="0.3">
      <c r="A1204" s="200" t="s">
        <v>3566</v>
      </c>
      <c r="B1204" s="200" t="s">
        <v>3567</v>
      </c>
      <c r="C1204" s="201" t="s">
        <v>3557</v>
      </c>
      <c r="D1204" s="200" t="s">
        <v>3566</v>
      </c>
    </row>
    <row r="1205" spans="1:4" ht="41.4" x14ac:dyDescent="0.3">
      <c r="A1205" s="200" t="s">
        <v>3568</v>
      </c>
      <c r="B1205" s="200" t="s">
        <v>3569</v>
      </c>
      <c r="C1205" s="201" t="s">
        <v>3557</v>
      </c>
      <c r="D1205" s="200" t="s">
        <v>3568</v>
      </c>
    </row>
    <row r="1206" spans="1:4" ht="27.6" x14ac:dyDescent="0.3">
      <c r="A1206" s="200" t="s">
        <v>3570</v>
      </c>
      <c r="B1206" s="200" t="s">
        <v>3571</v>
      </c>
      <c r="C1206" s="201" t="s">
        <v>3557</v>
      </c>
      <c r="D1206" s="200" t="s">
        <v>3570</v>
      </c>
    </row>
    <row r="1207" spans="1:4" ht="27.6" x14ac:dyDescent="0.3">
      <c r="A1207" s="200" t="s">
        <v>3572</v>
      </c>
      <c r="B1207" s="200" t="s">
        <v>3573</v>
      </c>
      <c r="C1207" s="201" t="s">
        <v>3557</v>
      </c>
      <c r="D1207" s="200" t="s">
        <v>3572</v>
      </c>
    </row>
    <row r="1208" spans="1:4" ht="41.4" x14ac:dyDescent="0.3">
      <c r="A1208" s="200" t="s">
        <v>3574</v>
      </c>
      <c r="B1208" s="200" t="s">
        <v>3575</v>
      </c>
      <c r="C1208" s="201" t="s">
        <v>3557</v>
      </c>
      <c r="D1208" s="200" t="s">
        <v>3574</v>
      </c>
    </row>
    <row r="1209" spans="1:4" ht="82.8" x14ac:dyDescent="0.3">
      <c r="A1209" s="202" t="s">
        <v>3576</v>
      </c>
      <c r="B1209" s="202" t="s">
        <v>3577</v>
      </c>
      <c r="C1209" s="201" t="s">
        <v>3557</v>
      </c>
      <c r="D1209" s="202" t="s">
        <v>3576</v>
      </c>
    </row>
    <row r="1210" spans="1:4" ht="82.8" x14ac:dyDescent="0.3">
      <c r="A1210" s="202" t="s">
        <v>3578</v>
      </c>
      <c r="B1210" s="202" t="s">
        <v>3579</v>
      </c>
      <c r="C1210" s="201" t="s">
        <v>3557</v>
      </c>
      <c r="D1210" s="202" t="s">
        <v>3578</v>
      </c>
    </row>
    <row r="1211" spans="1:4" ht="55.2" x14ac:dyDescent="0.3">
      <c r="A1211" s="202" t="s">
        <v>3580</v>
      </c>
      <c r="B1211" s="202" t="s">
        <v>3581</v>
      </c>
      <c r="C1211" s="201" t="s">
        <v>3557</v>
      </c>
      <c r="D1211" s="202" t="s">
        <v>3580</v>
      </c>
    </row>
    <row r="1212" spans="1:4" ht="41.4" x14ac:dyDescent="0.3">
      <c r="A1212" s="200" t="s">
        <v>3582</v>
      </c>
      <c r="B1212" s="200" t="s">
        <v>3583</v>
      </c>
      <c r="C1212" s="201" t="s">
        <v>3557</v>
      </c>
      <c r="D1212" s="200" t="s">
        <v>3582</v>
      </c>
    </row>
    <row r="1213" spans="1:4" ht="27.6" x14ac:dyDescent="0.3">
      <c r="A1213" s="200" t="s">
        <v>3584</v>
      </c>
      <c r="B1213" s="200" t="s">
        <v>3585</v>
      </c>
      <c r="C1213" s="201" t="s">
        <v>3557</v>
      </c>
      <c r="D1213" s="200" t="s">
        <v>3584</v>
      </c>
    </row>
    <row r="1214" spans="1:4" ht="41.4" x14ac:dyDescent="0.3">
      <c r="A1214" s="202" t="s">
        <v>3586</v>
      </c>
      <c r="B1214" s="202" t="s">
        <v>3587</v>
      </c>
      <c r="C1214" s="201" t="s">
        <v>3557</v>
      </c>
      <c r="D1214" s="202" t="s">
        <v>3586</v>
      </c>
    </row>
    <row r="1215" spans="1:4" ht="27.6" x14ac:dyDescent="0.3">
      <c r="A1215" s="202" t="s">
        <v>3588</v>
      </c>
      <c r="B1215" s="202" t="s">
        <v>3589</v>
      </c>
      <c r="C1215" s="201" t="s">
        <v>3557</v>
      </c>
      <c r="D1215" s="202" t="s">
        <v>3588</v>
      </c>
    </row>
    <row r="1216" spans="1:4" ht="27.6" x14ac:dyDescent="0.3">
      <c r="A1216" s="202" t="s">
        <v>3590</v>
      </c>
      <c r="B1216" s="202" t="s">
        <v>3591</v>
      </c>
      <c r="C1216" s="201" t="s">
        <v>3557</v>
      </c>
      <c r="D1216" s="202" t="s">
        <v>3590</v>
      </c>
    </row>
    <row r="1217" spans="1:4" ht="41.4" x14ac:dyDescent="0.3">
      <c r="A1217" s="202" t="s">
        <v>3592</v>
      </c>
      <c r="B1217" s="202" t="s">
        <v>3593</v>
      </c>
      <c r="C1217" s="201" t="s">
        <v>3557</v>
      </c>
      <c r="D1217" s="202" t="s">
        <v>3592</v>
      </c>
    </row>
    <row r="1218" spans="1:4" ht="41.4" x14ac:dyDescent="0.3">
      <c r="A1218" s="202" t="s">
        <v>3594</v>
      </c>
      <c r="B1218" s="202" t="s">
        <v>3595</v>
      </c>
      <c r="C1218" s="201" t="s">
        <v>3557</v>
      </c>
      <c r="D1218" s="202" t="s">
        <v>3594</v>
      </c>
    </row>
    <row r="1219" spans="1:4" ht="69" x14ac:dyDescent="0.3">
      <c r="A1219" s="200" t="s">
        <v>3596</v>
      </c>
      <c r="B1219" s="200" t="s">
        <v>3597</v>
      </c>
      <c r="C1219" s="201" t="s">
        <v>3557</v>
      </c>
      <c r="D1219" s="200" t="s">
        <v>3596</v>
      </c>
    </row>
    <row r="1220" spans="1:4" ht="41.4" x14ac:dyDescent="0.3">
      <c r="A1220" s="200" t="s">
        <v>3598</v>
      </c>
      <c r="B1220" s="203" t="s">
        <v>3599</v>
      </c>
      <c r="C1220" s="201" t="s">
        <v>3557</v>
      </c>
      <c r="D1220" s="200" t="s">
        <v>3598</v>
      </c>
    </row>
    <row r="1221" spans="1:4" ht="69" x14ac:dyDescent="0.3">
      <c r="A1221" s="200" t="s">
        <v>3600</v>
      </c>
      <c r="B1221" s="200" t="s">
        <v>3601</v>
      </c>
      <c r="C1221" s="201" t="s">
        <v>3557</v>
      </c>
      <c r="D1221" s="200" t="s">
        <v>3600</v>
      </c>
    </row>
    <row r="1222" spans="1:4" ht="27.6" x14ac:dyDescent="0.3">
      <c r="A1222" s="200" t="s">
        <v>3602</v>
      </c>
      <c r="B1222" s="200">
        <v>43</v>
      </c>
      <c r="C1222" s="201" t="s">
        <v>3557</v>
      </c>
      <c r="D1222" s="200" t="s">
        <v>3602</v>
      </c>
    </row>
    <row r="1223" spans="1:4" ht="41.4" x14ac:dyDescent="0.3">
      <c r="A1223" s="200" t="s">
        <v>3603</v>
      </c>
      <c r="B1223" s="200" t="s">
        <v>3604</v>
      </c>
      <c r="C1223" s="201" t="s">
        <v>3557</v>
      </c>
      <c r="D1223" s="200" t="s">
        <v>3603</v>
      </c>
    </row>
    <row r="1224" spans="1:4" x14ac:dyDescent="0.3">
      <c r="A1224" s="202" t="s">
        <v>3605</v>
      </c>
      <c r="B1224" s="202" t="s">
        <v>3606</v>
      </c>
      <c r="C1224" s="201" t="s">
        <v>3557</v>
      </c>
      <c r="D1224" s="202" t="s">
        <v>3605</v>
      </c>
    </row>
    <row r="1225" spans="1:4" ht="41.4" x14ac:dyDescent="0.3">
      <c r="A1225" s="202" t="s">
        <v>3607</v>
      </c>
      <c r="B1225" s="202" t="s">
        <v>3608</v>
      </c>
      <c r="C1225" s="201" t="s">
        <v>3557</v>
      </c>
      <c r="D1225" s="202" t="s">
        <v>3607</v>
      </c>
    </row>
    <row r="1226" spans="1:4" ht="55.2" x14ac:dyDescent="0.3">
      <c r="A1226" s="202" t="s">
        <v>3609</v>
      </c>
      <c r="B1226" s="202" t="s">
        <v>3610</v>
      </c>
      <c r="C1226" s="201" t="s">
        <v>3557</v>
      </c>
      <c r="D1226" s="202" t="s">
        <v>3609</v>
      </c>
    </row>
    <row r="1227" spans="1:4" ht="96.6" x14ac:dyDescent="0.3">
      <c r="A1227" s="202" t="s">
        <v>3611</v>
      </c>
      <c r="B1227" s="202" t="s">
        <v>3612</v>
      </c>
      <c r="C1227" s="201" t="s">
        <v>3557</v>
      </c>
      <c r="D1227" s="202" t="s">
        <v>3611</v>
      </c>
    </row>
    <row r="1228" spans="1:4" ht="27.6" x14ac:dyDescent="0.3">
      <c r="A1228" s="200" t="s">
        <v>3613</v>
      </c>
      <c r="B1228" s="200" t="s">
        <v>3614</v>
      </c>
      <c r="C1228" s="201" t="s">
        <v>3557</v>
      </c>
      <c r="D1228" s="200" t="s">
        <v>3613</v>
      </c>
    </row>
    <row r="1229" spans="1:4" ht="82.8" x14ac:dyDescent="0.3">
      <c r="A1229" s="200" t="s">
        <v>3615</v>
      </c>
      <c r="B1229" s="200" t="s">
        <v>3616</v>
      </c>
      <c r="C1229" s="201" t="s">
        <v>3557</v>
      </c>
      <c r="D1229" s="200" t="s">
        <v>3615</v>
      </c>
    </row>
    <row r="1230" spans="1:4" x14ac:dyDescent="0.3">
      <c r="A1230" s="200" t="s">
        <v>3617</v>
      </c>
      <c r="B1230" s="200" t="s">
        <v>3618</v>
      </c>
      <c r="C1230" s="201" t="s">
        <v>3557</v>
      </c>
      <c r="D1230" s="200" t="s">
        <v>3617</v>
      </c>
    </row>
    <row r="1231" spans="1:4" ht="69" x14ac:dyDescent="0.3">
      <c r="A1231" s="200" t="s">
        <v>3619</v>
      </c>
      <c r="B1231" s="200" t="s">
        <v>3620</v>
      </c>
      <c r="C1231" s="201" t="s">
        <v>3557</v>
      </c>
      <c r="D1231" s="200" t="s">
        <v>3619</v>
      </c>
    </row>
    <row r="1232" spans="1:4" ht="41.4" x14ac:dyDescent="0.3">
      <c r="A1232" s="200" t="s">
        <v>3621</v>
      </c>
      <c r="B1232" s="200" t="s">
        <v>3622</v>
      </c>
      <c r="C1232" s="201" t="s">
        <v>3557</v>
      </c>
      <c r="D1232" s="200" t="s">
        <v>3621</v>
      </c>
    </row>
    <row r="1233" spans="1:4" ht="82.8" x14ac:dyDescent="0.3">
      <c r="A1233" s="200" t="s">
        <v>3623</v>
      </c>
      <c r="B1233" s="200" t="s">
        <v>3624</v>
      </c>
      <c r="C1233" s="201" t="s">
        <v>3557</v>
      </c>
      <c r="D1233" s="200" t="s">
        <v>3623</v>
      </c>
    </row>
    <row r="1234" spans="1:4" ht="41.4" x14ac:dyDescent="0.3">
      <c r="A1234" s="200" t="s">
        <v>3625</v>
      </c>
      <c r="B1234" s="200" t="s">
        <v>3626</v>
      </c>
      <c r="C1234" s="201" t="s">
        <v>3557</v>
      </c>
      <c r="D1234" s="200" t="s">
        <v>3625</v>
      </c>
    </row>
    <row r="1235" spans="1:4" ht="27.6" x14ac:dyDescent="0.3">
      <c r="A1235" s="200" t="s">
        <v>3627</v>
      </c>
      <c r="B1235" s="200" t="s">
        <v>3628</v>
      </c>
      <c r="C1235" s="201" t="s">
        <v>3557</v>
      </c>
      <c r="D1235" s="200" t="s">
        <v>3627</v>
      </c>
    </row>
    <row r="1236" spans="1:4" ht="27.6" x14ac:dyDescent="0.3">
      <c r="A1236" s="202" t="s">
        <v>3629</v>
      </c>
      <c r="B1236" s="202" t="s">
        <v>3630</v>
      </c>
      <c r="C1236" s="201" t="s">
        <v>3557</v>
      </c>
      <c r="D1236" s="202" t="s">
        <v>3629</v>
      </c>
    </row>
    <row r="1237" spans="1:4" ht="27.6" x14ac:dyDescent="0.3">
      <c r="A1237" s="202" t="s">
        <v>3631</v>
      </c>
      <c r="B1237" s="202" t="s">
        <v>3632</v>
      </c>
      <c r="C1237" s="201" t="s">
        <v>3557</v>
      </c>
      <c r="D1237" s="202" t="s">
        <v>3631</v>
      </c>
    </row>
    <row r="1238" spans="1:4" ht="96.6" x14ac:dyDescent="0.3">
      <c r="A1238" s="202" t="s">
        <v>3633</v>
      </c>
      <c r="B1238" s="202" t="s">
        <v>3634</v>
      </c>
      <c r="C1238" s="201" t="s">
        <v>3557</v>
      </c>
      <c r="D1238" s="202" t="s">
        <v>3633</v>
      </c>
    </row>
    <row r="1239" spans="1:4" ht="69" x14ac:dyDescent="0.3">
      <c r="A1239" s="200" t="s">
        <v>3635</v>
      </c>
      <c r="B1239" s="200" t="s">
        <v>3636</v>
      </c>
      <c r="C1239" s="201" t="s">
        <v>3557</v>
      </c>
      <c r="D1239" s="200" t="s">
        <v>3635</v>
      </c>
    </row>
    <row r="1240" spans="1:4" ht="82.8" x14ac:dyDescent="0.3">
      <c r="A1240" s="200" t="s">
        <v>3637</v>
      </c>
      <c r="B1240" s="200" t="s">
        <v>3638</v>
      </c>
      <c r="C1240" s="201" t="s">
        <v>3557</v>
      </c>
      <c r="D1240" s="200" t="s">
        <v>3637</v>
      </c>
    </row>
    <row r="1241" spans="1:4" ht="55.2" x14ac:dyDescent="0.3">
      <c r="A1241" s="202" t="s">
        <v>3639</v>
      </c>
      <c r="B1241" s="202" t="s">
        <v>3640</v>
      </c>
      <c r="C1241" s="201" t="s">
        <v>3557</v>
      </c>
      <c r="D1241" s="202" t="s">
        <v>3639</v>
      </c>
    </row>
    <row r="1242" spans="1:4" ht="41.4" x14ac:dyDescent="0.3">
      <c r="A1242" s="202" t="s">
        <v>3641</v>
      </c>
      <c r="B1242" s="202" t="s">
        <v>3642</v>
      </c>
      <c r="C1242" s="201" t="s">
        <v>3557</v>
      </c>
      <c r="D1242" s="202" t="s">
        <v>3641</v>
      </c>
    </row>
    <row r="1243" spans="1:4" ht="27.6" x14ac:dyDescent="0.3">
      <c r="A1243" s="200" t="s">
        <v>3643</v>
      </c>
      <c r="B1243" s="200" t="s">
        <v>3644</v>
      </c>
      <c r="C1243" s="201" t="s">
        <v>3557</v>
      </c>
      <c r="D1243" s="200" t="s">
        <v>3643</v>
      </c>
    </row>
    <row r="1244" spans="1:4" ht="27.6" x14ac:dyDescent="0.3">
      <c r="A1244" s="200" t="s">
        <v>3645</v>
      </c>
      <c r="B1244" s="200" t="s">
        <v>3646</v>
      </c>
      <c r="C1244" s="201" t="s">
        <v>3557</v>
      </c>
      <c r="D1244" s="200" t="s">
        <v>3645</v>
      </c>
    </row>
    <row r="1245" spans="1:4" ht="41.4" x14ac:dyDescent="0.3">
      <c r="A1245" s="200" t="s">
        <v>3647</v>
      </c>
      <c r="B1245" s="200" t="s">
        <v>3648</v>
      </c>
      <c r="C1245" s="201" t="s">
        <v>3557</v>
      </c>
      <c r="D1245" s="200" t="s">
        <v>3647</v>
      </c>
    </row>
    <row r="1246" spans="1:4" ht="41.4" x14ac:dyDescent="0.3">
      <c r="A1246" s="200" t="s">
        <v>3649</v>
      </c>
      <c r="B1246" s="200" t="s">
        <v>3650</v>
      </c>
      <c r="C1246" s="201" t="s">
        <v>3557</v>
      </c>
      <c r="D1246" s="200" t="s">
        <v>3649</v>
      </c>
    </row>
    <row r="1247" spans="1:4" ht="27.6" x14ac:dyDescent="0.3">
      <c r="A1247" s="202" t="s">
        <v>3651</v>
      </c>
      <c r="B1247" s="202" t="s">
        <v>3652</v>
      </c>
      <c r="C1247" s="201" t="s">
        <v>3557</v>
      </c>
      <c r="D1247" s="202" t="s">
        <v>3651</v>
      </c>
    </row>
    <row r="1248" spans="1:4" ht="69" x14ac:dyDescent="0.3">
      <c r="A1248" s="202" t="s">
        <v>3653</v>
      </c>
      <c r="B1248" s="202" t="s">
        <v>3654</v>
      </c>
      <c r="C1248" s="201" t="s">
        <v>3557</v>
      </c>
      <c r="D1248" s="202" t="s">
        <v>3653</v>
      </c>
    </row>
    <row r="1249" spans="1:4" ht="27.6" x14ac:dyDescent="0.3">
      <c r="A1249" s="202" t="s">
        <v>3655</v>
      </c>
      <c r="B1249" s="202" t="s">
        <v>3656</v>
      </c>
      <c r="C1249" s="201" t="s">
        <v>3557</v>
      </c>
      <c r="D1249" s="202" t="s">
        <v>3655</v>
      </c>
    </row>
    <row r="1250" spans="1:4" ht="41.4" x14ac:dyDescent="0.3">
      <c r="A1250" s="202" t="s">
        <v>3657</v>
      </c>
      <c r="B1250" s="202" t="s">
        <v>3658</v>
      </c>
      <c r="C1250" s="201" t="s">
        <v>3557</v>
      </c>
      <c r="D1250" s="202" t="s">
        <v>3657</v>
      </c>
    </row>
    <row r="1251" spans="1:4" ht="55.2" x14ac:dyDescent="0.3">
      <c r="A1251" s="202" t="s">
        <v>3659</v>
      </c>
      <c r="B1251" s="202" t="s">
        <v>3660</v>
      </c>
      <c r="C1251" s="201" t="s">
        <v>3557</v>
      </c>
      <c r="D1251" s="202" t="s">
        <v>3659</v>
      </c>
    </row>
    <row r="1252" spans="1:4" ht="27.6" x14ac:dyDescent="0.3">
      <c r="A1252" s="202" t="s">
        <v>3661</v>
      </c>
      <c r="B1252" s="202" t="s">
        <v>3662</v>
      </c>
      <c r="C1252" s="201" t="s">
        <v>3557</v>
      </c>
      <c r="D1252" s="202" t="s">
        <v>3661</v>
      </c>
    </row>
    <row r="1253" spans="1:4" ht="55.2" x14ac:dyDescent="0.3">
      <c r="A1253" s="202" t="s">
        <v>3663</v>
      </c>
      <c r="B1253" s="202" t="s">
        <v>3664</v>
      </c>
      <c r="C1253" s="201" t="s">
        <v>3557</v>
      </c>
      <c r="D1253" s="202" t="s">
        <v>3663</v>
      </c>
    </row>
    <row r="1254" spans="1:4" ht="27.6" x14ac:dyDescent="0.3">
      <c r="A1254" s="202" t="s">
        <v>3665</v>
      </c>
      <c r="B1254" s="202" t="s">
        <v>3666</v>
      </c>
      <c r="C1254" s="201" t="s">
        <v>3557</v>
      </c>
      <c r="D1254" s="202" t="s">
        <v>3665</v>
      </c>
    </row>
    <row r="1255" spans="1:4" ht="90" x14ac:dyDescent="0.3">
      <c r="A1255" s="205" t="s">
        <v>3667</v>
      </c>
      <c r="B1255" s="205" t="s">
        <v>3668</v>
      </c>
      <c r="C1255" s="201" t="s">
        <v>3557</v>
      </c>
      <c r="D1255" s="205" t="s">
        <v>3667</v>
      </c>
    </row>
    <row r="1256" spans="1:4" ht="55.2" x14ac:dyDescent="0.3">
      <c r="A1256" s="200" t="s">
        <v>3669</v>
      </c>
      <c r="B1256" s="200" t="s">
        <v>3670</v>
      </c>
      <c r="C1256" s="201" t="s">
        <v>3557</v>
      </c>
      <c r="D1256" s="200" t="s">
        <v>3669</v>
      </c>
    </row>
    <row r="1257" spans="1:4" ht="82.8" x14ac:dyDescent="0.3">
      <c r="A1257" s="200" t="s">
        <v>3671</v>
      </c>
      <c r="B1257" s="200" t="s">
        <v>3672</v>
      </c>
      <c r="C1257" s="201" t="s">
        <v>3673</v>
      </c>
      <c r="D1257" s="200" t="s">
        <v>3671</v>
      </c>
    </row>
    <row r="1258" spans="1:4" ht="55.2" x14ac:dyDescent="0.3">
      <c r="A1258" s="202" t="s">
        <v>3674</v>
      </c>
      <c r="B1258" s="202" t="s">
        <v>3675</v>
      </c>
      <c r="C1258" s="201" t="s">
        <v>3673</v>
      </c>
      <c r="D1258" s="202" t="s">
        <v>3674</v>
      </c>
    </row>
    <row r="1259" spans="1:4" ht="96.6" x14ac:dyDescent="0.3">
      <c r="A1259" s="202" t="s">
        <v>3676</v>
      </c>
      <c r="B1259" s="202" t="s">
        <v>3677</v>
      </c>
      <c r="C1259" s="201" t="s">
        <v>3673</v>
      </c>
      <c r="D1259" s="202" t="s">
        <v>3676</v>
      </c>
    </row>
    <row r="1260" spans="1:4" ht="55.2" x14ac:dyDescent="0.3">
      <c r="A1260" s="202" t="s">
        <v>3678</v>
      </c>
      <c r="B1260" s="202" t="s">
        <v>3679</v>
      </c>
      <c r="C1260" s="201" t="s">
        <v>3673</v>
      </c>
      <c r="D1260" s="202" t="s">
        <v>3678</v>
      </c>
    </row>
    <row r="1261" spans="1:4" ht="27.6" x14ac:dyDescent="0.3">
      <c r="A1261" s="202" t="s">
        <v>3680</v>
      </c>
      <c r="B1261" s="202" t="s">
        <v>3681</v>
      </c>
      <c r="C1261" s="201" t="s">
        <v>3673</v>
      </c>
      <c r="D1261" s="202" t="s">
        <v>3680</v>
      </c>
    </row>
    <row r="1262" spans="1:4" ht="55.2" x14ac:dyDescent="0.3">
      <c r="A1262" s="202" t="s">
        <v>3682</v>
      </c>
      <c r="B1262" s="202" t="s">
        <v>3683</v>
      </c>
      <c r="C1262" s="201" t="s">
        <v>3673</v>
      </c>
      <c r="D1262" s="202" t="s">
        <v>3682</v>
      </c>
    </row>
    <row r="1263" spans="1:4" ht="55.2" x14ac:dyDescent="0.3">
      <c r="A1263" s="202" t="s">
        <v>3684</v>
      </c>
      <c r="B1263" s="202" t="s">
        <v>3685</v>
      </c>
      <c r="C1263" s="201" t="s">
        <v>3673</v>
      </c>
      <c r="D1263" s="202" t="s">
        <v>3684</v>
      </c>
    </row>
    <row r="1264" spans="1:4" ht="55.2" x14ac:dyDescent="0.3">
      <c r="A1264" s="202" t="s">
        <v>3686</v>
      </c>
      <c r="B1264" s="202" t="s">
        <v>3687</v>
      </c>
      <c r="C1264" s="201" t="s">
        <v>3673</v>
      </c>
      <c r="D1264" s="202" t="s">
        <v>3686</v>
      </c>
    </row>
    <row r="1265" spans="1:4" ht="55.2" x14ac:dyDescent="0.3">
      <c r="A1265" s="200" t="s">
        <v>3688</v>
      </c>
      <c r="B1265" s="200" t="s">
        <v>3689</v>
      </c>
      <c r="C1265" s="201" t="s">
        <v>3673</v>
      </c>
      <c r="D1265" s="200" t="s">
        <v>3688</v>
      </c>
    </row>
    <row r="1266" spans="1:4" ht="41.4" x14ac:dyDescent="0.3">
      <c r="A1266" s="200" t="s">
        <v>3690</v>
      </c>
      <c r="B1266" s="200" t="s">
        <v>3691</v>
      </c>
      <c r="C1266" s="201" t="s">
        <v>3673</v>
      </c>
      <c r="D1266" s="200" t="s">
        <v>3690</v>
      </c>
    </row>
    <row r="1267" spans="1:4" ht="27.6" x14ac:dyDescent="0.3">
      <c r="A1267" s="200" t="s">
        <v>3692</v>
      </c>
      <c r="B1267" s="200" t="s">
        <v>3693</v>
      </c>
      <c r="C1267" s="201" t="s">
        <v>3673</v>
      </c>
      <c r="D1267" s="200" t="s">
        <v>3692</v>
      </c>
    </row>
    <row r="1268" spans="1:4" ht="27.6" x14ac:dyDescent="0.3">
      <c r="A1268" s="200" t="s">
        <v>3694</v>
      </c>
      <c r="B1268" s="200" t="s">
        <v>3695</v>
      </c>
      <c r="C1268" s="201" t="s">
        <v>3673</v>
      </c>
      <c r="D1268" s="200" t="s">
        <v>3694</v>
      </c>
    </row>
    <row r="1269" spans="1:4" ht="27.6" x14ac:dyDescent="0.3">
      <c r="A1269" s="200" t="s">
        <v>3696</v>
      </c>
      <c r="B1269" s="200" t="s">
        <v>3697</v>
      </c>
      <c r="C1269" s="201" t="s">
        <v>3673</v>
      </c>
      <c r="D1269" s="200" t="s">
        <v>3696</v>
      </c>
    </row>
    <row r="1270" spans="1:4" ht="69" x14ac:dyDescent="0.3">
      <c r="A1270" s="202" t="s">
        <v>3698</v>
      </c>
      <c r="B1270" s="202" t="s">
        <v>3699</v>
      </c>
      <c r="C1270" s="201" t="s">
        <v>3673</v>
      </c>
      <c r="D1270" s="202" t="s">
        <v>3698</v>
      </c>
    </row>
    <row r="1271" spans="1:4" ht="27.6" x14ac:dyDescent="0.3">
      <c r="A1271" s="202" t="s">
        <v>3700</v>
      </c>
      <c r="B1271" s="202" t="s">
        <v>3701</v>
      </c>
      <c r="C1271" s="201" t="s">
        <v>3673</v>
      </c>
      <c r="D1271" s="202" t="s">
        <v>3700</v>
      </c>
    </row>
    <row r="1272" spans="1:4" ht="41.4" x14ac:dyDescent="0.3">
      <c r="A1272" s="202" t="s">
        <v>3702</v>
      </c>
      <c r="B1272" s="202" t="s">
        <v>3703</v>
      </c>
      <c r="C1272" s="201" t="s">
        <v>3673</v>
      </c>
      <c r="D1272" s="202" t="s">
        <v>3702</v>
      </c>
    </row>
    <row r="1273" spans="1:4" ht="27.6" x14ac:dyDescent="0.3">
      <c r="A1273" s="202" t="s">
        <v>3704</v>
      </c>
      <c r="B1273" s="202" t="s">
        <v>3705</v>
      </c>
      <c r="C1273" s="201" t="s">
        <v>3673</v>
      </c>
      <c r="D1273" s="202" t="s">
        <v>3704</v>
      </c>
    </row>
    <row r="1274" spans="1:4" ht="41.4" x14ac:dyDescent="0.3">
      <c r="A1274" s="202" t="s">
        <v>3706</v>
      </c>
      <c r="B1274" s="202" t="s">
        <v>3707</v>
      </c>
      <c r="C1274" s="201" t="s">
        <v>3673</v>
      </c>
      <c r="D1274" s="202" t="s">
        <v>3706</v>
      </c>
    </row>
    <row r="1275" spans="1:4" ht="41.4" x14ac:dyDescent="0.3">
      <c r="A1275" s="200" t="s">
        <v>3708</v>
      </c>
      <c r="B1275" s="200" t="s">
        <v>3709</v>
      </c>
      <c r="C1275" s="201" t="s">
        <v>3673</v>
      </c>
      <c r="D1275" s="200" t="s">
        <v>3708</v>
      </c>
    </row>
    <row r="1276" spans="1:4" ht="55.2" x14ac:dyDescent="0.3">
      <c r="A1276" s="202" t="s">
        <v>3710</v>
      </c>
      <c r="B1276" s="202" t="s">
        <v>3711</v>
      </c>
      <c r="C1276" s="201" t="s">
        <v>3673</v>
      </c>
      <c r="D1276" s="202" t="s">
        <v>3710</v>
      </c>
    </row>
    <row r="1277" spans="1:4" ht="41.4" x14ac:dyDescent="0.3">
      <c r="A1277" s="202" t="s">
        <v>3712</v>
      </c>
      <c r="B1277" s="202" t="s">
        <v>3713</v>
      </c>
      <c r="C1277" s="201" t="s">
        <v>3673</v>
      </c>
      <c r="D1277" s="202" t="s">
        <v>3712</v>
      </c>
    </row>
    <row r="1278" spans="1:4" ht="41.4" x14ac:dyDescent="0.3">
      <c r="A1278" s="202" t="s">
        <v>3714</v>
      </c>
      <c r="B1278" s="202" t="s">
        <v>3715</v>
      </c>
      <c r="C1278" s="201" t="s">
        <v>3673</v>
      </c>
      <c r="D1278" s="202" t="s">
        <v>3714</v>
      </c>
    </row>
    <row r="1279" spans="1:4" ht="41.4" x14ac:dyDescent="0.3">
      <c r="A1279" s="200" t="s">
        <v>3716</v>
      </c>
      <c r="B1279" s="200" t="s">
        <v>3717</v>
      </c>
      <c r="C1279" s="201" t="s">
        <v>3673</v>
      </c>
      <c r="D1279" s="200" t="s">
        <v>3716</v>
      </c>
    </row>
    <row r="1280" spans="1:4" ht="41.4" x14ac:dyDescent="0.3">
      <c r="A1280" s="202" t="s">
        <v>3718</v>
      </c>
      <c r="B1280" s="202" t="s">
        <v>3719</v>
      </c>
      <c r="C1280" s="201" t="s">
        <v>3673</v>
      </c>
      <c r="D1280" s="202" t="s">
        <v>3718</v>
      </c>
    </row>
    <row r="1281" spans="1:4" ht="69" x14ac:dyDescent="0.3">
      <c r="A1281" s="202" t="s">
        <v>3720</v>
      </c>
      <c r="B1281" s="202" t="s">
        <v>3721</v>
      </c>
      <c r="C1281" s="201" t="s">
        <v>3673</v>
      </c>
      <c r="D1281" s="202" t="s">
        <v>3720</v>
      </c>
    </row>
    <row r="1282" spans="1:4" ht="41.4" x14ac:dyDescent="0.3">
      <c r="A1282" s="202" t="s">
        <v>3722</v>
      </c>
      <c r="B1282" s="202" t="s">
        <v>3723</v>
      </c>
      <c r="C1282" s="201" t="s">
        <v>3673</v>
      </c>
      <c r="D1282" s="202" t="s">
        <v>3722</v>
      </c>
    </row>
    <row r="1283" spans="1:4" ht="27.6" x14ac:dyDescent="0.3">
      <c r="A1283" s="202" t="s">
        <v>3724</v>
      </c>
      <c r="B1283" s="202" t="s">
        <v>3725</v>
      </c>
      <c r="C1283" s="201" t="s">
        <v>3673</v>
      </c>
      <c r="D1283" s="202" t="s">
        <v>3724</v>
      </c>
    </row>
    <row r="1284" spans="1:4" ht="41.4" x14ac:dyDescent="0.3">
      <c r="A1284" s="200" t="s">
        <v>3726</v>
      </c>
      <c r="B1284" s="200" t="s">
        <v>3727</v>
      </c>
      <c r="C1284" s="201" t="s">
        <v>3673</v>
      </c>
      <c r="D1284" s="200" t="s">
        <v>3726</v>
      </c>
    </row>
    <row r="1285" spans="1:4" ht="69" x14ac:dyDescent="0.3">
      <c r="A1285" s="202" t="s">
        <v>3728</v>
      </c>
      <c r="B1285" s="202" t="s">
        <v>3729</v>
      </c>
      <c r="C1285" s="201" t="s">
        <v>3673</v>
      </c>
      <c r="D1285" s="202" t="s">
        <v>3728</v>
      </c>
    </row>
    <row r="1286" spans="1:4" ht="55.2" x14ac:dyDescent="0.3">
      <c r="A1286" s="202" t="s">
        <v>3730</v>
      </c>
      <c r="B1286" s="202" t="s">
        <v>3731</v>
      </c>
      <c r="C1286" s="201" t="s">
        <v>3673</v>
      </c>
      <c r="D1286" s="202" t="s">
        <v>3730</v>
      </c>
    </row>
    <row r="1287" spans="1:4" ht="27.6" x14ac:dyDescent="0.3">
      <c r="A1287" s="202" t="s">
        <v>3732</v>
      </c>
      <c r="B1287" s="202" t="s">
        <v>3733</v>
      </c>
      <c r="C1287" s="201" t="s">
        <v>3673</v>
      </c>
      <c r="D1287" s="202" t="s">
        <v>3732</v>
      </c>
    </row>
    <row r="1288" spans="1:4" ht="69" x14ac:dyDescent="0.3">
      <c r="A1288" s="202" t="s">
        <v>3734</v>
      </c>
      <c r="B1288" s="202" t="s">
        <v>3735</v>
      </c>
      <c r="C1288" s="201" t="s">
        <v>3673</v>
      </c>
      <c r="D1288" s="202" t="s">
        <v>3734</v>
      </c>
    </row>
    <row r="1289" spans="1:4" ht="41.4" x14ac:dyDescent="0.3">
      <c r="A1289" s="200" t="s">
        <v>3736</v>
      </c>
      <c r="B1289" s="200" t="s">
        <v>3737</v>
      </c>
      <c r="C1289" s="201" t="s">
        <v>3673</v>
      </c>
      <c r="D1289" s="200" t="s">
        <v>3736</v>
      </c>
    </row>
    <row r="1290" spans="1:4" ht="41.4" x14ac:dyDescent="0.3">
      <c r="A1290" s="200" t="s">
        <v>3738</v>
      </c>
      <c r="B1290" s="200" t="s">
        <v>3739</v>
      </c>
      <c r="C1290" s="201" t="s">
        <v>3673</v>
      </c>
      <c r="D1290" s="200" t="s">
        <v>3738</v>
      </c>
    </row>
    <row r="1291" spans="1:4" ht="41.4" x14ac:dyDescent="0.3">
      <c r="A1291" s="202" t="s">
        <v>3740</v>
      </c>
      <c r="B1291" s="202" t="s">
        <v>3741</v>
      </c>
      <c r="C1291" s="201" t="s">
        <v>3673</v>
      </c>
      <c r="D1291" s="202" t="s">
        <v>3740</v>
      </c>
    </row>
    <row r="1292" spans="1:4" ht="69" x14ac:dyDescent="0.3">
      <c r="A1292" s="202" t="s">
        <v>3742</v>
      </c>
      <c r="B1292" s="202" t="s">
        <v>3743</v>
      </c>
      <c r="C1292" s="201" t="s">
        <v>3673</v>
      </c>
      <c r="D1292" s="202" t="s">
        <v>3742</v>
      </c>
    </row>
    <row r="1293" spans="1:4" ht="82.8" x14ac:dyDescent="0.3">
      <c r="A1293" s="202" t="s">
        <v>3744</v>
      </c>
      <c r="B1293" s="202" t="s">
        <v>3745</v>
      </c>
      <c r="C1293" s="201" t="s">
        <v>3673</v>
      </c>
      <c r="D1293" s="202" t="s">
        <v>3744</v>
      </c>
    </row>
    <row r="1294" spans="1:4" ht="41.4" x14ac:dyDescent="0.3">
      <c r="A1294" s="202" t="s">
        <v>3746</v>
      </c>
      <c r="B1294" s="202" t="s">
        <v>3747</v>
      </c>
      <c r="C1294" s="201" t="s">
        <v>3673</v>
      </c>
      <c r="D1294" s="202" t="s">
        <v>3746</v>
      </c>
    </row>
    <row r="1295" spans="1:4" ht="82.8" x14ac:dyDescent="0.3">
      <c r="A1295" s="202" t="s">
        <v>3748</v>
      </c>
      <c r="B1295" s="202" t="s">
        <v>3749</v>
      </c>
      <c r="C1295" s="201" t="s">
        <v>3673</v>
      </c>
      <c r="D1295" s="202" t="s">
        <v>3748</v>
      </c>
    </row>
    <row r="1296" spans="1:4" ht="41.4" x14ac:dyDescent="0.3">
      <c r="A1296" s="202" t="s">
        <v>3750</v>
      </c>
      <c r="B1296" s="202" t="s">
        <v>3751</v>
      </c>
      <c r="C1296" s="201" t="s">
        <v>3673</v>
      </c>
      <c r="D1296" s="202" t="s">
        <v>3750</v>
      </c>
    </row>
    <row r="1297" spans="1:4" ht="41.4" x14ac:dyDescent="0.3">
      <c r="A1297" s="202" t="s">
        <v>3752</v>
      </c>
      <c r="B1297" s="202" t="s">
        <v>3753</v>
      </c>
      <c r="C1297" s="201" t="s">
        <v>3673</v>
      </c>
      <c r="D1297" s="202" t="s">
        <v>3752</v>
      </c>
    </row>
    <row r="1298" spans="1:4" ht="27.6" x14ac:dyDescent="0.3">
      <c r="A1298" s="202" t="s">
        <v>3754</v>
      </c>
      <c r="B1298" s="202" t="s">
        <v>3755</v>
      </c>
      <c r="C1298" s="201" t="s">
        <v>3673</v>
      </c>
      <c r="D1298" s="202" t="s">
        <v>3754</v>
      </c>
    </row>
    <row r="1299" spans="1:4" ht="27.6" x14ac:dyDescent="0.3">
      <c r="A1299" s="202" t="s">
        <v>3756</v>
      </c>
      <c r="B1299" s="202" t="s">
        <v>3757</v>
      </c>
      <c r="C1299" s="201" t="s">
        <v>3673</v>
      </c>
      <c r="D1299" s="202" t="s">
        <v>3756</v>
      </c>
    </row>
    <row r="1300" spans="1:4" ht="55.2" x14ac:dyDescent="0.3">
      <c r="A1300" s="202" t="s">
        <v>3758</v>
      </c>
      <c r="B1300" s="202" t="s">
        <v>3759</v>
      </c>
      <c r="C1300" s="201" t="s">
        <v>3673</v>
      </c>
      <c r="D1300" s="202" t="s">
        <v>3758</v>
      </c>
    </row>
    <row r="1301" spans="1:4" ht="69" x14ac:dyDescent="0.3">
      <c r="A1301" s="202" t="s">
        <v>3760</v>
      </c>
      <c r="B1301" s="202" t="s">
        <v>3761</v>
      </c>
      <c r="C1301" s="201" t="s">
        <v>3673</v>
      </c>
      <c r="D1301" s="202" t="s">
        <v>3760</v>
      </c>
    </row>
    <row r="1302" spans="1:4" ht="82.8" x14ac:dyDescent="0.3">
      <c r="A1302" s="202" t="s">
        <v>3762</v>
      </c>
      <c r="B1302" s="202" t="s">
        <v>3763</v>
      </c>
      <c r="C1302" s="201" t="s">
        <v>3673</v>
      </c>
      <c r="D1302" s="202" t="s">
        <v>3762</v>
      </c>
    </row>
    <row r="1303" spans="1:4" ht="55.2" x14ac:dyDescent="0.3">
      <c r="A1303" s="200" t="s">
        <v>3764</v>
      </c>
      <c r="B1303" s="200" t="s">
        <v>3765</v>
      </c>
      <c r="C1303" s="201" t="s">
        <v>3673</v>
      </c>
      <c r="D1303" s="200" t="s">
        <v>3764</v>
      </c>
    </row>
    <row r="1304" spans="1:4" ht="82.8" x14ac:dyDescent="0.3">
      <c r="A1304" s="200" t="s">
        <v>3766</v>
      </c>
      <c r="B1304" s="200" t="s">
        <v>3767</v>
      </c>
      <c r="C1304" s="201" t="s">
        <v>3673</v>
      </c>
      <c r="D1304" s="200" t="s">
        <v>3766</v>
      </c>
    </row>
    <row r="1305" spans="1:4" ht="55.2" x14ac:dyDescent="0.3">
      <c r="A1305" s="200" t="s">
        <v>3768</v>
      </c>
      <c r="B1305" s="200" t="s">
        <v>3769</v>
      </c>
      <c r="C1305" s="201" t="s">
        <v>3673</v>
      </c>
      <c r="D1305" s="200" t="s">
        <v>3768</v>
      </c>
    </row>
    <row r="1306" spans="1:4" ht="41.4" x14ac:dyDescent="0.3">
      <c r="A1306" s="202" t="s">
        <v>3770</v>
      </c>
      <c r="B1306" s="202" t="s">
        <v>3771</v>
      </c>
      <c r="C1306" s="201" t="s">
        <v>3673</v>
      </c>
      <c r="D1306" s="202" t="s">
        <v>3770</v>
      </c>
    </row>
    <row r="1307" spans="1:4" ht="69" x14ac:dyDescent="0.3">
      <c r="A1307" s="200" t="s">
        <v>3772</v>
      </c>
      <c r="B1307" s="200" t="s">
        <v>3773</v>
      </c>
      <c r="C1307" s="201" t="s">
        <v>3673</v>
      </c>
      <c r="D1307" s="200" t="s">
        <v>3772</v>
      </c>
    </row>
    <row r="1308" spans="1:4" ht="41.4" x14ac:dyDescent="0.3">
      <c r="A1308" s="202" t="s">
        <v>3774</v>
      </c>
      <c r="B1308" s="202" t="s">
        <v>3775</v>
      </c>
      <c r="C1308" s="201" t="s">
        <v>3673</v>
      </c>
      <c r="D1308" s="202" t="s">
        <v>3774</v>
      </c>
    </row>
    <row r="1309" spans="1:4" ht="27.6" x14ac:dyDescent="0.3">
      <c r="A1309" s="202" t="s">
        <v>3776</v>
      </c>
      <c r="B1309" s="202" t="s">
        <v>3777</v>
      </c>
      <c r="C1309" s="201" t="s">
        <v>3673</v>
      </c>
      <c r="D1309" s="202" t="s">
        <v>3776</v>
      </c>
    </row>
    <row r="1310" spans="1:4" ht="27.6" x14ac:dyDescent="0.3">
      <c r="A1310" s="202" t="s">
        <v>3778</v>
      </c>
      <c r="B1310" s="202" t="s">
        <v>3779</v>
      </c>
      <c r="C1310" s="201" t="s">
        <v>3673</v>
      </c>
      <c r="D1310" s="202" t="s">
        <v>3778</v>
      </c>
    </row>
    <row r="1311" spans="1:4" ht="55.2" x14ac:dyDescent="0.3">
      <c r="A1311" s="202" t="s">
        <v>3780</v>
      </c>
      <c r="B1311" s="202" t="s">
        <v>3781</v>
      </c>
      <c r="C1311" s="201" t="s">
        <v>3673</v>
      </c>
      <c r="D1311" s="202" t="s">
        <v>3780</v>
      </c>
    </row>
    <row r="1312" spans="1:4" ht="27.6" x14ac:dyDescent="0.3">
      <c r="A1312" s="202" t="s">
        <v>3782</v>
      </c>
      <c r="B1312" s="202" t="s">
        <v>3783</v>
      </c>
      <c r="C1312" s="201" t="s">
        <v>3673</v>
      </c>
      <c r="D1312" s="202" t="s">
        <v>3782</v>
      </c>
    </row>
    <row r="1313" spans="1:4" ht="27.6" x14ac:dyDescent="0.3">
      <c r="A1313" s="202" t="s">
        <v>3784</v>
      </c>
      <c r="B1313" s="202" t="s">
        <v>3785</v>
      </c>
      <c r="C1313" s="201" t="s">
        <v>3673</v>
      </c>
      <c r="D1313" s="202" t="s">
        <v>3784</v>
      </c>
    </row>
    <row r="1314" spans="1:4" ht="55.2" x14ac:dyDescent="0.3">
      <c r="A1314" s="200" t="s">
        <v>3786</v>
      </c>
      <c r="B1314" s="200" t="s">
        <v>3787</v>
      </c>
      <c r="C1314" s="201" t="s">
        <v>3673</v>
      </c>
      <c r="D1314" s="200" t="s">
        <v>3786</v>
      </c>
    </row>
    <row r="1315" spans="1:4" ht="27.6" x14ac:dyDescent="0.3">
      <c r="A1315" s="202" t="s">
        <v>3788</v>
      </c>
      <c r="B1315" s="202" t="s">
        <v>3789</v>
      </c>
      <c r="C1315" s="201" t="s">
        <v>3673</v>
      </c>
      <c r="D1315" s="202" t="s">
        <v>3788</v>
      </c>
    </row>
    <row r="1316" spans="1:4" ht="41.4" x14ac:dyDescent="0.3">
      <c r="A1316" s="202" t="s">
        <v>3790</v>
      </c>
      <c r="B1316" s="202" t="s">
        <v>3791</v>
      </c>
      <c r="C1316" s="201" t="s">
        <v>3673</v>
      </c>
      <c r="D1316" s="202" t="s">
        <v>3790</v>
      </c>
    </row>
    <row r="1317" spans="1:4" ht="41.4" x14ac:dyDescent="0.3">
      <c r="A1317" s="202" t="s">
        <v>3792</v>
      </c>
      <c r="B1317" s="202" t="s">
        <v>3793</v>
      </c>
      <c r="C1317" s="201" t="s">
        <v>3673</v>
      </c>
      <c r="D1317" s="202" t="s">
        <v>3792</v>
      </c>
    </row>
    <row r="1318" spans="1:4" ht="82.8" x14ac:dyDescent="0.3">
      <c r="A1318" s="202" t="s">
        <v>3794</v>
      </c>
      <c r="B1318" s="202" t="s">
        <v>3795</v>
      </c>
      <c r="C1318" s="201" t="s">
        <v>3673</v>
      </c>
      <c r="D1318" s="202" t="s">
        <v>3794</v>
      </c>
    </row>
    <row r="1319" spans="1:4" ht="124.2" x14ac:dyDescent="0.3">
      <c r="A1319" s="200" t="s">
        <v>3796</v>
      </c>
      <c r="B1319" s="200" t="s">
        <v>3797</v>
      </c>
      <c r="C1319" s="201" t="s">
        <v>3673</v>
      </c>
      <c r="D1319" s="200" t="s">
        <v>3796</v>
      </c>
    </row>
    <row r="1320" spans="1:4" ht="55.2" x14ac:dyDescent="0.3">
      <c r="A1320" s="202" t="s">
        <v>3798</v>
      </c>
      <c r="B1320" s="202" t="s">
        <v>3799</v>
      </c>
      <c r="C1320" s="201" t="s">
        <v>3673</v>
      </c>
      <c r="D1320" s="202" t="s">
        <v>3798</v>
      </c>
    </row>
    <row r="1321" spans="1:4" ht="55.2" x14ac:dyDescent="0.3">
      <c r="A1321" s="202" t="s">
        <v>3800</v>
      </c>
      <c r="B1321" s="202" t="s">
        <v>3801</v>
      </c>
      <c r="C1321" s="201" t="s">
        <v>3673</v>
      </c>
      <c r="D1321" s="202" t="s">
        <v>3800</v>
      </c>
    </row>
    <row r="1322" spans="1:4" ht="41.4" x14ac:dyDescent="0.3">
      <c r="A1322" s="200" t="s">
        <v>3802</v>
      </c>
      <c r="B1322" s="200" t="s">
        <v>3803</v>
      </c>
      <c r="C1322" s="201" t="s">
        <v>3673</v>
      </c>
      <c r="D1322" s="200" t="s">
        <v>3802</v>
      </c>
    </row>
    <row r="1323" spans="1:4" ht="41.4" x14ac:dyDescent="0.3">
      <c r="A1323" s="202" t="s">
        <v>3804</v>
      </c>
      <c r="B1323" s="202" t="s">
        <v>3805</v>
      </c>
      <c r="C1323" s="201" t="s">
        <v>3673</v>
      </c>
      <c r="D1323" s="202" t="s">
        <v>3804</v>
      </c>
    </row>
    <row r="1324" spans="1:4" ht="55.2" x14ac:dyDescent="0.3">
      <c r="A1324" s="202" t="s">
        <v>3806</v>
      </c>
      <c r="B1324" s="202" t="s">
        <v>3807</v>
      </c>
      <c r="C1324" s="201" t="s">
        <v>3673</v>
      </c>
      <c r="D1324" s="202" t="s">
        <v>3806</v>
      </c>
    </row>
    <row r="1325" spans="1:4" ht="55.2" x14ac:dyDescent="0.3">
      <c r="A1325" s="200" t="s">
        <v>3808</v>
      </c>
      <c r="B1325" s="200" t="s">
        <v>3809</v>
      </c>
      <c r="C1325" s="201" t="s">
        <v>3673</v>
      </c>
      <c r="D1325" s="200" t="s">
        <v>3808</v>
      </c>
    </row>
    <row r="1326" spans="1:4" ht="41.4" x14ac:dyDescent="0.3">
      <c r="A1326" s="202" t="s">
        <v>3810</v>
      </c>
      <c r="B1326" s="202" t="s">
        <v>3811</v>
      </c>
      <c r="C1326" s="201" t="s">
        <v>3673</v>
      </c>
      <c r="D1326" s="202" t="s">
        <v>3810</v>
      </c>
    </row>
    <row r="1327" spans="1:4" ht="41.4" x14ac:dyDescent="0.3">
      <c r="A1327" s="202" t="s">
        <v>3812</v>
      </c>
      <c r="B1327" s="202" t="s">
        <v>3813</v>
      </c>
      <c r="C1327" s="201" t="s">
        <v>3673</v>
      </c>
      <c r="D1327" s="202" t="s">
        <v>3812</v>
      </c>
    </row>
    <row r="1328" spans="1:4" ht="41.4" x14ac:dyDescent="0.3">
      <c r="A1328" s="200" t="s">
        <v>3812</v>
      </c>
      <c r="B1328" s="200" t="s">
        <v>3814</v>
      </c>
      <c r="C1328" s="201" t="s">
        <v>3673</v>
      </c>
      <c r="D1328" s="200" t="s">
        <v>3812</v>
      </c>
    </row>
    <row r="1329" spans="1:4" ht="55.2" x14ac:dyDescent="0.3">
      <c r="A1329" s="202" t="s">
        <v>3815</v>
      </c>
      <c r="B1329" s="202" t="s">
        <v>3816</v>
      </c>
      <c r="C1329" s="201" t="s">
        <v>3673</v>
      </c>
      <c r="D1329" s="202" t="s">
        <v>3815</v>
      </c>
    </row>
    <row r="1330" spans="1:4" ht="55.2" x14ac:dyDescent="0.3">
      <c r="A1330" s="202" t="s">
        <v>3817</v>
      </c>
      <c r="B1330" s="202" t="s">
        <v>3818</v>
      </c>
      <c r="C1330" s="201" t="s">
        <v>3673</v>
      </c>
      <c r="D1330" s="202" t="s">
        <v>3817</v>
      </c>
    </row>
    <row r="1331" spans="1:4" ht="27.6" x14ac:dyDescent="0.3">
      <c r="A1331" s="202" t="s">
        <v>3819</v>
      </c>
      <c r="B1331" s="202" t="s">
        <v>3820</v>
      </c>
      <c r="C1331" s="201" t="s">
        <v>3673</v>
      </c>
      <c r="D1331" s="202" t="s">
        <v>3819</v>
      </c>
    </row>
    <row r="1332" spans="1:4" ht="41.4" x14ac:dyDescent="0.3">
      <c r="A1332" s="200" t="s">
        <v>3821</v>
      </c>
      <c r="B1332" s="200" t="s">
        <v>3822</v>
      </c>
      <c r="C1332" s="201" t="s">
        <v>3673</v>
      </c>
      <c r="D1332" s="200" t="s">
        <v>3821</v>
      </c>
    </row>
    <row r="1333" spans="1:4" ht="41.4" x14ac:dyDescent="0.3">
      <c r="A1333" s="202" t="s">
        <v>3823</v>
      </c>
      <c r="B1333" s="202" t="s">
        <v>3824</v>
      </c>
      <c r="C1333" s="201" t="s">
        <v>3673</v>
      </c>
      <c r="D1333" s="202" t="s">
        <v>3823</v>
      </c>
    </row>
    <row r="1334" spans="1:4" ht="41.4" x14ac:dyDescent="0.3">
      <c r="A1334" s="202" t="s">
        <v>3825</v>
      </c>
      <c r="B1334" s="202" t="s">
        <v>3826</v>
      </c>
      <c r="C1334" s="201" t="s">
        <v>3673</v>
      </c>
      <c r="D1334" s="202" t="s">
        <v>3825</v>
      </c>
    </row>
    <row r="1335" spans="1:4" ht="27.6" x14ac:dyDescent="0.3">
      <c r="A1335" s="200" t="s">
        <v>3827</v>
      </c>
      <c r="B1335" s="200" t="s">
        <v>3828</v>
      </c>
      <c r="C1335" s="201" t="s">
        <v>3673</v>
      </c>
      <c r="D1335" s="200" t="s">
        <v>3827</v>
      </c>
    </row>
    <row r="1336" spans="1:4" ht="41.4" x14ac:dyDescent="0.3">
      <c r="A1336" s="202" t="s">
        <v>3829</v>
      </c>
      <c r="B1336" s="202" t="s">
        <v>3830</v>
      </c>
      <c r="C1336" s="201" t="s">
        <v>3673</v>
      </c>
      <c r="D1336" s="202" t="s">
        <v>3829</v>
      </c>
    </row>
    <row r="1337" spans="1:4" ht="41.4" x14ac:dyDescent="0.3">
      <c r="A1337" s="202" t="s">
        <v>3831</v>
      </c>
      <c r="B1337" s="202" t="s">
        <v>3832</v>
      </c>
      <c r="C1337" s="201" t="s">
        <v>3673</v>
      </c>
      <c r="D1337" s="202" t="s">
        <v>3831</v>
      </c>
    </row>
    <row r="1338" spans="1:4" ht="69" x14ac:dyDescent="0.3">
      <c r="A1338" s="202" t="s">
        <v>3833</v>
      </c>
      <c r="B1338" s="202" t="s">
        <v>3834</v>
      </c>
      <c r="C1338" s="201" t="s">
        <v>3673</v>
      </c>
      <c r="D1338" s="202" t="s">
        <v>3833</v>
      </c>
    </row>
    <row r="1339" spans="1:4" ht="96.6" x14ac:dyDescent="0.3">
      <c r="A1339" s="202" t="s">
        <v>3835</v>
      </c>
      <c r="B1339" s="202" t="s">
        <v>3836</v>
      </c>
      <c r="C1339" s="201" t="s">
        <v>3673</v>
      </c>
      <c r="D1339" s="202" t="s">
        <v>3835</v>
      </c>
    </row>
    <row r="1340" spans="1:4" ht="82.8" x14ac:dyDescent="0.3">
      <c r="A1340" s="202" t="s">
        <v>3837</v>
      </c>
      <c r="B1340" s="202" t="s">
        <v>3838</v>
      </c>
      <c r="C1340" s="201" t="s">
        <v>3673</v>
      </c>
      <c r="D1340" s="202" t="s">
        <v>3837</v>
      </c>
    </row>
    <row r="1341" spans="1:4" ht="27.6" x14ac:dyDescent="0.3">
      <c r="A1341" s="202" t="s">
        <v>3839</v>
      </c>
      <c r="B1341" s="202" t="s">
        <v>3840</v>
      </c>
      <c r="C1341" s="201" t="s">
        <v>3673</v>
      </c>
      <c r="D1341" s="202" t="s">
        <v>3839</v>
      </c>
    </row>
    <row r="1342" spans="1:4" ht="27.6" x14ac:dyDescent="0.3">
      <c r="A1342" s="202" t="s">
        <v>3841</v>
      </c>
      <c r="B1342" s="202" t="s">
        <v>3842</v>
      </c>
      <c r="C1342" s="201" t="s">
        <v>3673</v>
      </c>
      <c r="D1342" s="202" t="s">
        <v>3841</v>
      </c>
    </row>
    <row r="1343" spans="1:4" ht="55.2" x14ac:dyDescent="0.3">
      <c r="A1343" s="202" t="s">
        <v>3843</v>
      </c>
      <c r="B1343" s="202" t="s">
        <v>3844</v>
      </c>
      <c r="C1343" s="201" t="s">
        <v>3673</v>
      </c>
      <c r="D1343" s="202" t="s">
        <v>3843</v>
      </c>
    </row>
    <row r="1344" spans="1:4" ht="55.2" x14ac:dyDescent="0.3">
      <c r="A1344" s="202" t="s">
        <v>3845</v>
      </c>
      <c r="B1344" s="202" t="s">
        <v>3846</v>
      </c>
      <c r="C1344" s="201" t="s">
        <v>3673</v>
      </c>
      <c r="D1344" s="202" t="s">
        <v>3845</v>
      </c>
    </row>
    <row r="1345" spans="1:4" ht="55.2" x14ac:dyDescent="0.3">
      <c r="A1345" s="202" t="s">
        <v>3847</v>
      </c>
      <c r="B1345" s="202" t="s">
        <v>3848</v>
      </c>
      <c r="C1345" s="201" t="s">
        <v>3673</v>
      </c>
      <c r="D1345" s="202" t="s">
        <v>3847</v>
      </c>
    </row>
    <row r="1346" spans="1:4" ht="27.6" x14ac:dyDescent="0.3">
      <c r="A1346" s="202" t="s">
        <v>3849</v>
      </c>
      <c r="B1346" s="202" t="s">
        <v>3850</v>
      </c>
      <c r="C1346" s="201" t="s">
        <v>3673</v>
      </c>
      <c r="D1346" s="202" t="s">
        <v>3849</v>
      </c>
    </row>
    <row r="1347" spans="1:4" ht="55.2" x14ac:dyDescent="0.3">
      <c r="A1347" s="202" t="s">
        <v>3851</v>
      </c>
      <c r="B1347" s="202" t="s">
        <v>3852</v>
      </c>
      <c r="C1347" s="201" t="s">
        <v>3673</v>
      </c>
      <c r="D1347" s="202" t="s">
        <v>3851</v>
      </c>
    </row>
    <row r="1348" spans="1:4" ht="55.2" x14ac:dyDescent="0.3">
      <c r="A1348" s="202" t="s">
        <v>3853</v>
      </c>
      <c r="B1348" s="202" t="s">
        <v>3854</v>
      </c>
      <c r="C1348" s="201" t="s">
        <v>3673</v>
      </c>
      <c r="D1348" s="202" t="s">
        <v>3853</v>
      </c>
    </row>
    <row r="1349" spans="1:4" ht="82.8" x14ac:dyDescent="0.3">
      <c r="A1349" s="200" t="s">
        <v>3855</v>
      </c>
      <c r="B1349" s="200" t="s">
        <v>3856</v>
      </c>
      <c r="C1349" s="201" t="s">
        <v>3673</v>
      </c>
      <c r="D1349" s="200" t="s">
        <v>3855</v>
      </c>
    </row>
    <row r="1350" spans="1:4" ht="41.4" x14ac:dyDescent="0.3">
      <c r="A1350" s="200" t="s">
        <v>3857</v>
      </c>
      <c r="B1350" s="200" t="s">
        <v>3858</v>
      </c>
      <c r="C1350" s="201" t="s">
        <v>3673</v>
      </c>
      <c r="D1350" s="200" t="s">
        <v>3857</v>
      </c>
    </row>
    <row r="1351" spans="1:4" ht="55.2" x14ac:dyDescent="0.3">
      <c r="A1351" s="202" t="s">
        <v>3859</v>
      </c>
      <c r="B1351" s="202" t="s">
        <v>3860</v>
      </c>
      <c r="C1351" s="201" t="s">
        <v>3673</v>
      </c>
      <c r="D1351" s="202" t="s">
        <v>3859</v>
      </c>
    </row>
    <row r="1352" spans="1:4" ht="96.6" x14ac:dyDescent="0.3">
      <c r="A1352" s="202" t="s">
        <v>3861</v>
      </c>
      <c r="B1352" s="202" t="s">
        <v>3862</v>
      </c>
      <c r="C1352" s="201" t="s">
        <v>3673</v>
      </c>
      <c r="D1352" s="202" t="s">
        <v>3861</v>
      </c>
    </row>
    <row r="1353" spans="1:4" ht="55.2" x14ac:dyDescent="0.3">
      <c r="A1353" s="200" t="s">
        <v>3863</v>
      </c>
      <c r="B1353" s="200" t="s">
        <v>3864</v>
      </c>
      <c r="C1353" s="201" t="s">
        <v>3673</v>
      </c>
      <c r="D1353" s="200" t="s">
        <v>3863</v>
      </c>
    </row>
    <row r="1354" spans="1:4" ht="41.4" x14ac:dyDescent="0.3">
      <c r="A1354" s="202" t="s">
        <v>3865</v>
      </c>
      <c r="B1354" s="202" t="s">
        <v>3866</v>
      </c>
      <c r="C1354" s="201" t="s">
        <v>3673</v>
      </c>
      <c r="D1354" s="202" t="s">
        <v>3865</v>
      </c>
    </row>
    <row r="1355" spans="1:4" ht="69" x14ac:dyDescent="0.3">
      <c r="A1355" s="202" t="s">
        <v>3867</v>
      </c>
      <c r="B1355" s="202" t="s">
        <v>3868</v>
      </c>
      <c r="C1355" s="201" t="s">
        <v>3673</v>
      </c>
      <c r="D1355" s="202" t="s">
        <v>3867</v>
      </c>
    </row>
    <row r="1356" spans="1:4" ht="55.2" x14ac:dyDescent="0.3">
      <c r="A1356" s="202" t="s">
        <v>3869</v>
      </c>
      <c r="B1356" s="202" t="s">
        <v>3870</v>
      </c>
      <c r="C1356" s="201" t="s">
        <v>3673</v>
      </c>
      <c r="D1356" s="202" t="s">
        <v>3869</v>
      </c>
    </row>
    <row r="1357" spans="1:4" ht="55.2" x14ac:dyDescent="0.3">
      <c r="A1357" s="200" t="s">
        <v>3871</v>
      </c>
      <c r="B1357" s="200" t="s">
        <v>3872</v>
      </c>
      <c r="C1357" s="201" t="s">
        <v>3673</v>
      </c>
      <c r="D1357" s="200" t="s">
        <v>3871</v>
      </c>
    </row>
    <row r="1358" spans="1:4" ht="165.6" x14ac:dyDescent="0.3">
      <c r="A1358" s="200" t="s">
        <v>3873</v>
      </c>
      <c r="B1358" s="200" t="s">
        <v>3874</v>
      </c>
      <c r="C1358" s="201" t="s">
        <v>3673</v>
      </c>
      <c r="D1358" s="200" t="s">
        <v>3873</v>
      </c>
    </row>
    <row r="1359" spans="1:4" ht="55.2" x14ac:dyDescent="0.3">
      <c r="A1359" s="202" t="s">
        <v>3875</v>
      </c>
      <c r="B1359" s="202" t="s">
        <v>3876</v>
      </c>
      <c r="C1359" s="201" t="s">
        <v>3673</v>
      </c>
      <c r="D1359" s="202" t="s">
        <v>3875</v>
      </c>
    </row>
    <row r="1360" spans="1:4" ht="69" x14ac:dyDescent="0.3">
      <c r="A1360" s="202" t="s">
        <v>3877</v>
      </c>
      <c r="B1360" s="202" t="s">
        <v>3878</v>
      </c>
      <c r="C1360" s="201" t="s">
        <v>3673</v>
      </c>
      <c r="D1360" s="202" t="s">
        <v>3877</v>
      </c>
    </row>
    <row r="1361" spans="1:4" ht="96.6" x14ac:dyDescent="0.3">
      <c r="A1361" s="200" t="s">
        <v>3879</v>
      </c>
      <c r="B1361" s="200" t="s">
        <v>3880</v>
      </c>
      <c r="C1361" s="201" t="s">
        <v>3673</v>
      </c>
      <c r="D1361" s="200" t="s">
        <v>3879</v>
      </c>
    </row>
    <row r="1362" spans="1:4" ht="55.2" x14ac:dyDescent="0.3">
      <c r="A1362" s="202" t="s">
        <v>3881</v>
      </c>
      <c r="B1362" s="202" t="s">
        <v>3882</v>
      </c>
      <c r="C1362" s="201" t="s">
        <v>3673</v>
      </c>
      <c r="D1362" s="202" t="s">
        <v>3881</v>
      </c>
    </row>
    <row r="1363" spans="1:4" ht="27.6" x14ac:dyDescent="0.3">
      <c r="A1363" s="202" t="s">
        <v>3883</v>
      </c>
      <c r="B1363" s="202" t="s">
        <v>3884</v>
      </c>
      <c r="C1363" s="201" t="s">
        <v>3673</v>
      </c>
      <c r="D1363" s="202" t="s">
        <v>3883</v>
      </c>
    </row>
    <row r="1364" spans="1:4" ht="41.4" x14ac:dyDescent="0.3">
      <c r="A1364" s="202" t="s">
        <v>3885</v>
      </c>
      <c r="B1364" s="202" t="s">
        <v>3886</v>
      </c>
      <c r="C1364" s="201" t="s">
        <v>3673</v>
      </c>
      <c r="D1364" s="202" t="s">
        <v>3885</v>
      </c>
    </row>
    <row r="1365" spans="1:4" ht="41.4" x14ac:dyDescent="0.3">
      <c r="A1365" s="200" t="s">
        <v>3887</v>
      </c>
      <c r="B1365" s="200" t="s">
        <v>3888</v>
      </c>
      <c r="C1365" s="201" t="s">
        <v>3673</v>
      </c>
      <c r="D1365" s="200" t="s">
        <v>3887</v>
      </c>
    </row>
    <row r="1366" spans="1:4" ht="41.4" x14ac:dyDescent="0.3">
      <c r="A1366" s="200" t="s">
        <v>3889</v>
      </c>
      <c r="B1366" s="200" t="s">
        <v>3890</v>
      </c>
      <c r="C1366" s="201" t="s">
        <v>3673</v>
      </c>
      <c r="D1366" s="200" t="s">
        <v>3889</v>
      </c>
    </row>
    <row r="1367" spans="1:4" ht="82.8" x14ac:dyDescent="0.3">
      <c r="A1367" s="200" t="s">
        <v>3891</v>
      </c>
      <c r="B1367" s="200" t="s">
        <v>3892</v>
      </c>
      <c r="C1367" s="201" t="s">
        <v>3673</v>
      </c>
      <c r="D1367" s="200" t="s">
        <v>3891</v>
      </c>
    </row>
    <row r="1368" spans="1:4" ht="82.8" x14ac:dyDescent="0.3">
      <c r="A1368" s="200" t="s">
        <v>3893</v>
      </c>
      <c r="B1368" s="200" t="s">
        <v>3894</v>
      </c>
      <c r="C1368" s="201" t="s">
        <v>3673</v>
      </c>
      <c r="D1368" s="200" t="s">
        <v>3893</v>
      </c>
    </row>
    <row r="1369" spans="1:4" ht="27.6" x14ac:dyDescent="0.3">
      <c r="A1369" s="200" t="s">
        <v>3895</v>
      </c>
      <c r="B1369" s="200" t="s">
        <v>3896</v>
      </c>
      <c r="C1369" s="201" t="s">
        <v>3673</v>
      </c>
      <c r="D1369" s="200" t="s">
        <v>3895</v>
      </c>
    </row>
    <row r="1370" spans="1:4" ht="55.2" x14ac:dyDescent="0.3">
      <c r="A1370" s="202" t="s">
        <v>3897</v>
      </c>
      <c r="B1370" s="202" t="s">
        <v>3898</v>
      </c>
      <c r="C1370" s="201" t="s">
        <v>3673</v>
      </c>
      <c r="D1370" s="202" t="s">
        <v>3897</v>
      </c>
    </row>
    <row r="1371" spans="1:4" ht="41.4" x14ac:dyDescent="0.3">
      <c r="A1371" s="202" t="s">
        <v>3899</v>
      </c>
      <c r="B1371" s="202" t="s">
        <v>3900</v>
      </c>
      <c r="C1371" s="201" t="s">
        <v>3673</v>
      </c>
      <c r="D1371" s="202" t="s">
        <v>3899</v>
      </c>
    </row>
    <row r="1372" spans="1:4" ht="82.8" x14ac:dyDescent="0.3">
      <c r="A1372" s="202" t="s">
        <v>3901</v>
      </c>
      <c r="B1372" s="202" t="s">
        <v>3902</v>
      </c>
      <c r="C1372" s="201" t="s">
        <v>3673</v>
      </c>
      <c r="D1372" s="202" t="s">
        <v>3901</v>
      </c>
    </row>
    <row r="1373" spans="1:4" ht="69" x14ac:dyDescent="0.3">
      <c r="A1373" s="202" t="s">
        <v>3903</v>
      </c>
      <c r="B1373" s="202" t="s">
        <v>3904</v>
      </c>
      <c r="C1373" s="201" t="s">
        <v>3673</v>
      </c>
      <c r="D1373" s="202" t="s">
        <v>3903</v>
      </c>
    </row>
    <row r="1374" spans="1:4" ht="69" x14ac:dyDescent="0.3">
      <c r="A1374" s="202" t="s">
        <v>3905</v>
      </c>
      <c r="B1374" s="202" t="s">
        <v>3906</v>
      </c>
      <c r="C1374" s="201" t="s">
        <v>3673</v>
      </c>
      <c r="D1374" s="202" t="s">
        <v>3905</v>
      </c>
    </row>
    <row r="1375" spans="1:4" ht="82.8" x14ac:dyDescent="0.3">
      <c r="A1375" s="202" t="s">
        <v>3907</v>
      </c>
      <c r="B1375" s="202" t="s">
        <v>3908</v>
      </c>
      <c r="C1375" s="201" t="s">
        <v>3673</v>
      </c>
      <c r="D1375" s="202" t="s">
        <v>3907</v>
      </c>
    </row>
    <row r="1376" spans="1:4" ht="96.6" x14ac:dyDescent="0.3">
      <c r="A1376" s="202" t="s">
        <v>3909</v>
      </c>
      <c r="B1376" s="202" t="s">
        <v>3910</v>
      </c>
      <c r="C1376" s="201" t="s">
        <v>3673</v>
      </c>
      <c r="D1376" s="202" t="s">
        <v>3909</v>
      </c>
    </row>
    <row r="1377" spans="1:4" ht="41.4" x14ac:dyDescent="0.3">
      <c r="A1377" s="202" t="s">
        <v>3911</v>
      </c>
      <c r="B1377" s="202" t="s">
        <v>3912</v>
      </c>
      <c r="C1377" s="201" t="s">
        <v>3673</v>
      </c>
      <c r="D1377" s="202" t="s">
        <v>3911</v>
      </c>
    </row>
    <row r="1378" spans="1:4" ht="55.2" x14ac:dyDescent="0.3">
      <c r="A1378" s="202" t="s">
        <v>3913</v>
      </c>
      <c r="B1378" s="202" t="s">
        <v>3914</v>
      </c>
      <c r="C1378" s="201" t="s">
        <v>3673</v>
      </c>
      <c r="D1378" s="202" t="s">
        <v>3913</v>
      </c>
    </row>
    <row r="1379" spans="1:4" ht="82.8" x14ac:dyDescent="0.3">
      <c r="A1379" s="200" t="s">
        <v>3915</v>
      </c>
      <c r="B1379" s="200" t="s">
        <v>3916</v>
      </c>
      <c r="C1379" s="201" t="s">
        <v>3673</v>
      </c>
      <c r="D1379" s="200" t="s">
        <v>3915</v>
      </c>
    </row>
    <row r="1380" spans="1:4" ht="110.4" x14ac:dyDescent="0.3">
      <c r="A1380" s="200" t="s">
        <v>3917</v>
      </c>
      <c r="B1380" s="200" t="s">
        <v>3918</v>
      </c>
      <c r="C1380" s="201" t="s">
        <v>3673</v>
      </c>
      <c r="D1380" s="200" t="s">
        <v>3917</v>
      </c>
    </row>
    <row r="1381" spans="1:4" ht="41.4" x14ac:dyDescent="0.3">
      <c r="A1381" s="202" t="s">
        <v>3919</v>
      </c>
      <c r="B1381" s="202" t="s">
        <v>3920</v>
      </c>
      <c r="C1381" s="201" t="s">
        <v>3673</v>
      </c>
      <c r="D1381" s="202" t="s">
        <v>3919</v>
      </c>
    </row>
    <row r="1382" spans="1:4" ht="55.2" x14ac:dyDescent="0.3">
      <c r="A1382" s="202" t="s">
        <v>3921</v>
      </c>
      <c r="B1382" s="202" t="s">
        <v>3922</v>
      </c>
      <c r="C1382" s="201" t="s">
        <v>3673</v>
      </c>
      <c r="D1382" s="202" t="s">
        <v>3921</v>
      </c>
    </row>
    <row r="1383" spans="1:4" ht="41.4" x14ac:dyDescent="0.3">
      <c r="A1383" s="202" t="s">
        <v>3923</v>
      </c>
      <c r="B1383" s="202" t="s">
        <v>3924</v>
      </c>
      <c r="C1383" s="201" t="s">
        <v>3673</v>
      </c>
      <c r="D1383" s="202" t="s">
        <v>3923</v>
      </c>
    </row>
    <row r="1384" spans="1:4" ht="27.6" x14ac:dyDescent="0.3">
      <c r="A1384" s="202" t="s">
        <v>3925</v>
      </c>
      <c r="B1384" s="202" t="s">
        <v>3926</v>
      </c>
      <c r="C1384" s="201" t="s">
        <v>3673</v>
      </c>
      <c r="D1384" s="202" t="s">
        <v>3925</v>
      </c>
    </row>
    <row r="1385" spans="1:4" ht="41.4" x14ac:dyDescent="0.3">
      <c r="A1385" s="202" t="s">
        <v>3927</v>
      </c>
      <c r="B1385" s="202" t="s">
        <v>3928</v>
      </c>
      <c r="C1385" s="201" t="s">
        <v>3673</v>
      </c>
      <c r="D1385" s="202" t="s">
        <v>3927</v>
      </c>
    </row>
    <row r="1386" spans="1:4" ht="41.4" x14ac:dyDescent="0.3">
      <c r="A1386" s="202" t="s">
        <v>3929</v>
      </c>
      <c r="B1386" s="202" t="s">
        <v>3930</v>
      </c>
      <c r="C1386" s="201" t="s">
        <v>3673</v>
      </c>
      <c r="D1386" s="202" t="s">
        <v>3929</v>
      </c>
    </row>
    <row r="1387" spans="1:4" ht="41.4" x14ac:dyDescent="0.3">
      <c r="A1387" s="202" t="s">
        <v>3931</v>
      </c>
      <c r="B1387" s="202" t="s">
        <v>3932</v>
      </c>
      <c r="C1387" s="201" t="s">
        <v>3673</v>
      </c>
      <c r="D1387" s="202" t="s">
        <v>3931</v>
      </c>
    </row>
    <row r="1388" spans="1:4" ht="55.2" x14ac:dyDescent="0.3">
      <c r="A1388" s="200" t="s">
        <v>3933</v>
      </c>
      <c r="B1388" s="200" t="s">
        <v>3934</v>
      </c>
      <c r="C1388" s="201" t="s">
        <v>3673</v>
      </c>
      <c r="D1388" s="200" t="s">
        <v>3933</v>
      </c>
    </row>
    <row r="1389" spans="1:4" ht="55.2" x14ac:dyDescent="0.3">
      <c r="A1389" s="202" t="s">
        <v>3935</v>
      </c>
      <c r="B1389" s="202" t="s">
        <v>3936</v>
      </c>
      <c r="C1389" s="201" t="s">
        <v>3673</v>
      </c>
      <c r="D1389" s="202" t="s">
        <v>3935</v>
      </c>
    </row>
    <row r="1390" spans="1:4" ht="96.6" x14ac:dyDescent="0.3">
      <c r="A1390" s="202" t="s">
        <v>3937</v>
      </c>
      <c r="B1390" s="202" t="s">
        <v>3938</v>
      </c>
      <c r="C1390" s="201" t="s">
        <v>3673</v>
      </c>
      <c r="D1390" s="202" t="s">
        <v>3937</v>
      </c>
    </row>
    <row r="1391" spans="1:4" ht="55.2" x14ac:dyDescent="0.3">
      <c r="A1391" s="202" t="s">
        <v>3939</v>
      </c>
      <c r="B1391" s="202" t="s">
        <v>3940</v>
      </c>
      <c r="C1391" s="201" t="s">
        <v>3673</v>
      </c>
      <c r="D1391" s="202" t="s">
        <v>3939</v>
      </c>
    </row>
    <row r="1392" spans="1:4" ht="27.6" x14ac:dyDescent="0.3">
      <c r="A1392" s="202" t="s">
        <v>3941</v>
      </c>
      <c r="B1392" s="202" t="s">
        <v>3942</v>
      </c>
      <c r="C1392" s="201" t="s">
        <v>3673</v>
      </c>
      <c r="D1392" s="202" t="s">
        <v>3941</v>
      </c>
    </row>
    <row r="1393" spans="1:4" ht="55.2" x14ac:dyDescent="0.3">
      <c r="A1393" s="202" t="s">
        <v>3943</v>
      </c>
      <c r="B1393" s="202" t="s">
        <v>3944</v>
      </c>
      <c r="C1393" s="201" t="s">
        <v>3673</v>
      </c>
      <c r="D1393" s="202" t="s">
        <v>3943</v>
      </c>
    </row>
    <row r="1394" spans="1:4" ht="41.4" x14ac:dyDescent="0.3">
      <c r="A1394" s="202" t="s">
        <v>3945</v>
      </c>
      <c r="B1394" s="202" t="s">
        <v>3946</v>
      </c>
      <c r="C1394" s="201" t="s">
        <v>3673</v>
      </c>
      <c r="D1394" s="202" t="s">
        <v>3945</v>
      </c>
    </row>
    <row r="1395" spans="1:4" ht="27.6" x14ac:dyDescent="0.3">
      <c r="A1395" s="202" t="s">
        <v>3947</v>
      </c>
      <c r="B1395" s="202" t="s">
        <v>3948</v>
      </c>
      <c r="C1395" s="201" t="s">
        <v>3673</v>
      </c>
      <c r="D1395" s="202" t="s">
        <v>3947</v>
      </c>
    </row>
    <row r="1396" spans="1:4" ht="69" x14ac:dyDescent="0.3">
      <c r="A1396" s="202" t="s">
        <v>3949</v>
      </c>
      <c r="B1396" s="202" t="s">
        <v>3950</v>
      </c>
      <c r="C1396" s="201" t="s">
        <v>3673</v>
      </c>
      <c r="D1396" s="202" t="s">
        <v>3949</v>
      </c>
    </row>
    <row r="1397" spans="1:4" ht="27.6" x14ac:dyDescent="0.3">
      <c r="A1397" s="200" t="s">
        <v>3951</v>
      </c>
      <c r="B1397" s="200" t="s">
        <v>3952</v>
      </c>
      <c r="C1397" s="201" t="s">
        <v>3673</v>
      </c>
      <c r="D1397" s="200" t="s">
        <v>3951</v>
      </c>
    </row>
    <row r="1398" spans="1:4" ht="55.2" x14ac:dyDescent="0.3">
      <c r="A1398" s="202" t="s">
        <v>3953</v>
      </c>
      <c r="B1398" s="202" t="s">
        <v>3954</v>
      </c>
      <c r="C1398" s="201" t="s">
        <v>3673</v>
      </c>
      <c r="D1398" s="202" t="s">
        <v>3953</v>
      </c>
    </row>
    <row r="1399" spans="1:4" ht="82.8" x14ac:dyDescent="0.3">
      <c r="A1399" s="202" t="s">
        <v>3955</v>
      </c>
      <c r="B1399" s="202" t="s">
        <v>3956</v>
      </c>
      <c r="C1399" s="201" t="s">
        <v>3673</v>
      </c>
      <c r="D1399" s="202" t="s">
        <v>3955</v>
      </c>
    </row>
    <row r="1400" spans="1:4" ht="27.6" x14ac:dyDescent="0.3">
      <c r="A1400" s="202" t="s">
        <v>3957</v>
      </c>
      <c r="B1400" s="202" t="s">
        <v>3958</v>
      </c>
      <c r="C1400" s="201" t="s">
        <v>3673</v>
      </c>
      <c r="D1400" s="202" t="s">
        <v>3957</v>
      </c>
    </row>
    <row r="1401" spans="1:4" ht="82.8" x14ac:dyDescent="0.3">
      <c r="A1401" s="200" t="s">
        <v>3959</v>
      </c>
      <c r="B1401" s="200" t="s">
        <v>3960</v>
      </c>
      <c r="C1401" s="201" t="s">
        <v>3673</v>
      </c>
      <c r="D1401" s="200" t="s">
        <v>3959</v>
      </c>
    </row>
    <row r="1402" spans="1:4" ht="41.4" x14ac:dyDescent="0.3">
      <c r="A1402" s="202" t="s">
        <v>3961</v>
      </c>
      <c r="B1402" s="202" t="s">
        <v>3962</v>
      </c>
      <c r="C1402" s="201" t="s">
        <v>3673</v>
      </c>
      <c r="D1402" s="202" t="s">
        <v>3961</v>
      </c>
    </row>
    <row r="1403" spans="1:4" ht="41.4" x14ac:dyDescent="0.3">
      <c r="A1403" s="202" t="s">
        <v>3963</v>
      </c>
      <c r="B1403" s="202" t="s">
        <v>3964</v>
      </c>
      <c r="C1403" s="201" t="s">
        <v>3673</v>
      </c>
      <c r="D1403" s="202" t="s">
        <v>3963</v>
      </c>
    </row>
    <row r="1404" spans="1:4" ht="55.2" x14ac:dyDescent="0.3">
      <c r="A1404" s="200" t="s">
        <v>3965</v>
      </c>
      <c r="B1404" s="200" t="s">
        <v>3966</v>
      </c>
      <c r="C1404" s="201" t="s">
        <v>3673</v>
      </c>
      <c r="D1404" s="200" t="s">
        <v>3965</v>
      </c>
    </row>
    <row r="1405" spans="1:4" ht="41.4" x14ac:dyDescent="0.3">
      <c r="A1405" s="202" t="s">
        <v>3967</v>
      </c>
      <c r="B1405" s="202" t="s">
        <v>3968</v>
      </c>
      <c r="C1405" s="201" t="s">
        <v>3673</v>
      </c>
      <c r="D1405" s="202" t="s">
        <v>3967</v>
      </c>
    </row>
    <row r="1406" spans="1:4" ht="55.2" x14ac:dyDescent="0.3">
      <c r="A1406" s="202" t="s">
        <v>3969</v>
      </c>
      <c r="B1406" s="202" t="s">
        <v>3970</v>
      </c>
      <c r="C1406" s="201" t="s">
        <v>3673</v>
      </c>
      <c r="D1406" s="202" t="s">
        <v>3969</v>
      </c>
    </row>
    <row r="1407" spans="1:4" ht="27.6" x14ac:dyDescent="0.3">
      <c r="A1407" s="202" t="s">
        <v>3971</v>
      </c>
      <c r="B1407" s="202" t="s">
        <v>3972</v>
      </c>
      <c r="C1407" s="201" t="s">
        <v>3673</v>
      </c>
      <c r="D1407" s="202" t="s">
        <v>3971</v>
      </c>
    </row>
    <row r="1408" spans="1:4" ht="41.4" x14ac:dyDescent="0.3">
      <c r="A1408" s="202" t="s">
        <v>3973</v>
      </c>
      <c r="B1408" s="202" t="s">
        <v>3974</v>
      </c>
      <c r="C1408" s="201" t="s">
        <v>3673</v>
      </c>
      <c r="D1408" s="202" t="s">
        <v>3973</v>
      </c>
    </row>
    <row r="1409" spans="1:4" ht="55.2" x14ac:dyDescent="0.3">
      <c r="A1409" s="200" t="s">
        <v>3975</v>
      </c>
      <c r="B1409" s="200" t="s">
        <v>3976</v>
      </c>
      <c r="C1409" s="201" t="s">
        <v>3673</v>
      </c>
      <c r="D1409" s="200" t="s">
        <v>3975</v>
      </c>
    </row>
    <row r="1410" spans="1:4" ht="27.6" x14ac:dyDescent="0.3">
      <c r="A1410" s="200" t="s">
        <v>3977</v>
      </c>
      <c r="B1410" s="200" t="s">
        <v>3978</v>
      </c>
      <c r="C1410" s="201" t="s">
        <v>3673</v>
      </c>
      <c r="D1410" s="200" t="s">
        <v>3977</v>
      </c>
    </row>
    <row r="1411" spans="1:4" ht="27.6" x14ac:dyDescent="0.3">
      <c r="A1411" s="200" t="s">
        <v>3979</v>
      </c>
      <c r="B1411" s="200" t="s">
        <v>3980</v>
      </c>
      <c r="C1411" s="201" t="s">
        <v>3673</v>
      </c>
      <c r="D1411" s="200" t="s">
        <v>3979</v>
      </c>
    </row>
    <row r="1412" spans="1:4" ht="72" x14ac:dyDescent="0.3">
      <c r="A1412" s="205" t="s">
        <v>3981</v>
      </c>
      <c r="B1412" s="200" t="s">
        <v>3982</v>
      </c>
      <c r="C1412" s="201" t="s">
        <v>3673</v>
      </c>
      <c r="D1412" s="205" t="s">
        <v>3981</v>
      </c>
    </row>
    <row r="1413" spans="1:4" ht="27.6" x14ac:dyDescent="0.3">
      <c r="A1413" s="200" t="s">
        <v>3981</v>
      </c>
      <c r="B1413" s="200" t="s">
        <v>3983</v>
      </c>
      <c r="C1413" s="201" t="s">
        <v>3673</v>
      </c>
      <c r="D1413" s="200" t="s">
        <v>3981</v>
      </c>
    </row>
    <row r="1414" spans="1:4" ht="41.4" x14ac:dyDescent="0.3">
      <c r="A1414" s="202" t="s">
        <v>3984</v>
      </c>
      <c r="B1414" s="202" t="s">
        <v>3985</v>
      </c>
      <c r="C1414" s="201" t="s">
        <v>3673</v>
      </c>
      <c r="D1414" s="202" t="s">
        <v>3984</v>
      </c>
    </row>
    <row r="1415" spans="1:4" ht="110.4" x14ac:dyDescent="0.3">
      <c r="A1415" s="202" t="s">
        <v>3986</v>
      </c>
      <c r="B1415" s="202" t="s">
        <v>3987</v>
      </c>
      <c r="C1415" s="201" t="s">
        <v>3673</v>
      </c>
      <c r="D1415" s="202" t="s">
        <v>3986</v>
      </c>
    </row>
    <row r="1416" spans="1:4" ht="69" x14ac:dyDescent="0.3">
      <c r="A1416" s="202" t="s">
        <v>3988</v>
      </c>
      <c r="B1416" s="202" t="s">
        <v>3989</v>
      </c>
      <c r="C1416" s="201" t="s">
        <v>3673</v>
      </c>
      <c r="D1416" s="202" t="s">
        <v>3988</v>
      </c>
    </row>
    <row r="1417" spans="1:4" ht="96.6" x14ac:dyDescent="0.3">
      <c r="A1417" s="200" t="s">
        <v>3990</v>
      </c>
      <c r="B1417" s="200" t="s">
        <v>3991</v>
      </c>
      <c r="C1417" s="201" t="s">
        <v>3673</v>
      </c>
      <c r="D1417" s="200" t="s">
        <v>3990</v>
      </c>
    </row>
    <row r="1418" spans="1:4" ht="124.2" x14ac:dyDescent="0.3">
      <c r="A1418" s="202" t="s">
        <v>3992</v>
      </c>
      <c r="B1418" s="202" t="s">
        <v>3993</v>
      </c>
      <c r="C1418" s="201" t="s">
        <v>3673</v>
      </c>
      <c r="D1418" s="202" t="s">
        <v>3992</v>
      </c>
    </row>
    <row r="1419" spans="1:4" ht="55.2" x14ac:dyDescent="0.3">
      <c r="A1419" s="202" t="s">
        <v>3994</v>
      </c>
      <c r="B1419" s="202" t="s">
        <v>3995</v>
      </c>
      <c r="C1419" s="201" t="s">
        <v>3673</v>
      </c>
      <c r="D1419" s="202" t="s">
        <v>3994</v>
      </c>
    </row>
    <row r="1420" spans="1:4" ht="110.4" x14ac:dyDescent="0.3">
      <c r="A1420" s="200" t="s">
        <v>3996</v>
      </c>
      <c r="B1420" s="200" t="s">
        <v>3997</v>
      </c>
      <c r="C1420" s="201" t="s">
        <v>3673</v>
      </c>
      <c r="D1420" s="200" t="s">
        <v>3996</v>
      </c>
    </row>
    <row r="1421" spans="1:4" ht="69" x14ac:dyDescent="0.3">
      <c r="A1421" s="200" t="s">
        <v>3998</v>
      </c>
      <c r="B1421" s="200" t="s">
        <v>3999</v>
      </c>
      <c r="C1421" s="201" t="s">
        <v>3673</v>
      </c>
      <c r="D1421" s="200" t="s">
        <v>3998</v>
      </c>
    </row>
    <row r="1422" spans="1:4" ht="96.6" x14ac:dyDescent="0.3">
      <c r="A1422" s="202" t="s">
        <v>4000</v>
      </c>
      <c r="B1422" s="202" t="s">
        <v>4001</v>
      </c>
      <c r="C1422" s="201" t="s">
        <v>3673</v>
      </c>
      <c r="D1422" s="202" t="s">
        <v>4000</v>
      </c>
    </row>
    <row r="1423" spans="1:4" ht="55.2" x14ac:dyDescent="0.3">
      <c r="A1423" s="202" t="s">
        <v>4002</v>
      </c>
      <c r="B1423" s="202" t="s">
        <v>4003</v>
      </c>
      <c r="C1423" s="201" t="s">
        <v>3673</v>
      </c>
      <c r="D1423" s="202" t="s">
        <v>4002</v>
      </c>
    </row>
    <row r="1424" spans="1:4" ht="82.8" x14ac:dyDescent="0.3">
      <c r="A1424" s="200" t="s">
        <v>4004</v>
      </c>
      <c r="B1424" s="200" t="s">
        <v>4005</v>
      </c>
      <c r="C1424" s="201" t="s">
        <v>3673</v>
      </c>
      <c r="D1424" s="200" t="s">
        <v>4004</v>
      </c>
    </row>
    <row r="1425" spans="1:4" ht="82.8" x14ac:dyDescent="0.3">
      <c r="A1425" s="202" t="s">
        <v>4006</v>
      </c>
      <c r="B1425" s="202" t="s">
        <v>4007</v>
      </c>
      <c r="C1425" s="201" t="s">
        <v>3673</v>
      </c>
      <c r="D1425" s="202" t="s">
        <v>4006</v>
      </c>
    </row>
    <row r="1426" spans="1:4" ht="69" x14ac:dyDescent="0.3">
      <c r="A1426" s="202" t="s">
        <v>4008</v>
      </c>
      <c r="B1426" s="202" t="s">
        <v>4009</v>
      </c>
      <c r="C1426" s="201" t="s">
        <v>3673</v>
      </c>
      <c r="D1426" s="202" t="s">
        <v>4008</v>
      </c>
    </row>
    <row r="1427" spans="1:4" ht="69" x14ac:dyDescent="0.3">
      <c r="A1427" s="202" t="s">
        <v>4010</v>
      </c>
      <c r="B1427" s="202" t="s">
        <v>4011</v>
      </c>
      <c r="C1427" s="201" t="s">
        <v>3673</v>
      </c>
      <c r="D1427" s="202" t="s">
        <v>4010</v>
      </c>
    </row>
    <row r="1428" spans="1:4" ht="69" x14ac:dyDescent="0.3">
      <c r="A1428" s="200" t="s">
        <v>4012</v>
      </c>
      <c r="B1428" s="200" t="s">
        <v>4013</v>
      </c>
      <c r="C1428" s="201" t="s">
        <v>3673</v>
      </c>
      <c r="D1428" s="200" t="s">
        <v>4012</v>
      </c>
    </row>
    <row r="1429" spans="1:4" ht="69" x14ac:dyDescent="0.3">
      <c r="A1429" s="202" t="s">
        <v>4014</v>
      </c>
      <c r="B1429" s="202" t="s">
        <v>4015</v>
      </c>
      <c r="C1429" s="201" t="s">
        <v>3673</v>
      </c>
      <c r="D1429" s="202" t="s">
        <v>4014</v>
      </c>
    </row>
    <row r="1430" spans="1:4" ht="69" x14ac:dyDescent="0.3">
      <c r="A1430" s="202" t="s">
        <v>4016</v>
      </c>
      <c r="B1430" s="202" t="s">
        <v>4017</v>
      </c>
      <c r="C1430" s="201" t="s">
        <v>3673</v>
      </c>
      <c r="D1430" s="202" t="s">
        <v>4016</v>
      </c>
    </row>
    <row r="1431" spans="1:4" ht="69" x14ac:dyDescent="0.3">
      <c r="A1431" s="200" t="s">
        <v>4018</v>
      </c>
      <c r="B1431" s="200" t="s">
        <v>4019</v>
      </c>
      <c r="C1431" s="201" t="s">
        <v>3673</v>
      </c>
      <c r="D1431" s="200" t="s">
        <v>4018</v>
      </c>
    </row>
    <row r="1432" spans="1:4" ht="69" x14ac:dyDescent="0.3">
      <c r="A1432" s="202" t="s">
        <v>4020</v>
      </c>
      <c r="B1432" s="202" t="s">
        <v>4021</v>
      </c>
      <c r="C1432" s="201" t="s">
        <v>3673</v>
      </c>
      <c r="D1432" s="202" t="s">
        <v>4020</v>
      </c>
    </row>
    <row r="1433" spans="1:4" ht="110.4" x14ac:dyDescent="0.3">
      <c r="A1433" s="202" t="s">
        <v>4022</v>
      </c>
      <c r="B1433" s="202" t="s">
        <v>4023</v>
      </c>
      <c r="C1433" s="201" t="s">
        <v>3673</v>
      </c>
      <c r="D1433" s="202" t="s">
        <v>4022</v>
      </c>
    </row>
    <row r="1434" spans="1:4" ht="82.8" x14ac:dyDescent="0.3">
      <c r="A1434" s="202" t="s">
        <v>4024</v>
      </c>
      <c r="B1434" s="202" t="s">
        <v>4025</v>
      </c>
      <c r="C1434" s="201" t="s">
        <v>3673</v>
      </c>
      <c r="D1434" s="202" t="s">
        <v>4024</v>
      </c>
    </row>
    <row r="1435" spans="1:4" ht="69" x14ac:dyDescent="0.3">
      <c r="A1435" s="202" t="s">
        <v>4026</v>
      </c>
      <c r="B1435" s="202" t="s">
        <v>4027</v>
      </c>
      <c r="C1435" s="201" t="s">
        <v>3673</v>
      </c>
      <c r="D1435" s="202" t="s">
        <v>4026</v>
      </c>
    </row>
    <row r="1436" spans="1:4" ht="82.8" x14ac:dyDescent="0.3">
      <c r="A1436" s="202" t="s">
        <v>4028</v>
      </c>
      <c r="B1436" s="202" t="s">
        <v>4029</v>
      </c>
      <c r="C1436" s="201" t="s">
        <v>3673</v>
      </c>
      <c r="D1436" s="202" t="s">
        <v>4028</v>
      </c>
    </row>
    <row r="1437" spans="1:4" ht="82.8" x14ac:dyDescent="0.3">
      <c r="A1437" s="202" t="s">
        <v>4030</v>
      </c>
      <c r="B1437" s="202" t="s">
        <v>4031</v>
      </c>
      <c r="C1437" s="201" t="s">
        <v>3673</v>
      </c>
      <c r="D1437" s="202" t="s">
        <v>4030</v>
      </c>
    </row>
    <row r="1438" spans="1:4" ht="82.8" x14ac:dyDescent="0.3">
      <c r="A1438" s="200" t="s">
        <v>4032</v>
      </c>
      <c r="B1438" s="200" t="s">
        <v>4033</v>
      </c>
      <c r="C1438" s="201" t="s">
        <v>3673</v>
      </c>
      <c r="D1438" s="200" t="s">
        <v>4032</v>
      </c>
    </row>
    <row r="1439" spans="1:4" ht="69" x14ac:dyDescent="0.3">
      <c r="A1439" s="202" t="s">
        <v>4034</v>
      </c>
      <c r="B1439" s="202" t="s">
        <v>4035</v>
      </c>
      <c r="C1439" s="201" t="s">
        <v>3673</v>
      </c>
      <c r="D1439" s="202" t="s">
        <v>4034</v>
      </c>
    </row>
    <row r="1440" spans="1:4" ht="69" x14ac:dyDescent="0.3">
      <c r="A1440" s="202" t="s">
        <v>4036</v>
      </c>
      <c r="B1440" s="202" t="s">
        <v>4037</v>
      </c>
      <c r="C1440" s="201" t="s">
        <v>3673</v>
      </c>
      <c r="D1440" s="202" t="s">
        <v>4036</v>
      </c>
    </row>
    <row r="1441" spans="1:4" ht="69" x14ac:dyDescent="0.3">
      <c r="A1441" s="202" t="s">
        <v>4038</v>
      </c>
      <c r="B1441" s="202" t="s">
        <v>4039</v>
      </c>
      <c r="C1441" s="201" t="s">
        <v>3673</v>
      </c>
      <c r="D1441" s="202" t="s">
        <v>4038</v>
      </c>
    </row>
    <row r="1442" spans="1:4" ht="69" x14ac:dyDescent="0.3">
      <c r="A1442" s="202" t="s">
        <v>4040</v>
      </c>
      <c r="B1442" s="202" t="s">
        <v>4041</v>
      </c>
      <c r="C1442" s="201" t="s">
        <v>3673</v>
      </c>
      <c r="D1442" s="202" t="s">
        <v>4040</v>
      </c>
    </row>
    <row r="1443" spans="1:4" ht="55.2" x14ac:dyDescent="0.3">
      <c r="A1443" s="202" t="s">
        <v>4042</v>
      </c>
      <c r="B1443" s="202" t="s">
        <v>4043</v>
      </c>
      <c r="C1443" s="201" t="s">
        <v>3673</v>
      </c>
      <c r="D1443" s="202" t="s">
        <v>4042</v>
      </c>
    </row>
    <row r="1444" spans="1:4" ht="69" x14ac:dyDescent="0.3">
      <c r="A1444" s="202" t="s">
        <v>4044</v>
      </c>
      <c r="B1444" s="202" t="s">
        <v>4045</v>
      </c>
      <c r="C1444" s="201" t="s">
        <v>3673</v>
      </c>
      <c r="D1444" s="202" t="s">
        <v>4044</v>
      </c>
    </row>
    <row r="1445" spans="1:4" ht="69" x14ac:dyDescent="0.3">
      <c r="A1445" s="202" t="s">
        <v>4046</v>
      </c>
      <c r="B1445" s="202" t="s">
        <v>4047</v>
      </c>
      <c r="C1445" s="201" t="s">
        <v>3673</v>
      </c>
      <c r="D1445" s="202" t="s">
        <v>4046</v>
      </c>
    </row>
    <row r="1446" spans="1:4" ht="69" x14ac:dyDescent="0.3">
      <c r="A1446" s="202" t="s">
        <v>4048</v>
      </c>
      <c r="B1446" s="202" t="s">
        <v>4049</v>
      </c>
      <c r="C1446" s="201" t="s">
        <v>3673</v>
      </c>
      <c r="D1446" s="202" t="s">
        <v>4048</v>
      </c>
    </row>
    <row r="1447" spans="1:4" ht="69" x14ac:dyDescent="0.3">
      <c r="A1447" s="202" t="s">
        <v>4036</v>
      </c>
      <c r="B1447" s="202" t="s">
        <v>4050</v>
      </c>
      <c r="C1447" s="201" t="s">
        <v>3673</v>
      </c>
      <c r="D1447" s="202" t="s">
        <v>4036</v>
      </c>
    </row>
    <row r="1448" spans="1:4" ht="69" x14ac:dyDescent="0.3">
      <c r="A1448" s="202" t="s">
        <v>4051</v>
      </c>
      <c r="B1448" s="202" t="s">
        <v>4052</v>
      </c>
      <c r="C1448" s="201" t="s">
        <v>3673</v>
      </c>
      <c r="D1448" s="202" t="s">
        <v>4051</v>
      </c>
    </row>
    <row r="1449" spans="1:4" ht="55.2" x14ac:dyDescent="0.3">
      <c r="A1449" s="202" t="s">
        <v>4053</v>
      </c>
      <c r="B1449" s="202" t="s">
        <v>4054</v>
      </c>
      <c r="C1449" s="201" t="s">
        <v>3673</v>
      </c>
      <c r="D1449" s="202" t="s">
        <v>4053</v>
      </c>
    </row>
    <row r="1450" spans="1:4" ht="55.2" x14ac:dyDescent="0.3">
      <c r="A1450" s="202" t="s">
        <v>4055</v>
      </c>
      <c r="B1450" s="202" t="s">
        <v>4056</v>
      </c>
      <c r="C1450" s="201" t="s">
        <v>3673</v>
      </c>
      <c r="D1450" s="202" t="s">
        <v>4055</v>
      </c>
    </row>
    <row r="1451" spans="1:4" ht="55.2" x14ac:dyDescent="0.3">
      <c r="A1451" s="202" t="s">
        <v>4057</v>
      </c>
      <c r="B1451" s="202" t="s">
        <v>4058</v>
      </c>
      <c r="C1451" s="201" t="s">
        <v>3673</v>
      </c>
      <c r="D1451" s="202" t="s">
        <v>4057</v>
      </c>
    </row>
    <row r="1452" spans="1:4" ht="55.2" x14ac:dyDescent="0.3">
      <c r="A1452" s="202" t="s">
        <v>4059</v>
      </c>
      <c r="B1452" s="202" t="s">
        <v>4060</v>
      </c>
      <c r="C1452" s="201" t="s">
        <v>3673</v>
      </c>
      <c r="D1452" s="202" t="s">
        <v>4059</v>
      </c>
    </row>
    <row r="1453" spans="1:4" ht="110.4" x14ac:dyDescent="0.3">
      <c r="A1453" s="202" t="s">
        <v>4061</v>
      </c>
      <c r="B1453" s="202" t="s">
        <v>4062</v>
      </c>
      <c r="C1453" s="201" t="s">
        <v>3673</v>
      </c>
      <c r="D1453" s="202" t="s">
        <v>4061</v>
      </c>
    </row>
    <row r="1454" spans="1:4" ht="96.6" x14ac:dyDescent="0.3">
      <c r="A1454" s="200" t="s">
        <v>4063</v>
      </c>
      <c r="B1454" s="200" t="s">
        <v>4064</v>
      </c>
      <c r="C1454" s="201" t="s">
        <v>3673</v>
      </c>
      <c r="D1454" s="200" t="s">
        <v>4063</v>
      </c>
    </row>
    <row r="1455" spans="1:4" ht="96.6" x14ac:dyDescent="0.3">
      <c r="A1455" s="200" t="s">
        <v>4065</v>
      </c>
      <c r="B1455" s="200" t="s">
        <v>4066</v>
      </c>
      <c r="C1455" s="201" t="s">
        <v>3673</v>
      </c>
      <c r="D1455" s="200" t="s">
        <v>4065</v>
      </c>
    </row>
    <row r="1456" spans="1:4" ht="82.8" x14ac:dyDescent="0.3">
      <c r="A1456" s="202" t="s">
        <v>4067</v>
      </c>
      <c r="B1456" s="202" t="s">
        <v>4068</v>
      </c>
      <c r="C1456" s="201" t="s">
        <v>3673</v>
      </c>
      <c r="D1456" s="202" t="s">
        <v>4067</v>
      </c>
    </row>
    <row r="1457" spans="1:4" ht="110.4" x14ac:dyDescent="0.3">
      <c r="A1457" s="202" t="s">
        <v>4069</v>
      </c>
      <c r="B1457" s="202" t="s">
        <v>4070</v>
      </c>
      <c r="C1457" s="201" t="s">
        <v>3673</v>
      </c>
      <c r="D1457" s="202" t="s">
        <v>4069</v>
      </c>
    </row>
    <row r="1458" spans="1:4" ht="55.2" x14ac:dyDescent="0.3">
      <c r="A1458" s="202" t="s">
        <v>4071</v>
      </c>
      <c r="B1458" s="202" t="s">
        <v>4072</v>
      </c>
      <c r="C1458" s="201" t="s">
        <v>3673</v>
      </c>
      <c r="D1458" s="202" t="s">
        <v>4071</v>
      </c>
    </row>
    <row r="1459" spans="1:4" ht="69" x14ac:dyDescent="0.3">
      <c r="A1459" s="202" t="s">
        <v>4073</v>
      </c>
      <c r="B1459" s="202" t="s">
        <v>4074</v>
      </c>
      <c r="C1459" s="201" t="s">
        <v>3673</v>
      </c>
      <c r="D1459" s="202" t="s">
        <v>4073</v>
      </c>
    </row>
    <row r="1460" spans="1:4" ht="69" x14ac:dyDescent="0.3">
      <c r="A1460" s="200" t="s">
        <v>4075</v>
      </c>
      <c r="B1460" s="200" t="s">
        <v>4076</v>
      </c>
      <c r="C1460" s="201" t="s">
        <v>3673</v>
      </c>
      <c r="D1460" s="200" t="s">
        <v>4075</v>
      </c>
    </row>
    <row r="1461" spans="1:4" ht="69" x14ac:dyDescent="0.3">
      <c r="A1461" s="200" t="s">
        <v>4077</v>
      </c>
      <c r="B1461" s="200" t="s">
        <v>4078</v>
      </c>
      <c r="C1461" s="201" t="s">
        <v>3673</v>
      </c>
      <c r="D1461" s="200" t="s">
        <v>4077</v>
      </c>
    </row>
    <row r="1462" spans="1:4" ht="110.4" x14ac:dyDescent="0.3">
      <c r="A1462" s="200" t="s">
        <v>4079</v>
      </c>
      <c r="B1462" s="200" t="s">
        <v>4080</v>
      </c>
      <c r="C1462" s="201" t="s">
        <v>3673</v>
      </c>
      <c r="D1462" s="200" t="s">
        <v>4079</v>
      </c>
    </row>
    <row r="1463" spans="1:4" ht="55.2" x14ac:dyDescent="0.3">
      <c r="A1463" s="200" t="s">
        <v>4081</v>
      </c>
      <c r="B1463" s="200" t="s">
        <v>4082</v>
      </c>
      <c r="C1463" s="201" t="s">
        <v>3673</v>
      </c>
      <c r="D1463" s="200" t="s">
        <v>4081</v>
      </c>
    </row>
    <row r="1464" spans="1:4" ht="69" x14ac:dyDescent="0.3">
      <c r="A1464" s="202" t="s">
        <v>4083</v>
      </c>
      <c r="B1464" s="202" t="s">
        <v>4084</v>
      </c>
      <c r="C1464" s="201" t="s">
        <v>3673</v>
      </c>
      <c r="D1464" s="202" t="s">
        <v>4083</v>
      </c>
    </row>
    <row r="1465" spans="1:4" ht="69" x14ac:dyDescent="0.3">
      <c r="A1465" s="202" t="s">
        <v>4085</v>
      </c>
      <c r="B1465" s="202" t="s">
        <v>4086</v>
      </c>
      <c r="C1465" s="201" t="s">
        <v>3673</v>
      </c>
      <c r="D1465" s="202" t="s">
        <v>4085</v>
      </c>
    </row>
    <row r="1466" spans="1:4" ht="69" x14ac:dyDescent="0.3">
      <c r="A1466" s="200" t="s">
        <v>4085</v>
      </c>
      <c r="B1466" s="200" t="s">
        <v>4087</v>
      </c>
      <c r="C1466" s="201" t="s">
        <v>3673</v>
      </c>
      <c r="D1466" s="200" t="s">
        <v>4085</v>
      </c>
    </row>
    <row r="1467" spans="1:4" ht="69" x14ac:dyDescent="0.3">
      <c r="A1467" s="200" t="s">
        <v>4088</v>
      </c>
      <c r="B1467" s="200" t="s">
        <v>4089</v>
      </c>
      <c r="C1467" s="201" t="s">
        <v>3673</v>
      </c>
      <c r="D1467" s="200" t="s">
        <v>4088</v>
      </c>
    </row>
    <row r="1468" spans="1:4" ht="96.6" x14ac:dyDescent="0.3">
      <c r="A1468" s="202" t="s">
        <v>4090</v>
      </c>
      <c r="B1468" s="202" t="s">
        <v>4091</v>
      </c>
      <c r="C1468" s="201" t="s">
        <v>3673</v>
      </c>
      <c r="D1468" s="202" t="s">
        <v>4090</v>
      </c>
    </row>
    <row r="1469" spans="1:4" ht="55.2" x14ac:dyDescent="0.3">
      <c r="A1469" s="202" t="s">
        <v>4092</v>
      </c>
      <c r="B1469" s="202" t="s">
        <v>4093</v>
      </c>
      <c r="C1469" s="201" t="s">
        <v>3673</v>
      </c>
      <c r="D1469" s="202" t="s">
        <v>4092</v>
      </c>
    </row>
    <row r="1470" spans="1:4" ht="69" x14ac:dyDescent="0.3">
      <c r="A1470" s="202" t="s">
        <v>4094</v>
      </c>
      <c r="B1470" s="202" t="s">
        <v>4095</v>
      </c>
      <c r="C1470" s="201" t="s">
        <v>3673</v>
      </c>
      <c r="D1470" s="202" t="s">
        <v>4094</v>
      </c>
    </row>
    <row r="1471" spans="1:4" ht="55.2" x14ac:dyDescent="0.3">
      <c r="A1471" s="202" t="s">
        <v>4096</v>
      </c>
      <c r="B1471" s="202" t="s">
        <v>4097</v>
      </c>
      <c r="C1471" s="201" t="s">
        <v>3673</v>
      </c>
      <c r="D1471" s="202" t="s">
        <v>4096</v>
      </c>
    </row>
    <row r="1472" spans="1:4" ht="82.8" x14ac:dyDescent="0.3">
      <c r="A1472" s="202" t="s">
        <v>4098</v>
      </c>
      <c r="B1472" s="202" t="s">
        <v>4099</v>
      </c>
      <c r="C1472" s="201" t="s">
        <v>3673</v>
      </c>
      <c r="D1472" s="202" t="s">
        <v>4098</v>
      </c>
    </row>
    <row r="1473" spans="1:4" ht="82.8" x14ac:dyDescent="0.3">
      <c r="A1473" s="202" t="s">
        <v>4100</v>
      </c>
      <c r="B1473" s="202" t="s">
        <v>4101</v>
      </c>
      <c r="C1473" s="201" t="s">
        <v>3673</v>
      </c>
      <c r="D1473" s="202" t="s">
        <v>4100</v>
      </c>
    </row>
    <row r="1474" spans="1:4" ht="82.8" x14ac:dyDescent="0.3">
      <c r="A1474" s="202" t="s">
        <v>4102</v>
      </c>
      <c r="B1474" s="202" t="s">
        <v>4103</v>
      </c>
      <c r="C1474" s="201" t="s">
        <v>3673</v>
      </c>
      <c r="D1474" s="202" t="s">
        <v>4102</v>
      </c>
    </row>
    <row r="1475" spans="1:4" ht="96.6" x14ac:dyDescent="0.3">
      <c r="A1475" s="202" t="s">
        <v>4104</v>
      </c>
      <c r="B1475" s="202" t="s">
        <v>4105</v>
      </c>
      <c r="C1475" s="201" t="s">
        <v>3673</v>
      </c>
      <c r="D1475" s="202" t="s">
        <v>4104</v>
      </c>
    </row>
    <row r="1476" spans="1:4" ht="55.2" x14ac:dyDescent="0.3">
      <c r="A1476" s="202" t="s">
        <v>4106</v>
      </c>
      <c r="B1476" s="202" t="s">
        <v>4107</v>
      </c>
      <c r="C1476" s="201" t="s">
        <v>3673</v>
      </c>
      <c r="D1476" s="202" t="s">
        <v>4106</v>
      </c>
    </row>
    <row r="1477" spans="1:4" ht="55.2" x14ac:dyDescent="0.3">
      <c r="A1477" s="202" t="s">
        <v>4108</v>
      </c>
      <c r="B1477" s="202" t="s">
        <v>4109</v>
      </c>
      <c r="C1477" s="201" t="s">
        <v>3673</v>
      </c>
      <c r="D1477" s="202" t="s">
        <v>4108</v>
      </c>
    </row>
    <row r="1478" spans="1:4" ht="82.8" x14ac:dyDescent="0.3">
      <c r="A1478" s="202" t="s">
        <v>4110</v>
      </c>
      <c r="B1478" s="202" t="s">
        <v>4111</v>
      </c>
      <c r="C1478" s="201" t="s">
        <v>3673</v>
      </c>
      <c r="D1478" s="202" t="s">
        <v>4110</v>
      </c>
    </row>
    <row r="1479" spans="1:4" ht="69" x14ac:dyDescent="0.3">
      <c r="A1479" s="200" t="s">
        <v>4112</v>
      </c>
      <c r="B1479" s="200" t="s">
        <v>4113</v>
      </c>
      <c r="C1479" s="201" t="s">
        <v>3673</v>
      </c>
      <c r="D1479" s="200" t="s">
        <v>4112</v>
      </c>
    </row>
    <row r="1480" spans="1:4" ht="96.6" x14ac:dyDescent="0.3">
      <c r="A1480" s="200" t="s">
        <v>4114</v>
      </c>
      <c r="B1480" s="200" t="s">
        <v>4115</v>
      </c>
      <c r="C1480" s="201" t="s">
        <v>3673</v>
      </c>
      <c r="D1480" s="200" t="s">
        <v>4114</v>
      </c>
    </row>
    <row r="1481" spans="1:4" ht="82.8" x14ac:dyDescent="0.3">
      <c r="A1481" s="200" t="s">
        <v>4116</v>
      </c>
      <c r="B1481" s="200" t="s">
        <v>4117</v>
      </c>
      <c r="C1481" s="201" t="s">
        <v>3673</v>
      </c>
      <c r="D1481" s="200" t="s">
        <v>4116</v>
      </c>
    </row>
    <row r="1482" spans="1:4" ht="69" x14ac:dyDescent="0.3">
      <c r="A1482" s="200" t="s">
        <v>4118</v>
      </c>
      <c r="B1482" s="200" t="s">
        <v>4119</v>
      </c>
      <c r="C1482" s="201" t="s">
        <v>3673</v>
      </c>
      <c r="D1482" s="200" t="s">
        <v>4118</v>
      </c>
    </row>
    <row r="1483" spans="1:4" ht="69" x14ac:dyDescent="0.3">
      <c r="A1483" s="200" t="s">
        <v>4120</v>
      </c>
      <c r="B1483" s="200" t="s">
        <v>4121</v>
      </c>
      <c r="C1483" s="201" t="s">
        <v>3673</v>
      </c>
      <c r="D1483" s="200" t="s">
        <v>4120</v>
      </c>
    </row>
    <row r="1484" spans="1:4" ht="69" x14ac:dyDescent="0.3">
      <c r="A1484" s="200" t="s">
        <v>4122</v>
      </c>
      <c r="B1484" s="200" t="s">
        <v>4123</v>
      </c>
      <c r="C1484" s="201" t="s">
        <v>3673</v>
      </c>
      <c r="D1484" s="200" t="s">
        <v>4122</v>
      </c>
    </row>
    <row r="1485" spans="1:4" ht="69" x14ac:dyDescent="0.3">
      <c r="A1485" s="202" t="s">
        <v>4124</v>
      </c>
      <c r="B1485" s="202" t="s">
        <v>4125</v>
      </c>
      <c r="C1485" s="201" t="s">
        <v>3673</v>
      </c>
      <c r="D1485" s="202" t="s">
        <v>4124</v>
      </c>
    </row>
    <row r="1486" spans="1:4" ht="96.6" x14ac:dyDescent="0.3">
      <c r="A1486" s="202" t="s">
        <v>4126</v>
      </c>
      <c r="B1486" s="202" t="s">
        <v>4127</v>
      </c>
      <c r="C1486" s="201" t="s">
        <v>3673</v>
      </c>
      <c r="D1486" s="202" t="s">
        <v>4126</v>
      </c>
    </row>
    <row r="1487" spans="1:4" ht="55.2" x14ac:dyDescent="0.3">
      <c r="A1487" s="202" t="s">
        <v>4128</v>
      </c>
      <c r="B1487" s="202" t="s">
        <v>4129</v>
      </c>
      <c r="C1487" s="201" t="s">
        <v>3673</v>
      </c>
      <c r="D1487" s="202" t="s">
        <v>4128</v>
      </c>
    </row>
    <row r="1488" spans="1:4" ht="124.2" x14ac:dyDescent="0.3">
      <c r="A1488" s="202" t="s">
        <v>4130</v>
      </c>
      <c r="B1488" s="202" t="s">
        <v>4131</v>
      </c>
      <c r="C1488" s="201" t="s">
        <v>3673</v>
      </c>
      <c r="D1488" s="202" t="s">
        <v>4130</v>
      </c>
    </row>
    <row r="1489" spans="1:4" ht="69" x14ac:dyDescent="0.3">
      <c r="A1489" s="202" t="s">
        <v>4132</v>
      </c>
      <c r="B1489" s="202" t="s">
        <v>4133</v>
      </c>
      <c r="C1489" s="201" t="s">
        <v>3673</v>
      </c>
      <c r="D1489" s="202" t="s">
        <v>4132</v>
      </c>
    </row>
    <row r="1490" spans="1:4" ht="82.8" x14ac:dyDescent="0.3">
      <c r="A1490" s="202" t="s">
        <v>4134</v>
      </c>
      <c r="B1490" s="202" t="s">
        <v>4135</v>
      </c>
      <c r="C1490" s="201" t="s">
        <v>3673</v>
      </c>
      <c r="D1490" s="202" t="s">
        <v>4134</v>
      </c>
    </row>
    <row r="1491" spans="1:4" ht="82.8" x14ac:dyDescent="0.3">
      <c r="A1491" s="202" t="s">
        <v>4136</v>
      </c>
      <c r="B1491" s="202" t="s">
        <v>4137</v>
      </c>
      <c r="C1491" s="201" t="s">
        <v>3673</v>
      </c>
      <c r="D1491" s="202" t="s">
        <v>4136</v>
      </c>
    </row>
    <row r="1492" spans="1:4" ht="69" x14ac:dyDescent="0.3">
      <c r="A1492" s="202" t="s">
        <v>4138</v>
      </c>
      <c r="B1492" s="202" t="s">
        <v>4139</v>
      </c>
      <c r="C1492" s="201" t="s">
        <v>3673</v>
      </c>
      <c r="D1492" s="202" t="s">
        <v>4138</v>
      </c>
    </row>
    <row r="1493" spans="1:4" ht="96.6" x14ac:dyDescent="0.3">
      <c r="A1493" s="200" t="s">
        <v>4140</v>
      </c>
      <c r="B1493" s="200" t="s">
        <v>4141</v>
      </c>
      <c r="C1493" s="201" t="s">
        <v>3673</v>
      </c>
      <c r="D1493" s="200" t="s">
        <v>4140</v>
      </c>
    </row>
    <row r="1494" spans="1:4" ht="96.6" x14ac:dyDescent="0.3">
      <c r="A1494" s="200" t="s">
        <v>4142</v>
      </c>
      <c r="B1494" s="200" t="s">
        <v>4143</v>
      </c>
      <c r="C1494" s="201" t="s">
        <v>3673</v>
      </c>
      <c r="D1494" s="200" t="s">
        <v>4142</v>
      </c>
    </row>
    <row r="1495" spans="1:4" ht="82.8" x14ac:dyDescent="0.3">
      <c r="A1495" s="200" t="s">
        <v>4144</v>
      </c>
      <c r="B1495" s="200" t="s">
        <v>4145</v>
      </c>
      <c r="C1495" s="201" t="s">
        <v>3673</v>
      </c>
      <c r="D1495" s="200" t="s">
        <v>4144</v>
      </c>
    </row>
    <row r="1496" spans="1:4" ht="55.2" x14ac:dyDescent="0.3">
      <c r="A1496" s="202" t="s">
        <v>4146</v>
      </c>
      <c r="B1496" s="202" t="s">
        <v>4147</v>
      </c>
      <c r="C1496" s="201" t="s">
        <v>3673</v>
      </c>
      <c r="D1496" s="202" t="s">
        <v>4146</v>
      </c>
    </row>
    <row r="1497" spans="1:4" ht="82.8" x14ac:dyDescent="0.3">
      <c r="A1497" s="202" t="s">
        <v>4148</v>
      </c>
      <c r="B1497" s="202" t="s">
        <v>4149</v>
      </c>
      <c r="C1497" s="201" t="s">
        <v>3673</v>
      </c>
      <c r="D1497" s="202" t="s">
        <v>4148</v>
      </c>
    </row>
    <row r="1498" spans="1:4" ht="55.2" x14ac:dyDescent="0.3">
      <c r="A1498" s="200" t="s">
        <v>4150</v>
      </c>
      <c r="B1498" s="200" t="s">
        <v>4151</v>
      </c>
      <c r="C1498" s="201" t="s">
        <v>3673</v>
      </c>
      <c r="D1498" s="200" t="s">
        <v>4150</v>
      </c>
    </row>
    <row r="1499" spans="1:4" ht="82.8" x14ac:dyDescent="0.3">
      <c r="A1499" s="202" t="s">
        <v>4152</v>
      </c>
      <c r="B1499" s="202" t="s">
        <v>4153</v>
      </c>
      <c r="C1499" s="201" t="s">
        <v>3673</v>
      </c>
      <c r="D1499" s="202" t="s">
        <v>4152</v>
      </c>
    </row>
    <row r="1500" spans="1:4" ht="69" x14ac:dyDescent="0.3">
      <c r="A1500" s="202" t="s">
        <v>4154</v>
      </c>
      <c r="B1500" s="202" t="s">
        <v>4155</v>
      </c>
      <c r="C1500" s="201" t="s">
        <v>3673</v>
      </c>
      <c r="D1500" s="202" t="s">
        <v>4154</v>
      </c>
    </row>
    <row r="1501" spans="1:4" ht="96.6" x14ac:dyDescent="0.3">
      <c r="A1501" s="200" t="s">
        <v>4156</v>
      </c>
      <c r="B1501" s="200" t="s">
        <v>4157</v>
      </c>
      <c r="C1501" s="201" t="s">
        <v>3673</v>
      </c>
      <c r="D1501" s="200" t="s">
        <v>4156</v>
      </c>
    </row>
    <row r="1502" spans="1:4" ht="69" x14ac:dyDescent="0.3">
      <c r="A1502" s="202" t="s">
        <v>4158</v>
      </c>
      <c r="B1502" s="202" t="s">
        <v>4159</v>
      </c>
      <c r="C1502" s="201" t="s">
        <v>3673</v>
      </c>
      <c r="D1502" s="202" t="s">
        <v>4158</v>
      </c>
    </row>
    <row r="1503" spans="1:4" ht="96.6" x14ac:dyDescent="0.3">
      <c r="A1503" s="202" t="s">
        <v>4160</v>
      </c>
      <c r="B1503" s="202" t="s">
        <v>4161</v>
      </c>
      <c r="C1503" s="201" t="s">
        <v>3673</v>
      </c>
      <c r="D1503" s="202" t="s">
        <v>4160</v>
      </c>
    </row>
    <row r="1504" spans="1:4" ht="96.6" x14ac:dyDescent="0.3">
      <c r="A1504" s="202" t="s">
        <v>4160</v>
      </c>
      <c r="B1504" s="202" t="s">
        <v>4162</v>
      </c>
      <c r="C1504" s="201" t="s">
        <v>3673</v>
      </c>
      <c r="D1504" s="202" t="s">
        <v>4160</v>
      </c>
    </row>
    <row r="1505" spans="1:4" ht="69" x14ac:dyDescent="0.3">
      <c r="A1505" s="202" t="s">
        <v>4163</v>
      </c>
      <c r="B1505" s="202" t="s">
        <v>4164</v>
      </c>
      <c r="C1505" s="201" t="s">
        <v>3673</v>
      </c>
      <c r="D1505" s="202" t="s">
        <v>4163</v>
      </c>
    </row>
    <row r="1506" spans="1:4" ht="69" x14ac:dyDescent="0.3">
      <c r="A1506" s="202" t="s">
        <v>4165</v>
      </c>
      <c r="B1506" s="202" t="s">
        <v>4166</v>
      </c>
      <c r="C1506" s="201" t="s">
        <v>3673</v>
      </c>
      <c r="D1506" s="202" t="s">
        <v>4165</v>
      </c>
    </row>
    <row r="1507" spans="1:4" ht="55.2" x14ac:dyDescent="0.3">
      <c r="A1507" s="200" t="s">
        <v>4167</v>
      </c>
      <c r="B1507" s="200" t="s">
        <v>4168</v>
      </c>
      <c r="C1507" s="201" t="s">
        <v>3673</v>
      </c>
      <c r="D1507" s="200" t="s">
        <v>4167</v>
      </c>
    </row>
    <row r="1508" spans="1:4" ht="55.2" x14ac:dyDescent="0.3">
      <c r="A1508" s="200" t="s">
        <v>4169</v>
      </c>
      <c r="B1508" s="200" t="s">
        <v>4170</v>
      </c>
      <c r="C1508" s="201" t="s">
        <v>3673</v>
      </c>
      <c r="D1508" s="200" t="s">
        <v>4169</v>
      </c>
    </row>
    <row r="1509" spans="1:4" ht="55.2" x14ac:dyDescent="0.3">
      <c r="A1509" s="200" t="s">
        <v>4171</v>
      </c>
      <c r="B1509" s="200" t="s">
        <v>4172</v>
      </c>
      <c r="C1509" s="201" t="s">
        <v>3673</v>
      </c>
      <c r="D1509" s="200" t="s">
        <v>4171</v>
      </c>
    </row>
    <row r="1510" spans="1:4" ht="55.2" x14ac:dyDescent="0.3">
      <c r="A1510" s="202" t="s">
        <v>4173</v>
      </c>
      <c r="B1510" s="202" t="s">
        <v>4174</v>
      </c>
      <c r="C1510" s="201" t="s">
        <v>3673</v>
      </c>
      <c r="D1510" s="202" t="s">
        <v>4173</v>
      </c>
    </row>
    <row r="1511" spans="1:4" ht="55.2" x14ac:dyDescent="0.3">
      <c r="A1511" s="202" t="s">
        <v>4175</v>
      </c>
      <c r="B1511" s="202" t="s">
        <v>4176</v>
      </c>
      <c r="C1511" s="201" t="s">
        <v>3673</v>
      </c>
      <c r="D1511" s="202" t="s">
        <v>4175</v>
      </c>
    </row>
    <row r="1512" spans="1:4" ht="69" x14ac:dyDescent="0.3">
      <c r="A1512" s="202" t="s">
        <v>4177</v>
      </c>
      <c r="B1512" s="202" t="s">
        <v>4178</v>
      </c>
      <c r="C1512" s="201" t="s">
        <v>3673</v>
      </c>
      <c r="D1512" s="202" t="s">
        <v>4177</v>
      </c>
    </row>
    <row r="1513" spans="1:4" ht="55.2" x14ac:dyDescent="0.3">
      <c r="A1513" s="202" t="s">
        <v>4179</v>
      </c>
      <c r="B1513" s="202" t="s">
        <v>4180</v>
      </c>
      <c r="C1513" s="201" t="s">
        <v>3673</v>
      </c>
      <c r="D1513" s="202" t="s">
        <v>4179</v>
      </c>
    </row>
    <row r="1514" spans="1:4" ht="55.2" x14ac:dyDescent="0.3">
      <c r="A1514" s="202" t="s">
        <v>4181</v>
      </c>
      <c r="B1514" s="202" t="s">
        <v>4182</v>
      </c>
      <c r="C1514" s="201" t="s">
        <v>3673</v>
      </c>
      <c r="D1514" s="202" t="s">
        <v>4181</v>
      </c>
    </row>
    <row r="1515" spans="1:4" ht="55.2" x14ac:dyDescent="0.3">
      <c r="A1515" s="202" t="s">
        <v>4183</v>
      </c>
      <c r="B1515" s="202" t="s">
        <v>4184</v>
      </c>
      <c r="C1515" s="201" t="s">
        <v>3673</v>
      </c>
      <c r="D1515" s="202" t="s">
        <v>4183</v>
      </c>
    </row>
    <row r="1516" spans="1:4" ht="55.2" x14ac:dyDescent="0.3">
      <c r="A1516" s="202" t="s">
        <v>4185</v>
      </c>
      <c r="B1516" s="202" t="s">
        <v>4186</v>
      </c>
      <c r="C1516" s="201" t="s">
        <v>3673</v>
      </c>
      <c r="D1516" s="202" t="s">
        <v>4185</v>
      </c>
    </row>
    <row r="1517" spans="1:4" ht="69" x14ac:dyDescent="0.3">
      <c r="A1517" s="202" t="s">
        <v>4187</v>
      </c>
      <c r="B1517" s="202" t="s">
        <v>4188</v>
      </c>
      <c r="C1517" s="201" t="s">
        <v>3673</v>
      </c>
      <c r="D1517" s="202" t="s">
        <v>4187</v>
      </c>
    </row>
    <row r="1518" spans="1:4" ht="55.2" x14ac:dyDescent="0.3">
      <c r="A1518" s="200" t="s">
        <v>4189</v>
      </c>
      <c r="B1518" s="200" t="s">
        <v>4190</v>
      </c>
      <c r="C1518" s="201" t="s">
        <v>3673</v>
      </c>
      <c r="D1518" s="200" t="s">
        <v>4189</v>
      </c>
    </row>
    <row r="1519" spans="1:4" ht="110.4" x14ac:dyDescent="0.3">
      <c r="A1519" s="202" t="s">
        <v>4191</v>
      </c>
      <c r="B1519" s="202" t="s">
        <v>4192</v>
      </c>
      <c r="C1519" s="201" t="s">
        <v>3673</v>
      </c>
      <c r="D1519" s="202" t="s">
        <v>4191</v>
      </c>
    </row>
    <row r="1520" spans="1:4" ht="69" x14ac:dyDescent="0.3">
      <c r="A1520" s="202" t="s">
        <v>4193</v>
      </c>
      <c r="B1520" s="202" t="s">
        <v>4194</v>
      </c>
      <c r="C1520" s="201" t="s">
        <v>3673</v>
      </c>
      <c r="D1520" s="202" t="s">
        <v>4193</v>
      </c>
    </row>
    <row r="1521" spans="1:4" ht="55.2" x14ac:dyDescent="0.3">
      <c r="A1521" s="200" t="s">
        <v>4195</v>
      </c>
      <c r="B1521" s="200" t="s">
        <v>4196</v>
      </c>
      <c r="C1521" s="201" t="s">
        <v>3673</v>
      </c>
      <c r="D1521" s="200" t="s">
        <v>4195</v>
      </c>
    </row>
    <row r="1522" spans="1:4" ht="82.8" x14ac:dyDescent="0.3">
      <c r="A1522" s="200" t="s">
        <v>4197</v>
      </c>
      <c r="B1522" s="200" t="s">
        <v>4198</v>
      </c>
      <c r="C1522" s="201" t="s">
        <v>3673</v>
      </c>
      <c r="D1522" s="200" t="s">
        <v>4197</v>
      </c>
    </row>
    <row r="1523" spans="1:4" ht="69" x14ac:dyDescent="0.3">
      <c r="A1523" s="202" t="s">
        <v>4199</v>
      </c>
      <c r="B1523" s="202" t="s">
        <v>4200</v>
      </c>
      <c r="C1523" s="201" t="s">
        <v>3673</v>
      </c>
      <c r="D1523" s="202" t="s">
        <v>4199</v>
      </c>
    </row>
    <row r="1524" spans="1:4" ht="110.4" x14ac:dyDescent="0.3">
      <c r="A1524" s="202" t="s">
        <v>4201</v>
      </c>
      <c r="B1524" s="202" t="s">
        <v>4202</v>
      </c>
      <c r="C1524" s="201" t="s">
        <v>3673</v>
      </c>
      <c r="D1524" s="202" t="s">
        <v>4201</v>
      </c>
    </row>
    <row r="1525" spans="1:4" ht="82.8" x14ac:dyDescent="0.3">
      <c r="A1525" s="202" t="s">
        <v>4203</v>
      </c>
      <c r="B1525" s="202" t="s">
        <v>4204</v>
      </c>
      <c r="C1525" s="201" t="s">
        <v>3673</v>
      </c>
      <c r="D1525" s="202" t="s">
        <v>4203</v>
      </c>
    </row>
    <row r="1526" spans="1:4" ht="69" x14ac:dyDescent="0.3">
      <c r="A1526" s="202" t="s">
        <v>4205</v>
      </c>
      <c r="B1526" s="202" t="s">
        <v>4206</v>
      </c>
      <c r="C1526" s="201" t="s">
        <v>3673</v>
      </c>
      <c r="D1526" s="202" t="s">
        <v>4205</v>
      </c>
    </row>
    <row r="1527" spans="1:4" ht="82.8" x14ac:dyDescent="0.3">
      <c r="A1527" s="202" t="s">
        <v>4207</v>
      </c>
      <c r="B1527" s="202" t="s">
        <v>4208</v>
      </c>
      <c r="C1527" s="201" t="s">
        <v>3673</v>
      </c>
      <c r="D1527" s="202" t="s">
        <v>4207</v>
      </c>
    </row>
    <row r="1528" spans="1:4" ht="82.8" x14ac:dyDescent="0.3">
      <c r="A1528" s="202" t="s">
        <v>4209</v>
      </c>
      <c r="B1528" s="202" t="s">
        <v>4210</v>
      </c>
      <c r="C1528" s="201" t="s">
        <v>3673</v>
      </c>
      <c r="D1528" s="202" t="s">
        <v>4209</v>
      </c>
    </row>
    <row r="1529" spans="1:4" ht="69" x14ac:dyDescent="0.3">
      <c r="A1529" s="200" t="s">
        <v>4211</v>
      </c>
      <c r="B1529" s="200" t="s">
        <v>4212</v>
      </c>
      <c r="C1529" s="201" t="s">
        <v>3673</v>
      </c>
      <c r="D1529" s="200" t="s">
        <v>4211</v>
      </c>
    </row>
    <row r="1530" spans="1:4" ht="69" x14ac:dyDescent="0.3">
      <c r="A1530" s="202" t="s">
        <v>4213</v>
      </c>
      <c r="B1530" s="202" t="s">
        <v>4214</v>
      </c>
      <c r="C1530" s="201" t="s">
        <v>3673</v>
      </c>
      <c r="D1530" s="202" t="s">
        <v>4213</v>
      </c>
    </row>
    <row r="1531" spans="1:4" ht="151.80000000000001" x14ac:dyDescent="0.3">
      <c r="A1531" s="202" t="s">
        <v>4215</v>
      </c>
      <c r="B1531" s="202" t="s">
        <v>4216</v>
      </c>
      <c r="C1531" s="201" t="s">
        <v>3673</v>
      </c>
      <c r="D1531" s="202" t="s">
        <v>4215</v>
      </c>
    </row>
    <row r="1532" spans="1:4" ht="82.8" x14ac:dyDescent="0.3">
      <c r="A1532" s="200" t="s">
        <v>4217</v>
      </c>
      <c r="B1532" s="200" t="s">
        <v>4218</v>
      </c>
      <c r="C1532" s="201" t="s">
        <v>3673</v>
      </c>
      <c r="D1532" s="200" t="s">
        <v>4217</v>
      </c>
    </row>
    <row r="1533" spans="1:4" ht="96.6" x14ac:dyDescent="0.3">
      <c r="A1533" s="202" t="s">
        <v>4219</v>
      </c>
      <c r="B1533" s="202" t="s">
        <v>4220</v>
      </c>
      <c r="C1533" s="201" t="s">
        <v>3673</v>
      </c>
      <c r="D1533" s="202" t="s">
        <v>4219</v>
      </c>
    </row>
    <row r="1534" spans="1:4" ht="69" x14ac:dyDescent="0.3">
      <c r="A1534" s="202" t="s">
        <v>4221</v>
      </c>
      <c r="B1534" s="202" t="s">
        <v>4222</v>
      </c>
      <c r="C1534" s="201" t="s">
        <v>3673</v>
      </c>
      <c r="D1534" s="202" t="s">
        <v>4221</v>
      </c>
    </row>
    <row r="1535" spans="1:4" ht="55.2" x14ac:dyDescent="0.3">
      <c r="A1535" s="200" t="s">
        <v>4223</v>
      </c>
      <c r="B1535" s="200" t="s">
        <v>4224</v>
      </c>
      <c r="C1535" s="201" t="s">
        <v>3673</v>
      </c>
      <c r="D1535" s="200" t="s">
        <v>4223</v>
      </c>
    </row>
    <row r="1536" spans="1:4" ht="69" x14ac:dyDescent="0.3">
      <c r="A1536" s="202" t="s">
        <v>4225</v>
      </c>
      <c r="B1536" s="202" t="s">
        <v>4226</v>
      </c>
      <c r="C1536" s="201" t="s">
        <v>3673</v>
      </c>
      <c r="D1536" s="202" t="s">
        <v>4225</v>
      </c>
    </row>
    <row r="1537" spans="1:4" ht="55.2" x14ac:dyDescent="0.3">
      <c r="A1537" s="202" t="s">
        <v>4227</v>
      </c>
      <c r="B1537" s="202" t="s">
        <v>4228</v>
      </c>
      <c r="C1537" s="201" t="s">
        <v>3673</v>
      </c>
      <c r="D1537" s="202" t="s">
        <v>4227</v>
      </c>
    </row>
    <row r="1538" spans="1:4" ht="124.2" x14ac:dyDescent="0.3">
      <c r="A1538" s="202" t="s">
        <v>4229</v>
      </c>
      <c r="B1538" s="202" t="s">
        <v>4230</v>
      </c>
      <c r="C1538" s="201" t="s">
        <v>3673</v>
      </c>
      <c r="D1538" s="202" t="s">
        <v>4229</v>
      </c>
    </row>
    <row r="1539" spans="1:4" ht="69" x14ac:dyDescent="0.3">
      <c r="A1539" s="202" t="s">
        <v>4231</v>
      </c>
      <c r="B1539" s="202" t="s">
        <v>4232</v>
      </c>
      <c r="C1539" s="201" t="s">
        <v>3673</v>
      </c>
      <c r="D1539" s="202" t="s">
        <v>4231</v>
      </c>
    </row>
    <row r="1540" spans="1:4" ht="55.2" x14ac:dyDescent="0.3">
      <c r="A1540" s="200" t="s">
        <v>4233</v>
      </c>
      <c r="B1540" s="200" t="s">
        <v>4234</v>
      </c>
      <c r="C1540" s="201" t="s">
        <v>3673</v>
      </c>
      <c r="D1540" s="200" t="s">
        <v>4233</v>
      </c>
    </row>
    <row r="1541" spans="1:4" ht="41.4" x14ac:dyDescent="0.3">
      <c r="A1541" s="200" t="s">
        <v>4235</v>
      </c>
      <c r="B1541" s="200" t="s">
        <v>4236</v>
      </c>
      <c r="C1541" s="201" t="s">
        <v>3673</v>
      </c>
      <c r="D1541" s="200" t="s">
        <v>4235</v>
      </c>
    </row>
    <row r="1542" spans="1:4" ht="69" x14ac:dyDescent="0.3">
      <c r="A1542" s="200" t="s">
        <v>4237</v>
      </c>
      <c r="B1542" s="200" t="s">
        <v>4238</v>
      </c>
      <c r="C1542" s="201" t="s">
        <v>3673</v>
      </c>
      <c r="D1542" s="200" t="s">
        <v>4237</v>
      </c>
    </row>
    <row r="1543" spans="1:4" ht="110.4" x14ac:dyDescent="0.3">
      <c r="A1543" s="200" t="s">
        <v>4239</v>
      </c>
      <c r="B1543" s="200" t="s">
        <v>4240</v>
      </c>
      <c r="C1543" s="201" t="s">
        <v>3673</v>
      </c>
      <c r="D1543" s="200" t="s">
        <v>4239</v>
      </c>
    </row>
    <row r="1544" spans="1:4" ht="138" x14ac:dyDescent="0.3">
      <c r="A1544" s="200" t="s">
        <v>4241</v>
      </c>
      <c r="B1544" s="200" t="s">
        <v>4242</v>
      </c>
      <c r="C1544" s="201" t="s">
        <v>3673</v>
      </c>
      <c r="D1544" s="200" t="s">
        <v>4241</v>
      </c>
    </row>
    <row r="1545" spans="1:4" ht="41.4" x14ac:dyDescent="0.3">
      <c r="A1545" s="202" t="s">
        <v>4243</v>
      </c>
      <c r="B1545" s="202" t="s">
        <v>4244</v>
      </c>
      <c r="C1545" s="201" t="s">
        <v>3673</v>
      </c>
      <c r="D1545" s="202" t="s">
        <v>4243</v>
      </c>
    </row>
    <row r="1546" spans="1:4" ht="69" x14ac:dyDescent="0.3">
      <c r="A1546" s="202" t="s">
        <v>4245</v>
      </c>
      <c r="B1546" s="202" t="s">
        <v>4246</v>
      </c>
      <c r="C1546" s="201" t="s">
        <v>3673</v>
      </c>
      <c r="D1546" s="202" t="s">
        <v>4245</v>
      </c>
    </row>
    <row r="1547" spans="1:4" ht="27.6" x14ac:dyDescent="0.3">
      <c r="A1547" s="202" t="s">
        <v>4247</v>
      </c>
      <c r="B1547" s="202" t="s">
        <v>4248</v>
      </c>
      <c r="C1547" s="201" t="s">
        <v>3673</v>
      </c>
      <c r="D1547" s="202" t="s">
        <v>4247</v>
      </c>
    </row>
    <row r="1548" spans="1:4" ht="162" x14ac:dyDescent="0.3">
      <c r="A1548" s="205" t="s">
        <v>4249</v>
      </c>
      <c r="B1548" s="205" t="s">
        <v>4250</v>
      </c>
      <c r="C1548" s="201" t="s">
        <v>3673</v>
      </c>
      <c r="D1548" s="205" t="s">
        <v>4249</v>
      </c>
    </row>
    <row r="1549" spans="1:4" ht="69" x14ac:dyDescent="0.3">
      <c r="A1549" s="200" t="s">
        <v>4251</v>
      </c>
      <c r="B1549" s="203" t="s">
        <v>4252</v>
      </c>
      <c r="C1549" s="201" t="s">
        <v>3673</v>
      </c>
      <c r="D1549" s="200" t="s">
        <v>4251</v>
      </c>
    </row>
    <row r="1550" spans="1:4" ht="41.4" x14ac:dyDescent="0.3">
      <c r="A1550" s="200" t="s">
        <v>4253</v>
      </c>
      <c r="B1550" s="200" t="s">
        <v>4254</v>
      </c>
      <c r="C1550" s="201" t="s">
        <v>4255</v>
      </c>
      <c r="D1550" s="200" t="s">
        <v>4253</v>
      </c>
    </row>
    <row r="1551" spans="1:4" ht="55.2" x14ac:dyDescent="0.3">
      <c r="A1551" s="200" t="s">
        <v>4256</v>
      </c>
      <c r="B1551" s="200">
        <v>49</v>
      </c>
      <c r="C1551" s="201" t="s">
        <v>4255</v>
      </c>
      <c r="D1551" s="200" t="s">
        <v>4256</v>
      </c>
    </row>
    <row r="1552" spans="1:4" ht="96.6" x14ac:dyDescent="0.3">
      <c r="A1552" s="202" t="s">
        <v>4257</v>
      </c>
      <c r="B1552" s="202" t="s">
        <v>4258</v>
      </c>
      <c r="C1552" s="201" t="s">
        <v>4255</v>
      </c>
      <c r="D1552" s="202" t="s">
        <v>4257</v>
      </c>
    </row>
    <row r="1553" spans="1:4" ht="96.6" x14ac:dyDescent="0.3">
      <c r="A1553" s="202" t="s">
        <v>4257</v>
      </c>
      <c r="B1553" s="202" t="s">
        <v>4259</v>
      </c>
      <c r="C1553" s="201" t="s">
        <v>4255</v>
      </c>
      <c r="D1553" s="202" t="s">
        <v>4257</v>
      </c>
    </row>
    <row r="1554" spans="1:4" ht="69" x14ac:dyDescent="0.3">
      <c r="A1554" s="202" t="s">
        <v>4260</v>
      </c>
      <c r="B1554" s="202" t="s">
        <v>4261</v>
      </c>
      <c r="C1554" s="201" t="s">
        <v>4255</v>
      </c>
      <c r="D1554" s="202" t="s">
        <v>4260</v>
      </c>
    </row>
    <row r="1555" spans="1:4" ht="82.8" x14ac:dyDescent="0.3">
      <c r="A1555" s="202" t="s">
        <v>4262</v>
      </c>
      <c r="B1555" s="202" t="s">
        <v>4263</v>
      </c>
      <c r="C1555" s="201" t="s">
        <v>4255</v>
      </c>
      <c r="D1555" s="202" t="s">
        <v>4262</v>
      </c>
    </row>
    <row r="1556" spans="1:4" ht="96.6" x14ac:dyDescent="0.3">
      <c r="A1556" s="200" t="s">
        <v>4264</v>
      </c>
      <c r="B1556" s="200" t="s">
        <v>4265</v>
      </c>
      <c r="C1556" s="201" t="s">
        <v>4255</v>
      </c>
      <c r="D1556" s="200" t="s">
        <v>4264</v>
      </c>
    </row>
    <row r="1557" spans="1:4" ht="69" x14ac:dyDescent="0.3">
      <c r="A1557" s="200" t="s">
        <v>4266</v>
      </c>
      <c r="B1557" s="200" t="s">
        <v>4267</v>
      </c>
      <c r="C1557" s="201" t="s">
        <v>4255</v>
      </c>
      <c r="D1557" s="200" t="s">
        <v>4266</v>
      </c>
    </row>
    <row r="1558" spans="1:4" ht="55.2" x14ac:dyDescent="0.3">
      <c r="A1558" s="202" t="s">
        <v>4268</v>
      </c>
      <c r="B1558" s="202" t="s">
        <v>4269</v>
      </c>
      <c r="C1558" s="201" t="s">
        <v>4255</v>
      </c>
      <c r="D1558" s="202" t="s">
        <v>4268</v>
      </c>
    </row>
    <row r="1559" spans="1:4" ht="55.2" x14ac:dyDescent="0.3">
      <c r="A1559" s="202" t="s">
        <v>4268</v>
      </c>
      <c r="B1559" s="202" t="s">
        <v>4270</v>
      </c>
      <c r="C1559" s="201" t="s">
        <v>4255</v>
      </c>
      <c r="D1559" s="202" t="s">
        <v>4268</v>
      </c>
    </row>
    <row r="1560" spans="1:4" ht="27.6" x14ac:dyDescent="0.3">
      <c r="A1560" s="200" t="s">
        <v>4271</v>
      </c>
      <c r="B1560" s="200" t="s">
        <v>4272</v>
      </c>
      <c r="C1560" s="201" t="s">
        <v>4255</v>
      </c>
      <c r="D1560" s="200" t="s">
        <v>4271</v>
      </c>
    </row>
    <row r="1561" spans="1:4" ht="27.6" x14ac:dyDescent="0.3">
      <c r="A1561" s="200" t="s">
        <v>4273</v>
      </c>
      <c r="B1561" s="200" t="s">
        <v>4274</v>
      </c>
      <c r="C1561" s="201" t="s">
        <v>4255</v>
      </c>
      <c r="D1561" s="200" t="s">
        <v>4273</v>
      </c>
    </row>
    <row r="1562" spans="1:4" ht="55.2" x14ac:dyDescent="0.3">
      <c r="A1562" s="202" t="s">
        <v>4275</v>
      </c>
      <c r="B1562" s="202" t="s">
        <v>4276</v>
      </c>
      <c r="C1562" s="201" t="s">
        <v>4255</v>
      </c>
      <c r="D1562" s="202" t="s">
        <v>4275</v>
      </c>
    </row>
    <row r="1563" spans="1:4" ht="110.4" x14ac:dyDescent="0.3">
      <c r="A1563" s="202" t="s">
        <v>4277</v>
      </c>
      <c r="B1563" s="202" t="s">
        <v>4278</v>
      </c>
      <c r="C1563" s="201" t="s">
        <v>4255</v>
      </c>
      <c r="D1563" s="202" t="s">
        <v>4277</v>
      </c>
    </row>
    <row r="1564" spans="1:4" ht="69" x14ac:dyDescent="0.3">
      <c r="A1564" s="202" t="s">
        <v>4279</v>
      </c>
      <c r="B1564" s="202" t="s">
        <v>4280</v>
      </c>
      <c r="C1564" s="201" t="s">
        <v>4255</v>
      </c>
      <c r="D1564" s="202" t="s">
        <v>4279</v>
      </c>
    </row>
    <row r="1565" spans="1:4" ht="82.8" x14ac:dyDescent="0.3">
      <c r="A1565" s="202" t="s">
        <v>4281</v>
      </c>
      <c r="B1565" s="202" t="s">
        <v>4282</v>
      </c>
      <c r="C1565" s="201" t="s">
        <v>4255</v>
      </c>
      <c r="D1565" s="202" t="s">
        <v>4281</v>
      </c>
    </row>
    <row r="1566" spans="1:4" ht="96.6" x14ac:dyDescent="0.3">
      <c r="A1566" s="202" t="s">
        <v>4283</v>
      </c>
      <c r="B1566" s="202" t="s">
        <v>4284</v>
      </c>
      <c r="C1566" s="201" t="s">
        <v>4255</v>
      </c>
      <c r="D1566" s="202" t="s">
        <v>4283</v>
      </c>
    </row>
    <row r="1567" spans="1:4" ht="96.6" x14ac:dyDescent="0.3">
      <c r="A1567" s="202" t="s">
        <v>4285</v>
      </c>
      <c r="B1567" s="202" t="s">
        <v>4286</v>
      </c>
      <c r="C1567" s="201" t="s">
        <v>4255</v>
      </c>
      <c r="D1567" s="202" t="s">
        <v>4285</v>
      </c>
    </row>
    <row r="1568" spans="1:4" ht="82.8" x14ac:dyDescent="0.3">
      <c r="A1568" s="202" t="s">
        <v>4287</v>
      </c>
      <c r="B1568" s="202" t="s">
        <v>4288</v>
      </c>
      <c r="C1568" s="201" t="s">
        <v>4255</v>
      </c>
      <c r="D1568" s="202" t="s">
        <v>4287</v>
      </c>
    </row>
    <row r="1569" spans="1:4" ht="82.8" x14ac:dyDescent="0.3">
      <c r="A1569" s="202" t="s">
        <v>4289</v>
      </c>
      <c r="B1569" s="202" t="s">
        <v>4290</v>
      </c>
      <c r="C1569" s="201" t="s">
        <v>4255</v>
      </c>
      <c r="D1569" s="202" t="s">
        <v>4289</v>
      </c>
    </row>
    <row r="1570" spans="1:4" ht="82.8" x14ac:dyDescent="0.3">
      <c r="A1570" s="202" t="s">
        <v>4291</v>
      </c>
      <c r="B1570" s="202" t="s">
        <v>4292</v>
      </c>
      <c r="C1570" s="201" t="s">
        <v>4255</v>
      </c>
      <c r="D1570" s="202" t="s">
        <v>4291</v>
      </c>
    </row>
    <row r="1571" spans="1:4" ht="27.6" x14ac:dyDescent="0.3">
      <c r="A1571" s="200" t="s">
        <v>4293</v>
      </c>
      <c r="B1571" s="200" t="s">
        <v>4294</v>
      </c>
      <c r="C1571" s="201" t="s">
        <v>4255</v>
      </c>
      <c r="D1571" s="200" t="s">
        <v>4293</v>
      </c>
    </row>
    <row r="1572" spans="1:4" ht="124.2" x14ac:dyDescent="0.3">
      <c r="A1572" s="200" t="s">
        <v>4295</v>
      </c>
      <c r="B1572" s="200" t="s">
        <v>4296</v>
      </c>
      <c r="C1572" s="201" t="s">
        <v>4255</v>
      </c>
      <c r="D1572" s="200" t="s">
        <v>4295</v>
      </c>
    </row>
    <row r="1573" spans="1:4" ht="69" x14ac:dyDescent="0.3">
      <c r="A1573" s="202" t="s">
        <v>4297</v>
      </c>
      <c r="B1573" s="202" t="s">
        <v>4298</v>
      </c>
      <c r="C1573" s="201" t="s">
        <v>4255</v>
      </c>
      <c r="D1573" s="202" t="s">
        <v>4297</v>
      </c>
    </row>
    <row r="1574" spans="1:4" ht="82.8" x14ac:dyDescent="0.3">
      <c r="A1574" s="202" t="s">
        <v>4299</v>
      </c>
      <c r="B1574" s="202" t="s">
        <v>4300</v>
      </c>
      <c r="C1574" s="201" t="s">
        <v>4255</v>
      </c>
      <c r="D1574" s="202" t="s">
        <v>4299</v>
      </c>
    </row>
    <row r="1575" spans="1:4" ht="165.6" x14ac:dyDescent="0.3">
      <c r="A1575" s="202" t="s">
        <v>4301</v>
      </c>
      <c r="B1575" s="202" t="s">
        <v>4302</v>
      </c>
      <c r="C1575" s="201" t="s">
        <v>4255</v>
      </c>
      <c r="D1575" s="202" t="s">
        <v>4301</v>
      </c>
    </row>
    <row r="1576" spans="1:4" ht="69" x14ac:dyDescent="0.3">
      <c r="A1576" s="202" t="s">
        <v>4303</v>
      </c>
      <c r="B1576" s="202" t="s">
        <v>4304</v>
      </c>
      <c r="C1576" s="201" t="s">
        <v>4255</v>
      </c>
      <c r="D1576" s="202" t="s">
        <v>4303</v>
      </c>
    </row>
    <row r="1577" spans="1:4" ht="69" x14ac:dyDescent="0.3">
      <c r="A1577" s="202" t="s">
        <v>4305</v>
      </c>
      <c r="B1577" s="202" t="s">
        <v>4306</v>
      </c>
      <c r="C1577" s="201" t="s">
        <v>4255</v>
      </c>
      <c r="D1577" s="202" t="s">
        <v>4305</v>
      </c>
    </row>
    <row r="1578" spans="1:4" ht="55.2" x14ac:dyDescent="0.3">
      <c r="A1578" s="202" t="s">
        <v>4307</v>
      </c>
      <c r="B1578" s="202" t="s">
        <v>4308</v>
      </c>
      <c r="C1578" s="201" t="s">
        <v>4255</v>
      </c>
      <c r="D1578" s="202" t="s">
        <v>4307</v>
      </c>
    </row>
    <row r="1579" spans="1:4" ht="179.4" x14ac:dyDescent="0.3">
      <c r="A1579" s="202" t="s">
        <v>4309</v>
      </c>
      <c r="B1579" s="202" t="s">
        <v>4310</v>
      </c>
      <c r="C1579" s="201" t="s">
        <v>4255</v>
      </c>
      <c r="D1579" s="202" t="s">
        <v>4309</v>
      </c>
    </row>
    <row r="1580" spans="1:4" ht="55.2" x14ac:dyDescent="0.3">
      <c r="A1580" s="202" t="s">
        <v>4311</v>
      </c>
      <c r="B1580" s="202" t="s">
        <v>4312</v>
      </c>
      <c r="C1580" s="201" t="s">
        <v>4255</v>
      </c>
      <c r="D1580" s="202" t="s">
        <v>4311</v>
      </c>
    </row>
    <row r="1581" spans="1:4" ht="55.2" x14ac:dyDescent="0.3">
      <c r="A1581" s="202" t="s">
        <v>4313</v>
      </c>
      <c r="B1581" s="202" t="s">
        <v>4314</v>
      </c>
      <c r="C1581" s="201" t="s">
        <v>4255</v>
      </c>
      <c r="D1581" s="202" t="s">
        <v>4313</v>
      </c>
    </row>
    <row r="1582" spans="1:4" ht="69" x14ac:dyDescent="0.3">
      <c r="A1582" s="202" t="s">
        <v>4315</v>
      </c>
      <c r="B1582" s="202" t="s">
        <v>4316</v>
      </c>
      <c r="C1582" s="201" t="s">
        <v>4255</v>
      </c>
      <c r="D1582" s="202" t="s">
        <v>4315</v>
      </c>
    </row>
    <row r="1583" spans="1:4" ht="179.4" x14ac:dyDescent="0.3">
      <c r="A1583" s="202" t="s">
        <v>4317</v>
      </c>
      <c r="B1583" s="202" t="s">
        <v>4318</v>
      </c>
      <c r="C1583" s="201" t="s">
        <v>4255</v>
      </c>
      <c r="D1583" s="202" t="s">
        <v>4317</v>
      </c>
    </row>
    <row r="1584" spans="1:4" ht="179.4" x14ac:dyDescent="0.3">
      <c r="A1584" s="202" t="s">
        <v>4319</v>
      </c>
      <c r="B1584" s="202" t="s">
        <v>4320</v>
      </c>
      <c r="C1584" s="201" t="s">
        <v>4255</v>
      </c>
      <c r="D1584" s="202" t="s">
        <v>4319</v>
      </c>
    </row>
    <row r="1585" spans="1:4" ht="82.8" x14ac:dyDescent="0.3">
      <c r="A1585" s="200" t="s">
        <v>4321</v>
      </c>
      <c r="B1585" s="200" t="s">
        <v>4322</v>
      </c>
      <c r="C1585" s="201" t="s">
        <v>4255</v>
      </c>
      <c r="D1585" s="200" t="s">
        <v>4321</v>
      </c>
    </row>
    <row r="1586" spans="1:4" ht="69" x14ac:dyDescent="0.3">
      <c r="A1586" s="200" t="s">
        <v>4323</v>
      </c>
      <c r="B1586" s="200" t="s">
        <v>4324</v>
      </c>
      <c r="C1586" s="201" t="s">
        <v>4255</v>
      </c>
      <c r="D1586" s="200" t="s">
        <v>4323</v>
      </c>
    </row>
    <row r="1587" spans="1:4" ht="55.2" x14ac:dyDescent="0.3">
      <c r="A1587" s="202" t="s">
        <v>4325</v>
      </c>
      <c r="B1587" s="202" t="s">
        <v>4326</v>
      </c>
      <c r="C1587" s="201" t="s">
        <v>4255</v>
      </c>
      <c r="D1587" s="202" t="s">
        <v>4325</v>
      </c>
    </row>
    <row r="1588" spans="1:4" ht="41.4" x14ac:dyDescent="0.3">
      <c r="A1588" s="202" t="s">
        <v>4327</v>
      </c>
      <c r="B1588" s="202" t="s">
        <v>4328</v>
      </c>
      <c r="C1588" s="201" t="s">
        <v>4255</v>
      </c>
      <c r="D1588" s="202" t="s">
        <v>4327</v>
      </c>
    </row>
    <row r="1589" spans="1:4" ht="55.2" x14ac:dyDescent="0.3">
      <c r="A1589" s="202" t="s">
        <v>4329</v>
      </c>
      <c r="B1589" s="202" t="s">
        <v>4330</v>
      </c>
      <c r="C1589" s="201" t="s">
        <v>4255</v>
      </c>
      <c r="D1589" s="202" t="s">
        <v>4329</v>
      </c>
    </row>
    <row r="1590" spans="1:4" ht="55.2" x14ac:dyDescent="0.3">
      <c r="A1590" s="200" t="s">
        <v>4331</v>
      </c>
      <c r="B1590" s="200" t="s">
        <v>4332</v>
      </c>
      <c r="C1590" s="201" t="s">
        <v>4255</v>
      </c>
      <c r="D1590" s="200" t="s">
        <v>4331</v>
      </c>
    </row>
    <row r="1591" spans="1:4" ht="41.4" x14ac:dyDescent="0.3">
      <c r="A1591" s="206" t="s">
        <v>4333</v>
      </c>
      <c r="B1591" s="207" t="s">
        <v>4334</v>
      </c>
      <c r="C1591" s="201" t="s">
        <v>4255</v>
      </c>
      <c r="D1591" s="206" t="s">
        <v>4333</v>
      </c>
    </row>
    <row r="1592" spans="1:4" ht="27.6" x14ac:dyDescent="0.3">
      <c r="A1592" s="200" t="s">
        <v>4335</v>
      </c>
      <c r="B1592" s="203" t="s">
        <v>4336</v>
      </c>
      <c r="C1592" s="201" t="s">
        <v>4255</v>
      </c>
      <c r="D1592" s="200" t="s">
        <v>4335</v>
      </c>
    </row>
    <row r="1593" spans="1:4" ht="41.4" x14ac:dyDescent="0.3">
      <c r="A1593" s="200" t="s">
        <v>4337</v>
      </c>
      <c r="B1593" s="200" t="s">
        <v>4338</v>
      </c>
      <c r="C1593" s="201" t="s">
        <v>4255</v>
      </c>
      <c r="D1593" s="200" t="s">
        <v>4337</v>
      </c>
    </row>
    <row r="1594" spans="1:4" ht="27.6" x14ac:dyDescent="0.3">
      <c r="A1594" s="200" t="s">
        <v>4339</v>
      </c>
      <c r="B1594" s="200">
        <v>50</v>
      </c>
      <c r="C1594" s="201" t="s">
        <v>4255</v>
      </c>
      <c r="D1594" s="200" t="s">
        <v>4339</v>
      </c>
    </row>
    <row r="1595" spans="1:4" ht="55.2" x14ac:dyDescent="0.3">
      <c r="A1595" s="202" t="s">
        <v>4340</v>
      </c>
      <c r="B1595" s="202" t="s">
        <v>4341</v>
      </c>
      <c r="C1595" s="201" t="s">
        <v>4255</v>
      </c>
      <c r="D1595" s="202" t="s">
        <v>4340</v>
      </c>
    </row>
    <row r="1596" spans="1:4" ht="55.2" x14ac:dyDescent="0.3">
      <c r="A1596" s="202" t="s">
        <v>4340</v>
      </c>
      <c r="B1596" s="202" t="s">
        <v>4342</v>
      </c>
      <c r="C1596" s="201" t="s">
        <v>4255</v>
      </c>
      <c r="D1596" s="202" t="s">
        <v>4340</v>
      </c>
    </row>
    <row r="1597" spans="1:4" ht="41.4" x14ac:dyDescent="0.3">
      <c r="A1597" s="202" t="s">
        <v>4343</v>
      </c>
      <c r="B1597" s="202" t="s">
        <v>4344</v>
      </c>
      <c r="C1597" s="201" t="s">
        <v>4255</v>
      </c>
      <c r="D1597" s="202" t="s">
        <v>4343</v>
      </c>
    </row>
    <row r="1598" spans="1:4" ht="82.8" x14ac:dyDescent="0.3">
      <c r="A1598" s="202" t="s">
        <v>4345</v>
      </c>
      <c r="B1598" s="202" t="s">
        <v>4346</v>
      </c>
      <c r="C1598" s="201" t="s">
        <v>4255</v>
      </c>
      <c r="D1598" s="202" t="s">
        <v>4345</v>
      </c>
    </row>
    <row r="1599" spans="1:4" ht="82.8" x14ac:dyDescent="0.3">
      <c r="A1599" s="202" t="s">
        <v>4347</v>
      </c>
      <c r="B1599" s="202" t="s">
        <v>4348</v>
      </c>
      <c r="C1599" s="201" t="s">
        <v>4255</v>
      </c>
      <c r="D1599" s="202" t="s">
        <v>4347</v>
      </c>
    </row>
    <row r="1600" spans="1:4" ht="41.4" x14ac:dyDescent="0.3">
      <c r="A1600" s="202" t="s">
        <v>4349</v>
      </c>
      <c r="B1600" s="202" t="s">
        <v>4350</v>
      </c>
      <c r="C1600" s="201" t="s">
        <v>4255</v>
      </c>
      <c r="D1600" s="202" t="s">
        <v>4349</v>
      </c>
    </row>
    <row r="1601" spans="1:4" ht="82.8" x14ac:dyDescent="0.3">
      <c r="A1601" s="202" t="s">
        <v>4351</v>
      </c>
      <c r="B1601" s="202" t="s">
        <v>4352</v>
      </c>
      <c r="C1601" s="201" t="s">
        <v>4255</v>
      </c>
      <c r="D1601" s="202" t="s">
        <v>4351</v>
      </c>
    </row>
    <row r="1602" spans="1:4" ht="82.8" x14ac:dyDescent="0.3">
      <c r="A1602" s="202" t="s">
        <v>4353</v>
      </c>
      <c r="B1602" s="202" t="s">
        <v>4354</v>
      </c>
      <c r="C1602" s="201" t="s">
        <v>4255</v>
      </c>
      <c r="D1602" s="202" t="s">
        <v>4353</v>
      </c>
    </row>
    <row r="1603" spans="1:4" ht="82.8" x14ac:dyDescent="0.3">
      <c r="A1603" s="202" t="s">
        <v>4355</v>
      </c>
      <c r="B1603" s="202" t="s">
        <v>4356</v>
      </c>
      <c r="C1603" s="201" t="s">
        <v>4255</v>
      </c>
      <c r="D1603" s="202" t="s">
        <v>4355</v>
      </c>
    </row>
    <row r="1604" spans="1:4" ht="69" x14ac:dyDescent="0.3">
      <c r="A1604" s="202" t="s">
        <v>4357</v>
      </c>
      <c r="B1604" s="202" t="s">
        <v>4358</v>
      </c>
      <c r="C1604" s="201" t="s">
        <v>4255</v>
      </c>
      <c r="D1604" s="202" t="s">
        <v>4357</v>
      </c>
    </row>
    <row r="1605" spans="1:4" ht="55.2" x14ac:dyDescent="0.3">
      <c r="A1605" s="200" t="s">
        <v>4359</v>
      </c>
      <c r="B1605" s="200" t="s">
        <v>4360</v>
      </c>
      <c r="C1605" s="201" t="s">
        <v>4255</v>
      </c>
      <c r="D1605" s="200" t="s">
        <v>4359</v>
      </c>
    </row>
    <row r="1606" spans="1:4" ht="41.4" x14ac:dyDescent="0.3">
      <c r="A1606" s="200" t="s">
        <v>4361</v>
      </c>
      <c r="B1606" s="200" t="s">
        <v>4362</v>
      </c>
      <c r="C1606" s="201" t="s">
        <v>4255</v>
      </c>
      <c r="D1606" s="200" t="s">
        <v>4361</v>
      </c>
    </row>
    <row r="1607" spans="1:4" ht="41.4" x14ac:dyDescent="0.3">
      <c r="A1607" s="202" t="s">
        <v>4363</v>
      </c>
      <c r="B1607" s="202" t="s">
        <v>4364</v>
      </c>
      <c r="C1607" s="201" t="s">
        <v>4255</v>
      </c>
      <c r="D1607" s="202" t="s">
        <v>4363</v>
      </c>
    </row>
    <row r="1608" spans="1:4" ht="41.4" x14ac:dyDescent="0.3">
      <c r="A1608" s="202" t="s">
        <v>4363</v>
      </c>
      <c r="B1608" s="202" t="s">
        <v>4365</v>
      </c>
      <c r="C1608" s="201" t="s">
        <v>4255</v>
      </c>
      <c r="D1608" s="202" t="s">
        <v>4363</v>
      </c>
    </row>
    <row r="1609" spans="1:4" ht="41.4" x14ac:dyDescent="0.3">
      <c r="A1609" s="202" t="s">
        <v>4366</v>
      </c>
      <c r="B1609" s="202" t="s">
        <v>4367</v>
      </c>
      <c r="C1609" s="201" t="s">
        <v>4255</v>
      </c>
      <c r="D1609" s="202" t="s">
        <v>4366</v>
      </c>
    </row>
    <row r="1610" spans="1:4" ht="82.8" x14ac:dyDescent="0.3">
      <c r="A1610" s="202" t="s">
        <v>4368</v>
      </c>
      <c r="B1610" s="202" t="s">
        <v>4369</v>
      </c>
      <c r="C1610" s="201" t="s">
        <v>4255</v>
      </c>
      <c r="D1610" s="202" t="s">
        <v>4368</v>
      </c>
    </row>
    <row r="1611" spans="1:4" ht="55.2" x14ac:dyDescent="0.3">
      <c r="A1611" s="202" t="s">
        <v>4370</v>
      </c>
      <c r="B1611" s="202" t="s">
        <v>4371</v>
      </c>
      <c r="C1611" s="201" t="s">
        <v>4255</v>
      </c>
      <c r="D1611" s="202" t="s">
        <v>4370</v>
      </c>
    </row>
    <row r="1612" spans="1:4" ht="69" x14ac:dyDescent="0.3">
      <c r="A1612" s="202" t="s">
        <v>4372</v>
      </c>
      <c r="B1612" s="202" t="s">
        <v>4373</v>
      </c>
      <c r="C1612" s="201" t="s">
        <v>4255</v>
      </c>
      <c r="D1612" s="202" t="s">
        <v>4372</v>
      </c>
    </row>
    <row r="1613" spans="1:4" ht="69" x14ac:dyDescent="0.3">
      <c r="A1613" s="202" t="s">
        <v>4374</v>
      </c>
      <c r="B1613" s="202" t="s">
        <v>4375</v>
      </c>
      <c r="C1613" s="201" t="s">
        <v>4255</v>
      </c>
      <c r="D1613" s="202" t="s">
        <v>4374</v>
      </c>
    </row>
    <row r="1614" spans="1:4" ht="55.2" x14ac:dyDescent="0.3">
      <c r="A1614" s="202" t="s">
        <v>4376</v>
      </c>
      <c r="B1614" s="202" t="s">
        <v>4377</v>
      </c>
      <c r="C1614" s="201" t="s">
        <v>4255</v>
      </c>
      <c r="D1614" s="202" t="s">
        <v>4376</v>
      </c>
    </row>
    <row r="1615" spans="1:4" ht="165.6" x14ac:dyDescent="0.3">
      <c r="A1615" s="202" t="s">
        <v>4378</v>
      </c>
      <c r="B1615" s="202" t="s">
        <v>4379</v>
      </c>
      <c r="C1615" s="201" t="s">
        <v>4255</v>
      </c>
      <c r="D1615" s="202" t="s">
        <v>4378</v>
      </c>
    </row>
    <row r="1616" spans="1:4" ht="55.2" x14ac:dyDescent="0.3">
      <c r="A1616" s="202" t="s">
        <v>4380</v>
      </c>
      <c r="B1616" s="202" t="s">
        <v>4381</v>
      </c>
      <c r="C1616" s="201" t="s">
        <v>4255</v>
      </c>
      <c r="D1616" s="202" t="s">
        <v>4380</v>
      </c>
    </row>
    <row r="1617" spans="1:4" ht="41.4" x14ac:dyDescent="0.3">
      <c r="A1617" s="202" t="s">
        <v>4382</v>
      </c>
      <c r="B1617" s="202" t="s">
        <v>4383</v>
      </c>
      <c r="C1617" s="201" t="s">
        <v>4255</v>
      </c>
      <c r="D1617" s="202" t="s">
        <v>4382</v>
      </c>
    </row>
    <row r="1618" spans="1:4" ht="165.6" x14ac:dyDescent="0.3">
      <c r="A1618" s="202" t="s">
        <v>4384</v>
      </c>
      <c r="B1618" s="202" t="s">
        <v>4385</v>
      </c>
      <c r="C1618" s="201" t="s">
        <v>4255</v>
      </c>
      <c r="D1618" s="202" t="s">
        <v>4384</v>
      </c>
    </row>
    <row r="1619" spans="1:4" ht="82.8" x14ac:dyDescent="0.3">
      <c r="A1619" s="202" t="s">
        <v>4386</v>
      </c>
      <c r="B1619" s="202" t="s">
        <v>4387</v>
      </c>
      <c r="C1619" s="201" t="s">
        <v>4255</v>
      </c>
      <c r="D1619" s="202" t="s">
        <v>4386</v>
      </c>
    </row>
    <row r="1620" spans="1:4" ht="55.2" x14ac:dyDescent="0.3">
      <c r="A1620" s="202" t="s">
        <v>4388</v>
      </c>
      <c r="B1620" s="202" t="s">
        <v>4389</v>
      </c>
      <c r="C1620" s="201" t="s">
        <v>4255</v>
      </c>
      <c r="D1620" s="202" t="s">
        <v>4388</v>
      </c>
    </row>
    <row r="1621" spans="1:4" ht="69" x14ac:dyDescent="0.3">
      <c r="A1621" s="202" t="s">
        <v>4390</v>
      </c>
      <c r="B1621" s="202" t="s">
        <v>4391</v>
      </c>
      <c r="C1621" s="201" t="s">
        <v>4255</v>
      </c>
      <c r="D1621" s="202" t="s">
        <v>4390</v>
      </c>
    </row>
    <row r="1622" spans="1:4" ht="69" x14ac:dyDescent="0.3">
      <c r="A1622" s="202" t="s">
        <v>4392</v>
      </c>
      <c r="B1622" s="202" t="s">
        <v>4393</v>
      </c>
      <c r="C1622" s="201" t="s">
        <v>4255</v>
      </c>
      <c r="D1622" s="202" t="s">
        <v>4392</v>
      </c>
    </row>
    <row r="1623" spans="1:4" ht="55.2" x14ac:dyDescent="0.3">
      <c r="A1623" s="202" t="s">
        <v>4394</v>
      </c>
      <c r="B1623" s="202" t="s">
        <v>4395</v>
      </c>
      <c r="C1623" s="201" t="s">
        <v>4255</v>
      </c>
      <c r="D1623" s="202" t="s">
        <v>4394</v>
      </c>
    </row>
    <row r="1624" spans="1:4" ht="55.2" x14ac:dyDescent="0.3">
      <c r="A1624" s="202" t="s">
        <v>4396</v>
      </c>
      <c r="B1624" s="202" t="s">
        <v>4397</v>
      </c>
      <c r="C1624" s="201" t="s">
        <v>4255</v>
      </c>
      <c r="D1624" s="202" t="s">
        <v>4396</v>
      </c>
    </row>
    <row r="1625" spans="1:4" ht="69" x14ac:dyDescent="0.3">
      <c r="A1625" s="202" t="s">
        <v>4398</v>
      </c>
      <c r="B1625" s="202" t="s">
        <v>4399</v>
      </c>
      <c r="C1625" s="201" t="s">
        <v>4255</v>
      </c>
      <c r="D1625" s="202" t="s">
        <v>4398</v>
      </c>
    </row>
    <row r="1626" spans="1:4" ht="55.2" x14ac:dyDescent="0.3">
      <c r="A1626" s="202" t="s">
        <v>4400</v>
      </c>
      <c r="B1626" s="202" t="s">
        <v>4401</v>
      </c>
      <c r="C1626" s="201" t="s">
        <v>4255</v>
      </c>
      <c r="D1626" s="202" t="s">
        <v>4400</v>
      </c>
    </row>
    <row r="1627" spans="1:4" ht="55.2" x14ac:dyDescent="0.3">
      <c r="A1627" s="202" t="s">
        <v>4402</v>
      </c>
      <c r="B1627" s="202" t="s">
        <v>4403</v>
      </c>
      <c r="C1627" s="201" t="s">
        <v>4255</v>
      </c>
      <c r="D1627" s="202" t="s">
        <v>4402</v>
      </c>
    </row>
    <row r="1628" spans="1:4" ht="69" x14ac:dyDescent="0.3">
      <c r="A1628" s="202" t="s">
        <v>4404</v>
      </c>
      <c r="B1628" s="202" t="s">
        <v>4405</v>
      </c>
      <c r="C1628" s="201" t="s">
        <v>4255</v>
      </c>
      <c r="D1628" s="202" t="s">
        <v>4404</v>
      </c>
    </row>
    <row r="1629" spans="1:4" ht="41.4" x14ac:dyDescent="0.3">
      <c r="A1629" s="200" t="s">
        <v>4406</v>
      </c>
      <c r="B1629" s="200" t="s">
        <v>4407</v>
      </c>
      <c r="C1629" s="201" t="s">
        <v>4255</v>
      </c>
      <c r="D1629" s="200" t="s">
        <v>4406</v>
      </c>
    </row>
    <row r="1630" spans="1:4" ht="69" x14ac:dyDescent="0.3">
      <c r="A1630" s="200" t="s">
        <v>4408</v>
      </c>
      <c r="B1630" s="200" t="s">
        <v>4409</v>
      </c>
      <c r="C1630" s="201" t="s">
        <v>4255</v>
      </c>
      <c r="D1630" s="200" t="s">
        <v>4408</v>
      </c>
    </row>
    <row r="1631" spans="1:4" ht="55.2" x14ac:dyDescent="0.3">
      <c r="A1631" s="202" t="s">
        <v>4410</v>
      </c>
      <c r="B1631" s="202" t="s">
        <v>4411</v>
      </c>
      <c r="C1631" s="201" t="s">
        <v>4255</v>
      </c>
      <c r="D1631" s="202" t="s">
        <v>4410</v>
      </c>
    </row>
    <row r="1632" spans="1:4" ht="55.2" x14ac:dyDescent="0.3">
      <c r="A1632" s="202" t="s">
        <v>4410</v>
      </c>
      <c r="B1632" s="202" t="s">
        <v>4412</v>
      </c>
      <c r="C1632" s="201" t="s">
        <v>4255</v>
      </c>
      <c r="D1632" s="202" t="s">
        <v>4410</v>
      </c>
    </row>
    <row r="1633" spans="1:4" ht="41.4" x14ac:dyDescent="0.3">
      <c r="A1633" s="200" t="s">
        <v>4413</v>
      </c>
      <c r="B1633" s="200" t="s">
        <v>4414</v>
      </c>
      <c r="C1633" s="201" t="s">
        <v>4255</v>
      </c>
      <c r="D1633" s="200" t="s">
        <v>4413</v>
      </c>
    </row>
    <row r="1634" spans="1:4" ht="69" x14ac:dyDescent="0.3">
      <c r="A1634" s="200" t="s">
        <v>4415</v>
      </c>
      <c r="B1634" s="200" t="s">
        <v>4416</v>
      </c>
      <c r="C1634" s="201" t="s">
        <v>4255</v>
      </c>
      <c r="D1634" s="200" t="s">
        <v>4415</v>
      </c>
    </row>
    <row r="1635" spans="1:4" ht="41.4" x14ac:dyDescent="0.3">
      <c r="A1635" s="202" t="s">
        <v>4417</v>
      </c>
      <c r="B1635" s="202" t="s">
        <v>4418</v>
      </c>
      <c r="C1635" s="201" t="s">
        <v>4255</v>
      </c>
      <c r="D1635" s="202" t="s">
        <v>4417</v>
      </c>
    </row>
    <row r="1636" spans="1:4" ht="41.4" x14ac:dyDescent="0.3">
      <c r="A1636" s="202" t="s">
        <v>4417</v>
      </c>
      <c r="B1636" s="202" t="s">
        <v>4419</v>
      </c>
      <c r="C1636" s="201" t="s">
        <v>4255</v>
      </c>
      <c r="D1636" s="202" t="s">
        <v>4417</v>
      </c>
    </row>
    <row r="1637" spans="1:4" ht="41.4" x14ac:dyDescent="0.3">
      <c r="A1637" s="202" t="s">
        <v>4420</v>
      </c>
      <c r="B1637" s="202" t="s">
        <v>4421</v>
      </c>
      <c r="C1637" s="201" t="s">
        <v>4255</v>
      </c>
      <c r="D1637" s="202" t="s">
        <v>4420</v>
      </c>
    </row>
    <row r="1638" spans="1:4" ht="55.2" x14ac:dyDescent="0.3">
      <c r="A1638" s="200" t="s">
        <v>4422</v>
      </c>
      <c r="B1638" s="203" t="s">
        <v>4423</v>
      </c>
      <c r="C1638" s="201" t="s">
        <v>4255</v>
      </c>
      <c r="D1638" s="200" t="s">
        <v>4422</v>
      </c>
    </row>
    <row r="1639" spans="1:4" ht="69" x14ac:dyDescent="0.3">
      <c r="A1639" s="200" t="s">
        <v>4424</v>
      </c>
      <c r="B1639" s="200" t="s">
        <v>4425</v>
      </c>
      <c r="C1639" s="201" t="s">
        <v>4255</v>
      </c>
      <c r="D1639" s="200" t="s">
        <v>4424</v>
      </c>
    </row>
    <row r="1640" spans="1:4" ht="55.2" x14ac:dyDescent="0.3">
      <c r="A1640" s="200" t="s">
        <v>4426</v>
      </c>
      <c r="B1640" s="200">
        <v>51</v>
      </c>
      <c r="C1640" s="201" t="s">
        <v>4255</v>
      </c>
      <c r="D1640" s="200" t="s">
        <v>4426</v>
      </c>
    </row>
    <row r="1641" spans="1:4" ht="55.2" x14ac:dyDescent="0.3">
      <c r="A1641" s="202" t="s">
        <v>4427</v>
      </c>
      <c r="B1641" s="202" t="s">
        <v>4428</v>
      </c>
      <c r="C1641" s="201" t="s">
        <v>4255</v>
      </c>
      <c r="D1641" s="202" t="s">
        <v>4427</v>
      </c>
    </row>
    <row r="1642" spans="1:4" ht="55.2" x14ac:dyDescent="0.3">
      <c r="A1642" s="202" t="s">
        <v>4427</v>
      </c>
      <c r="B1642" s="202" t="s">
        <v>4429</v>
      </c>
      <c r="C1642" s="201" t="s">
        <v>4255</v>
      </c>
      <c r="D1642" s="202" t="s">
        <v>4427</v>
      </c>
    </row>
    <row r="1643" spans="1:4" ht="69" x14ac:dyDescent="0.3">
      <c r="A1643" s="202" t="s">
        <v>4430</v>
      </c>
      <c r="B1643" s="202" t="s">
        <v>4431</v>
      </c>
      <c r="C1643" s="201" t="s">
        <v>4255</v>
      </c>
      <c r="D1643" s="202" t="s">
        <v>4430</v>
      </c>
    </row>
    <row r="1644" spans="1:4" ht="69" x14ac:dyDescent="0.3">
      <c r="A1644" s="200" t="s">
        <v>4432</v>
      </c>
      <c r="B1644" s="200" t="s">
        <v>4433</v>
      </c>
      <c r="C1644" s="201" t="s">
        <v>4255</v>
      </c>
      <c r="D1644" s="200" t="s">
        <v>4432</v>
      </c>
    </row>
    <row r="1645" spans="1:4" ht="41.4" x14ac:dyDescent="0.3">
      <c r="A1645" s="200" t="s">
        <v>4434</v>
      </c>
      <c r="B1645" s="200" t="s">
        <v>4435</v>
      </c>
      <c r="C1645" s="201" t="s">
        <v>4255</v>
      </c>
      <c r="D1645" s="200" t="s">
        <v>4434</v>
      </c>
    </row>
    <row r="1646" spans="1:4" ht="69" x14ac:dyDescent="0.3">
      <c r="A1646" s="202" t="s">
        <v>4436</v>
      </c>
      <c r="B1646" s="202" t="s">
        <v>4437</v>
      </c>
      <c r="C1646" s="201" t="s">
        <v>4255</v>
      </c>
      <c r="D1646" s="202" t="s">
        <v>4436</v>
      </c>
    </row>
    <row r="1647" spans="1:4" ht="41.4" x14ac:dyDescent="0.3">
      <c r="A1647" s="202" t="s">
        <v>4438</v>
      </c>
      <c r="B1647" s="202" t="s">
        <v>4439</v>
      </c>
      <c r="C1647" s="201" t="s">
        <v>4255</v>
      </c>
      <c r="D1647" s="202" t="s">
        <v>4438</v>
      </c>
    </row>
    <row r="1648" spans="1:4" ht="69" x14ac:dyDescent="0.3">
      <c r="A1648" s="202" t="s">
        <v>4440</v>
      </c>
      <c r="B1648" s="202" t="s">
        <v>4441</v>
      </c>
      <c r="C1648" s="201" t="s">
        <v>4255</v>
      </c>
      <c r="D1648" s="202" t="s">
        <v>4440</v>
      </c>
    </row>
    <row r="1649" spans="1:4" ht="69" x14ac:dyDescent="0.3">
      <c r="A1649" s="202" t="s">
        <v>4442</v>
      </c>
      <c r="B1649" s="202" t="s">
        <v>4443</v>
      </c>
      <c r="C1649" s="201" t="s">
        <v>4255</v>
      </c>
      <c r="D1649" s="202" t="s">
        <v>4442</v>
      </c>
    </row>
    <row r="1650" spans="1:4" ht="41.4" x14ac:dyDescent="0.3">
      <c r="A1650" s="202" t="s">
        <v>4444</v>
      </c>
      <c r="B1650" s="202" t="s">
        <v>4445</v>
      </c>
      <c r="C1650" s="201" t="s">
        <v>4255</v>
      </c>
      <c r="D1650" s="202" t="s">
        <v>4444</v>
      </c>
    </row>
    <row r="1651" spans="1:4" ht="41.4" x14ac:dyDescent="0.3">
      <c r="A1651" s="202" t="s">
        <v>4446</v>
      </c>
      <c r="B1651" s="202" t="s">
        <v>4447</v>
      </c>
      <c r="C1651" s="201" t="s">
        <v>4255</v>
      </c>
      <c r="D1651" s="202" t="s">
        <v>4446</v>
      </c>
    </row>
    <row r="1652" spans="1:4" ht="41.4" x14ac:dyDescent="0.3">
      <c r="A1652" s="202" t="s">
        <v>4448</v>
      </c>
      <c r="B1652" s="202" t="s">
        <v>4449</v>
      </c>
      <c r="C1652" s="201" t="s">
        <v>4255</v>
      </c>
      <c r="D1652" s="202" t="s">
        <v>4448</v>
      </c>
    </row>
    <row r="1653" spans="1:4" ht="41.4" x14ac:dyDescent="0.3">
      <c r="A1653" s="202" t="s">
        <v>4450</v>
      </c>
      <c r="B1653" s="202" t="s">
        <v>4451</v>
      </c>
      <c r="C1653" s="201" t="s">
        <v>4255</v>
      </c>
      <c r="D1653" s="202" t="s">
        <v>4450</v>
      </c>
    </row>
    <row r="1654" spans="1:4" ht="69" x14ac:dyDescent="0.3">
      <c r="A1654" s="200" t="s">
        <v>4452</v>
      </c>
      <c r="B1654" s="203" t="s">
        <v>4453</v>
      </c>
      <c r="C1654" s="201" t="s">
        <v>4255</v>
      </c>
      <c r="D1654" s="200" t="s">
        <v>4452</v>
      </c>
    </row>
    <row r="1655" spans="1:4" ht="41.4" x14ac:dyDescent="0.3">
      <c r="A1655" s="200" t="s">
        <v>4454</v>
      </c>
      <c r="B1655" s="200" t="s">
        <v>4455</v>
      </c>
      <c r="C1655" s="201" t="s">
        <v>4255</v>
      </c>
      <c r="D1655" s="200" t="s">
        <v>4454</v>
      </c>
    </row>
    <row r="1656" spans="1:4" ht="55.2" x14ac:dyDescent="0.3">
      <c r="A1656" s="200" t="s">
        <v>4456</v>
      </c>
      <c r="B1656" s="200">
        <v>52</v>
      </c>
      <c r="C1656" s="201" t="s">
        <v>4255</v>
      </c>
      <c r="D1656" s="200" t="s">
        <v>4456</v>
      </c>
    </row>
    <row r="1657" spans="1:4" ht="41.4" x14ac:dyDescent="0.3">
      <c r="A1657" s="202" t="s">
        <v>4457</v>
      </c>
      <c r="B1657" s="202" t="s">
        <v>4458</v>
      </c>
      <c r="C1657" s="201" t="s">
        <v>4255</v>
      </c>
      <c r="D1657" s="202" t="s">
        <v>4457</v>
      </c>
    </row>
    <row r="1658" spans="1:4" ht="41.4" x14ac:dyDescent="0.3">
      <c r="A1658" s="202" t="s">
        <v>4457</v>
      </c>
      <c r="B1658" s="202" t="s">
        <v>4459</v>
      </c>
      <c r="C1658" s="201" t="s">
        <v>4255</v>
      </c>
      <c r="D1658" s="202" t="s">
        <v>4457</v>
      </c>
    </row>
    <row r="1659" spans="1:4" ht="55.2" x14ac:dyDescent="0.3">
      <c r="A1659" s="202" t="s">
        <v>4460</v>
      </c>
      <c r="B1659" s="202" t="s">
        <v>4461</v>
      </c>
      <c r="C1659" s="201" t="s">
        <v>4255</v>
      </c>
      <c r="D1659" s="202" t="s">
        <v>4460</v>
      </c>
    </row>
    <row r="1660" spans="1:4" ht="55.2" x14ac:dyDescent="0.3">
      <c r="A1660" s="202" t="s">
        <v>4462</v>
      </c>
      <c r="B1660" s="202" t="s">
        <v>4463</v>
      </c>
      <c r="C1660" s="201" t="s">
        <v>4255</v>
      </c>
      <c r="D1660" s="202" t="s">
        <v>4462</v>
      </c>
    </row>
    <row r="1661" spans="1:4" ht="55.2" x14ac:dyDescent="0.3">
      <c r="A1661" s="202" t="s">
        <v>4464</v>
      </c>
      <c r="B1661" s="202" t="s">
        <v>4465</v>
      </c>
      <c r="C1661" s="201" t="s">
        <v>4255</v>
      </c>
      <c r="D1661" s="202" t="s">
        <v>4464</v>
      </c>
    </row>
    <row r="1662" spans="1:4" ht="27.6" x14ac:dyDescent="0.3">
      <c r="A1662" s="202" t="s">
        <v>4466</v>
      </c>
      <c r="B1662" s="202" t="s">
        <v>4467</v>
      </c>
      <c r="C1662" s="201" t="s">
        <v>4255</v>
      </c>
      <c r="D1662" s="202" t="s">
        <v>4466</v>
      </c>
    </row>
    <row r="1663" spans="1:4" ht="41.4" x14ac:dyDescent="0.3">
      <c r="A1663" s="200" t="s">
        <v>4468</v>
      </c>
      <c r="B1663" s="200" t="s">
        <v>4469</v>
      </c>
      <c r="C1663" s="201" t="s">
        <v>4255</v>
      </c>
      <c r="D1663" s="200" t="s">
        <v>4468</v>
      </c>
    </row>
    <row r="1664" spans="1:4" ht="41.4" x14ac:dyDescent="0.3">
      <c r="A1664" s="200" t="s">
        <v>4470</v>
      </c>
      <c r="B1664" s="200" t="s">
        <v>4471</v>
      </c>
      <c r="C1664" s="201" t="s">
        <v>4255</v>
      </c>
      <c r="D1664" s="200" t="s">
        <v>4470</v>
      </c>
    </row>
    <row r="1665" spans="1:4" ht="41.4" x14ac:dyDescent="0.3">
      <c r="A1665" s="202" t="s">
        <v>4472</v>
      </c>
      <c r="B1665" s="202" t="s">
        <v>4473</v>
      </c>
      <c r="C1665" s="201" t="s">
        <v>4255</v>
      </c>
      <c r="D1665" s="202" t="s">
        <v>4472</v>
      </c>
    </row>
    <row r="1666" spans="1:4" ht="69" x14ac:dyDescent="0.3">
      <c r="A1666" s="202" t="s">
        <v>4474</v>
      </c>
      <c r="B1666" s="202" t="s">
        <v>4475</v>
      </c>
      <c r="C1666" s="201" t="s">
        <v>4255</v>
      </c>
      <c r="D1666" s="202" t="s">
        <v>4474</v>
      </c>
    </row>
    <row r="1667" spans="1:4" ht="69" x14ac:dyDescent="0.3">
      <c r="A1667" s="202" t="s">
        <v>4476</v>
      </c>
      <c r="B1667" s="202" t="s">
        <v>4477</v>
      </c>
      <c r="C1667" s="201" t="s">
        <v>4255</v>
      </c>
      <c r="D1667" s="202" t="s">
        <v>4476</v>
      </c>
    </row>
    <row r="1668" spans="1:4" ht="55.2" x14ac:dyDescent="0.3">
      <c r="A1668" s="202" t="s">
        <v>4478</v>
      </c>
      <c r="B1668" s="202" t="s">
        <v>4479</v>
      </c>
      <c r="C1668" s="201" t="s">
        <v>4255</v>
      </c>
      <c r="D1668" s="202" t="s">
        <v>4478</v>
      </c>
    </row>
    <row r="1669" spans="1:4" ht="69" x14ac:dyDescent="0.3">
      <c r="A1669" s="202" t="s">
        <v>4480</v>
      </c>
      <c r="B1669" s="202" t="s">
        <v>4481</v>
      </c>
      <c r="C1669" s="201" t="s">
        <v>4255</v>
      </c>
      <c r="D1669" s="202" t="s">
        <v>4480</v>
      </c>
    </row>
    <row r="1670" spans="1:4" ht="41.4" x14ac:dyDescent="0.3">
      <c r="A1670" s="202" t="s">
        <v>4482</v>
      </c>
      <c r="B1670" s="202" t="s">
        <v>4483</v>
      </c>
      <c r="C1670" s="201" t="s">
        <v>4255</v>
      </c>
      <c r="D1670" s="202" t="s">
        <v>4482</v>
      </c>
    </row>
    <row r="1671" spans="1:4" ht="69" x14ac:dyDescent="0.3">
      <c r="A1671" s="202" t="s">
        <v>4484</v>
      </c>
      <c r="B1671" s="202" t="s">
        <v>4485</v>
      </c>
      <c r="C1671" s="201" t="s">
        <v>4255</v>
      </c>
      <c r="D1671" s="202" t="s">
        <v>4484</v>
      </c>
    </row>
    <row r="1672" spans="1:4" ht="69" x14ac:dyDescent="0.3">
      <c r="A1672" s="202" t="s">
        <v>4486</v>
      </c>
      <c r="B1672" s="202" t="s">
        <v>4487</v>
      </c>
      <c r="C1672" s="201" t="s">
        <v>4255</v>
      </c>
      <c r="D1672" s="202" t="s">
        <v>4486</v>
      </c>
    </row>
    <row r="1673" spans="1:4" ht="41.4" x14ac:dyDescent="0.3">
      <c r="A1673" s="202" t="s">
        <v>4488</v>
      </c>
      <c r="B1673" s="202" t="s">
        <v>4489</v>
      </c>
      <c r="C1673" s="201" t="s">
        <v>4255</v>
      </c>
      <c r="D1673" s="202" t="s">
        <v>4488</v>
      </c>
    </row>
    <row r="1674" spans="1:4" ht="55.2" x14ac:dyDescent="0.3">
      <c r="A1674" s="202" t="s">
        <v>4490</v>
      </c>
      <c r="B1674" s="202" t="s">
        <v>4491</v>
      </c>
      <c r="C1674" s="201" t="s">
        <v>4255</v>
      </c>
      <c r="D1674" s="202" t="s">
        <v>4490</v>
      </c>
    </row>
    <row r="1675" spans="1:4" ht="41.4" x14ac:dyDescent="0.3">
      <c r="A1675" s="202" t="s">
        <v>4492</v>
      </c>
      <c r="B1675" s="202" t="s">
        <v>4493</v>
      </c>
      <c r="C1675" s="201" t="s">
        <v>4255</v>
      </c>
      <c r="D1675" s="202" t="s">
        <v>4492</v>
      </c>
    </row>
    <row r="1676" spans="1:4" ht="55.2" x14ac:dyDescent="0.3">
      <c r="A1676" s="202" t="s">
        <v>4494</v>
      </c>
      <c r="B1676" s="202" t="s">
        <v>4495</v>
      </c>
      <c r="C1676" s="201" t="s">
        <v>4255</v>
      </c>
      <c r="D1676" s="202" t="s">
        <v>4494</v>
      </c>
    </row>
    <row r="1677" spans="1:4" ht="55.2" x14ac:dyDescent="0.3">
      <c r="A1677" s="202" t="s">
        <v>4496</v>
      </c>
      <c r="B1677" s="202" t="s">
        <v>4497</v>
      </c>
      <c r="C1677" s="201" t="s">
        <v>4255</v>
      </c>
      <c r="D1677" s="202" t="s">
        <v>4496</v>
      </c>
    </row>
    <row r="1678" spans="1:4" ht="69" x14ac:dyDescent="0.3">
      <c r="A1678" s="200" t="s">
        <v>4498</v>
      </c>
      <c r="B1678" s="200" t="s">
        <v>4499</v>
      </c>
      <c r="C1678" s="201" t="s">
        <v>4255</v>
      </c>
      <c r="D1678" s="200" t="s">
        <v>4498</v>
      </c>
    </row>
    <row r="1679" spans="1:4" ht="69" x14ac:dyDescent="0.3">
      <c r="A1679" s="202" t="s">
        <v>4500</v>
      </c>
      <c r="B1679" s="202" t="s">
        <v>4501</v>
      </c>
      <c r="C1679" s="201" t="s">
        <v>4255</v>
      </c>
      <c r="D1679" s="202" t="s">
        <v>4500</v>
      </c>
    </row>
    <row r="1680" spans="1:4" ht="55.2" x14ac:dyDescent="0.3">
      <c r="A1680" s="202" t="s">
        <v>4502</v>
      </c>
      <c r="B1680" s="202" t="s">
        <v>4503</v>
      </c>
      <c r="C1680" s="201" t="s">
        <v>4255</v>
      </c>
      <c r="D1680" s="202" t="s">
        <v>4502</v>
      </c>
    </row>
    <row r="1681" spans="1:4" ht="55.2" x14ac:dyDescent="0.3">
      <c r="A1681" s="202" t="s">
        <v>4504</v>
      </c>
      <c r="B1681" s="202" t="s">
        <v>4505</v>
      </c>
      <c r="C1681" s="201" t="s">
        <v>4255</v>
      </c>
      <c r="D1681" s="202" t="s">
        <v>4504</v>
      </c>
    </row>
    <row r="1682" spans="1:4" ht="110.4" x14ac:dyDescent="0.3">
      <c r="A1682" s="202" t="s">
        <v>4506</v>
      </c>
      <c r="B1682" s="202" t="s">
        <v>4507</v>
      </c>
      <c r="C1682" s="201" t="s">
        <v>4255</v>
      </c>
      <c r="D1682" s="202" t="s">
        <v>4506</v>
      </c>
    </row>
    <row r="1683" spans="1:4" ht="69" x14ac:dyDescent="0.3">
      <c r="A1683" s="202" t="s">
        <v>4508</v>
      </c>
      <c r="B1683" s="202" t="s">
        <v>4509</v>
      </c>
      <c r="C1683" s="201" t="s">
        <v>4255</v>
      </c>
      <c r="D1683" s="202" t="s">
        <v>4508</v>
      </c>
    </row>
    <row r="1684" spans="1:4" ht="96.6" x14ac:dyDescent="0.3">
      <c r="A1684" s="202" t="s">
        <v>4510</v>
      </c>
      <c r="B1684" s="202" t="s">
        <v>4511</v>
      </c>
      <c r="C1684" s="201" t="s">
        <v>4255</v>
      </c>
      <c r="D1684" s="202" t="s">
        <v>4510</v>
      </c>
    </row>
    <row r="1685" spans="1:4" ht="69" x14ac:dyDescent="0.3">
      <c r="A1685" s="202" t="s">
        <v>4512</v>
      </c>
      <c r="B1685" s="202" t="s">
        <v>4513</v>
      </c>
      <c r="C1685" s="201" t="s">
        <v>4255</v>
      </c>
      <c r="D1685" s="202" t="s">
        <v>4512</v>
      </c>
    </row>
    <row r="1686" spans="1:4" ht="69" x14ac:dyDescent="0.3">
      <c r="A1686" s="202" t="s">
        <v>4514</v>
      </c>
      <c r="B1686" s="202" t="s">
        <v>4515</v>
      </c>
      <c r="C1686" s="201" t="s">
        <v>4255</v>
      </c>
      <c r="D1686" s="202" t="s">
        <v>4514</v>
      </c>
    </row>
    <row r="1687" spans="1:4" ht="179.4" x14ac:dyDescent="0.3">
      <c r="A1687" s="202" t="s">
        <v>4516</v>
      </c>
      <c r="B1687" s="202" t="s">
        <v>4517</v>
      </c>
      <c r="C1687" s="201" t="s">
        <v>4255</v>
      </c>
      <c r="D1687" s="202" t="s">
        <v>4516</v>
      </c>
    </row>
    <row r="1688" spans="1:4" ht="55.2" x14ac:dyDescent="0.3">
      <c r="A1688" s="202" t="s">
        <v>4518</v>
      </c>
      <c r="B1688" s="202" t="s">
        <v>4519</v>
      </c>
      <c r="C1688" s="201" t="s">
        <v>4255</v>
      </c>
      <c r="D1688" s="202" t="s">
        <v>4518</v>
      </c>
    </row>
    <row r="1689" spans="1:4" ht="55.2" x14ac:dyDescent="0.3">
      <c r="A1689" s="202" t="s">
        <v>4520</v>
      </c>
      <c r="B1689" s="202" t="s">
        <v>4521</v>
      </c>
      <c r="C1689" s="201" t="s">
        <v>4255</v>
      </c>
      <c r="D1689" s="202" t="s">
        <v>4520</v>
      </c>
    </row>
    <row r="1690" spans="1:4" ht="82.8" x14ac:dyDescent="0.3">
      <c r="A1690" s="202" t="s">
        <v>4522</v>
      </c>
      <c r="B1690" s="202" t="s">
        <v>4523</v>
      </c>
      <c r="C1690" s="201" t="s">
        <v>4255</v>
      </c>
      <c r="D1690" s="202" t="s">
        <v>4522</v>
      </c>
    </row>
    <row r="1691" spans="1:4" ht="69" x14ac:dyDescent="0.3">
      <c r="A1691" s="202" t="s">
        <v>4524</v>
      </c>
      <c r="B1691" s="202" t="s">
        <v>4525</v>
      </c>
      <c r="C1691" s="201" t="s">
        <v>4255</v>
      </c>
      <c r="D1691" s="202" t="s">
        <v>4524</v>
      </c>
    </row>
    <row r="1692" spans="1:4" ht="69" x14ac:dyDescent="0.3">
      <c r="A1692" s="202" t="s">
        <v>4526</v>
      </c>
      <c r="B1692" s="202" t="s">
        <v>4527</v>
      </c>
      <c r="C1692" s="201" t="s">
        <v>4255</v>
      </c>
      <c r="D1692" s="202" t="s">
        <v>4526</v>
      </c>
    </row>
    <row r="1693" spans="1:4" ht="82.8" x14ac:dyDescent="0.3">
      <c r="A1693" s="202" t="s">
        <v>4528</v>
      </c>
      <c r="B1693" s="202" t="s">
        <v>4529</v>
      </c>
      <c r="C1693" s="201" t="s">
        <v>4255</v>
      </c>
      <c r="D1693" s="202" t="s">
        <v>4528</v>
      </c>
    </row>
    <row r="1694" spans="1:4" ht="110.4" x14ac:dyDescent="0.3">
      <c r="A1694" s="202" t="s">
        <v>4530</v>
      </c>
      <c r="B1694" s="202" t="s">
        <v>4531</v>
      </c>
      <c r="C1694" s="201" t="s">
        <v>4255</v>
      </c>
      <c r="D1694" s="202" t="s">
        <v>4530</v>
      </c>
    </row>
    <row r="1695" spans="1:4" ht="82.8" x14ac:dyDescent="0.3">
      <c r="A1695" s="202" t="s">
        <v>4532</v>
      </c>
      <c r="B1695" s="202" t="s">
        <v>4533</v>
      </c>
      <c r="C1695" s="201" t="s">
        <v>4255</v>
      </c>
      <c r="D1695" s="202" t="s">
        <v>4532</v>
      </c>
    </row>
    <row r="1696" spans="1:4" ht="82.8" x14ac:dyDescent="0.3">
      <c r="A1696" s="202" t="s">
        <v>4534</v>
      </c>
      <c r="B1696" s="202" t="s">
        <v>4535</v>
      </c>
      <c r="C1696" s="201" t="s">
        <v>4255</v>
      </c>
      <c r="D1696" s="202" t="s">
        <v>4534</v>
      </c>
    </row>
    <row r="1697" spans="1:4" ht="193.2" x14ac:dyDescent="0.3">
      <c r="A1697" s="202" t="s">
        <v>4536</v>
      </c>
      <c r="B1697" s="202" t="s">
        <v>4537</v>
      </c>
      <c r="C1697" s="201" t="s">
        <v>4255</v>
      </c>
      <c r="D1697" s="202" t="s">
        <v>4536</v>
      </c>
    </row>
    <row r="1698" spans="1:4" ht="69" x14ac:dyDescent="0.3">
      <c r="A1698" s="202" t="s">
        <v>4538</v>
      </c>
      <c r="B1698" s="202" t="s">
        <v>4539</v>
      </c>
      <c r="C1698" s="201" t="s">
        <v>4255</v>
      </c>
      <c r="D1698" s="202" t="s">
        <v>4538</v>
      </c>
    </row>
    <row r="1699" spans="1:4" ht="55.2" x14ac:dyDescent="0.3">
      <c r="A1699" s="200" t="s">
        <v>4540</v>
      </c>
      <c r="B1699" s="200" t="s">
        <v>4541</v>
      </c>
      <c r="C1699" s="201" t="s">
        <v>4255</v>
      </c>
      <c r="D1699" s="200" t="s">
        <v>4540</v>
      </c>
    </row>
    <row r="1700" spans="1:4" ht="96.6" x14ac:dyDescent="0.3">
      <c r="A1700" s="202" t="s">
        <v>4542</v>
      </c>
      <c r="B1700" s="202" t="s">
        <v>4543</v>
      </c>
      <c r="C1700" s="201" t="s">
        <v>4255</v>
      </c>
      <c r="D1700" s="202" t="s">
        <v>4542</v>
      </c>
    </row>
    <row r="1701" spans="1:4" ht="69" x14ac:dyDescent="0.3">
      <c r="A1701" s="202" t="s">
        <v>4544</v>
      </c>
      <c r="B1701" s="202" t="s">
        <v>4545</v>
      </c>
      <c r="C1701" s="201" t="s">
        <v>4255</v>
      </c>
      <c r="D1701" s="202" t="s">
        <v>4544</v>
      </c>
    </row>
    <row r="1702" spans="1:4" ht="55.2" x14ac:dyDescent="0.3">
      <c r="A1702" s="202" t="s">
        <v>4546</v>
      </c>
      <c r="B1702" s="202" t="s">
        <v>4547</v>
      </c>
      <c r="C1702" s="201" t="s">
        <v>4255</v>
      </c>
      <c r="D1702" s="202" t="s">
        <v>4546</v>
      </c>
    </row>
    <row r="1703" spans="1:4" ht="27.6" x14ac:dyDescent="0.3">
      <c r="A1703" s="202" t="s">
        <v>4548</v>
      </c>
      <c r="B1703" s="202" t="s">
        <v>4549</v>
      </c>
      <c r="C1703" s="201" t="s">
        <v>4255</v>
      </c>
      <c r="D1703" s="202" t="s">
        <v>4548</v>
      </c>
    </row>
    <row r="1704" spans="1:4" ht="55.2" x14ac:dyDescent="0.3">
      <c r="A1704" s="202" t="s">
        <v>4550</v>
      </c>
      <c r="B1704" s="202" t="s">
        <v>4551</v>
      </c>
      <c r="C1704" s="201" t="s">
        <v>4255</v>
      </c>
      <c r="D1704" s="202" t="s">
        <v>4550</v>
      </c>
    </row>
    <row r="1705" spans="1:4" ht="27.6" x14ac:dyDescent="0.3">
      <c r="A1705" s="202" t="s">
        <v>4552</v>
      </c>
      <c r="B1705" s="202" t="s">
        <v>4553</v>
      </c>
      <c r="C1705" s="201" t="s">
        <v>4255</v>
      </c>
      <c r="D1705" s="202" t="s">
        <v>4552</v>
      </c>
    </row>
    <row r="1706" spans="1:4" ht="69" x14ac:dyDescent="0.3">
      <c r="A1706" s="202" t="s">
        <v>4554</v>
      </c>
      <c r="B1706" s="202" t="s">
        <v>4555</v>
      </c>
      <c r="C1706" s="201" t="s">
        <v>4255</v>
      </c>
      <c r="D1706" s="202" t="s">
        <v>4554</v>
      </c>
    </row>
    <row r="1707" spans="1:4" ht="69" x14ac:dyDescent="0.3">
      <c r="A1707" s="202" t="s">
        <v>4556</v>
      </c>
      <c r="B1707" s="202" t="s">
        <v>4557</v>
      </c>
      <c r="C1707" s="201" t="s">
        <v>4255</v>
      </c>
      <c r="D1707" s="202" t="s">
        <v>4556</v>
      </c>
    </row>
    <row r="1708" spans="1:4" ht="110.4" x14ac:dyDescent="0.3">
      <c r="A1708" s="202" t="s">
        <v>4558</v>
      </c>
      <c r="B1708" s="202" t="s">
        <v>4559</v>
      </c>
      <c r="C1708" s="201" t="s">
        <v>4255</v>
      </c>
      <c r="D1708" s="202" t="s">
        <v>4558</v>
      </c>
    </row>
    <row r="1709" spans="1:4" ht="124.2" x14ac:dyDescent="0.3">
      <c r="A1709" s="202" t="s">
        <v>4560</v>
      </c>
      <c r="B1709" s="202" t="s">
        <v>4561</v>
      </c>
      <c r="C1709" s="201" t="s">
        <v>4255</v>
      </c>
      <c r="D1709" s="202" t="s">
        <v>4560</v>
      </c>
    </row>
    <row r="1710" spans="1:4" ht="82.8" x14ac:dyDescent="0.3">
      <c r="A1710" s="200" t="s">
        <v>4562</v>
      </c>
      <c r="B1710" s="200" t="s">
        <v>4563</v>
      </c>
      <c r="C1710" s="201" t="s">
        <v>4255</v>
      </c>
      <c r="D1710" s="200" t="s">
        <v>4562</v>
      </c>
    </row>
    <row r="1711" spans="1:4" ht="69" x14ac:dyDescent="0.3">
      <c r="A1711" s="202" t="s">
        <v>4564</v>
      </c>
      <c r="B1711" s="202" t="s">
        <v>4565</v>
      </c>
      <c r="C1711" s="201" t="s">
        <v>4255</v>
      </c>
      <c r="D1711" s="202" t="s">
        <v>4564</v>
      </c>
    </row>
    <row r="1712" spans="1:4" ht="27.6" x14ac:dyDescent="0.3">
      <c r="A1712" s="202" t="s">
        <v>4566</v>
      </c>
      <c r="B1712" s="202" t="s">
        <v>4567</v>
      </c>
      <c r="C1712" s="201" t="s">
        <v>4255</v>
      </c>
      <c r="D1712" s="202" t="s">
        <v>4566</v>
      </c>
    </row>
    <row r="1713" spans="1:4" ht="27.6" x14ac:dyDescent="0.3">
      <c r="A1713" s="200" t="s">
        <v>4568</v>
      </c>
      <c r="B1713" s="200" t="s">
        <v>4569</v>
      </c>
      <c r="C1713" s="201" t="s">
        <v>4255</v>
      </c>
      <c r="D1713" s="200" t="s">
        <v>4568</v>
      </c>
    </row>
    <row r="1714" spans="1:4" ht="27.6" x14ac:dyDescent="0.3">
      <c r="A1714" s="200" t="s">
        <v>4570</v>
      </c>
      <c r="B1714" s="203" t="s">
        <v>4571</v>
      </c>
      <c r="C1714" s="201" t="s">
        <v>4255</v>
      </c>
      <c r="D1714" s="200" t="s">
        <v>4570</v>
      </c>
    </row>
    <row r="1715" spans="1:4" ht="55.2" x14ac:dyDescent="0.3">
      <c r="A1715" s="200" t="s">
        <v>4572</v>
      </c>
      <c r="B1715" s="200" t="s">
        <v>4573</v>
      </c>
      <c r="C1715" s="201" t="s">
        <v>4255</v>
      </c>
      <c r="D1715" s="200" t="s">
        <v>4572</v>
      </c>
    </row>
    <row r="1716" spans="1:4" ht="41.4" x14ac:dyDescent="0.3">
      <c r="A1716" s="200" t="s">
        <v>4574</v>
      </c>
      <c r="B1716" s="200">
        <v>53</v>
      </c>
      <c r="C1716" s="201" t="s">
        <v>4255</v>
      </c>
      <c r="D1716" s="200" t="s">
        <v>4574</v>
      </c>
    </row>
    <row r="1717" spans="1:4" ht="41.4" x14ac:dyDescent="0.3">
      <c r="A1717" s="202" t="s">
        <v>4575</v>
      </c>
      <c r="B1717" s="202" t="s">
        <v>4576</v>
      </c>
      <c r="C1717" s="201" t="s">
        <v>4255</v>
      </c>
      <c r="D1717" s="202" t="s">
        <v>4575</v>
      </c>
    </row>
    <row r="1718" spans="1:4" ht="41.4" x14ac:dyDescent="0.3">
      <c r="A1718" s="202" t="s">
        <v>4575</v>
      </c>
      <c r="B1718" s="202" t="s">
        <v>4577</v>
      </c>
      <c r="C1718" s="201" t="s">
        <v>4255</v>
      </c>
      <c r="D1718" s="202" t="s">
        <v>4575</v>
      </c>
    </row>
    <row r="1719" spans="1:4" ht="82.8" x14ac:dyDescent="0.3">
      <c r="A1719" s="202" t="s">
        <v>4578</v>
      </c>
      <c r="B1719" s="202" t="s">
        <v>4579</v>
      </c>
      <c r="C1719" s="201" t="s">
        <v>4255</v>
      </c>
      <c r="D1719" s="202" t="s">
        <v>4578</v>
      </c>
    </row>
    <row r="1720" spans="1:4" ht="82.8" x14ac:dyDescent="0.3">
      <c r="A1720" s="202" t="s">
        <v>4580</v>
      </c>
      <c r="B1720" s="202" t="s">
        <v>4581</v>
      </c>
      <c r="C1720" s="201" t="s">
        <v>4255</v>
      </c>
      <c r="D1720" s="202" t="s">
        <v>4580</v>
      </c>
    </row>
    <row r="1721" spans="1:4" ht="69" x14ac:dyDescent="0.3">
      <c r="A1721" s="202" t="s">
        <v>4582</v>
      </c>
      <c r="B1721" s="202" t="s">
        <v>4583</v>
      </c>
      <c r="C1721" s="201" t="s">
        <v>4255</v>
      </c>
      <c r="D1721" s="202" t="s">
        <v>4582</v>
      </c>
    </row>
    <row r="1722" spans="1:4" ht="27.6" x14ac:dyDescent="0.3">
      <c r="A1722" s="200" t="s">
        <v>4584</v>
      </c>
      <c r="B1722" s="200" t="s">
        <v>4585</v>
      </c>
      <c r="C1722" s="201" t="s">
        <v>4255</v>
      </c>
      <c r="D1722" s="200" t="s">
        <v>4584</v>
      </c>
    </row>
    <row r="1723" spans="1:4" ht="41.4" x14ac:dyDescent="0.3">
      <c r="A1723" s="200" t="s">
        <v>4586</v>
      </c>
      <c r="B1723" s="200" t="s">
        <v>4587</v>
      </c>
      <c r="C1723" s="201" t="s">
        <v>4255</v>
      </c>
      <c r="D1723" s="200" t="s">
        <v>4586</v>
      </c>
    </row>
    <row r="1724" spans="1:4" ht="55.2" x14ac:dyDescent="0.3">
      <c r="A1724" s="202" t="s">
        <v>4588</v>
      </c>
      <c r="B1724" s="202" t="s">
        <v>4589</v>
      </c>
      <c r="C1724" s="201" t="s">
        <v>4255</v>
      </c>
      <c r="D1724" s="202" t="s">
        <v>4588</v>
      </c>
    </row>
    <row r="1725" spans="1:4" ht="55.2" x14ac:dyDescent="0.3">
      <c r="A1725" s="202" t="s">
        <v>4588</v>
      </c>
      <c r="B1725" s="202" t="s">
        <v>4590</v>
      </c>
      <c r="C1725" s="201" t="s">
        <v>4255</v>
      </c>
      <c r="D1725" s="202" t="s">
        <v>4588</v>
      </c>
    </row>
    <row r="1726" spans="1:4" ht="41.4" x14ac:dyDescent="0.3">
      <c r="A1726" s="202" t="s">
        <v>4591</v>
      </c>
      <c r="B1726" s="202" t="s">
        <v>4592</v>
      </c>
      <c r="C1726" s="201" t="s">
        <v>4255</v>
      </c>
      <c r="D1726" s="202" t="s">
        <v>4591</v>
      </c>
    </row>
    <row r="1727" spans="1:4" ht="27.6" x14ac:dyDescent="0.3">
      <c r="A1727" s="202" t="s">
        <v>4593</v>
      </c>
      <c r="B1727" s="202" t="s">
        <v>4594</v>
      </c>
      <c r="C1727" s="201" t="s">
        <v>4255</v>
      </c>
      <c r="D1727" s="202" t="s">
        <v>4593</v>
      </c>
    </row>
    <row r="1728" spans="1:4" ht="41.4" x14ac:dyDescent="0.3">
      <c r="A1728" s="202" t="s">
        <v>4595</v>
      </c>
      <c r="B1728" s="202" t="s">
        <v>4596</v>
      </c>
      <c r="C1728" s="201" t="s">
        <v>4255</v>
      </c>
      <c r="D1728" s="202" t="s">
        <v>4595</v>
      </c>
    </row>
    <row r="1729" spans="1:4" ht="41.4" x14ac:dyDescent="0.3">
      <c r="A1729" s="202" t="s">
        <v>4597</v>
      </c>
      <c r="B1729" s="202" t="s">
        <v>4598</v>
      </c>
      <c r="C1729" s="201" t="s">
        <v>4255</v>
      </c>
      <c r="D1729" s="202" t="s">
        <v>4597</v>
      </c>
    </row>
    <row r="1730" spans="1:4" ht="55.2" x14ac:dyDescent="0.3">
      <c r="A1730" s="202" t="s">
        <v>4599</v>
      </c>
      <c r="B1730" s="202" t="s">
        <v>4600</v>
      </c>
      <c r="C1730" s="201" t="s">
        <v>4255</v>
      </c>
      <c r="D1730" s="202" t="s">
        <v>4599</v>
      </c>
    </row>
    <row r="1731" spans="1:4" ht="27.6" x14ac:dyDescent="0.3">
      <c r="A1731" s="202" t="s">
        <v>4601</v>
      </c>
      <c r="B1731" s="202" t="s">
        <v>4602</v>
      </c>
      <c r="C1731" s="201" t="s">
        <v>4255</v>
      </c>
      <c r="D1731" s="202" t="s">
        <v>4601</v>
      </c>
    </row>
    <row r="1732" spans="1:4" ht="55.2" x14ac:dyDescent="0.3">
      <c r="A1732" s="202" t="s">
        <v>4603</v>
      </c>
      <c r="B1732" s="202" t="s">
        <v>4604</v>
      </c>
      <c r="C1732" s="201" t="s">
        <v>4255</v>
      </c>
      <c r="D1732" s="202" t="s">
        <v>4603</v>
      </c>
    </row>
    <row r="1733" spans="1:4" ht="27.6" x14ac:dyDescent="0.3">
      <c r="A1733" s="202" t="s">
        <v>4605</v>
      </c>
      <c r="B1733" s="202" t="s">
        <v>4606</v>
      </c>
      <c r="C1733" s="201" t="s">
        <v>4255</v>
      </c>
      <c r="D1733" s="202" t="s">
        <v>4605</v>
      </c>
    </row>
    <row r="1734" spans="1:4" ht="27.6" x14ac:dyDescent="0.3">
      <c r="A1734" s="202" t="s">
        <v>4607</v>
      </c>
      <c r="B1734" s="202" t="s">
        <v>4608</v>
      </c>
      <c r="C1734" s="201" t="s">
        <v>4255</v>
      </c>
      <c r="D1734" s="202" t="s">
        <v>4607</v>
      </c>
    </row>
    <row r="1735" spans="1:4" ht="27.6" x14ac:dyDescent="0.3">
      <c r="A1735" s="208" t="s">
        <v>4609</v>
      </c>
      <c r="B1735" s="208" t="s">
        <v>4609</v>
      </c>
      <c r="C1735" s="208" t="s">
        <v>4609</v>
      </c>
      <c r="D1735" s="208" t="s">
        <v>4609</v>
      </c>
    </row>
    <row r="1736" spans="1:4" ht="27.6" x14ac:dyDescent="0.3">
      <c r="A1736" s="202" t="s">
        <v>4610</v>
      </c>
      <c r="B1736" s="202" t="s">
        <v>4611</v>
      </c>
      <c r="C1736" s="201" t="s">
        <v>4612</v>
      </c>
      <c r="D1736" s="202" t="s">
        <v>4610</v>
      </c>
    </row>
    <row r="1737" spans="1:4" ht="27.6" x14ac:dyDescent="0.3">
      <c r="A1737" s="202" t="s">
        <v>4613</v>
      </c>
      <c r="B1737" s="202" t="s">
        <v>4614</v>
      </c>
      <c r="C1737" s="201" t="s">
        <v>4612</v>
      </c>
      <c r="D1737" s="202" t="s">
        <v>4613</v>
      </c>
    </row>
    <row r="1738" spans="1:4" ht="69" x14ac:dyDescent="0.3">
      <c r="A1738" s="202" t="s">
        <v>4615</v>
      </c>
      <c r="B1738" s="202" t="s">
        <v>4616</v>
      </c>
      <c r="C1738" s="201" t="s">
        <v>4612</v>
      </c>
      <c r="D1738" s="202" t="s">
        <v>4615</v>
      </c>
    </row>
    <row r="1739" spans="1:4" ht="82.8" x14ac:dyDescent="0.3">
      <c r="A1739" s="202" t="s">
        <v>4617</v>
      </c>
      <c r="B1739" s="202" t="s">
        <v>4618</v>
      </c>
      <c r="C1739" s="201" t="s">
        <v>4612</v>
      </c>
      <c r="D1739" s="202" t="s">
        <v>4617</v>
      </c>
    </row>
    <row r="1740" spans="1:4" ht="110.4" x14ac:dyDescent="0.3">
      <c r="A1740" s="202" t="s">
        <v>4619</v>
      </c>
      <c r="B1740" s="202" t="s">
        <v>4620</v>
      </c>
      <c r="C1740" s="201" t="s">
        <v>4612</v>
      </c>
      <c r="D1740" s="202" t="s">
        <v>4619</v>
      </c>
    </row>
    <row r="1741" spans="1:4" ht="124.2" x14ac:dyDescent="0.3">
      <c r="A1741" s="202" t="s">
        <v>4621</v>
      </c>
      <c r="B1741" s="202" t="s">
        <v>4622</v>
      </c>
      <c r="C1741" s="201" t="s">
        <v>4612</v>
      </c>
      <c r="D1741" s="202" t="s">
        <v>4621</v>
      </c>
    </row>
    <row r="1742" spans="1:4" ht="82.8" x14ac:dyDescent="0.3">
      <c r="A1742" s="202" t="s">
        <v>4623</v>
      </c>
      <c r="B1742" s="202" t="s">
        <v>4624</v>
      </c>
      <c r="C1742" s="201" t="s">
        <v>4612</v>
      </c>
      <c r="D1742" s="202" t="s">
        <v>4623</v>
      </c>
    </row>
    <row r="1743" spans="1:4" ht="124.2" x14ac:dyDescent="0.3">
      <c r="A1743" s="202" t="s">
        <v>4625</v>
      </c>
      <c r="B1743" s="202" t="s">
        <v>4626</v>
      </c>
      <c r="C1743" s="201" t="s">
        <v>4612</v>
      </c>
      <c r="D1743" s="202" t="s">
        <v>4625</v>
      </c>
    </row>
    <row r="1744" spans="1:4" ht="124.2" x14ac:dyDescent="0.3">
      <c r="A1744" s="202" t="s">
        <v>4627</v>
      </c>
      <c r="B1744" s="202" t="s">
        <v>4628</v>
      </c>
      <c r="C1744" s="201" t="s">
        <v>4612</v>
      </c>
      <c r="D1744" s="202" t="s">
        <v>4627</v>
      </c>
    </row>
    <row r="1745" spans="1:4" ht="82.8" x14ac:dyDescent="0.3">
      <c r="A1745" s="202" t="s">
        <v>4629</v>
      </c>
      <c r="B1745" s="202" t="s">
        <v>4630</v>
      </c>
      <c r="C1745" s="201" t="s">
        <v>4612</v>
      </c>
      <c r="D1745" s="202" t="s">
        <v>4629</v>
      </c>
    </row>
    <row r="1746" spans="1:4" ht="82.8" x14ac:dyDescent="0.3">
      <c r="A1746" s="202" t="s">
        <v>4631</v>
      </c>
      <c r="B1746" s="202" t="s">
        <v>4632</v>
      </c>
      <c r="C1746" s="201" t="s">
        <v>4612</v>
      </c>
      <c r="D1746" s="202" t="s">
        <v>4631</v>
      </c>
    </row>
    <row r="1747" spans="1:4" ht="124.2" x14ac:dyDescent="0.3">
      <c r="A1747" s="202" t="s">
        <v>4633</v>
      </c>
      <c r="B1747" s="202" t="s">
        <v>4634</v>
      </c>
      <c r="C1747" s="201" t="s">
        <v>4612</v>
      </c>
      <c r="D1747" s="202" t="s">
        <v>4633</v>
      </c>
    </row>
    <row r="1748" spans="1:4" ht="124.2" x14ac:dyDescent="0.3">
      <c r="A1748" s="202" t="s">
        <v>4635</v>
      </c>
      <c r="B1748" s="202" t="s">
        <v>4636</v>
      </c>
      <c r="C1748" s="201" t="s">
        <v>4612</v>
      </c>
      <c r="D1748" s="202" t="s">
        <v>4635</v>
      </c>
    </row>
    <row r="1749" spans="1:4" ht="82.8" x14ac:dyDescent="0.3">
      <c r="A1749" s="202" t="s">
        <v>4637</v>
      </c>
      <c r="B1749" s="202" t="s">
        <v>4638</v>
      </c>
      <c r="C1749" s="201" t="s">
        <v>4612</v>
      </c>
      <c r="D1749" s="202" t="s">
        <v>4637</v>
      </c>
    </row>
    <row r="1750" spans="1:4" ht="82.8" x14ac:dyDescent="0.3">
      <c r="A1750" s="202" t="s">
        <v>4637</v>
      </c>
      <c r="B1750" s="202" t="s">
        <v>4639</v>
      </c>
      <c r="C1750" s="201" t="s">
        <v>4612</v>
      </c>
      <c r="D1750" s="202" t="s">
        <v>4637</v>
      </c>
    </row>
    <row r="1751" spans="1:4" ht="124.2" x14ac:dyDescent="0.3">
      <c r="A1751" s="202" t="s">
        <v>4640</v>
      </c>
      <c r="B1751" s="202" t="s">
        <v>4641</v>
      </c>
      <c r="C1751" s="201" t="s">
        <v>4612</v>
      </c>
      <c r="D1751" s="202" t="s">
        <v>4640</v>
      </c>
    </row>
    <row r="1752" spans="1:4" ht="41.4" x14ac:dyDescent="0.3">
      <c r="A1752" s="202" t="s">
        <v>4642</v>
      </c>
      <c r="B1752" s="202" t="s">
        <v>4643</v>
      </c>
      <c r="C1752" s="201" t="s">
        <v>4612</v>
      </c>
      <c r="D1752" s="202" t="s">
        <v>4642</v>
      </c>
    </row>
    <row r="1753" spans="1:4" ht="41.4" x14ac:dyDescent="0.3">
      <c r="A1753" s="202" t="s">
        <v>4644</v>
      </c>
      <c r="B1753" s="202" t="s">
        <v>4645</v>
      </c>
      <c r="C1753" s="201" t="s">
        <v>4612</v>
      </c>
      <c r="D1753" s="202" t="s">
        <v>4644</v>
      </c>
    </row>
    <row r="1754" spans="1:4" ht="41.4" x14ac:dyDescent="0.3">
      <c r="A1754" s="202" t="s">
        <v>4646</v>
      </c>
      <c r="B1754" s="202" t="s">
        <v>4647</v>
      </c>
      <c r="C1754" s="201" t="s">
        <v>4612</v>
      </c>
      <c r="D1754" s="202" t="s">
        <v>4646</v>
      </c>
    </row>
    <row r="1755" spans="1:4" ht="41.4" x14ac:dyDescent="0.3">
      <c r="A1755" s="202" t="s">
        <v>4648</v>
      </c>
      <c r="B1755" s="202" t="s">
        <v>4649</v>
      </c>
      <c r="C1755" s="201" t="s">
        <v>4612</v>
      </c>
      <c r="D1755" s="202" t="s">
        <v>4648</v>
      </c>
    </row>
    <row r="1756" spans="1:4" ht="27.6" x14ac:dyDescent="0.3">
      <c r="A1756" s="202" t="s">
        <v>4650</v>
      </c>
      <c r="B1756" s="202" t="s">
        <v>4651</v>
      </c>
      <c r="C1756" s="201" t="s">
        <v>4612</v>
      </c>
      <c r="D1756" s="202" t="s">
        <v>4650</v>
      </c>
    </row>
    <row r="1757" spans="1:4" ht="41.4" x14ac:dyDescent="0.3">
      <c r="A1757" s="202" t="s">
        <v>4652</v>
      </c>
      <c r="B1757" s="202" t="s">
        <v>4653</v>
      </c>
      <c r="C1757" s="201" t="s">
        <v>4612</v>
      </c>
      <c r="D1757" s="202" t="s">
        <v>4652</v>
      </c>
    </row>
    <row r="1758" spans="1:4" ht="41.4" x14ac:dyDescent="0.3">
      <c r="A1758" s="202" t="s">
        <v>4654</v>
      </c>
      <c r="B1758" s="202" t="s">
        <v>4655</v>
      </c>
      <c r="C1758" s="201" t="s">
        <v>4612</v>
      </c>
      <c r="D1758" s="202" t="s">
        <v>4654</v>
      </c>
    </row>
    <row r="1759" spans="1:4" ht="27.6" x14ac:dyDescent="0.3">
      <c r="A1759" s="202" t="s">
        <v>4656</v>
      </c>
      <c r="B1759" s="202" t="s">
        <v>4657</v>
      </c>
      <c r="C1759" s="201" t="s">
        <v>4612</v>
      </c>
      <c r="D1759" s="202" t="s">
        <v>4656</v>
      </c>
    </row>
    <row r="1760" spans="1:4" ht="27.6" x14ac:dyDescent="0.3">
      <c r="A1760" s="202" t="s">
        <v>4658</v>
      </c>
      <c r="B1760" s="202" t="s">
        <v>4659</v>
      </c>
      <c r="C1760" s="201" t="s">
        <v>4612</v>
      </c>
      <c r="D1760" s="202" t="s">
        <v>4658</v>
      </c>
    </row>
    <row r="1761" spans="1:4" ht="41.4" x14ac:dyDescent="0.3">
      <c r="A1761" s="202" t="s">
        <v>4660</v>
      </c>
      <c r="B1761" s="202" t="s">
        <v>4661</v>
      </c>
      <c r="C1761" s="201" t="s">
        <v>4612</v>
      </c>
      <c r="D1761" s="202" t="s">
        <v>4660</v>
      </c>
    </row>
    <row r="1762" spans="1:4" ht="55.2" x14ac:dyDescent="0.3">
      <c r="A1762" s="202" t="s">
        <v>4662</v>
      </c>
      <c r="B1762" s="202" t="s">
        <v>4663</v>
      </c>
      <c r="C1762" s="201" t="s">
        <v>4612</v>
      </c>
      <c r="D1762" s="202" t="s">
        <v>4662</v>
      </c>
    </row>
    <row r="1763" spans="1:4" ht="69" x14ac:dyDescent="0.3">
      <c r="A1763" s="202" t="s">
        <v>4664</v>
      </c>
      <c r="B1763" s="202" t="s">
        <v>4665</v>
      </c>
      <c r="C1763" s="201" t="s">
        <v>4612</v>
      </c>
      <c r="D1763" s="202" t="s">
        <v>4664</v>
      </c>
    </row>
    <row r="1764" spans="1:4" ht="69" x14ac:dyDescent="0.3">
      <c r="A1764" s="202" t="s">
        <v>4666</v>
      </c>
      <c r="B1764" s="202" t="s">
        <v>4667</v>
      </c>
      <c r="C1764" s="201" t="s">
        <v>4612</v>
      </c>
      <c r="D1764" s="202" t="s">
        <v>4666</v>
      </c>
    </row>
    <row r="1765" spans="1:4" ht="41.4" x14ac:dyDescent="0.3">
      <c r="A1765" s="202" t="s">
        <v>4668</v>
      </c>
      <c r="B1765" s="202" t="s">
        <v>4669</v>
      </c>
      <c r="C1765" s="201" t="s">
        <v>4612</v>
      </c>
      <c r="D1765" s="202" t="s">
        <v>4668</v>
      </c>
    </row>
    <row r="1766" spans="1:4" ht="27.6" x14ac:dyDescent="0.3">
      <c r="A1766" s="202" t="s">
        <v>4670</v>
      </c>
      <c r="B1766" s="202" t="s">
        <v>4671</v>
      </c>
      <c r="C1766" s="201" t="s">
        <v>4612</v>
      </c>
      <c r="D1766" s="202" t="s">
        <v>4670</v>
      </c>
    </row>
    <row r="1767" spans="1:4" ht="41.4" x14ac:dyDescent="0.3">
      <c r="A1767" s="202" t="s">
        <v>4672</v>
      </c>
      <c r="B1767" s="202" t="s">
        <v>4673</v>
      </c>
      <c r="C1767" s="201" t="s">
        <v>4612</v>
      </c>
      <c r="D1767" s="202" t="s">
        <v>4672</v>
      </c>
    </row>
    <row r="1768" spans="1:4" ht="41.4" x14ac:dyDescent="0.3">
      <c r="A1768" s="202" t="s">
        <v>4674</v>
      </c>
      <c r="B1768" s="202" t="s">
        <v>4675</v>
      </c>
      <c r="C1768" s="201" t="s">
        <v>4612</v>
      </c>
      <c r="D1768" s="202" t="s">
        <v>4674</v>
      </c>
    </row>
    <row r="1769" spans="1:4" ht="41.4" x14ac:dyDescent="0.3">
      <c r="A1769" s="202" t="s">
        <v>4676</v>
      </c>
      <c r="B1769" s="202" t="s">
        <v>4677</v>
      </c>
      <c r="C1769" s="201" t="s">
        <v>4612</v>
      </c>
      <c r="D1769" s="202" t="s">
        <v>4676</v>
      </c>
    </row>
    <row r="1770" spans="1:4" ht="41.4" x14ac:dyDescent="0.3">
      <c r="A1770" s="202" t="s">
        <v>4678</v>
      </c>
      <c r="B1770" s="202" t="s">
        <v>4679</v>
      </c>
      <c r="C1770" s="201" t="s">
        <v>4612</v>
      </c>
      <c r="D1770" s="202" t="s">
        <v>4678</v>
      </c>
    </row>
    <row r="1771" spans="1:4" ht="55.2" x14ac:dyDescent="0.3">
      <c r="A1771" s="202" t="s">
        <v>4680</v>
      </c>
      <c r="B1771" s="202" t="s">
        <v>4681</v>
      </c>
      <c r="C1771" s="201" t="s">
        <v>4612</v>
      </c>
      <c r="D1771" s="202" t="s">
        <v>4680</v>
      </c>
    </row>
    <row r="1772" spans="1:4" ht="55.2" x14ac:dyDescent="0.3">
      <c r="A1772" s="202" t="s">
        <v>4682</v>
      </c>
      <c r="B1772" s="202" t="s">
        <v>4683</v>
      </c>
      <c r="C1772" s="201" t="s">
        <v>4612</v>
      </c>
      <c r="D1772" s="202" t="s">
        <v>4682</v>
      </c>
    </row>
    <row r="1773" spans="1:4" ht="27.6" x14ac:dyDescent="0.3">
      <c r="A1773" s="202" t="s">
        <v>4684</v>
      </c>
      <c r="B1773" s="202" t="s">
        <v>4685</v>
      </c>
      <c r="C1773" s="201" t="s">
        <v>4612</v>
      </c>
      <c r="D1773" s="202" t="s">
        <v>4684</v>
      </c>
    </row>
    <row r="1774" spans="1:4" ht="27.6" x14ac:dyDescent="0.3">
      <c r="A1774" s="202" t="s">
        <v>4686</v>
      </c>
      <c r="B1774" s="202" t="s">
        <v>4687</v>
      </c>
      <c r="C1774" s="201" t="s">
        <v>4612</v>
      </c>
      <c r="D1774" s="202" t="s">
        <v>4686</v>
      </c>
    </row>
    <row r="1775" spans="1:4" ht="27.6" x14ac:dyDescent="0.3">
      <c r="A1775" s="202" t="s">
        <v>4688</v>
      </c>
      <c r="B1775" s="202" t="s">
        <v>4689</v>
      </c>
      <c r="C1775" s="201" t="s">
        <v>4612</v>
      </c>
      <c r="D1775" s="202" t="s">
        <v>4688</v>
      </c>
    </row>
    <row r="1776" spans="1:4" ht="27.6" x14ac:dyDescent="0.3">
      <c r="A1776" s="202" t="s">
        <v>4690</v>
      </c>
      <c r="B1776" s="202" t="s">
        <v>4691</v>
      </c>
      <c r="C1776" s="201" t="s">
        <v>4612</v>
      </c>
      <c r="D1776" s="202" t="s">
        <v>4690</v>
      </c>
    </row>
    <row r="1777" spans="1:4" ht="41.4" x14ac:dyDescent="0.3">
      <c r="A1777" s="202" t="s">
        <v>4692</v>
      </c>
      <c r="B1777" s="202" t="s">
        <v>4693</v>
      </c>
      <c r="C1777" s="201" t="s">
        <v>4612</v>
      </c>
      <c r="D1777" s="202" t="s">
        <v>4692</v>
      </c>
    </row>
    <row r="1778" spans="1:4" ht="55.2" x14ac:dyDescent="0.3">
      <c r="A1778" s="202" t="s">
        <v>4694</v>
      </c>
      <c r="B1778" s="202" t="s">
        <v>4695</v>
      </c>
      <c r="C1778" s="201" t="s">
        <v>4612</v>
      </c>
      <c r="D1778" s="202" t="s">
        <v>4694</v>
      </c>
    </row>
    <row r="1779" spans="1:4" ht="55.2" x14ac:dyDescent="0.3">
      <c r="A1779" s="202" t="s">
        <v>4696</v>
      </c>
      <c r="B1779" s="202" t="s">
        <v>4697</v>
      </c>
      <c r="C1779" s="201" t="s">
        <v>4612</v>
      </c>
      <c r="D1779" s="202" t="s">
        <v>4696</v>
      </c>
    </row>
    <row r="1780" spans="1:4" ht="27.6" x14ac:dyDescent="0.3">
      <c r="A1780" s="202" t="s">
        <v>4698</v>
      </c>
      <c r="B1780" s="202" t="s">
        <v>4699</v>
      </c>
      <c r="C1780" s="201" t="s">
        <v>4612</v>
      </c>
      <c r="D1780" s="202" t="s">
        <v>4698</v>
      </c>
    </row>
    <row r="1781" spans="1:4" ht="41.4" x14ac:dyDescent="0.3">
      <c r="A1781" s="202" t="s">
        <v>4700</v>
      </c>
      <c r="B1781" s="202" t="s">
        <v>4701</v>
      </c>
      <c r="C1781" s="201" t="s">
        <v>4612</v>
      </c>
      <c r="D1781" s="202" t="s">
        <v>4700</v>
      </c>
    </row>
    <row r="1782" spans="1:4" ht="41.4" x14ac:dyDescent="0.3">
      <c r="A1782" s="202" t="s">
        <v>4702</v>
      </c>
      <c r="B1782" s="202" t="s">
        <v>4703</v>
      </c>
      <c r="C1782" s="201" t="s">
        <v>4612</v>
      </c>
      <c r="D1782" s="202" t="s">
        <v>4702</v>
      </c>
    </row>
    <row r="1783" spans="1:4" ht="55.2" x14ac:dyDescent="0.3">
      <c r="A1783" s="202" t="s">
        <v>4704</v>
      </c>
      <c r="B1783" s="202" t="s">
        <v>4705</v>
      </c>
      <c r="C1783" s="201" t="s">
        <v>4612</v>
      </c>
      <c r="D1783" s="202" t="s">
        <v>4704</v>
      </c>
    </row>
    <row r="1784" spans="1:4" ht="41.4" x14ac:dyDescent="0.3">
      <c r="A1784" s="202" t="s">
        <v>4706</v>
      </c>
      <c r="B1784" s="202" t="s">
        <v>4707</v>
      </c>
      <c r="C1784" s="201" t="s">
        <v>4612</v>
      </c>
      <c r="D1784" s="202" t="s">
        <v>4706</v>
      </c>
    </row>
    <row r="1785" spans="1:4" ht="69" x14ac:dyDescent="0.3">
      <c r="A1785" s="202" t="s">
        <v>4708</v>
      </c>
      <c r="B1785" s="202" t="s">
        <v>4709</v>
      </c>
      <c r="C1785" s="201" t="s">
        <v>4612</v>
      </c>
      <c r="D1785" s="202" t="s">
        <v>4708</v>
      </c>
    </row>
    <row r="1786" spans="1:4" ht="27.6" x14ac:dyDescent="0.3">
      <c r="A1786" s="202" t="s">
        <v>4710</v>
      </c>
      <c r="B1786" s="202" t="s">
        <v>4711</v>
      </c>
      <c r="C1786" s="201" t="s">
        <v>4612</v>
      </c>
      <c r="D1786" s="202" t="s">
        <v>4710</v>
      </c>
    </row>
    <row r="1787" spans="1:4" ht="55.2" x14ac:dyDescent="0.3">
      <c r="A1787" s="202" t="s">
        <v>4712</v>
      </c>
      <c r="B1787" s="202" t="s">
        <v>4713</v>
      </c>
      <c r="C1787" s="201" t="s">
        <v>4612</v>
      </c>
      <c r="D1787" s="202" t="s">
        <v>4712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515-6F76-4AF5-8563-A3157CB3CD56}">
  <sheetPr codeName="Лист9"/>
  <dimension ref="A1:I17"/>
  <sheetViews>
    <sheetView showGridLines="0" topLeftCell="A11" workbookViewId="0">
      <selection activeCell="H17" sqref="H17"/>
    </sheetView>
  </sheetViews>
  <sheetFormatPr defaultRowHeight="14.4" outlineLevelCol="1" x14ac:dyDescent="0.3"/>
  <cols>
    <col min="1" max="1" width="4.6640625" customWidth="1"/>
    <col min="2" max="2" width="26.88671875" customWidth="1"/>
    <col min="3" max="3" width="17.44140625" customWidth="1"/>
    <col min="4" max="4" width="22.5546875" customWidth="1"/>
    <col min="5" max="5" width="9.109375" customWidth="1" outlineLevel="1"/>
    <col min="6" max="6" width="32.33203125" customWidth="1"/>
    <col min="7" max="7" width="11.5546875" customWidth="1"/>
    <col min="8" max="8" width="101.109375" customWidth="1"/>
  </cols>
  <sheetData>
    <row r="1" spans="1:9" x14ac:dyDescent="0.3">
      <c r="A1" s="195"/>
      <c r="B1" s="415" t="s">
        <v>4714</v>
      </c>
      <c r="C1" s="415"/>
      <c r="D1" s="415"/>
      <c r="E1" s="415"/>
      <c r="F1" s="415"/>
      <c r="G1" s="415"/>
    </row>
    <row r="2" spans="1:9" ht="20.25" customHeight="1" x14ac:dyDescent="0.3">
      <c r="A2" s="380" t="s">
        <v>4715</v>
      </c>
      <c r="B2" s="380" t="s">
        <v>4716</v>
      </c>
      <c r="C2" s="380" t="s">
        <v>83</v>
      </c>
      <c r="D2" s="380" t="s">
        <v>82</v>
      </c>
      <c r="E2" s="380" t="s">
        <v>4717</v>
      </c>
      <c r="F2" s="380" t="s">
        <v>4718</v>
      </c>
      <c r="G2" s="380" t="s">
        <v>4719</v>
      </c>
      <c r="H2" s="380" t="s">
        <v>4720</v>
      </c>
    </row>
    <row r="3" spans="1:9" ht="55.8" x14ac:dyDescent="0.3">
      <c r="A3" s="375">
        <v>1</v>
      </c>
      <c r="B3" s="376" t="str" cm="1">
        <f t="array" ref="B3:B17">_xlfn.XLOOKUP(_xlfn.ANCHORARRAY(G3),СводПТ[Прирост ПТ (21/БГ),%],СводПТ[Наименование предприятия])</f>
        <v>ООО "Ромодановосахар"</v>
      </c>
      <c r="C3" s="377" t="str" cm="1">
        <f t="array" ref="C3:C17">_xlfn.XLOOKUP(_xlfn.ANCHORARRAY(G3),СводПТ[Прирост ПТ (21/БГ),%],СводПТ[РМР])</f>
        <v>Гусаров Владимир</v>
      </c>
      <c r="D3" s="377" t="str" cm="1">
        <f t="array" ref="D3:D17">_xlfn.XLOOKUP(_xlfn.ANCHORARRAY(G3),СводПТ[Прирост ПТ (21/БГ),%],СводПТ[Регион])</f>
        <v>Республика Мордовия</v>
      </c>
      <c r="E3" s="378" t="str" cm="1">
        <f t="array" ref="E3:E17">_xlfn.XLOOKUP(_xlfn.ANCHORARRAY(G3),СводПТ[Прирост ПТ (21/БГ),%],СводПТ[Код основного вида деятельности])</f>
        <v>10.81</v>
      </c>
      <c r="F3" s="376" t="str" cm="1">
        <f t="array" ref="F3:F17">_xlfn.XLOOKUP(_xlfn.ANCHORARRAY(E3),Справочник!B:B,Справочник!D:D)</f>
        <v>Производство сахара</v>
      </c>
      <c r="G3" s="379" cm="1">
        <f t="array" ref="G3:G17">_xlfn._xlws.SORT(_xlfn._xlws.FILTER(СводПТ[Прирост ПТ (21/БГ),%],СводПТ[Прирост ПТ (21/БГ),%]&gt;=LARGE(СводПТ[Прирост ПТ (21/БГ),%],15)),1,-1)</f>
        <v>741.93482967308614</v>
      </c>
      <c r="H3" s="381" t="s">
        <v>4721</v>
      </c>
    </row>
    <row r="4" spans="1:9" ht="111" x14ac:dyDescent="0.3">
      <c r="A4" s="375">
        <v>2</v>
      </c>
      <c r="B4" s="376" t="str">
        <v>АО "Алтайский завод сельскохозяйственного машиностроения"</v>
      </c>
      <c r="C4" s="377" t="str">
        <v>Шурыгин Сергей</v>
      </c>
      <c r="D4" s="377" t="str">
        <v>Алтайский край</v>
      </c>
      <c r="E4" s="378" t="str">
        <v>28.30.3</v>
      </c>
      <c r="F4" s="376" t="str">
        <v>Производство машин и сельскохозяйственного оборудования для обработки почвы</v>
      </c>
      <c r="G4" s="379">
        <v>21.085651102657579</v>
      </c>
      <c r="H4" s="381" t="s">
        <v>4722</v>
      </c>
      <c r="I4" s="331"/>
    </row>
    <row r="5" spans="1:9" ht="55.8" x14ac:dyDescent="0.3">
      <c r="A5" s="375">
        <v>3</v>
      </c>
      <c r="B5" s="376" t="str">
        <v>АО "Биохимик"</v>
      </c>
      <c r="C5" s="377" t="str">
        <v>Гусаров Владимир</v>
      </c>
      <c r="D5" s="377" t="str">
        <v>Республика Мордовия</v>
      </c>
      <c r="E5" s="378" t="str">
        <v>21.10</v>
      </c>
      <c r="F5" s="376" t="str">
        <v>Производство фармацевтических субстанций</v>
      </c>
      <c r="G5" s="379">
        <v>14.702351366683089</v>
      </c>
      <c r="H5" s="381" t="s">
        <v>4723</v>
      </c>
      <c r="I5" s="331"/>
    </row>
    <row r="6" spans="1:9" ht="55.8" x14ac:dyDescent="0.3">
      <c r="A6" s="375">
        <v>4</v>
      </c>
      <c r="B6" s="376" t="str">
        <v>ООО "Сергиево-Посадский ЗСМК"</v>
      </c>
      <c r="C6" s="377" t="str">
        <v>Лапшин Виталий</v>
      </c>
      <c r="D6" s="377" t="str">
        <v>Московская область</v>
      </c>
      <c r="E6" s="378" t="str">
        <v>23.12</v>
      </c>
      <c r="F6" s="376" t="str">
        <v>Формирование и обработка листового стекла</v>
      </c>
      <c r="G6" s="379">
        <v>12.864951038917443</v>
      </c>
      <c r="H6" s="381" t="s">
        <v>4724</v>
      </c>
    </row>
    <row r="7" spans="1:9" ht="41.4" x14ac:dyDescent="0.3">
      <c r="A7" s="375">
        <v>5</v>
      </c>
      <c r="B7" s="376" t="str">
        <v>ООО "СЗ ОДСК Липецк"</v>
      </c>
      <c r="C7" s="377" t="str">
        <v>Пешев Игорь</v>
      </c>
      <c r="D7" s="377" t="str">
        <v>Липецкая область</v>
      </c>
      <c r="E7" s="378" t="str">
        <v>41.20</v>
      </c>
      <c r="F7" s="376" t="str">
        <v>Строительство жилых и нежилых зданий</v>
      </c>
      <c r="G7" s="379">
        <v>8.7476868311028557</v>
      </c>
      <c r="H7" s="382" t="s">
        <v>4725</v>
      </c>
    </row>
    <row r="8" spans="1:9" ht="69" x14ac:dyDescent="0.3">
      <c r="A8" s="375">
        <v>6</v>
      </c>
      <c r="B8" s="376" t="str">
        <v>ООО "Павловский деревообрабатывающий комбинат"</v>
      </c>
      <c r="C8" s="377" t="str">
        <v>Шурыгин Сергей</v>
      </c>
      <c r="D8" s="377" t="str">
        <v>Алтайский край</v>
      </c>
      <c r="E8" s="378" t="str">
        <v>16.21.1</v>
      </c>
      <c r="F8" s="376" t="str">
        <v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v>
      </c>
      <c r="G8" s="379">
        <v>6.8649802591966402</v>
      </c>
      <c r="H8" s="382" t="s">
        <v>4726</v>
      </c>
      <c r="I8" s="331"/>
    </row>
    <row r="9" spans="1:9" ht="41.4" x14ac:dyDescent="0.3">
      <c r="A9" s="375">
        <v>7</v>
      </c>
      <c r="B9" s="376" t="str">
        <v>ООО ПК "Сибиряк"</v>
      </c>
      <c r="C9" s="377" t="str">
        <v>Шурыгин Сергей</v>
      </c>
      <c r="D9" s="377" t="str">
        <v>Алтайский край</v>
      </c>
      <c r="E9" s="378" t="str">
        <v>10.61.3</v>
      </c>
      <c r="F9" s="376" t="str">
        <v>Производство крупы и гранул из зерновых культур</v>
      </c>
      <c r="G9" s="379">
        <v>5.4770431027991853</v>
      </c>
      <c r="H9" s="382" t="s">
        <v>4727</v>
      </c>
      <c r="I9" s="331"/>
    </row>
    <row r="10" spans="1:9" ht="55.2" x14ac:dyDescent="0.3">
      <c r="A10" s="375">
        <v>8</v>
      </c>
      <c r="B10" s="376" t="str">
        <v>ООО "Корпорация Красный Октябрь"</v>
      </c>
      <c r="C10" s="377" t="str">
        <v>Пешев Игорь</v>
      </c>
      <c r="D10" s="377" t="str">
        <v>Волгоградская область</v>
      </c>
      <c r="E10" s="378" t="str">
        <v>24.10.2</v>
      </c>
      <c r="F10" s="376" t="str">
        <v>Производство стали в слитках</v>
      </c>
      <c r="G10" s="379">
        <v>4.5299165411543809</v>
      </c>
      <c r="H10" s="382" t="s">
        <v>4728</v>
      </c>
      <c r="I10" s="331"/>
    </row>
    <row r="11" spans="1:9" ht="82.8" x14ac:dyDescent="0.3">
      <c r="A11" s="375">
        <v>9</v>
      </c>
      <c r="B11" s="376" t="str">
        <v>ООО "СФК"</v>
      </c>
      <c r="C11" s="377" t="str">
        <v>Шурыгин Сергей</v>
      </c>
      <c r="D11" s="377" t="str">
        <v>Алтайский край</v>
      </c>
      <c r="E11" s="378" t="str">
        <v>16.21.1</v>
      </c>
      <c r="F11" s="376" t="str">
        <v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v>
      </c>
      <c r="G11" s="379">
        <v>4.1142112694965247</v>
      </c>
      <c r="H11" s="382" t="s">
        <v>4729</v>
      </c>
      <c r="I11" s="331"/>
    </row>
    <row r="12" spans="1:9" ht="41.4" x14ac:dyDescent="0.3">
      <c r="A12" s="375">
        <v>10</v>
      </c>
      <c r="B12" s="376" t="str">
        <v>АО "Ярославское АТП"</v>
      </c>
      <c r="C12" s="377" t="str">
        <v>Гусаров Владимир</v>
      </c>
      <c r="D12" s="377" t="str">
        <v>Ярославская область</v>
      </c>
      <c r="E12" s="378" t="str">
        <v>49.31.21</v>
      </c>
      <c r="F12" s="376" t="str">
        <v>Регулярные перевозки пассажиров автобусами в городском и пригородном сообщении</v>
      </c>
      <c r="G12" s="379">
        <v>3.0547226977262891</v>
      </c>
      <c r="H12" s="382" t="s">
        <v>4730</v>
      </c>
    </row>
    <row r="13" spans="1:9" ht="27.6" x14ac:dyDescent="0.3">
      <c r="A13" s="375">
        <v>11</v>
      </c>
      <c r="B13" s="376" t="str">
        <v>ООО ИСК Будмар</v>
      </c>
      <c r="C13" s="377" t="str">
        <v>Пешев Игорь</v>
      </c>
      <c r="D13" s="377" t="str">
        <v>Краснодарский край</v>
      </c>
      <c r="E13" s="378" t="str">
        <v>41.20</v>
      </c>
      <c r="F13" s="376" t="str">
        <v>Строительство жилых и нежилых зданий</v>
      </c>
      <c r="G13" s="379">
        <v>2.8666301459862233</v>
      </c>
      <c r="H13" s="382"/>
    </row>
    <row r="14" spans="1:9" ht="41.4" x14ac:dyDescent="0.3">
      <c r="A14" s="375">
        <v>12</v>
      </c>
      <c r="B14" s="376" t="str">
        <v>ООО "Озерский завод энергоустановок"</v>
      </c>
      <c r="C14" s="377" t="str">
        <v>Гусаров Владимир</v>
      </c>
      <c r="D14" s="377" t="str">
        <v>Челябинская область</v>
      </c>
      <c r="E14" s="378" t="str">
        <v>27.12</v>
      </c>
      <c r="F14" s="376" t="str">
        <v>Производство электрической распределительной и регулирующей аппаратуры</v>
      </c>
      <c r="G14" s="379">
        <v>2.7716439024164927</v>
      </c>
      <c r="H14" s="382"/>
    </row>
    <row r="15" spans="1:9" ht="41.4" x14ac:dyDescent="0.3">
      <c r="A15" s="375">
        <v>13</v>
      </c>
      <c r="B15" s="376" t="str">
        <v>ОАО Пятигорский завод Импульс</v>
      </c>
      <c r="C15" s="377" t="str">
        <v>Шурыгин Сергей</v>
      </c>
      <c r="D15" s="377" t="str">
        <v>Ставропольский край</v>
      </c>
      <c r="E15" s="378" t="str">
        <v>26.51</v>
      </c>
      <c r="F15" s="376" t="str">
        <v>Производство инструментов и приборов для измерения, тестирования и навигации</v>
      </c>
      <c r="G15" s="379">
        <v>2.7068332133914139</v>
      </c>
      <c r="H15" s="382"/>
    </row>
    <row r="16" spans="1:9" ht="27.6" x14ac:dyDescent="0.3">
      <c r="A16" s="375">
        <v>14</v>
      </c>
      <c r="B16" s="376" t="str">
        <v>ООО "Кубаньмасло - Ефремовский маслозавод"</v>
      </c>
      <c r="C16" s="377" t="str">
        <v>Пешев Игорь</v>
      </c>
      <c r="D16" s="377" t="str">
        <v>Тульская область</v>
      </c>
      <c r="E16" s="378" t="str">
        <v>10.41</v>
      </c>
      <c r="F16" s="376" t="str">
        <v>Производство масел и жиров</v>
      </c>
      <c r="G16" s="379">
        <v>2.6231047272354715</v>
      </c>
      <c r="H16" s="382"/>
    </row>
    <row r="17" spans="1:8" ht="124.2" x14ac:dyDescent="0.3">
      <c r="A17" s="375">
        <v>15</v>
      </c>
      <c r="B17" s="376" t="str">
        <v>АО "ПКС"</v>
      </c>
      <c r="C17" s="377" t="str">
        <v>Пешев Игорь</v>
      </c>
      <c r="D17" s="377" t="str">
        <v>Сахалинская область</v>
      </c>
      <c r="E17" s="378" t="str">
        <v>49.31</v>
      </c>
      <c r="F17" s="376" t="str">
        <v>Деятельность сухопутного пассажирского транспорта: перевозки пассажиров в городском и пригородном сообщении</v>
      </c>
      <c r="G17" s="379">
        <v>2.6109834330547863</v>
      </c>
      <c r="H17" s="382" t="s">
        <v>4731</v>
      </c>
    </row>
  </sheetData>
  <mergeCells count="1">
    <mergeCell ref="B1:G1"/>
  </mergeCells>
  <conditionalFormatting sqref="G4:G17">
    <cfRule type="dataBar" priority="1">
      <dataBar>
        <cfvo type="min"/>
        <cfvo type="max"/>
        <color rgb="FF0073CF"/>
      </dataBar>
      <extLst>
        <ext xmlns:x14="http://schemas.microsoft.com/office/spreadsheetml/2009/9/main" uri="{B025F937-C7B1-47D3-B67F-A62EFF666E3E}">
          <x14:id>{86A56B99-8F0C-4574-9F1F-2B28DAF8AB99}</x14:id>
        </ext>
      </extLst>
    </cfRule>
  </conditionalFormatting>
  <conditionalFormatting sqref="G3">
    <cfRule type="dataBar" priority="3">
      <dataBar>
        <cfvo type="min"/>
        <cfvo type="max"/>
        <color rgb="FF0073CF"/>
      </dataBar>
      <extLst>
        <ext xmlns:x14="http://schemas.microsoft.com/office/spreadsheetml/2009/9/main" uri="{B025F937-C7B1-47D3-B67F-A62EFF666E3E}">
          <x14:id>{311D9D3E-DB18-495F-8B5D-543D5C28BF84}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56B99-8F0C-4574-9F1F-2B28DAF8AB99}">
            <x14:dataBar minLength="0" maxLength="100" border="1" negativeBarBorderColorSameAsPositive="0">
              <x14:cfvo type="autoMin"/>
              <x14:cfvo type="autoMax"/>
              <x14:borderColor rgb="FF1B68A8"/>
              <x14:negativeFillColor rgb="FFFF0000"/>
              <x14:negativeBorderColor rgb="FFFF0000"/>
              <x14:axisColor rgb="FF000000"/>
            </x14:dataBar>
          </x14:cfRule>
          <xm:sqref>G4:G17</xm:sqref>
        </x14:conditionalFormatting>
        <x14:conditionalFormatting xmlns:xm="http://schemas.microsoft.com/office/excel/2006/main">
          <x14:cfRule type="dataBar" id="{311D9D3E-DB18-495F-8B5D-543D5C28BF84}">
            <x14:dataBar minLength="0" maxLength="100" border="1" negativeBarBorderColorSameAsPositive="0">
              <x14:cfvo type="autoMin"/>
              <x14:cfvo type="autoMax"/>
              <x14:borderColor rgb="FF1B68A8"/>
              <x14:negativeFillColor rgb="FFFF0000"/>
              <x14:negativeBorderColor rgb="FFFF0000"/>
              <x14:axisColor rgb="FF000000"/>
            </x14:dataBar>
          </x14:cfRule>
          <xm:sqref>G3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6713-1720-4B4C-AB4E-75630A45F409}">
  <sheetPr codeName="Лист10">
    <tabColor rgb="FFC00000"/>
  </sheetPr>
  <dimension ref="A1:N13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9" sqref="I19"/>
    </sheetView>
  </sheetViews>
  <sheetFormatPr defaultRowHeight="14.4" x14ac:dyDescent="0.3"/>
  <cols>
    <col min="1" max="1" width="18" bestFit="1" customWidth="1"/>
    <col min="2" max="2" width="33.44140625" customWidth="1"/>
    <col min="3" max="3" width="12" bestFit="1" customWidth="1"/>
    <col min="4" max="4" width="22.5546875" customWidth="1"/>
    <col min="6" max="6" width="10.6640625" customWidth="1"/>
    <col min="7" max="9" width="10.6640625" style="19" customWidth="1"/>
    <col min="10" max="10" width="60.33203125" style="19" customWidth="1"/>
    <col min="11" max="11" width="7.6640625" customWidth="1"/>
    <col min="12" max="12" width="32.5546875" customWidth="1"/>
    <col min="13" max="14" width="21.6640625" customWidth="1"/>
  </cols>
  <sheetData>
    <row r="1" spans="1:14" ht="52.8" x14ac:dyDescent="0.3">
      <c r="A1" s="90" t="s">
        <v>82</v>
      </c>
      <c r="B1" s="90" t="s">
        <v>83</v>
      </c>
      <c r="C1" s="98" t="s">
        <v>79</v>
      </c>
      <c r="D1" s="86" t="s">
        <v>4716</v>
      </c>
      <c r="E1" s="86" t="s">
        <v>4732</v>
      </c>
      <c r="F1" s="86" t="s">
        <v>4733</v>
      </c>
      <c r="G1" s="91" t="s">
        <v>4734</v>
      </c>
      <c r="H1" s="91" t="s">
        <v>4735</v>
      </c>
      <c r="I1" s="91" t="s">
        <v>4736</v>
      </c>
      <c r="J1" s="86" t="s">
        <v>4720</v>
      </c>
      <c r="L1" s="87" t="str">
        <f>"Всего должников: "&amp;COUNTA(A:A)-1</f>
        <v>Всего должников: 7</v>
      </c>
    </row>
    <row r="2" spans="1:14" ht="90" customHeight="1" x14ac:dyDescent="0.3">
      <c r="A2" s="147" t="s">
        <v>4737</v>
      </c>
      <c r="B2" s="241" t="s">
        <v>1108</v>
      </c>
      <c r="C2" s="242" t="s">
        <v>4738</v>
      </c>
      <c r="D2" s="147" t="s">
        <v>4739</v>
      </c>
      <c r="E2" s="102">
        <v>2019</v>
      </c>
      <c r="F2" s="105" t="s">
        <v>4740</v>
      </c>
      <c r="G2" s="105" t="s">
        <v>4741</v>
      </c>
      <c r="H2" s="105" t="s">
        <v>4742</v>
      </c>
      <c r="I2" s="105" t="s">
        <v>4743</v>
      </c>
      <c r="J2" s="147"/>
      <c r="L2" s="143" t="s">
        <v>4744</v>
      </c>
      <c r="M2" s="100"/>
    </row>
    <row r="3" spans="1:14" ht="78" customHeight="1" x14ac:dyDescent="0.3">
      <c r="A3" s="243" t="s">
        <v>4737</v>
      </c>
      <c r="B3" s="244" t="s">
        <v>1108</v>
      </c>
      <c r="C3" s="245" t="s">
        <v>4745</v>
      </c>
      <c r="D3" s="243" t="s">
        <v>4746</v>
      </c>
      <c r="E3" s="104">
        <v>2019</v>
      </c>
      <c r="F3" s="104" t="s">
        <v>4740</v>
      </c>
      <c r="G3" s="104" t="s">
        <v>4741</v>
      </c>
      <c r="H3" s="104" t="s">
        <v>4742</v>
      </c>
      <c r="I3" s="145" t="s">
        <v>4743</v>
      </c>
      <c r="J3" s="146" t="s">
        <v>4747</v>
      </c>
      <c r="L3" s="141"/>
      <c r="M3" s="148" t="s">
        <v>4748</v>
      </c>
    </row>
    <row r="4" spans="1:14" ht="23.4" x14ac:dyDescent="0.3">
      <c r="A4" s="246"/>
      <c r="B4" s="247"/>
      <c r="C4" s="248"/>
      <c r="D4" s="246"/>
      <c r="E4" s="17"/>
      <c r="F4" s="17"/>
      <c r="G4" s="17"/>
      <c r="H4" s="17"/>
      <c r="I4" s="17"/>
      <c r="J4" s="16"/>
      <c r="L4" s="144"/>
    </row>
    <row r="5" spans="1:14" ht="100.8" x14ac:dyDescent="0.3">
      <c r="A5" s="243" t="s">
        <v>1118</v>
      </c>
      <c r="B5" s="244" t="s">
        <v>1117</v>
      </c>
      <c r="C5" s="249" t="s">
        <v>4749</v>
      </c>
      <c r="D5" s="243" t="s">
        <v>4750</v>
      </c>
      <c r="E5" s="103">
        <v>2018</v>
      </c>
      <c r="F5" s="104" t="s">
        <v>4740</v>
      </c>
      <c r="G5" s="104" t="s">
        <v>4741</v>
      </c>
      <c r="H5" s="104" t="s">
        <v>4742</v>
      </c>
      <c r="I5" s="104" t="s">
        <v>4743</v>
      </c>
      <c r="J5" s="32" t="s">
        <v>4751</v>
      </c>
      <c r="M5" s="148" t="s">
        <v>4752</v>
      </c>
      <c r="N5" s="148" t="s">
        <v>4748</v>
      </c>
    </row>
    <row r="6" spans="1:14" x14ac:dyDescent="0.3">
      <c r="A6" s="246"/>
      <c r="B6" s="247"/>
      <c r="C6" s="248"/>
      <c r="D6" s="246"/>
      <c r="E6" s="17"/>
      <c r="F6" s="17"/>
      <c r="G6" s="17"/>
      <c r="H6" s="17"/>
      <c r="I6" s="17"/>
      <c r="J6" s="16"/>
    </row>
    <row r="7" spans="1:14" ht="28.8" x14ac:dyDescent="0.3">
      <c r="A7" s="250" t="s">
        <v>1128</v>
      </c>
      <c r="B7" s="251" t="s">
        <v>1117</v>
      </c>
      <c r="C7" s="252" t="s">
        <v>4753</v>
      </c>
      <c r="D7" s="250" t="s">
        <v>4754</v>
      </c>
      <c r="E7" s="218">
        <v>2019</v>
      </c>
      <c r="F7" s="218">
        <v>2021</v>
      </c>
      <c r="G7" s="218" t="s">
        <v>4755</v>
      </c>
      <c r="H7" s="218" t="s">
        <v>4755</v>
      </c>
      <c r="I7" s="218" t="s">
        <v>4756</v>
      </c>
      <c r="J7" s="219" t="s">
        <v>4757</v>
      </c>
    </row>
    <row r="8" spans="1:14" x14ac:dyDescent="0.3">
      <c r="A8" s="246"/>
      <c r="B8" s="247"/>
      <c r="C8" s="253"/>
      <c r="D8" s="246"/>
      <c r="E8" s="17"/>
      <c r="F8" s="17"/>
      <c r="G8" s="17"/>
      <c r="H8" s="17"/>
      <c r="I8" s="216"/>
      <c r="J8" s="16"/>
    </row>
    <row r="9" spans="1:14" ht="72" x14ac:dyDescent="0.3">
      <c r="A9" s="147" t="s">
        <v>4758</v>
      </c>
      <c r="B9" s="254" t="s">
        <v>1140</v>
      </c>
      <c r="C9" s="242" t="s">
        <v>4759</v>
      </c>
      <c r="D9" s="147" t="s">
        <v>4760</v>
      </c>
      <c r="E9" s="102">
        <v>2018</v>
      </c>
      <c r="F9" s="102" t="s">
        <v>4740</v>
      </c>
      <c r="G9" s="102" t="s">
        <v>4755</v>
      </c>
      <c r="H9" s="102" t="s">
        <v>4742</v>
      </c>
      <c r="I9" s="102" t="s">
        <v>4743</v>
      </c>
      <c r="J9" s="34" t="s">
        <v>4761</v>
      </c>
      <c r="L9" s="101" t="s">
        <v>4762</v>
      </c>
    </row>
    <row r="10" spans="1:14" ht="28.8" x14ac:dyDescent="0.3">
      <c r="A10" s="147" t="s">
        <v>1143</v>
      </c>
      <c r="B10" s="254" t="s">
        <v>1140</v>
      </c>
      <c r="C10" s="242" t="s">
        <v>4763</v>
      </c>
      <c r="D10" s="147" t="s">
        <v>4764</v>
      </c>
      <c r="E10" s="102">
        <v>2019</v>
      </c>
      <c r="F10" s="102">
        <v>2021</v>
      </c>
      <c r="G10" s="102" t="s">
        <v>4755</v>
      </c>
      <c r="H10" s="102" t="s">
        <v>4741</v>
      </c>
      <c r="I10" s="106" t="s">
        <v>4756</v>
      </c>
      <c r="J10" s="34" t="s">
        <v>4765</v>
      </c>
      <c r="L10" s="143"/>
    </row>
    <row r="11" spans="1:14" x14ac:dyDescent="0.3">
      <c r="A11" s="246"/>
      <c r="B11" s="247"/>
      <c r="C11" s="253"/>
      <c r="D11" s="246"/>
      <c r="E11" s="17"/>
      <c r="F11" s="17"/>
      <c r="G11" s="17"/>
      <c r="H11" s="17"/>
      <c r="I11" s="17"/>
      <c r="J11" s="16"/>
      <c r="L11" s="142"/>
    </row>
    <row r="12" spans="1:14" ht="43.2" x14ac:dyDescent="0.3">
      <c r="A12" s="255" t="s">
        <v>4766</v>
      </c>
      <c r="B12" s="256" t="s">
        <v>1175</v>
      </c>
      <c r="C12" s="257" t="s">
        <v>4767</v>
      </c>
      <c r="D12" s="255" t="s">
        <v>4768</v>
      </c>
      <c r="E12" s="106">
        <v>2018</v>
      </c>
      <c r="F12" s="106" t="s">
        <v>4740</v>
      </c>
      <c r="G12" s="106" t="s">
        <v>4741</v>
      </c>
      <c r="H12" s="106" t="s">
        <v>4741</v>
      </c>
      <c r="I12" s="106" t="s">
        <v>4756</v>
      </c>
      <c r="J12" s="99" t="s">
        <v>4769</v>
      </c>
      <c r="L12" s="141"/>
    </row>
    <row r="13" spans="1:14" x14ac:dyDescent="0.3">
      <c r="A13" s="16"/>
      <c r="B13" s="33"/>
      <c r="C13" s="18"/>
      <c r="D13" s="16"/>
      <c r="E13" s="17"/>
      <c r="F13" s="17"/>
      <c r="G13" s="17"/>
      <c r="H13" s="17"/>
      <c r="I13" s="216"/>
      <c r="J13" s="16"/>
      <c r="L13" s="141"/>
    </row>
  </sheetData>
  <conditionalFormatting sqref="C1:I1 C12:D12 C2:D10">
    <cfRule type="expression" dxfId="57" priority="67">
      <formula>#REF!="протокол об отказе"</formula>
    </cfRule>
  </conditionalFormatting>
  <conditionalFormatting sqref="C1:I1">
    <cfRule type="expression" dxfId="56" priority="68">
      <formula>#REF!=100%</formula>
    </cfRule>
  </conditionalFormatting>
  <conditionalFormatting sqref="D4:D8">
    <cfRule type="expression" dxfId="55" priority="69">
      <formula>AND(#REF!&lt;&gt;"",#REF!&lt;&gt;100%,#REF!&lt;&gt;"протокол об отказе",#REF!="",#REF!="")</formula>
    </cfRule>
  </conditionalFormatting>
  <conditionalFormatting sqref="C11:D11">
    <cfRule type="expression" dxfId="54" priority="59">
      <formula>#REF!="протокол об отказе"</formula>
    </cfRule>
  </conditionalFormatting>
  <conditionalFormatting sqref="D11">
    <cfRule type="expression" dxfId="53" priority="60">
      <formula>AND(#REF!&lt;&gt;"",#REF!&lt;&gt;100%,#REF!&lt;&gt;"протокол об отказе",#REF!="",#REF!="")</formula>
    </cfRule>
  </conditionalFormatting>
  <conditionalFormatting sqref="C10:C11">
    <cfRule type="expression" dxfId="52" priority="73">
      <formula>AND(#REF!=100%,#REF!&lt;&gt;"да",#REF!&lt;&gt;"")</formula>
    </cfRule>
    <cfRule type="expression" dxfId="51" priority="74">
      <formula>AND(#REF!=1,#REF!="",#REF!&lt;&gt;"")</formula>
    </cfRule>
    <cfRule type="expression" dxfId="50" priority="75">
      <formula>#REF!=100%</formula>
    </cfRule>
  </conditionalFormatting>
  <conditionalFormatting sqref="D1:I1">
    <cfRule type="expression" dxfId="49" priority="79">
      <formula>AND($N1&lt;&gt;"",#REF!&lt;&gt;100%,#REF!&lt;&gt;"протокол об отказе",#REF!&lt;&gt;"",#REF!="")</formula>
    </cfRule>
  </conditionalFormatting>
  <conditionalFormatting sqref="C1:I1">
    <cfRule type="expression" dxfId="48" priority="80">
      <formula>AND(#REF!=100%,$AB1&lt;&gt;"да",$K1&lt;&gt;"")</formula>
    </cfRule>
    <cfRule type="expression" dxfId="47" priority="81">
      <formula>AND(#REF!=1,$AC1="",$K1&lt;&gt;"")</formula>
    </cfRule>
    <cfRule type="expression" dxfId="46" priority="82">
      <formula>#REF!=100%</formula>
    </cfRule>
  </conditionalFormatting>
  <conditionalFormatting sqref="C5">
    <cfRule type="expression" dxfId="45" priority="89">
      <formula>AND(#REF!=100%,$Z9&lt;&gt;"да",$C9&lt;&gt;"")</formula>
    </cfRule>
    <cfRule type="expression" dxfId="44" priority="90">
      <formula>AND(#REF!=1,$AA9="",$C9&lt;&gt;"")</formula>
    </cfRule>
    <cfRule type="expression" dxfId="43" priority="91">
      <formula>#REF!=100%</formula>
    </cfRule>
  </conditionalFormatting>
  <conditionalFormatting sqref="J1">
    <cfRule type="expression" dxfId="42" priority="51">
      <formula>#REF!="протокол об отказе"</formula>
    </cfRule>
  </conditionalFormatting>
  <conditionalFormatting sqref="J1">
    <cfRule type="expression" dxfId="41" priority="52">
      <formula>#REF!=100%</formula>
    </cfRule>
  </conditionalFormatting>
  <conditionalFormatting sqref="J1">
    <cfRule type="expression" dxfId="40" priority="53">
      <formula>AND($N1&lt;&gt;"",#REF!&lt;&gt;100%,#REF!&lt;&gt;"протокол об отказе",#REF!&lt;&gt;"",#REF!="")</formula>
    </cfRule>
  </conditionalFormatting>
  <conditionalFormatting sqref="J1">
    <cfRule type="expression" dxfId="39" priority="54">
      <formula>AND(#REF!=100%,$AB1&lt;&gt;"да",$K1&lt;&gt;"")</formula>
    </cfRule>
    <cfRule type="expression" dxfId="38" priority="55">
      <formula>AND(#REF!=1,$AC1="",$K1&lt;&gt;"")</formula>
    </cfRule>
    <cfRule type="expression" dxfId="37" priority="56">
      <formula>#REF!=100%</formula>
    </cfRule>
  </conditionalFormatting>
  <conditionalFormatting sqref="C4">
    <cfRule type="expression" dxfId="36" priority="48">
      <formula>AND(#REF!=100%,$Z9&lt;&gt;"да",$C9&lt;&gt;"")</formula>
    </cfRule>
    <cfRule type="expression" dxfId="35" priority="49">
      <formula>AND(#REF!=1,$AA9="",$C9&lt;&gt;"")</formula>
    </cfRule>
    <cfRule type="expression" dxfId="34" priority="50">
      <formula>#REF!=100%</formula>
    </cfRule>
  </conditionalFormatting>
  <conditionalFormatting sqref="C2">
    <cfRule type="expression" dxfId="33" priority="45">
      <formula>AND(#REF!=100%,#REF!&lt;&gt;"да",#REF!&lt;&gt;"")</formula>
    </cfRule>
    <cfRule type="expression" dxfId="32" priority="46">
      <formula>AND(#REF!=1,#REF!="",#REF!&lt;&gt;"")</formula>
    </cfRule>
    <cfRule type="expression" dxfId="31" priority="47">
      <formula>#REF!=100%</formula>
    </cfRule>
  </conditionalFormatting>
  <conditionalFormatting sqref="C13:D13">
    <cfRule type="expression" dxfId="30" priority="35">
      <formula>#REF!="протокол об отказе"</formula>
    </cfRule>
  </conditionalFormatting>
  <conditionalFormatting sqref="D13">
    <cfRule type="expression" dxfId="29" priority="36">
      <formula>AND(#REF!&lt;&gt;"",#REF!&lt;&gt;100%,#REF!&lt;&gt;"протокол об отказе",#REF!="",#REF!="")</formula>
    </cfRule>
  </conditionalFormatting>
  <conditionalFormatting sqref="C13">
    <cfRule type="expression" dxfId="28" priority="37">
      <formula>AND(#REF!=100%,#REF!&lt;&gt;"да",#REF!&lt;&gt;"")</formula>
    </cfRule>
    <cfRule type="expression" dxfId="27" priority="38">
      <formula>AND(#REF!=1,#REF!="",#REF!&lt;&gt;"")</formula>
    </cfRule>
    <cfRule type="expression" dxfId="26" priority="39">
      <formula>#REF!=100%</formula>
    </cfRule>
  </conditionalFormatting>
  <conditionalFormatting sqref="C7:D7">
    <cfRule type="expression" dxfId="25" priority="29">
      <formula>#REF!="протокол об отказе"</formula>
    </cfRule>
  </conditionalFormatting>
  <conditionalFormatting sqref="C8:D8">
    <cfRule type="expression" dxfId="24" priority="16">
      <formula>#REF!="протокол об отказе"</formula>
    </cfRule>
  </conditionalFormatting>
  <conditionalFormatting sqref="D8">
    <cfRule type="expression" dxfId="23" priority="17">
      <formula>AND(#REF!&lt;&gt;"",#REF!&lt;&gt;100%,#REF!&lt;&gt;"протокол об отказе",#REF!="",#REF!="")</formula>
    </cfRule>
  </conditionalFormatting>
  <conditionalFormatting sqref="C8">
    <cfRule type="expression" dxfId="22" priority="18">
      <formula>AND(#REF!=100%,#REF!&lt;&gt;"да",#REF!&lt;&gt;"")</formula>
    </cfRule>
    <cfRule type="expression" dxfId="21" priority="19">
      <formula>AND(#REF!=1,#REF!="",#REF!&lt;&gt;"")</formula>
    </cfRule>
    <cfRule type="expression" dxfId="20" priority="20">
      <formula>#REF!=100%</formula>
    </cfRule>
  </conditionalFormatting>
  <conditionalFormatting sqref="C6 C9">
    <cfRule type="expression" dxfId="19" priority="110">
      <formula>AND(#REF!=100%,#REF!&lt;&gt;"да",#REF!&lt;&gt;"")</formula>
    </cfRule>
    <cfRule type="expression" dxfId="18" priority="111">
      <formula>AND(#REF!=1,#REF!="",#REF!&lt;&gt;"")</formula>
    </cfRule>
    <cfRule type="expression" dxfId="17" priority="112">
      <formula>#REF!=100%</formula>
    </cfRule>
  </conditionalFormatting>
  <conditionalFormatting sqref="C7">
    <cfRule type="expression" dxfId="16" priority="119">
      <formula>AND(#REF!=100%,#REF!&lt;&gt;"да",#REF!&lt;&gt;"")</formula>
    </cfRule>
    <cfRule type="expression" dxfId="15" priority="120">
      <formula>AND(#REF!=1,#REF!="",#REF!&lt;&gt;"")</formula>
    </cfRule>
    <cfRule type="expression" dxfId="14" priority="121">
      <formula>#REF!=100%</formula>
    </cfRule>
  </conditionalFormatting>
  <conditionalFormatting sqref="C8">
    <cfRule type="expression" dxfId="13" priority="122">
      <formula>AND(#REF!=100%,$Z11&lt;&gt;"да",$C11&lt;&gt;"")</formula>
    </cfRule>
    <cfRule type="expression" dxfId="12" priority="123">
      <formula>AND(#REF!=1,$AA11="",$C11&lt;&gt;"")</formula>
    </cfRule>
    <cfRule type="expression" dxfId="11" priority="124">
      <formula>#REF!=100%</formula>
    </cfRule>
  </conditionalFormatting>
  <hyperlinks>
    <hyperlink ref="M5" r:id="rId1" xr:uid="{96CEB9F3-965C-47F2-91A9-C8EB34425978}"/>
    <hyperlink ref="N5" r:id="rId2" xr:uid="{8477FC30-94EE-4A88-B860-98A414A17251}"/>
    <hyperlink ref="M3" r:id="rId3" xr:uid="{F154868F-CECD-402D-AFA9-5639FE95F61F}"/>
  </hyperlinks>
  <pageMargins left="0.7" right="0.7" top="0.75" bottom="0.75" header="0.3" footer="0.3"/>
  <pageSetup paperSize="9" orientation="portrait" verticalDpi="0" r:id="rId4"/>
  <drawing r:id="rId5"/>
  <legacyDrawing r:id="rId6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F365-4264-4122-B86A-F440646EB650}">
  <sheetPr codeName="Лист11"/>
  <dimension ref="A1:F3"/>
  <sheetViews>
    <sheetView workbookViewId="0"/>
  </sheetViews>
  <sheetFormatPr defaultRowHeight="14.4" x14ac:dyDescent="0.3"/>
  <cols>
    <col min="1" max="1" width="43" bestFit="1" customWidth="1"/>
    <col min="2" max="2" width="17.33203125" bestFit="1" customWidth="1"/>
    <col min="3" max="3" width="13.109375" bestFit="1" customWidth="1"/>
    <col min="4" max="4" width="50.88671875" customWidth="1"/>
  </cols>
  <sheetData>
    <row r="1" spans="1:6" x14ac:dyDescent="0.3">
      <c r="A1" t="s">
        <v>4770</v>
      </c>
      <c r="B1">
        <f>COUNTA(C:C)-1</f>
        <v>0</v>
      </c>
      <c r="E1" t="s">
        <v>55</v>
      </c>
      <c r="F1">
        <v>2021</v>
      </c>
    </row>
    <row r="2" spans="1:6" x14ac:dyDescent="0.3">
      <c r="A2" s="108" t="s">
        <v>82</v>
      </c>
      <c r="B2" s="108" t="s">
        <v>83</v>
      </c>
      <c r="C2" s="108" t="s">
        <v>79</v>
      </c>
      <c r="D2" s="108" t="s">
        <v>4716</v>
      </c>
    </row>
    <row r="3" spans="1:6" x14ac:dyDescent="0.3">
      <c r="A3" t="e" cm="1">
        <f t="array" ref="A3">_xlfn._xlws.SORT(_xlfn._xlws.FILTER([1]!Свод_П4[[Регион]:[Наименование предприятия]],([1]!Свод_П4[Год отчетности]=$F$1)*([1]!Свод_П4[ИПТ В ТЕКУЩИХ ЦЕНАХ (ДИНАМИКА)]&lt;&gt;"")*([1]!Свод_П4[Полный комплект]="да"),"Пусто"),{2,1})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1A96AADCAE7241B20A4763B4F03431" ma:contentTypeVersion="10" ma:contentTypeDescription="Создание документа." ma:contentTypeScope="" ma:versionID="ab8961a7682b2cf7b9821fec329de62f">
  <xsd:schema xmlns:xsd="http://www.w3.org/2001/XMLSchema" xmlns:xs="http://www.w3.org/2001/XMLSchema" xmlns:p="http://schemas.microsoft.com/office/2006/metadata/properties" xmlns:ns2="341bc380-fc2e-427b-b880-8bb7b4f24077" xmlns:ns3="49d07ec5-0361-4222-947c-74519e5e53fd" targetNamespace="http://schemas.microsoft.com/office/2006/metadata/properties" ma:root="true" ma:fieldsID="fa36ab329468dcdcc8b39072208c0a0d" ns2:_="" ns3:_="">
    <xsd:import namespace="341bc380-fc2e-427b-b880-8bb7b4f24077"/>
    <xsd:import namespace="49d07ec5-0361-4222-947c-74519e5e5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bc380-fc2e-427b-b880-8bb7b4f24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07ec5-0361-4222-947c-74519e5e5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AC0F7-AF77-4F2C-B9BD-69C653510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E84BFB-5E73-402C-921E-9E3EF510A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B07A4-5942-4263-B4B6-AC63224EC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bc380-fc2e-427b-b880-8bb7b4f24077"/>
    <ds:schemaRef ds:uri="49d07ec5-0361-4222-947c-74519e5e5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3</vt:i4>
      </vt:variant>
    </vt:vector>
  </HeadingPairs>
  <TitlesOfParts>
    <vt:vector size="14" baseType="lpstr">
      <vt:lpstr>Архив</vt:lpstr>
      <vt:lpstr>Списки</vt:lpstr>
      <vt:lpstr>СВОД</vt:lpstr>
      <vt:lpstr>Общий список</vt:lpstr>
      <vt:lpstr>Расширенная поддержка</vt:lpstr>
      <vt:lpstr>По РМР</vt:lpstr>
      <vt:lpstr>По регионам</vt:lpstr>
      <vt:lpstr>Справочник</vt:lpstr>
      <vt:lpstr>Предприятия-лидеры</vt:lpstr>
      <vt:lpstr>Нет отчетности</vt:lpstr>
      <vt:lpstr>Выборка</vt:lpstr>
      <vt:lpstr>Год</vt:lpstr>
      <vt:lpstr>Архив!Область_печати</vt:lpstr>
      <vt:lpstr>СВОД!Область_печати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Булгаков Анатолий Станиславович</dc:creator>
  <cp:keywords/>
  <dc:description/>
  <cp:lastModifiedBy>Шукурлу Канан Гачай оглы</cp:lastModifiedBy>
  <cp:revision/>
  <dcterms:created xsi:type="dcterms:W3CDTF">2015-06-05T18:19:34Z</dcterms:created>
  <dcterms:modified xsi:type="dcterms:W3CDTF">2022-08-14T08:55:17Z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0x010100CE1A96AADCAE7241B20A4763B4F03431</vt:lpwstr>
  </property>
</Properties>
</file>