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389" documentId="13_ncr:1_{84C8D3AB-9142-4DFA-8D3B-2F53EB8D9942}" xr6:coauthVersionLast="41" xr6:coauthVersionMax="43" xr10:uidLastSave="{AE9FFADB-83E2-44B4-A2F1-30A17EF075D5}"/>
  <bookViews>
    <workbookView xWindow="-98" yWindow="-98" windowWidth="20715" windowHeight="13276" tabRatio="594" activeTab="2" xr2:uid="{00000000-000D-0000-FFFF-FFFF00000000}"/>
  </bookViews>
  <sheets>
    <sheet name="Comparison" sheetId="1" r:id="rId1"/>
    <sheet name="IXTK102N65X2" sheetId="2" r:id="rId2"/>
    <sheet name="Sheet1" sheetId="3" r:id="rId3"/>
  </sheets>
  <definedNames>
    <definedName name="ExternalData_1" localSheetId="0" hidden="1">Comparison!$I$2:$J$40</definedName>
    <definedName name="ExternalData_1" localSheetId="1" hidden="1">IXTK102N65X2!#REF!</definedName>
    <definedName name="Pmax">Comparison!#REF!</definedName>
    <definedName name="RCOND">Comparison!$B$40</definedName>
    <definedName name="RISO">Comparison!$B$41</definedName>
    <definedName name="RSINK">Comparison!$B$42</definedName>
    <definedName name="tA">Comparison!$B$38</definedName>
    <definedName name="tJmax">Comparison!$B$39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2" l="1"/>
  <c r="R11" i="2"/>
  <c r="R13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4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R17" i="2"/>
  <c r="R9" i="2"/>
  <c r="R2" i="2"/>
  <c r="M12" i="2"/>
  <c r="M7" i="2"/>
  <c r="M6" i="2"/>
  <c r="M11" i="2" s="1"/>
  <c r="R20" i="2" s="1"/>
  <c r="H5" i="2" l="1"/>
  <c r="H9" i="2"/>
  <c r="H13" i="2"/>
  <c r="H17" i="2"/>
  <c r="H21" i="2"/>
  <c r="H25" i="2"/>
  <c r="H29" i="2"/>
  <c r="H33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8" i="2"/>
  <c r="H24" i="2"/>
  <c r="H37" i="2"/>
  <c r="H45" i="2"/>
  <c r="H53" i="2"/>
  <c r="H57" i="2"/>
  <c r="H61" i="2"/>
  <c r="H65" i="2"/>
  <c r="H69" i="2"/>
  <c r="H73" i="2"/>
  <c r="H77" i="2"/>
  <c r="H12" i="2"/>
  <c r="H28" i="2"/>
  <c r="H36" i="2"/>
  <c r="H44" i="2"/>
  <c r="H52" i="2"/>
  <c r="H58" i="2"/>
  <c r="H62" i="2"/>
  <c r="H66" i="2"/>
  <c r="H70" i="2"/>
  <c r="H74" i="2"/>
  <c r="H78" i="2"/>
  <c r="H4" i="2"/>
  <c r="H20" i="2"/>
  <c r="H40" i="2"/>
  <c r="H48" i="2"/>
  <c r="H68" i="2"/>
  <c r="H76" i="2"/>
  <c r="H16" i="2"/>
  <c r="H32" i="2"/>
  <c r="H41" i="2"/>
  <c r="H49" i="2"/>
  <c r="H59" i="2"/>
  <c r="H63" i="2"/>
  <c r="H67" i="2"/>
  <c r="H71" i="2"/>
  <c r="H75" i="2"/>
  <c r="H79" i="2"/>
  <c r="H56" i="2"/>
  <c r="H60" i="2"/>
  <c r="H64" i="2"/>
  <c r="H72" i="2"/>
  <c r="R5" i="2"/>
  <c r="H3" i="2"/>
  <c r="E5" i="3"/>
  <c r="F5" i="3" s="1"/>
  <c r="G5" i="3" s="1"/>
  <c r="E4" i="3"/>
  <c r="F4" i="3" s="1"/>
  <c r="G4" i="3" s="1"/>
  <c r="E3" i="3"/>
  <c r="F3" i="3" s="1"/>
  <c r="G3" i="3" s="1"/>
  <c r="E2" i="3"/>
  <c r="F2" i="3" s="1"/>
  <c r="G2" i="3" s="1"/>
  <c r="D4" i="2" l="1"/>
  <c r="D8" i="2"/>
  <c r="D12" i="2"/>
  <c r="D16" i="2"/>
  <c r="D20" i="2"/>
  <c r="D24" i="2"/>
  <c r="D28" i="2"/>
  <c r="D32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15" i="2"/>
  <c r="D31" i="2"/>
  <c r="D36" i="2"/>
  <c r="D44" i="2"/>
  <c r="D52" i="2"/>
  <c r="D60" i="2"/>
  <c r="D64" i="2"/>
  <c r="D68" i="2"/>
  <c r="D72" i="2"/>
  <c r="D76" i="2"/>
  <c r="D19" i="2"/>
  <c r="D35" i="2"/>
  <c r="D43" i="2"/>
  <c r="D51" i="2"/>
  <c r="D57" i="2"/>
  <c r="D61" i="2"/>
  <c r="D65" i="2"/>
  <c r="D69" i="2"/>
  <c r="D73" i="2"/>
  <c r="D77" i="2"/>
  <c r="D11" i="2"/>
  <c r="D39" i="2"/>
  <c r="D55" i="2"/>
  <c r="D67" i="2"/>
  <c r="D75" i="2"/>
  <c r="D7" i="2"/>
  <c r="D23" i="2"/>
  <c r="D40" i="2"/>
  <c r="D48" i="2"/>
  <c r="D56" i="2"/>
  <c r="D58" i="2"/>
  <c r="D62" i="2"/>
  <c r="D66" i="2"/>
  <c r="D70" i="2"/>
  <c r="D74" i="2"/>
  <c r="D78" i="2"/>
  <c r="D27" i="2"/>
  <c r="D47" i="2"/>
  <c r="D59" i="2"/>
  <c r="D63" i="2"/>
  <c r="D71" i="2"/>
  <c r="D79" i="2"/>
  <c r="R3" i="2"/>
  <c r="R4" i="2" s="1"/>
  <c r="D3" i="2"/>
  <c r="R10" i="2"/>
  <c r="F7" i="2"/>
  <c r="F11" i="2"/>
  <c r="F15" i="2"/>
  <c r="F19" i="2"/>
  <c r="F23" i="2"/>
  <c r="F27" i="2"/>
  <c r="F31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18" i="2"/>
  <c r="F34" i="2"/>
  <c r="F39" i="2"/>
  <c r="F47" i="2"/>
  <c r="F55" i="2"/>
  <c r="F59" i="2"/>
  <c r="F63" i="2"/>
  <c r="F67" i="2"/>
  <c r="F71" i="2"/>
  <c r="F75" i="2"/>
  <c r="F79" i="2"/>
  <c r="F6" i="2"/>
  <c r="F22" i="2"/>
  <c r="F38" i="2"/>
  <c r="F46" i="2"/>
  <c r="F54" i="2"/>
  <c r="F60" i="2"/>
  <c r="F64" i="2"/>
  <c r="F68" i="2"/>
  <c r="F72" i="2"/>
  <c r="F76" i="2"/>
  <c r="F14" i="2"/>
  <c r="F30" i="2"/>
  <c r="F62" i="2"/>
  <c r="F66" i="2"/>
  <c r="F74" i="2"/>
  <c r="F10" i="2"/>
  <c r="F26" i="2"/>
  <c r="F35" i="2"/>
  <c r="F43" i="2"/>
  <c r="F51" i="2"/>
  <c r="F57" i="2"/>
  <c r="F61" i="2"/>
  <c r="F65" i="2"/>
  <c r="F69" i="2"/>
  <c r="F73" i="2"/>
  <c r="F77" i="2"/>
  <c r="F42" i="2"/>
  <c r="F50" i="2"/>
  <c r="F58" i="2"/>
  <c r="F70" i="2"/>
  <c r="F3" i="2"/>
  <c r="F78" i="2"/>
  <c r="R18" i="2"/>
  <c r="R19" i="2" s="1"/>
  <c r="R2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3" i="2"/>
  <c r="R6" i="2" l="1"/>
  <c r="E72" i="2"/>
  <c r="I72" i="2"/>
  <c r="G72" i="2"/>
  <c r="E56" i="2"/>
  <c r="G56" i="2"/>
  <c r="I56" i="2"/>
  <c r="E44" i="2"/>
  <c r="G44" i="2"/>
  <c r="I44" i="2"/>
  <c r="E32" i="2"/>
  <c r="I32" i="2"/>
  <c r="G32" i="2"/>
  <c r="E20" i="2"/>
  <c r="I20" i="2"/>
  <c r="G20" i="2"/>
  <c r="E8" i="2"/>
  <c r="I8" i="2"/>
  <c r="G8" i="2"/>
  <c r="G79" i="2"/>
  <c r="E79" i="2"/>
  <c r="I79" i="2"/>
  <c r="G51" i="2"/>
  <c r="E51" i="2"/>
  <c r="I51" i="2"/>
  <c r="R14" i="2"/>
  <c r="E68" i="2"/>
  <c r="I68" i="2"/>
  <c r="G68" i="2"/>
  <c r="E60" i="2"/>
  <c r="I60" i="2"/>
  <c r="G60" i="2"/>
  <c r="E48" i="2"/>
  <c r="G48" i="2"/>
  <c r="I48" i="2"/>
  <c r="E36" i="2"/>
  <c r="G36" i="2"/>
  <c r="I36" i="2"/>
  <c r="E24" i="2"/>
  <c r="I24" i="2"/>
  <c r="G24" i="2"/>
  <c r="E12" i="2"/>
  <c r="I12" i="2"/>
  <c r="G12" i="2"/>
  <c r="E75" i="2"/>
  <c r="G75" i="2"/>
  <c r="I75" i="2"/>
  <c r="E71" i="2"/>
  <c r="G71" i="2"/>
  <c r="I71" i="2"/>
  <c r="G67" i="2"/>
  <c r="E67" i="2"/>
  <c r="I67" i="2"/>
  <c r="G63" i="2"/>
  <c r="I63" i="2"/>
  <c r="E63" i="2"/>
  <c r="E59" i="2"/>
  <c r="G59" i="2"/>
  <c r="I59" i="2"/>
  <c r="G55" i="2"/>
  <c r="E55" i="2"/>
  <c r="I55" i="2"/>
  <c r="G47" i="2"/>
  <c r="I47" i="2"/>
  <c r="E47" i="2"/>
  <c r="G43" i="2"/>
  <c r="E43" i="2"/>
  <c r="I43" i="2"/>
  <c r="G39" i="2"/>
  <c r="E39" i="2"/>
  <c r="I39" i="2"/>
  <c r="G35" i="2"/>
  <c r="E35" i="2"/>
  <c r="I35" i="2"/>
  <c r="G31" i="2"/>
  <c r="I31" i="2"/>
  <c r="E31" i="2"/>
  <c r="G27" i="2"/>
  <c r="I27" i="2"/>
  <c r="E27" i="2"/>
  <c r="G23" i="2"/>
  <c r="E23" i="2"/>
  <c r="I23" i="2"/>
  <c r="G19" i="2"/>
  <c r="I19" i="2"/>
  <c r="E19" i="2"/>
  <c r="G15" i="2"/>
  <c r="I15" i="2"/>
  <c r="E15" i="2"/>
  <c r="G11" i="2"/>
  <c r="I11" i="2"/>
  <c r="E11" i="2"/>
  <c r="G7" i="2"/>
  <c r="E7" i="2"/>
  <c r="I7" i="2"/>
  <c r="E78" i="2"/>
  <c r="G78" i="2"/>
  <c r="I78" i="2"/>
  <c r="E74" i="2"/>
  <c r="G74" i="2"/>
  <c r="I74" i="2"/>
  <c r="E70" i="2"/>
  <c r="G70" i="2"/>
  <c r="I70" i="2"/>
  <c r="E66" i="2"/>
  <c r="G66" i="2"/>
  <c r="I66" i="2"/>
  <c r="E62" i="2"/>
  <c r="G62" i="2"/>
  <c r="I62" i="2"/>
  <c r="E58" i="2"/>
  <c r="G58" i="2"/>
  <c r="I58" i="2"/>
  <c r="E54" i="2"/>
  <c r="I54" i="2"/>
  <c r="G54" i="2"/>
  <c r="E50" i="2"/>
  <c r="I50" i="2"/>
  <c r="G50" i="2"/>
  <c r="E46" i="2"/>
  <c r="I46" i="2"/>
  <c r="G46" i="2"/>
  <c r="E42" i="2"/>
  <c r="I42" i="2"/>
  <c r="G42" i="2"/>
  <c r="E38" i="2"/>
  <c r="I38" i="2"/>
  <c r="G38" i="2"/>
  <c r="G34" i="2"/>
  <c r="E34" i="2"/>
  <c r="I34" i="2"/>
  <c r="G30" i="2"/>
  <c r="E30" i="2"/>
  <c r="I30" i="2"/>
  <c r="G26" i="2"/>
  <c r="E26" i="2"/>
  <c r="I26" i="2"/>
  <c r="G22" i="2"/>
  <c r="E22" i="2"/>
  <c r="I22" i="2"/>
  <c r="G18" i="2"/>
  <c r="E18" i="2"/>
  <c r="I18" i="2"/>
  <c r="G14" i="2"/>
  <c r="E14" i="2"/>
  <c r="I14" i="2"/>
  <c r="G10" i="2"/>
  <c r="E10" i="2"/>
  <c r="I10" i="2"/>
  <c r="G6" i="2"/>
  <c r="E6" i="2"/>
  <c r="I6" i="2"/>
  <c r="E76" i="2"/>
  <c r="I76" i="2"/>
  <c r="G76" i="2"/>
  <c r="E64" i="2"/>
  <c r="I64" i="2"/>
  <c r="G64" i="2"/>
  <c r="E52" i="2"/>
  <c r="G52" i="2"/>
  <c r="I52" i="2"/>
  <c r="E40" i="2"/>
  <c r="G40" i="2"/>
  <c r="I40" i="2"/>
  <c r="E28" i="2"/>
  <c r="I28" i="2"/>
  <c r="G28" i="2"/>
  <c r="E16" i="2"/>
  <c r="I16" i="2"/>
  <c r="G16" i="2"/>
  <c r="E4" i="2"/>
  <c r="I4" i="2"/>
  <c r="G4" i="2"/>
  <c r="E77" i="2"/>
  <c r="I77" i="2"/>
  <c r="G77" i="2"/>
  <c r="E73" i="2"/>
  <c r="I73" i="2"/>
  <c r="G73" i="2"/>
  <c r="E69" i="2"/>
  <c r="I69" i="2"/>
  <c r="G69" i="2"/>
  <c r="E65" i="2"/>
  <c r="I65" i="2"/>
  <c r="G65" i="2"/>
  <c r="E61" i="2"/>
  <c r="I61" i="2"/>
  <c r="G61" i="2"/>
  <c r="E57" i="2"/>
  <c r="I57" i="2"/>
  <c r="G57" i="2"/>
  <c r="E53" i="2"/>
  <c r="I53" i="2"/>
  <c r="G53" i="2"/>
  <c r="E49" i="2"/>
  <c r="I49" i="2"/>
  <c r="G49" i="2"/>
  <c r="E45" i="2"/>
  <c r="I45" i="2"/>
  <c r="G45" i="2"/>
  <c r="E41" i="2"/>
  <c r="I41" i="2"/>
  <c r="G41" i="2"/>
  <c r="E37" i="2"/>
  <c r="I37" i="2"/>
  <c r="G37" i="2"/>
  <c r="E33" i="2"/>
  <c r="I33" i="2"/>
  <c r="G33" i="2"/>
  <c r="E29" i="2"/>
  <c r="I29" i="2"/>
  <c r="G29" i="2"/>
  <c r="E25" i="2"/>
  <c r="I25" i="2"/>
  <c r="G25" i="2"/>
  <c r="E21" i="2"/>
  <c r="I21" i="2"/>
  <c r="G21" i="2"/>
  <c r="E17" i="2"/>
  <c r="I17" i="2"/>
  <c r="G17" i="2"/>
  <c r="E13" i="2"/>
  <c r="I13" i="2"/>
  <c r="G13" i="2"/>
  <c r="E9" i="2"/>
  <c r="I9" i="2"/>
  <c r="G9" i="2"/>
  <c r="E5" i="2"/>
  <c r="I5" i="2"/>
  <c r="G5" i="2"/>
  <c r="G3" i="2"/>
  <c r="I3" i="2"/>
  <c r="E3" i="2"/>
  <c r="AR34" i="1"/>
  <c r="AP34" i="1"/>
  <c r="AJ34" i="1"/>
  <c r="AH34" i="1"/>
  <c r="AB34" i="1"/>
  <c r="Z34" i="1"/>
  <c r="T34" i="1"/>
  <c r="R34" i="1"/>
  <c r="D34" i="1"/>
  <c r="B34" i="1"/>
  <c r="AR33" i="1"/>
  <c r="AJ33" i="1"/>
  <c r="AB33" i="1"/>
  <c r="AB35" i="1" s="1"/>
  <c r="AB36" i="1" s="1"/>
  <c r="T33" i="1"/>
  <c r="AP33" i="1"/>
  <c r="AH33" i="1"/>
  <c r="AH35" i="1" s="1"/>
  <c r="AH36" i="1" s="1"/>
  <c r="Z33" i="1"/>
  <c r="R33" i="1"/>
  <c r="D33" i="1"/>
  <c r="B33" i="1"/>
  <c r="AQ4" i="1"/>
  <c r="AQ5" i="1"/>
  <c r="AQ6" i="1"/>
  <c r="AQ7" i="1"/>
  <c r="AQ8" i="1"/>
  <c r="AQ9" i="1"/>
  <c r="AQ10" i="1"/>
  <c r="AQ11" i="1"/>
  <c r="AQ12" i="1"/>
  <c r="AQ13" i="1"/>
  <c r="AQ14" i="1"/>
  <c r="AQ3" i="1"/>
  <c r="AI6" i="1"/>
  <c r="AI4" i="1"/>
  <c r="AI5" i="1"/>
  <c r="AI7" i="1"/>
  <c r="AI8" i="1"/>
  <c r="AI9" i="1"/>
  <c r="AI10" i="1"/>
  <c r="AI11" i="1"/>
  <c r="AI12" i="1"/>
  <c r="AI13" i="1"/>
  <c r="AI14" i="1"/>
  <c r="AI15" i="1"/>
  <c r="AI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3" i="1"/>
  <c r="R35" i="1"/>
  <c r="R36" i="1" s="1"/>
  <c r="S4" i="1"/>
  <c r="S5" i="1"/>
  <c r="S6" i="1"/>
  <c r="S7" i="1"/>
  <c r="S8" i="1"/>
  <c r="S9" i="1"/>
  <c r="S10" i="1"/>
  <c r="S11" i="1"/>
  <c r="S12" i="1"/>
  <c r="S13" i="1"/>
  <c r="S14" i="1"/>
  <c r="S15" i="1"/>
  <c r="S3" i="1"/>
  <c r="T35" i="1" l="1"/>
  <c r="T36" i="1" s="1"/>
  <c r="V5" i="1" s="1"/>
  <c r="AP35" i="1"/>
  <c r="AP36" i="1" s="1"/>
  <c r="AR5" i="1" s="1"/>
  <c r="AR35" i="1"/>
  <c r="AR36" i="1" s="1"/>
  <c r="AU8" i="1" s="1"/>
  <c r="B35" i="1"/>
  <c r="B36" i="1" s="1"/>
  <c r="Z35" i="1"/>
  <c r="Z36" i="1" s="1"/>
  <c r="AC8" i="1" s="1"/>
  <c r="D35" i="1"/>
  <c r="D36" i="1" s="1"/>
  <c r="AJ35" i="1"/>
  <c r="AJ36" i="1" s="1"/>
  <c r="AM4" i="1" s="1"/>
  <c r="AK9" i="1"/>
  <c r="AR4" i="1"/>
  <c r="T3" i="1"/>
  <c r="AR11" i="1"/>
  <c r="AJ11" i="1"/>
  <c r="AS7" i="1"/>
  <c r="AK10" i="1"/>
  <c r="AJ10" i="1"/>
  <c r="T4" i="1"/>
  <c r="AD5" i="1"/>
  <c r="AE6" i="1"/>
  <c r="AE8" i="1"/>
  <c r="AD10" i="1"/>
  <c r="AD14" i="1"/>
  <c r="AE5" i="1"/>
  <c r="AE10" i="1"/>
  <c r="AE12" i="1"/>
  <c r="AE14" i="1"/>
  <c r="AE16" i="1"/>
  <c r="AE4" i="1"/>
  <c r="AE7" i="1"/>
  <c r="AE9" i="1"/>
  <c r="AD3" i="1"/>
  <c r="AD6" i="1"/>
  <c r="AE11" i="1"/>
  <c r="AE15" i="1"/>
  <c r="AD15" i="1"/>
  <c r="AD13" i="1"/>
  <c r="AD11" i="1"/>
  <c r="AD7" i="1"/>
  <c r="AS11" i="1"/>
  <c r="AJ3" i="1"/>
  <c r="AJ15" i="1"/>
  <c r="AK14" i="1"/>
  <c r="AJ9" i="1"/>
  <c r="AK6" i="1"/>
  <c r="AK5" i="1"/>
  <c r="AJ4" i="1"/>
  <c r="AK3" i="1"/>
  <c r="AK15" i="1"/>
  <c r="AJ14" i="1"/>
  <c r="AK13" i="1"/>
  <c r="AJ12" i="1"/>
  <c r="AJ7" i="1"/>
  <c r="AJ6" i="1"/>
  <c r="AJ5" i="1"/>
  <c r="AJ13" i="1"/>
  <c r="AJ8" i="1"/>
  <c r="AB11" i="1"/>
  <c r="AB10" i="1"/>
  <c r="AB16" i="1"/>
  <c r="U3" i="1"/>
  <c r="U14" i="1"/>
  <c r="U4" i="1"/>
  <c r="U15" i="1"/>
  <c r="U13" i="1"/>
  <c r="U12" i="1"/>
  <c r="U11" i="1"/>
  <c r="U10" i="1"/>
  <c r="U9" i="1"/>
  <c r="U8" i="1"/>
  <c r="U7" i="1"/>
  <c r="U6" i="1"/>
  <c r="U5" i="1"/>
  <c r="T15" i="1"/>
  <c r="T14" i="1"/>
  <c r="T13" i="1"/>
  <c r="T12" i="1"/>
  <c r="T11" i="1"/>
  <c r="T10" i="1"/>
  <c r="T9" i="1"/>
  <c r="T8" i="1"/>
  <c r="T7" i="1"/>
  <c r="T6" i="1"/>
  <c r="T5" i="1"/>
  <c r="AK12" i="1"/>
  <c r="AK8" i="1"/>
  <c r="AK4" i="1"/>
  <c r="AK11" i="1"/>
  <c r="AK7" i="1"/>
  <c r="AD9" i="1"/>
  <c r="AD16" i="1"/>
  <c r="AD12" i="1"/>
  <c r="AD8" i="1"/>
  <c r="AC5" i="1"/>
  <c r="AD4" i="1"/>
  <c r="AE13" i="1"/>
  <c r="AE3" i="1"/>
  <c r="A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AB7" i="1" l="1"/>
  <c r="AC11" i="1"/>
  <c r="AS12" i="1"/>
  <c r="AR7" i="1"/>
  <c r="W9" i="1"/>
  <c r="V10" i="1"/>
  <c r="V8" i="1"/>
  <c r="E27" i="1"/>
  <c r="D19" i="1"/>
  <c r="D7" i="1"/>
  <c r="V13" i="1"/>
  <c r="W13" i="1"/>
  <c r="D30" i="1"/>
  <c r="D26" i="1"/>
  <c r="D22" i="1"/>
  <c r="D18" i="1"/>
  <c r="D14" i="1"/>
  <c r="D10" i="1"/>
  <c r="E6" i="1"/>
  <c r="W5" i="1"/>
  <c r="W15" i="1"/>
  <c r="W6" i="1"/>
  <c r="W8" i="1"/>
  <c r="V11" i="1"/>
  <c r="V3" i="1"/>
  <c r="D11" i="1"/>
  <c r="V14" i="1"/>
  <c r="V12" i="1"/>
  <c r="W4" i="1"/>
  <c r="D25" i="1"/>
  <c r="E21" i="1"/>
  <c r="D17" i="1"/>
  <c r="E13" i="1"/>
  <c r="D9" i="1"/>
  <c r="E5" i="1"/>
  <c r="V9" i="1"/>
  <c r="W7" i="1"/>
  <c r="V4" i="1"/>
  <c r="W12" i="1"/>
  <c r="AB8" i="1"/>
  <c r="AB12" i="1"/>
  <c r="V7" i="1"/>
  <c r="V15" i="1"/>
  <c r="W11" i="1"/>
  <c r="V6" i="1"/>
  <c r="W14" i="1"/>
  <c r="W3" i="1"/>
  <c r="W10" i="1"/>
  <c r="AS10" i="1"/>
  <c r="AR13" i="1"/>
  <c r="T37" i="1"/>
  <c r="AS9" i="1"/>
  <c r="AC7" i="1"/>
  <c r="AC3" i="1"/>
  <c r="AU6" i="1"/>
  <c r="AR14" i="1"/>
  <c r="AC13" i="1"/>
  <c r="AS5" i="1"/>
  <c r="AB6" i="1"/>
  <c r="AC10" i="1"/>
  <c r="AB5" i="1"/>
  <c r="AS14" i="1"/>
  <c r="AS6" i="1"/>
  <c r="AR8" i="1"/>
  <c r="AC6" i="1"/>
  <c r="AB13" i="1"/>
  <c r="AC9" i="1"/>
  <c r="AS13" i="1"/>
  <c r="AC14" i="1"/>
  <c r="AC12" i="1"/>
  <c r="AC16" i="1"/>
  <c r="AB15" i="1"/>
  <c r="AR3" i="1"/>
  <c r="AS4" i="1"/>
  <c r="AR6" i="1"/>
  <c r="AR12" i="1"/>
  <c r="AR9" i="1"/>
  <c r="AU3" i="1"/>
  <c r="AT7" i="1"/>
  <c r="AU7" i="1"/>
  <c r="AT5" i="1"/>
  <c r="AT10" i="1"/>
  <c r="AT6" i="1"/>
  <c r="G29" i="1"/>
  <c r="AT8" i="1"/>
  <c r="AU13" i="1"/>
  <c r="AU9" i="1"/>
  <c r="AU10" i="1"/>
  <c r="F28" i="1"/>
  <c r="G24" i="1"/>
  <c r="F20" i="1"/>
  <c r="G16" i="1"/>
  <c r="F12" i="1"/>
  <c r="G8" i="1"/>
  <c r="F4" i="1"/>
  <c r="AT3" i="1"/>
  <c r="AT9" i="1"/>
  <c r="AU14" i="1"/>
  <c r="AT14" i="1"/>
  <c r="AU5" i="1"/>
  <c r="AU4" i="1"/>
  <c r="F34" i="1"/>
  <c r="F33" i="1" s="1"/>
  <c r="F32" i="1" s="1"/>
  <c r="F3" i="1"/>
  <c r="AC4" i="1"/>
  <c r="AT4" i="1"/>
  <c r="AT12" i="1"/>
  <c r="AT13" i="1"/>
  <c r="AC15" i="1"/>
  <c r="AB4" i="1"/>
  <c r="AB9" i="1"/>
  <c r="AB14" i="1"/>
  <c r="AS8" i="1"/>
  <c r="AT11" i="1"/>
  <c r="AU11" i="1"/>
  <c r="AU12" i="1"/>
  <c r="AR10" i="1"/>
  <c r="AS3" i="1"/>
  <c r="G30" i="1"/>
  <c r="G23" i="1"/>
  <c r="G15" i="1"/>
  <c r="G3" i="1"/>
  <c r="E11" i="1"/>
  <c r="AM7" i="1"/>
  <c r="AL12" i="1"/>
  <c r="AL5" i="1"/>
  <c r="AL9" i="1"/>
  <c r="AL14" i="1"/>
  <c r="AM5" i="1"/>
  <c r="AM14" i="1"/>
  <c r="AM11" i="1"/>
  <c r="AM15" i="1"/>
  <c r="AL4" i="1"/>
  <c r="AM9" i="1"/>
  <c r="AL13" i="1"/>
  <c r="AM6" i="1"/>
  <c r="AL6" i="1"/>
  <c r="AL11" i="1"/>
  <c r="AM3" i="1"/>
  <c r="AM10" i="1"/>
  <c r="AL8" i="1"/>
  <c r="AL7" i="1"/>
  <c r="AL15" i="1"/>
  <c r="AM12" i="1"/>
  <c r="AM13" i="1"/>
  <c r="AM8" i="1"/>
  <c r="AL10" i="1"/>
  <c r="AL3" i="1"/>
  <c r="E30" i="1"/>
  <c r="E25" i="1"/>
  <c r="F21" i="1"/>
  <c r="F29" i="1"/>
  <c r="G9" i="1"/>
  <c r="G6" i="1"/>
  <c r="D5" i="1"/>
  <c r="G18" i="1"/>
  <c r="F6" i="1"/>
  <c r="E17" i="1"/>
  <c r="D3" i="1"/>
  <c r="E3" i="1"/>
  <c r="F22" i="1"/>
  <c r="D13" i="1"/>
  <c r="G12" i="1"/>
  <c r="E16" i="1"/>
  <c r="F24" i="1"/>
  <c r="D12" i="1"/>
  <c r="G20" i="1"/>
  <c r="F5" i="1"/>
  <c r="G21" i="1"/>
  <c r="F14" i="1"/>
  <c r="F30" i="1"/>
  <c r="E24" i="1"/>
  <c r="E8" i="1"/>
  <c r="E9" i="1"/>
  <c r="D24" i="1"/>
  <c r="D8" i="1"/>
  <c r="G28" i="1"/>
  <c r="F8" i="1"/>
  <c r="E28" i="1"/>
  <c r="E12" i="1"/>
  <c r="D28" i="1"/>
  <c r="G10" i="1"/>
  <c r="G26" i="1"/>
  <c r="F13" i="1"/>
  <c r="G25" i="1"/>
  <c r="F16" i="1"/>
  <c r="E29" i="1"/>
  <c r="E20" i="1"/>
  <c r="E4" i="1"/>
  <c r="D29" i="1"/>
  <c r="D20" i="1"/>
  <c r="D4" i="1"/>
  <c r="D16" i="1"/>
  <c r="G4" i="1"/>
  <c r="G19" i="1"/>
  <c r="E19" i="1"/>
  <c r="G11" i="1"/>
  <c r="F7" i="1"/>
  <c r="F15" i="1"/>
  <c r="F23" i="1"/>
  <c r="E22" i="1"/>
  <c r="E14" i="1"/>
  <c r="G14" i="1"/>
  <c r="G22" i="1"/>
  <c r="G13" i="1"/>
  <c r="G27" i="1"/>
  <c r="F9" i="1"/>
  <c r="F17" i="1"/>
  <c r="F25" i="1"/>
  <c r="G7" i="1"/>
  <c r="F10" i="1"/>
  <c r="F18" i="1"/>
  <c r="F26" i="1"/>
  <c r="D15" i="1"/>
  <c r="E23" i="1"/>
  <c r="E15" i="1"/>
  <c r="E7" i="1"/>
  <c r="D21" i="1"/>
  <c r="G5" i="1"/>
  <c r="F11" i="1"/>
  <c r="F19" i="1"/>
  <c r="F27" i="1"/>
  <c r="G17" i="1"/>
  <c r="D27" i="1"/>
  <c r="E26" i="1"/>
  <c r="E18" i="1"/>
  <c r="E10" i="1"/>
  <c r="D6" i="1"/>
  <c r="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BEAB8-E5E0-46D3-B316-D84C1281185E}" keepAlive="1" name="Query - IXTK60N50L2" description="Connection to the 'IXTK60N50L2' query in the workbook." type="5" refreshedVersion="6" background="1" saveData="1">
    <dbPr connection="Provider=Microsoft.Mashup.OleDb.1;Data Source=$Workbook$;Location=IXTK60N50L2;Extended Properties=&quot;&quot;" command="SELECT * FROM [IXTK60N50L2]"/>
  </connection>
  <connection id="2" xr16:uid="{ABF58492-FCEE-49AD-B38E-E798967D3DF0}" keepAlive="1" name="Query - MOSFET Output Tj125" description="Connection to the 'MOSFET Output Tj125' query in the workbook." type="5" refreshedVersion="6" background="1">
    <dbPr connection="Provider=Microsoft.Mashup.OleDb.1;Data Source=$Workbook$;Location=MOSFET Output Tj125;Extended Properties=&quot;&quot;" command="SELECT * FROM [MOSFET Output Tj125]"/>
  </connection>
  <connection id="3" xr16:uid="{64117E16-7C24-4758-94C6-6784279ED5B7}" keepAlive="1" name="Query - MOSFET SOA" description="Connection to the 'MOSFET SOA' query in the workbook." type="5" refreshedVersion="6" background="1" saveData="1">
    <dbPr connection="Provider=Microsoft.Mashup.OleDb.1;Data Source=$Workbook$;Location=MOSFET SOA;Extended Properties=&quot;&quot;" command="SELECT * FROM [MOSFET SOA]"/>
  </connection>
</connections>
</file>

<file path=xl/sharedStrings.xml><?xml version="1.0" encoding="utf-8"?>
<sst xmlns="http://schemas.openxmlformats.org/spreadsheetml/2006/main" count="245" uniqueCount="77">
  <si>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</t>
    </r>
  </si>
  <si>
    <t>P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</si>
  <si>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</si>
  <si>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W</t>
  </si>
  <si>
    <r>
      <t>V</t>
    </r>
    <r>
      <rPr>
        <vertAlign val="subscript"/>
        <sz val="11"/>
        <color theme="1"/>
        <rFont val="Calibri"/>
        <family val="2"/>
        <charset val="186"/>
        <scheme val="minor"/>
      </rPr>
      <t>DS</t>
    </r>
  </si>
  <si>
    <t>IXTK102N65X2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</si>
  <si>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thJC</t>
    </r>
  </si>
  <si>
    <t>°C/W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</si>
  <si>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thCH</t>
    </r>
  </si>
  <si>
    <r>
      <t>R</t>
    </r>
    <r>
      <rPr>
        <u/>
        <vertAlign val="subscript"/>
        <sz val="11"/>
        <color theme="10"/>
        <rFont val="Calibri"/>
        <family val="2"/>
        <charset val="186"/>
        <scheme val="minor"/>
      </rPr>
      <t>thHA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</si>
  <si>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thJA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</si>
  <si>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cond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</si>
  <si>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Dcond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</si>
  <si>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iso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</si>
  <si>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Diso</t>
    </r>
  </si>
  <si>
    <t>IXTK120N25P</t>
  </si>
  <si>
    <t>IXTK140N20P</t>
  </si>
  <si>
    <t>IXTK180N15P</t>
  </si>
  <si>
    <t>IXTK200N10P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</si>
  <si>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Jmax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</si>
  <si>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A</t>
    </r>
  </si>
  <si>
    <t>°C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</si>
  <si>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thCOND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</si>
  <si>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thISO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</si>
  <si>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</t>
    </r>
  </si>
  <si>
    <t>Ambient temperature</t>
  </si>
  <si>
    <t>Max Junction temperature</t>
  </si>
  <si>
    <t>Heatsink 1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</si>
  <si>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</si>
  <si>
    <r>
      <t>I</t>
    </r>
    <r>
      <rPr>
        <b/>
        <vertAlign val="subscript"/>
        <sz val="11"/>
        <color theme="1"/>
        <rFont val="Calibri"/>
        <family val="2"/>
        <charset val="186"/>
        <scheme val="minor"/>
      </rPr>
      <t>D</t>
    </r>
  </si>
  <si>
    <t>Heatsink 2</t>
  </si>
  <si>
    <t>A</t>
  </si>
  <si>
    <r>
      <t>W/m</t>
    </r>
    <r>
      <rPr>
        <vertAlign val="super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scheme val="minor"/>
      </rPr>
      <t>C</t>
    </r>
  </si>
  <si>
    <r>
      <t>m</t>
    </r>
    <r>
      <rPr>
        <vertAlign val="superscript"/>
        <sz val="11"/>
        <color theme="1"/>
        <rFont val="Calibri"/>
        <family val="2"/>
        <charset val="186"/>
        <scheme val="minor"/>
      </rPr>
      <t>2</t>
    </r>
  </si>
  <si>
    <t>W/C</t>
  </si>
  <si>
    <t>C/W</t>
  </si>
  <si>
    <t>Copper</t>
  </si>
  <si>
    <t>Best</t>
  </si>
  <si>
    <t>Worst</t>
  </si>
  <si>
    <t>Aluminium</t>
  </si>
  <si>
    <t>Ideal heatsink</t>
  </si>
  <si>
    <t>Intel heatsink</t>
  </si>
  <si>
    <t>Expensive CPU heatsink</t>
  </si>
  <si>
    <t>Hi-Flow®300P</t>
  </si>
  <si>
    <t xml:space="preserve">°C-in2/W </t>
  </si>
  <si>
    <t>TO-264P area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</si>
  <si>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</si>
  <si>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TO-247PLUS area</t>
  </si>
  <si>
    <t>Hi-Flow®300P 264P</t>
  </si>
  <si>
    <t>Hi-Flow®300P 247PLUS</t>
  </si>
  <si>
    <t xml:space="preserve">Transistor </t>
  </si>
  <si>
    <t>TO-264P Ideal heatsink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</si>
  <si>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</si>
  <si>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Junction</t>
  </si>
  <si>
    <t>Case</t>
  </si>
  <si>
    <t>Heatsink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</si>
  <si>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</si>
  <si>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J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</si>
  <si>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C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</si>
  <si>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hs</t>
    </r>
  </si>
  <si>
    <t>Maximum power</t>
  </si>
  <si>
    <t>Maximum current</t>
  </si>
  <si>
    <t>TO-264P Water cooling</t>
  </si>
  <si>
    <t>Heatsink 3</t>
  </si>
  <si>
    <t>TO-264P Intel heatsink</t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</si>
  <si>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</si>
  <si>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</si>
  <si>
    <t>R</t>
  </si>
  <si>
    <r>
      <t>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=125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</si>
  <si>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thWA</t>
    </r>
  </si>
  <si>
    <t>Water to air</t>
  </si>
  <si>
    <t>Heatsink to water</t>
  </si>
  <si>
    <t>Water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</si>
  <si>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</si>
  <si>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thHW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</si>
  <si>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thCS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</si>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</sst>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u/>
      <vertAlign val="subscript"/>
      <sz val="11"/>
      <color theme="1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vertAlign val="subscript"/>
      <sz val="11"/>
      <color theme="1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2" fontId="6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Comparison!$A$1</c:f>
              <c:strCache>
                <c:ptCount val="1"/>
                <c:pt idx="0">
                  <c:v>IXTK102N65X2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Comparison!$A$4:$A$30</c:f>
              <c:numCache>
                <c:formatCode>0.0</c:formatCode>
                <c:ptCount val="2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650</c:v>
                </c:pt>
              </c:numCache>
            </c:numRef>
          </c:xVal>
          <c:yVal>
            <c:numRef>
              <c:f>Comparison!$G$4:$G$30</c:f>
              <c:numCache>
                <c:formatCode>0.0</c:formatCode>
                <c:ptCount val="27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36.227303794369945</c:v>
                </c:pt>
                <c:pt idx="4">
                  <c:v>30.189419828641618</c:v>
                </c:pt>
                <c:pt idx="5">
                  <c:v>22.642064871481214</c:v>
                </c:pt>
                <c:pt idx="6">
                  <c:v>18.113651897184972</c:v>
                </c:pt>
                <c:pt idx="7">
                  <c:v>15.094709914320809</c:v>
                </c:pt>
                <c:pt idx="8">
                  <c:v>12.938322783703551</c:v>
                </c:pt>
                <c:pt idx="9">
                  <c:v>11.321032435740607</c:v>
                </c:pt>
                <c:pt idx="10">
                  <c:v>10.063139942880539</c:v>
                </c:pt>
                <c:pt idx="11">
                  <c:v>9.0568259485924862</c:v>
                </c:pt>
                <c:pt idx="12">
                  <c:v>4.5284129742962431</c:v>
                </c:pt>
                <c:pt idx="13">
                  <c:v>3.0189419828641619</c:v>
                </c:pt>
                <c:pt idx="14">
                  <c:v>2.2642064871481216</c:v>
                </c:pt>
                <c:pt idx="15">
                  <c:v>1.811365189718497</c:v>
                </c:pt>
                <c:pt idx="16">
                  <c:v>1.509470991432081</c:v>
                </c:pt>
                <c:pt idx="17">
                  <c:v>1.2938322783703551</c:v>
                </c:pt>
                <c:pt idx="18">
                  <c:v>1.1321032435740608</c:v>
                </c:pt>
                <c:pt idx="19">
                  <c:v>1.0063139942880539</c:v>
                </c:pt>
                <c:pt idx="20">
                  <c:v>0.90568259485924851</c:v>
                </c:pt>
                <c:pt idx="21">
                  <c:v>0.45284129742962426</c:v>
                </c:pt>
                <c:pt idx="22">
                  <c:v>0.30189419828641617</c:v>
                </c:pt>
                <c:pt idx="23">
                  <c:v>0.22642064871481213</c:v>
                </c:pt>
                <c:pt idx="24">
                  <c:v>0.18113651897184971</c:v>
                </c:pt>
                <c:pt idx="25">
                  <c:v>0.15094709914320809</c:v>
                </c:pt>
                <c:pt idx="26" formatCode="0.00">
                  <c:v>0.13933578382449976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C-4EA1-A671-3BEC5201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5456"/>
        <c:axId val="62097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Comparison!$A$1</c15:sqref>
                        </c15:formulaRef>
                      </c:ext>
                    </c:extLst>
                    <c:strCache>
                      <c:ptCount val="1"/>
                      <c:pt idx="0">
                        <c:v>IXTK102N65X2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Comparison!$A$4:$A$30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200</c:v>
                      </c:pt>
                      <c:pt idx="22">
                        <c:v>300</c:v>
                      </c:pt>
                      <c:pt idx="23">
                        <c:v>400</c:v>
                      </c:pt>
                      <c:pt idx="24">
                        <c:v>500</c:v>
                      </c:pt>
                      <c:pt idx="25">
                        <c:v>600</c:v>
                      </c:pt>
                      <c:pt idx="26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Comparison!$E$4:$E$30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30</c:v>
                      </c:pt>
                      <c:pt idx="1">
                        <c:v>33</c:v>
                      </c:pt>
                      <c:pt idx="2">
                        <c:v>36</c:v>
                      </c:pt>
                      <c:pt idx="3">
                        <c:v>43.266630611141153</c:v>
                      </c:pt>
                      <c:pt idx="4">
                        <c:v>36.055525509284294</c:v>
                      </c:pt>
                      <c:pt idx="5">
                        <c:v>27.041644131963221</c:v>
                      </c:pt>
                      <c:pt idx="6">
                        <c:v>21.633315305570576</c:v>
                      </c:pt>
                      <c:pt idx="7">
                        <c:v>18.027762754642147</c:v>
                      </c:pt>
                      <c:pt idx="8">
                        <c:v>15.452368075407554</c:v>
                      </c:pt>
                      <c:pt idx="9">
                        <c:v>13.52082206598161</c:v>
                      </c:pt>
                      <c:pt idx="10">
                        <c:v>12.018508503094765</c:v>
                      </c:pt>
                      <c:pt idx="11">
                        <c:v>10.816657652785288</c:v>
                      </c:pt>
                      <c:pt idx="12">
                        <c:v>5.4083288263926441</c:v>
                      </c:pt>
                      <c:pt idx="13">
                        <c:v>3.6055525509284294</c:v>
                      </c:pt>
                      <c:pt idx="14">
                        <c:v>2.7041644131963221</c:v>
                      </c:pt>
                      <c:pt idx="15">
                        <c:v>2.1633315305570577</c:v>
                      </c:pt>
                      <c:pt idx="16">
                        <c:v>1.8027762754642147</c:v>
                      </c:pt>
                      <c:pt idx="17">
                        <c:v>1.5452368075407554</c:v>
                      </c:pt>
                      <c:pt idx="18">
                        <c:v>1.352082206598161</c:v>
                      </c:pt>
                      <c:pt idx="19">
                        <c:v>1.2018508503094765</c:v>
                      </c:pt>
                      <c:pt idx="20">
                        <c:v>1.0816657652785289</c:v>
                      </c:pt>
                      <c:pt idx="21">
                        <c:v>0.54083288263926443</c:v>
                      </c:pt>
                      <c:pt idx="22">
                        <c:v>0.36055525509284292</c:v>
                      </c:pt>
                      <c:pt idx="23">
                        <c:v>0.27041644131963222</c:v>
                      </c:pt>
                      <c:pt idx="24">
                        <c:v>0.21633315305570577</c:v>
                      </c:pt>
                      <c:pt idx="25">
                        <c:v>0.18027762754642146</c:v>
                      </c:pt>
                      <c:pt idx="26" formatCode="0.00">
                        <c:v>0.16641011773515829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97C-4EA1-A671-3BEC520119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Comparison!$U$3:$U$15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43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10.157440325038088</c:v>
                      </c:pt>
                      <c:pt idx="7">
                        <c:v>5.0787201625190441</c:v>
                      </c:pt>
                      <c:pt idx="8">
                        <c:v>3.3858134416793626</c:v>
                      </c:pt>
                      <c:pt idx="9">
                        <c:v>2.5393600812595221</c:v>
                      </c:pt>
                      <c:pt idx="10">
                        <c:v>2.0314880650076175</c:v>
                      </c:pt>
                      <c:pt idx="11">
                        <c:v>1.6929067208396813</c:v>
                      </c:pt>
                      <c:pt idx="12">
                        <c:v>1.6122921150854108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7C-4EA1-A671-3BEC520119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Comparison!$W$3:$W$15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8.5900352250397063</c:v>
                      </c:pt>
                      <c:pt idx="7">
                        <c:v>4.2950176125198531</c:v>
                      </c:pt>
                      <c:pt idx="8">
                        <c:v>2.8633450750132354</c:v>
                      </c:pt>
                      <c:pt idx="9">
                        <c:v>2.1475088062599266</c:v>
                      </c:pt>
                      <c:pt idx="10">
                        <c:v>1.7180070450079412</c:v>
                      </c:pt>
                      <c:pt idx="11">
                        <c:v>1.4316725375066177</c:v>
                      </c:pt>
                      <c:pt idx="12">
                        <c:v>1.3634976547682074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7C-4EA1-A671-3BEC52011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Comparison!$Y$3:$Y$16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Comparison!$AC$4:$AC$16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45</c:v>
                      </c:pt>
                      <c:pt idx="1">
                        <c:v>50.787201625190441</c:v>
                      </c:pt>
                      <c:pt idx="2">
                        <c:v>40.629761300152353</c:v>
                      </c:pt>
                      <c:pt idx="3">
                        <c:v>33.858134416793625</c:v>
                      </c:pt>
                      <c:pt idx="4">
                        <c:v>29.021258071537396</c:v>
                      </c:pt>
                      <c:pt idx="5">
                        <c:v>25.393600812595221</c:v>
                      </c:pt>
                      <c:pt idx="6">
                        <c:v>22.57208961119575</c:v>
                      </c:pt>
                      <c:pt idx="7">
                        <c:v>20.314880650076176</c:v>
                      </c:pt>
                      <c:pt idx="8">
                        <c:v>10.157440325038088</c:v>
                      </c:pt>
                      <c:pt idx="9">
                        <c:v>5.0787201625190441</c:v>
                      </c:pt>
                      <c:pt idx="10">
                        <c:v>3.3858134416793626</c:v>
                      </c:pt>
                      <c:pt idx="11">
                        <c:v>2.5393600812595221</c:v>
                      </c:pt>
                      <c:pt idx="12">
                        <c:v>2.0314880650076175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7C-4EA1-A671-3BEC520119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Comparison!$Y$3:$Y$16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Comparison!$AE$3:$AE$16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</c:v>
                      </c:pt>
                      <c:pt idx="1">
                        <c:v>45</c:v>
                      </c:pt>
                      <c:pt idx="2">
                        <c:v>42.950176125198531</c:v>
                      </c:pt>
                      <c:pt idx="3">
                        <c:v>34.360140900158825</c:v>
                      </c:pt>
                      <c:pt idx="4">
                        <c:v>28.633450750132354</c:v>
                      </c:pt>
                      <c:pt idx="5">
                        <c:v>24.542957785827731</c:v>
                      </c:pt>
                      <c:pt idx="6">
                        <c:v>21.475088062599266</c:v>
                      </c:pt>
                      <c:pt idx="7">
                        <c:v>19.088967166754902</c:v>
                      </c:pt>
                      <c:pt idx="8">
                        <c:v>17.180070450079413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2.1475088062599266</c:v>
                      </c:pt>
                      <c:pt idx="13">
                        <c:v>1.7180070450079412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7C-4EA1-A671-3BEC520119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Comparison!$AK$3:$AK$15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3.3858134416793626</c:v>
                      </c:pt>
                      <c:pt idx="12">
                        <c:v>2.7452541419021861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7C-4EA1-A671-3BEC520119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Comparison!$AG$2:$AG$15</c15:sqref>
                        </c15:formulaRef>
                      </c:ext>
                    </c:extLst>
                    <c:strCache>
                      <c:ptCount val="14"/>
                      <c:pt idx="0">
                        <c:v>VDS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37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Comparison!$AM$3:$AM$15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2.3216311419026234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7C-4EA1-A671-3BEC5201190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Comparison!$AO$1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Comparison!$AO$3:$AO$14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Comparison!$AS$3:$AS$14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3.9067078173223417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7C-4EA1-A671-3BEC52011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Comparison!$AO$1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Comparison!$AO$3:$AO$14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Comparison!$AU$3:$AU$14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3.3038597019383484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7C-4EA1-A671-3BEC52011905}"/>
                  </c:ext>
                </c:extLst>
              </c15:ser>
            </c15:filteredScatterSeries>
          </c:ext>
        </c:extLst>
      </c:scatterChart>
      <c:valAx>
        <c:axId val="62097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3488"/>
        <c:crosses val="autoZero"/>
        <c:crossBetween val="midCat"/>
      </c:valAx>
      <c:valAx>
        <c:axId val="62097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DS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IXTK102N65X2!$D$1</c:f>
              <c:strCache>
                <c:ptCount val="1"/>
                <c:pt idx="0">
                  <c:v>Heatsink 1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11.337222110373594</c:v>
                </c:pt>
                <c:pt idx="41">
                  <c:v>12.903670133433213</c:v>
                </c:pt>
                <c:pt idx="42">
                  <c:v>14.686552075230503</c:v>
                </c:pt>
                <c:pt idx="43">
                  <c:v>16.715772305709788</c:v>
                </c:pt>
                <c:pt idx="44">
                  <c:v>19.025367039523395</c:v>
                </c:pt>
                <c:pt idx="45">
                  <c:v>21.654075227199822</c:v>
                </c:pt>
                <c:pt idx="46">
                  <c:v>24.645988325541154</c:v>
                </c:pt>
                <c:pt idx="47">
                  <c:v>28.051289845881762</c:v>
                </c:pt>
                <c:pt idx="48">
                  <c:v>31.927097084689244</c:v>
                </c:pt>
                <c:pt idx="49">
                  <c:v>36.338419154897529</c:v>
                </c:pt>
                <c:pt idx="50">
                  <c:v>41.359247387081268</c:v>
                </c:pt>
                <c:pt idx="51">
                  <c:v>47.073796389825709</c:v>
                </c:pt>
                <c:pt idx="52">
                  <c:v>53.577916585661193</c:v>
                </c:pt>
                <c:pt idx="53">
                  <c:v>60.980701915099992</c:v>
                </c:pt>
                <c:pt idx="54">
                  <c:v>69.406319674876713</c:v>
                </c:pt>
                <c:pt idx="55">
                  <c:v>78.996093182363609</c:v>
                </c:pt>
                <c:pt idx="56">
                  <c:v>89.910872198796781</c:v>
                </c:pt>
                <c:pt idx="57" formatCode="0.0">
                  <c:v>102.24776647907055</c:v>
                </c:pt>
                <c:pt idx="58" formatCode="0.0">
                  <c:v>116.47303844111686</c:v>
                </c:pt>
                <c:pt idx="59" formatCode="0.0">
                  <c:v>132.56595423914948</c:v>
                </c:pt>
                <c:pt idx="60" formatCode="0.0">
                  <c:v>150.88240556393404</c:v>
                </c:pt>
                <c:pt idx="61" formatCode="0.0">
                  <c:v>171.72961518981279</c:v>
                </c:pt>
                <c:pt idx="62" formatCode="0.0">
                  <c:v>195.45725442947543</c:v>
                </c:pt>
                <c:pt idx="63" formatCode="0.0">
                  <c:v>222.46330818876166</c:v>
                </c:pt>
                <c:pt idx="64" formatCode="0.0">
                  <c:v>253.20075038782852</c:v>
                </c:pt>
                <c:pt idx="65" formatCode="0.0">
                  <c:v>288.18514171586895</c:v>
                </c:pt>
                <c:pt idx="66" formatCode="0.0">
                  <c:v>328.00327715690662</c:v>
                </c:pt>
                <c:pt idx="67" formatCode="0.0">
                  <c:v>373.32302833205455</c:v>
                </c:pt>
                <c:pt idx="68" formatCode="0.0">
                  <c:v>403.4878297671961</c:v>
                </c:pt>
                <c:pt idx="69" formatCode="0.0">
                  <c:v>404.46350428265237</c:v>
                </c:pt>
                <c:pt idx="70" formatCode="0.0">
                  <c:v>404.46350428265237</c:v>
                </c:pt>
                <c:pt idx="71" formatCode="0.0">
                  <c:v>404.46350428265237</c:v>
                </c:pt>
                <c:pt idx="72" formatCode="0.0">
                  <c:v>404.46350428265237</c:v>
                </c:pt>
                <c:pt idx="73" formatCode="0.0">
                  <c:v>404.46350428265237</c:v>
                </c:pt>
                <c:pt idx="74" formatCode="0.0">
                  <c:v>404.46350428265237</c:v>
                </c:pt>
                <c:pt idx="75" formatCode="0.0">
                  <c:v>404.46350428265237</c:v>
                </c:pt>
                <c:pt idx="76" formatCode="0.0">
                  <c:v>403.96527941484601</c:v>
                </c:pt>
              </c:numCache>
            </c:numRef>
          </c:xVal>
          <c:yVal>
            <c:numRef>
              <c:f>IXTK102N65X2!$D$3:$D$94</c:f>
              <c:numCache>
                <c:formatCode>0.00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29.758039134272128</c:v>
                </c:pt>
                <c:pt idx="31">
                  <c:v>28.828100411326123</c:v>
                </c:pt>
                <c:pt idx="32">
                  <c:v>27.954521610982908</c:v>
                </c:pt>
                <c:pt idx="33">
                  <c:v>27.132329798895174</c:v>
                </c:pt>
                <c:pt idx="34">
                  <c:v>26.357120376069599</c:v>
                </c:pt>
                <c:pt idx="35">
                  <c:v>25.624978143400998</c:v>
                </c:pt>
                <c:pt idx="36">
                  <c:v>24.93241116655232</c:v>
                </c:pt>
                <c:pt idx="37">
                  <c:v>24.276295083221999</c:v>
                </c:pt>
                <c:pt idx="38">
                  <c:v>23.653825978523997</c:v>
                </c:pt>
                <c:pt idx="39">
                  <c:v>23.062480329060897</c:v>
                </c:pt>
                <c:pt idx="40">
                  <c:v>20.342267360148707</c:v>
                </c:pt>
                <c:pt idx="41">
                  <c:v>17.872806798824129</c:v>
                </c:pt>
                <c:pt idx="42">
                  <c:v>15.703127739530339</c:v>
                </c:pt>
                <c:pt idx="43">
                  <c:v>13.796838044499562</c:v>
                </c:pt>
                <c:pt idx="44">
                  <c:v>12.121963419234321</c:v>
                </c:pt>
                <c:pt idx="45">
                  <c:v>10.650411106031427</c:v>
                </c:pt>
                <c:pt idx="46">
                  <c:v>9.3574986827210189</c:v>
                </c:pt>
                <c:pt idx="47">
                  <c:v>8.2215400631378532</c:v>
                </c:pt>
                <c:pt idx="48">
                  <c:v>7.2234817552894892</c:v>
                </c:pt>
                <c:pt idx="49">
                  <c:v>6.3465832761612138</c:v>
                </c:pt>
                <c:pt idx="50">
                  <c:v>5.5761363627386888</c:v>
                </c:pt>
                <c:pt idx="51">
                  <c:v>4.8992182695605795</c:v>
                </c:pt>
                <c:pt idx="52">
                  <c:v>4.304475014848375</c:v>
                </c:pt>
                <c:pt idx="53">
                  <c:v>3.7819309395896252</c:v>
                </c:pt>
                <c:pt idx="54">
                  <c:v>3.3228213852994308</c:v>
                </c:pt>
                <c:pt idx="55">
                  <c:v>2.9194456839556397</c:v>
                </c:pt>
                <c:pt idx="56">
                  <c:v>2.5650379943004857</c:v>
                </c:pt>
                <c:pt idx="57">
                  <c:v>2.2555485682693752</c:v>
                </c:pt>
                <c:pt idx="58">
                  <c:v>1.9800702924668849</c:v>
                </c:pt>
                <c:pt idx="59">
                  <c:v>1.7396985871241191</c:v>
                </c:pt>
                <c:pt idx="60">
                  <c:v>1.5285069351103722</c:v>
                </c:pt>
                <c:pt idx="61">
                  <c:v>1.3429530080510534</c:v>
                </c:pt>
                <c:pt idx="62">
                  <c:v>1.1799245004427434</c:v>
                </c:pt>
                <c:pt idx="63">
                  <c:v>1.0366869267938883</c:v>
                </c:pt>
                <c:pt idx="64">
                  <c:v>0.91083775595988603</c:v>
                </c:pt>
                <c:pt idx="65">
                  <c:v>0.80026611336537756</c:v>
                </c:pt>
                <c:pt idx="66">
                  <c:v>0.70311737519709361</c:v>
                </c:pt>
                <c:pt idx="67">
                  <c:v>0.61776206070384243</c:v>
                </c:pt>
                <c:pt idx="68">
                  <c:v>0.57157809053044939</c:v>
                </c:pt>
                <c:pt idx="69">
                  <c:v>0.57019929078555576</c:v>
                </c:pt>
                <c:pt idx="70">
                  <c:v>0.57019929078555576</c:v>
                </c:pt>
                <c:pt idx="71">
                  <c:v>0.45287779257846456</c:v>
                </c:pt>
                <c:pt idx="72">
                  <c:v>0.34832492010231447</c:v>
                </c:pt>
                <c:pt idx="73">
                  <c:v>0.26790947128029607</c:v>
                </c:pt>
                <c:pt idx="74">
                  <c:v>0.20605900025931193</c:v>
                </c:pt>
                <c:pt idx="75">
                  <c:v>0.15848753455768561</c:v>
                </c:pt>
                <c:pt idx="76">
                  <c:v>0.11556795843393974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3-4392-BE33-75603037D070}"/>
            </c:ext>
          </c:extLst>
        </c:ser>
        <c:ser>
          <c:idx val="1"/>
          <c:order val="1"/>
          <c:tx>
            <c:strRef>
              <c:f>IXTK102N65X2!$F$1</c:f>
              <c:strCache>
                <c:ptCount val="1"/>
                <c:pt idx="0">
                  <c:v>Heatsink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11.337222110373594</c:v>
                </c:pt>
                <c:pt idx="41">
                  <c:v>12.903670133433213</c:v>
                </c:pt>
                <c:pt idx="42">
                  <c:v>14.686552075230503</c:v>
                </c:pt>
                <c:pt idx="43">
                  <c:v>16.715772305709788</c:v>
                </c:pt>
                <c:pt idx="44">
                  <c:v>19.025367039523395</c:v>
                </c:pt>
                <c:pt idx="45">
                  <c:v>21.654075227199822</c:v>
                </c:pt>
                <c:pt idx="46">
                  <c:v>24.645988325541154</c:v>
                </c:pt>
                <c:pt idx="47">
                  <c:v>28.051289845881762</c:v>
                </c:pt>
                <c:pt idx="48">
                  <c:v>31.927097084689244</c:v>
                </c:pt>
                <c:pt idx="49">
                  <c:v>36.338419154897529</c:v>
                </c:pt>
                <c:pt idx="50">
                  <c:v>41.359247387081268</c:v>
                </c:pt>
                <c:pt idx="51">
                  <c:v>47.073796389825709</c:v>
                </c:pt>
                <c:pt idx="52">
                  <c:v>53.577916585661193</c:v>
                </c:pt>
                <c:pt idx="53">
                  <c:v>60.980701915099992</c:v>
                </c:pt>
                <c:pt idx="54">
                  <c:v>69.406319674876713</c:v>
                </c:pt>
                <c:pt idx="55">
                  <c:v>78.996093182363609</c:v>
                </c:pt>
                <c:pt idx="56">
                  <c:v>89.910872198796781</c:v>
                </c:pt>
                <c:pt idx="57" formatCode="0.0">
                  <c:v>102.24776647907055</c:v>
                </c:pt>
                <c:pt idx="58" formatCode="0.0">
                  <c:v>116.47303844111686</c:v>
                </c:pt>
                <c:pt idx="59" formatCode="0.0">
                  <c:v>132.56595423914948</c:v>
                </c:pt>
                <c:pt idx="60" formatCode="0.0">
                  <c:v>150.88240556393404</c:v>
                </c:pt>
                <c:pt idx="61" formatCode="0.0">
                  <c:v>171.72961518981279</c:v>
                </c:pt>
                <c:pt idx="62" formatCode="0.0">
                  <c:v>195.45725442947543</c:v>
                </c:pt>
                <c:pt idx="63" formatCode="0.0">
                  <c:v>222.46330818876166</c:v>
                </c:pt>
                <c:pt idx="64" formatCode="0.0">
                  <c:v>253.20075038782852</c:v>
                </c:pt>
                <c:pt idx="65" formatCode="0.0">
                  <c:v>288.18514171586895</c:v>
                </c:pt>
                <c:pt idx="66" formatCode="0.0">
                  <c:v>328.00327715690662</c:v>
                </c:pt>
                <c:pt idx="67" formatCode="0.0">
                  <c:v>373.32302833205455</c:v>
                </c:pt>
                <c:pt idx="68" formatCode="0.0">
                  <c:v>403.4878297671961</c:v>
                </c:pt>
                <c:pt idx="69" formatCode="0.0">
                  <c:v>404.46350428265237</c:v>
                </c:pt>
                <c:pt idx="70" formatCode="0.0">
                  <c:v>404.46350428265237</c:v>
                </c:pt>
                <c:pt idx="71" formatCode="0.0">
                  <c:v>404.46350428265237</c:v>
                </c:pt>
                <c:pt idx="72" formatCode="0.0">
                  <c:v>404.46350428265237</c:v>
                </c:pt>
                <c:pt idx="73" formatCode="0.0">
                  <c:v>404.46350428265237</c:v>
                </c:pt>
                <c:pt idx="74" formatCode="0.0">
                  <c:v>404.46350428265237</c:v>
                </c:pt>
                <c:pt idx="75" formatCode="0.0">
                  <c:v>404.46350428265237</c:v>
                </c:pt>
                <c:pt idx="76" formatCode="0.0">
                  <c:v>403.96527941484601</c:v>
                </c:pt>
              </c:numCache>
            </c:numRef>
          </c:xVal>
          <c:yVal>
            <c:numRef>
              <c:f>IXTK102N65X2!$F$3:$F$94</c:f>
              <c:numCache>
                <c:formatCode>0.00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27.119496317571219</c:v>
                </c:pt>
                <c:pt idx="29">
                  <c:v>26.215513106985512</c:v>
                </c:pt>
                <c:pt idx="30">
                  <c:v>25.369851393856948</c:v>
                </c:pt>
                <c:pt idx="31">
                  <c:v>24.577043537798918</c:v>
                </c:pt>
                <c:pt idx="32">
                  <c:v>23.832284642714104</c:v>
                </c:pt>
                <c:pt idx="33">
                  <c:v>23.131335094398981</c:v>
                </c:pt>
                <c:pt idx="34">
                  <c:v>22.470439805987581</c:v>
                </c:pt>
                <c:pt idx="35">
                  <c:v>21.846260922487929</c:v>
                </c:pt>
                <c:pt idx="36">
                  <c:v>21.255821438096362</c:v>
                </c:pt>
                <c:pt idx="37">
                  <c:v>20.696457716041195</c:v>
                </c:pt>
                <c:pt idx="38">
                  <c:v>20.16577931306578</c:v>
                </c:pt>
                <c:pt idx="39">
                  <c:v>19.661634830239134</c:v>
                </c:pt>
                <c:pt idx="40">
                  <c:v>17.342550616741182</c:v>
                </c:pt>
                <c:pt idx="41">
                  <c:v>15.237242293799914</c:v>
                </c:pt>
                <c:pt idx="42">
                  <c:v>13.387509014726009</c:v>
                </c:pt>
                <c:pt idx="43">
                  <c:v>11.762325108677807</c:v>
                </c:pt>
                <c:pt idx="44">
                  <c:v>10.334431282925555</c:v>
                </c:pt>
                <c:pt idx="45">
                  <c:v>9.0798774013410792</c:v>
                </c:pt>
                <c:pt idx="46">
                  <c:v>7.9776207675402375</c:v>
                </c:pt>
                <c:pt idx="47">
                  <c:v>7.0091731746608721</c:v>
                </c:pt>
                <c:pt idx="48">
                  <c:v>6.1582908017240134</c:v>
                </c:pt>
                <c:pt idx="49">
                  <c:v>5.4107017551943306</c:v>
                </c:pt>
                <c:pt idx="50">
                  <c:v>4.7538666857802951</c:v>
                </c:pt>
                <c:pt idx="51">
                  <c:v>4.1767684652875587</c:v>
                </c:pt>
                <c:pt idx="52">
                  <c:v>3.6697273957645988</c:v>
                </c:pt>
                <c:pt idx="53">
                  <c:v>3.2242388514341678</c:v>
                </c:pt>
                <c:pt idx="54">
                  <c:v>2.8328306301704305</c:v>
                </c:pt>
                <c:pt idx="55">
                  <c:v>2.4889376218707384</c:v>
                </c:pt>
                <c:pt idx="56">
                  <c:v>2.1867916915282968</c:v>
                </c:pt>
                <c:pt idx="57">
                  <c:v>1.9229402760855165</c:v>
                </c:pt>
                <c:pt idx="58">
                  <c:v>1.6880846497517199</c:v>
                </c:pt>
                <c:pt idx="59">
                  <c:v>1.4831586996137389</c:v>
                </c:pt>
                <c:pt idx="60">
                  <c:v>1.3031098461581609</c:v>
                </c:pt>
                <c:pt idx="61">
                  <c:v>1.144918120762521</c:v>
                </c:pt>
                <c:pt idx="62">
                  <c:v>1.0059301655305617</c:v>
                </c:pt>
                <c:pt idx="63">
                  <c:v>0.88381472838460629</c:v>
                </c:pt>
                <c:pt idx="64">
                  <c:v>0.77652356085530305</c:v>
                </c:pt>
                <c:pt idx="65">
                  <c:v>0.68225706270534159</c:v>
                </c:pt>
                <c:pt idx="66">
                  <c:v>0.59943409714268236</c:v>
                </c:pt>
                <c:pt idx="67">
                  <c:v>0.52666547033233024</c:v>
                </c:pt>
                <c:pt idx="68">
                  <c:v>0.48729189283313651</c:v>
                </c:pt>
                <c:pt idx="69">
                  <c:v>0.48611641401640376</c:v>
                </c:pt>
                <c:pt idx="70">
                  <c:v>0.48611641401640376</c:v>
                </c:pt>
                <c:pt idx="71">
                  <c:v>0.45287779257846456</c:v>
                </c:pt>
                <c:pt idx="72">
                  <c:v>0.34832492010231447</c:v>
                </c:pt>
                <c:pt idx="73">
                  <c:v>0.26790947128029607</c:v>
                </c:pt>
                <c:pt idx="74">
                  <c:v>0.20605900025931193</c:v>
                </c:pt>
                <c:pt idx="75">
                  <c:v>0.15848753455768561</c:v>
                </c:pt>
                <c:pt idx="76">
                  <c:v>0.11556795843393974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3-4392-BE33-75603037D070}"/>
            </c:ext>
          </c:extLst>
        </c:ser>
        <c:ser>
          <c:idx val="2"/>
          <c:order val="2"/>
          <c:tx>
            <c:strRef>
              <c:f>IXTK102N65X2!$H$1</c:f>
              <c:strCache>
                <c:ptCount val="1"/>
                <c:pt idx="0">
                  <c:v>Heatsink 3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11.337222110373594</c:v>
                </c:pt>
                <c:pt idx="41">
                  <c:v>12.903670133433213</c:v>
                </c:pt>
                <c:pt idx="42">
                  <c:v>14.686552075230503</c:v>
                </c:pt>
                <c:pt idx="43">
                  <c:v>16.715772305709788</c:v>
                </c:pt>
                <c:pt idx="44">
                  <c:v>19.025367039523395</c:v>
                </c:pt>
                <c:pt idx="45">
                  <c:v>21.654075227199822</c:v>
                </c:pt>
                <c:pt idx="46">
                  <c:v>24.645988325541154</c:v>
                </c:pt>
                <c:pt idx="47">
                  <c:v>28.051289845881762</c:v>
                </c:pt>
                <c:pt idx="48">
                  <c:v>31.927097084689244</c:v>
                </c:pt>
                <c:pt idx="49">
                  <c:v>36.338419154897529</c:v>
                </c:pt>
                <c:pt idx="50">
                  <c:v>41.359247387081268</c:v>
                </c:pt>
                <c:pt idx="51">
                  <c:v>47.073796389825709</c:v>
                </c:pt>
                <c:pt idx="52">
                  <c:v>53.577916585661193</c:v>
                </c:pt>
                <c:pt idx="53">
                  <c:v>60.980701915099992</c:v>
                </c:pt>
                <c:pt idx="54">
                  <c:v>69.406319674876713</c:v>
                </c:pt>
                <c:pt idx="55">
                  <c:v>78.996093182363609</c:v>
                </c:pt>
                <c:pt idx="56">
                  <c:v>89.910872198796781</c:v>
                </c:pt>
                <c:pt idx="57" formatCode="0.0">
                  <c:v>102.24776647907055</c:v>
                </c:pt>
                <c:pt idx="58" formatCode="0.0">
                  <c:v>116.47303844111686</c:v>
                </c:pt>
                <c:pt idx="59" formatCode="0.0">
                  <c:v>132.56595423914948</c:v>
                </c:pt>
                <c:pt idx="60" formatCode="0.0">
                  <c:v>150.88240556393404</c:v>
                </c:pt>
                <c:pt idx="61" formatCode="0.0">
                  <c:v>171.72961518981279</c:v>
                </c:pt>
                <c:pt idx="62" formatCode="0.0">
                  <c:v>195.45725442947543</c:v>
                </c:pt>
                <c:pt idx="63" formatCode="0.0">
                  <c:v>222.46330818876166</c:v>
                </c:pt>
                <c:pt idx="64" formatCode="0.0">
                  <c:v>253.20075038782852</c:v>
                </c:pt>
                <c:pt idx="65" formatCode="0.0">
                  <c:v>288.18514171586895</c:v>
                </c:pt>
                <c:pt idx="66" formatCode="0.0">
                  <c:v>328.00327715690662</c:v>
                </c:pt>
                <c:pt idx="67" formatCode="0.0">
                  <c:v>373.32302833205455</c:v>
                </c:pt>
                <c:pt idx="68" formatCode="0.0">
                  <c:v>403.4878297671961</c:v>
                </c:pt>
                <c:pt idx="69" formatCode="0.0">
                  <c:v>404.46350428265237</c:v>
                </c:pt>
                <c:pt idx="70" formatCode="0.0">
                  <c:v>404.46350428265237</c:v>
                </c:pt>
                <c:pt idx="71" formatCode="0.0">
                  <c:v>404.46350428265237</c:v>
                </c:pt>
                <c:pt idx="72" formatCode="0.0">
                  <c:v>404.46350428265237</c:v>
                </c:pt>
                <c:pt idx="73" formatCode="0.0">
                  <c:v>404.46350428265237</c:v>
                </c:pt>
                <c:pt idx="74" formatCode="0.0">
                  <c:v>404.46350428265237</c:v>
                </c:pt>
                <c:pt idx="75" formatCode="0.0">
                  <c:v>404.46350428265237</c:v>
                </c:pt>
                <c:pt idx="76" formatCode="0.0">
                  <c:v>403.96527941484601</c:v>
                </c:pt>
              </c:numCache>
            </c:numRef>
          </c:xVal>
          <c:yVal>
            <c:numRef>
              <c:f>IXTK102N65X2!$H$3:$H$94</c:f>
              <c:numCache>
                <c:formatCode>0.00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21.693969803780593</c:v>
                </c:pt>
                <c:pt idx="22">
                  <c:v>20.750753725355352</c:v>
                </c:pt>
                <c:pt idx="23">
                  <c:v>19.88613898679888</c:v>
                </c:pt>
                <c:pt idx="24">
                  <c:v>19.090693427326922</c:v>
                </c:pt>
                <c:pt idx="25">
                  <c:v>18.356435987814351</c:v>
                </c:pt>
                <c:pt idx="26">
                  <c:v>17.676567988265671</c:v>
                </c:pt>
                <c:pt idx="27">
                  <c:v>17.045261988684754</c:v>
                </c:pt>
                <c:pt idx="28">
                  <c:v>16.45749433390252</c:v>
                </c:pt>
                <c:pt idx="29">
                  <c:v>15.908911189439102</c:v>
                </c:pt>
                <c:pt idx="30">
                  <c:v>15.395720505908809</c:v>
                </c:pt>
                <c:pt idx="31">
                  <c:v>14.914604240099159</c:v>
                </c:pt>
                <c:pt idx="32">
                  <c:v>14.462646535853731</c:v>
                </c:pt>
                <c:pt idx="33">
                  <c:v>14.037274578916856</c:v>
                </c:pt>
                <c:pt idx="34">
                  <c:v>13.636209590947802</c:v>
                </c:pt>
                <c:pt idx="35">
                  <c:v>13.257425991199252</c:v>
                </c:pt>
                <c:pt idx="36">
                  <c:v>12.8991171806263</c:v>
                </c:pt>
                <c:pt idx="37">
                  <c:v>12.559666728504554</c:v>
                </c:pt>
                <c:pt idx="38">
                  <c:v>12.237623991876234</c:v>
                </c:pt>
                <c:pt idx="39">
                  <c:v>11.931683392079327</c:v>
                </c:pt>
                <c:pt idx="40">
                  <c:v>10.524344743287511</c:v>
                </c:pt>
                <c:pt idx="41">
                  <c:v>9.2467362143461163</c:v>
                </c:pt>
                <c:pt idx="42">
                  <c:v>8.1242236645881096</c:v>
                </c:pt>
                <c:pt idx="43">
                  <c:v>7.1379791336375717</c:v>
                </c:pt>
                <c:pt idx="44">
                  <c:v>6.2714602915635673</c:v>
                </c:pt>
                <c:pt idx="45">
                  <c:v>5.5101329735346365</c:v>
                </c:pt>
                <c:pt idx="46">
                  <c:v>4.8412273975291438</c:v>
                </c:pt>
                <c:pt idx="47">
                  <c:v>4.2535239761286876</c:v>
                </c:pt>
                <c:pt idx="48">
                  <c:v>3.7371651298048043</c:v>
                </c:pt>
                <c:pt idx="49">
                  <c:v>3.2834899452336876</c:v>
                </c:pt>
                <c:pt idx="50">
                  <c:v>2.8848889053542686</c:v>
                </c:pt>
                <c:pt idx="51">
                  <c:v>2.5346762545495864</c:v>
                </c:pt>
                <c:pt idx="52">
                  <c:v>2.2269778581260748</c:v>
                </c:pt>
                <c:pt idx="53">
                  <c:v>1.9566326751520735</c:v>
                </c:pt>
                <c:pt idx="54">
                  <c:v>1.7191061920544806</c:v>
                </c:pt>
                <c:pt idx="55">
                  <c:v>1.5104143649907933</c:v>
                </c:pt>
                <c:pt idx="56">
                  <c:v>1.3270567952780912</c:v>
                </c:pt>
                <c:pt idx="57">
                  <c:v>1.1669382914610331</c:v>
                </c:pt>
                <c:pt idx="58">
                  <c:v>1.0244159121951137</c:v>
                </c:pt>
                <c:pt idx="59">
                  <c:v>0.90005638782296438</c:v>
                </c:pt>
                <c:pt idx="60">
                  <c:v>0.79079355525144146</c:v>
                </c:pt>
                <c:pt idx="61">
                  <c:v>0.6947947434046966</c:v>
                </c:pt>
                <c:pt idx="62">
                  <c:v>0.61044975930450807</c:v>
                </c:pt>
                <c:pt idx="63">
                  <c:v>0.53634388022114687</c:v>
                </c:pt>
                <c:pt idx="64">
                  <c:v>0.47123412445672153</c:v>
                </c:pt>
                <c:pt idx="65">
                  <c:v>0.41402840274961711</c:v>
                </c:pt>
                <c:pt idx="66">
                  <c:v>0.36376720060548601</c:v>
                </c:pt>
                <c:pt idx="67">
                  <c:v>0.31960748431159236</c:v>
                </c:pt>
                <c:pt idx="68">
                  <c:v>0.2957135881635799</c:v>
                </c:pt>
                <c:pt idx="69">
                  <c:v>0.29500024763028004</c:v>
                </c:pt>
                <c:pt idx="70">
                  <c:v>0.29500024763028004</c:v>
                </c:pt>
                <c:pt idx="71">
                  <c:v>0.29500024763028004</c:v>
                </c:pt>
                <c:pt idx="72">
                  <c:v>0.29500024763028004</c:v>
                </c:pt>
                <c:pt idx="73">
                  <c:v>0.26790947128029607</c:v>
                </c:pt>
                <c:pt idx="74">
                  <c:v>0.20605900025931193</c:v>
                </c:pt>
                <c:pt idx="75">
                  <c:v>0.15848753455768561</c:v>
                </c:pt>
                <c:pt idx="76">
                  <c:v>0.11556795843393974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6-4F8B-87A2-8EF3FC15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1776"/>
        <c:axId val="613192760"/>
      </c:scatterChart>
      <c:valAx>
        <c:axId val="6131917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2760"/>
        <c:crosses val="autoZero"/>
        <c:crossBetween val="midCat"/>
      </c:valAx>
      <c:valAx>
        <c:axId val="61319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0</xdr:rowOff>
    </xdr:from>
    <xdr:to>
      <xdr:col>65</xdr:col>
      <xdr:colOff>0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DC0C12-12F0-42AA-BBED-7BAF4FB6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638175</xdr:colOff>
      <xdr:row>0</xdr:row>
      <xdr:rowOff>0</xdr:rowOff>
    </xdr:from>
    <xdr:to>
      <xdr:col>32</xdr:col>
      <xdr:colOff>638175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07AA5-1762-469C-A7A9-18CEB51D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5D06A5-75CA-4DC5-9CDC-2D74C1C7FEF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89982-0E27-465B-BE48-0931B45020E5}" name="IXTK60N50L2" displayName="IXTK60N50L2" ref="I2:L40" tableType="queryTable" totalsRowShown="0" headerRowDxfId="5" dataDxfId="4">
  <autoFilter ref="I2:L40" xr:uid="{7803580B-4CA0-4BE6-986A-8A66C4F02812}"/>
  <tableColumns count="4">
    <tableColumn id="1" xr3:uid="{FF23D3E5-6E69-473F-8C66-EC88ED76831C}" uniqueName="1" name="VDS" queryTableFieldId="1" dataDxfId="3"/>
    <tableColumn id="2" xr3:uid="{D900BF4E-38EF-47D3-A544-8D07886B5360}" uniqueName="2" name="ID" queryTableFieldId="2" dataDxfId="2"/>
    <tableColumn id="3" xr3:uid="{A3F498C6-3A44-4F16-ADD1-D951D3C67966}" uniqueName="3" name="P" queryTableFieldId="3" dataDxfId="1">
      <calculatedColumnFormula>IXTK60N50L2[[#This Row],[ID]]*IXTK60N50L2[[#This Row],[VDS]]</calculatedColumnFormula>
    </tableColumn>
    <tableColumn id="4" xr3:uid="{83CF9A01-695C-4F3B-84A3-B4EF08F04E97}" uniqueName="4" name="R" queryTableFieldId="4" dataDxfId="0">
      <calculatedColumnFormula>IXTK60N50L2[[#This Row],[VDS]]/IXTK60N50L2[[#This Row],[ID]]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nandtech.com/show/10500/stock-cooler-roundup-intel-amd-vs-evo-212/6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nandtech.com/show/10500/stock-cooler-roundup-intel-amd-vs-evo-212/6" TargetMode="External"/><Relationship Id="rId1" Type="http://schemas.openxmlformats.org/officeDocument/2006/relationships/hyperlink" Target="https://www.anandtech.com/show/10500/stock-cooler-roundup-intel-amd-vs-evo-212/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nandtech.com/show/10500/stock-cooler-roundup-intel-amd-vs-evo-212/6" TargetMode="External"/><Relationship Id="rId4" Type="http://schemas.openxmlformats.org/officeDocument/2006/relationships/hyperlink" Target="https://www.anandtech.com/show/10500/stock-cooler-roundup-intel-amd-vs-evo-212/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2"/>
  <sheetViews>
    <sheetView zoomScaleNormal="100" workbookViewId="0">
      <selection activeCell="O20" sqref="O20"/>
    </sheetView>
  </sheetViews>
  <sheetFormatPr defaultColWidth="9.73046875" defaultRowHeight="18" customHeight="1" x14ac:dyDescent="0.45"/>
  <cols>
    <col min="1" max="8" width="9.73046875" style="1"/>
    <col min="9" max="10" width="13.3984375" style="2" bestFit="1" customWidth="1"/>
    <col min="11" max="16384" width="9.73046875" style="1"/>
  </cols>
  <sheetData>
    <row r="1" spans="1:47" ht="18" customHeight="1" x14ac:dyDescent="0.45">
      <c r="A1" s="25" t="s">
        <v>5</v>
      </c>
      <c r="B1" s="25"/>
      <c r="C1" s="25"/>
      <c r="D1" s="25"/>
      <c r="E1" s="25"/>
      <c r="F1" s="25"/>
      <c r="G1" s="25"/>
      <c r="Q1" s="25" t="s">
        <v>15</v>
      </c>
      <c r="R1" s="25"/>
      <c r="S1" s="25"/>
      <c r="T1" s="25"/>
      <c r="U1" s="25"/>
      <c r="V1" s="25"/>
      <c r="W1" s="25"/>
      <c r="Y1" s="25" t="s">
        <v>16</v>
      </c>
      <c r="Z1" s="25"/>
      <c r="AA1" s="25"/>
      <c r="AB1" s="25"/>
      <c r="AC1" s="25"/>
      <c r="AD1" s="25"/>
      <c r="AE1" s="25"/>
      <c r="AG1" s="25" t="s">
        <v>17</v>
      </c>
      <c r="AH1" s="25"/>
      <c r="AI1" s="25"/>
      <c r="AJ1" s="25"/>
      <c r="AK1" s="25"/>
      <c r="AL1" s="25"/>
      <c r="AM1" s="25"/>
      <c r="AO1" s="25" t="s">
        <v>18</v>
      </c>
      <c r="AP1" s="25"/>
      <c r="AQ1" s="25"/>
      <c r="AR1" s="25"/>
      <c r="AS1" s="25"/>
      <c r="AT1" s="25"/>
      <c r="AU1" s="25"/>
    </row>
    <row r="2" spans="1:47" ht="15.75" x14ac:dyDescent="0.45">
      <c r="A2" s="1" t="s">
        <v>4</v>
      </c>
      <c r="B2" s="1" t="s">
        <v>0</v>
      </c>
      <c r="C2" s="1" t="s">
        <v>1</v>
      </c>
      <c r="D2" s="1" t="s">
        <v>11</v>
      </c>
      <c r="E2" s="1" t="s">
        <v>12</v>
      </c>
      <c r="F2" s="1" t="s">
        <v>13</v>
      </c>
      <c r="G2" s="1" t="s">
        <v>14</v>
      </c>
      <c r="I2" s="2" t="s">
        <v>65</v>
      </c>
      <c r="J2" s="2" t="s">
        <v>66</v>
      </c>
      <c r="K2" s="2" t="s">
        <v>1</v>
      </c>
      <c r="L2" s="2" t="s">
        <v>67</v>
      </c>
      <c r="Q2" s="1" t="s">
        <v>4</v>
      </c>
      <c r="R2" s="1" t="s">
        <v>0</v>
      </c>
      <c r="S2" s="1" t="s">
        <v>1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4</v>
      </c>
      <c r="Z2" s="1" t="s">
        <v>0</v>
      </c>
      <c r="AA2" s="1" t="s">
        <v>1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4</v>
      </c>
      <c r="AH2" s="1" t="s">
        <v>0</v>
      </c>
      <c r="AI2" s="1" t="s">
        <v>1</v>
      </c>
      <c r="AJ2" s="1" t="s">
        <v>11</v>
      </c>
      <c r="AK2" s="1" t="s">
        <v>12</v>
      </c>
      <c r="AL2" s="1" t="s">
        <v>13</v>
      </c>
      <c r="AM2" s="1" t="s">
        <v>14</v>
      </c>
      <c r="AO2" s="1" t="s">
        <v>4</v>
      </c>
      <c r="AP2" s="1" t="s">
        <v>0</v>
      </c>
      <c r="AQ2" s="1" t="s">
        <v>1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 ht="14.25" x14ac:dyDescent="0.45">
      <c r="A3" s="5">
        <v>0.5</v>
      </c>
      <c r="B3" s="5">
        <v>19</v>
      </c>
      <c r="C3" s="6">
        <f t="shared" ref="C3:C30" si="0">B3*A3</f>
        <v>9.5</v>
      </c>
      <c r="D3" s="6">
        <f>IF(B$36&gt;C3,C3,B$36)</f>
        <v>9.5</v>
      </c>
      <c r="E3" s="5">
        <f>IF(B$36/A3&gt;C3,C3/A3,IF(B$36/A3&gt;B3,B3,B$36/A3))</f>
        <v>19</v>
      </c>
      <c r="F3" s="5">
        <f>IF(D$36&gt;C3,C3,D$36)</f>
        <v>9.5</v>
      </c>
      <c r="G3" s="5">
        <f>IF(D$36/A3&gt;C3,C3/A3,IF(D$36/A3&gt;B3,B3,D$36/A3))</f>
        <v>19</v>
      </c>
      <c r="H3" s="2"/>
      <c r="I3" s="21">
        <v>10</v>
      </c>
      <c r="J3" s="21">
        <v>42.340946623038278</v>
      </c>
      <c r="K3" s="2">
        <f>IXTK60N50L2[[#This Row],[ID]]*IXTK60N50L2[[#This Row],[VDS]]</f>
        <v>423.4094662303828</v>
      </c>
      <c r="L3" s="2">
        <f>IXTK60N50L2[[#This Row],[VDS]]/IXTK60N50L2[[#This Row],[ID]]</f>
        <v>0.23617799783812263</v>
      </c>
      <c r="M3" s="2"/>
      <c r="N3" s="2"/>
      <c r="O3" s="2"/>
      <c r="P3" s="2"/>
      <c r="Q3" s="2">
        <v>1</v>
      </c>
      <c r="R3" s="2">
        <v>23</v>
      </c>
      <c r="S3" s="2">
        <f>R3*Q3</f>
        <v>23</v>
      </c>
      <c r="T3" s="6">
        <f>IF(R$36&gt;S3,S3,R$36)</f>
        <v>23</v>
      </c>
      <c r="U3" s="5">
        <f>IF(R$36/Q3&gt;S3,S3/Q3,IF(R$36/Q3&gt;R3,R3,R$36/Q3))</f>
        <v>23</v>
      </c>
      <c r="V3" s="5">
        <f>IF(T$36&gt;S3,S3,T$36)</f>
        <v>23</v>
      </c>
      <c r="W3" s="5">
        <f>IF(T$36/Q3&gt;S3,S3/Q3,IF(T$36/Q3&gt;R3,R3,T$36/Q3))</f>
        <v>23</v>
      </c>
      <c r="Y3" s="1">
        <v>1</v>
      </c>
      <c r="Z3" s="1">
        <v>32</v>
      </c>
      <c r="AA3" s="2">
        <f>Z3*Y3</f>
        <v>32</v>
      </c>
      <c r="AB3" s="6">
        <f>IF(Z$36&gt;AA3,AA3,Z$36)</f>
        <v>32</v>
      </c>
      <c r="AC3" s="5">
        <f>IF(Z$36/Y3&gt;AA3,AA3/Y3,IF(Z$36/Y3&gt;Z3,Z3,Z$36/Y3))</f>
        <v>32</v>
      </c>
      <c r="AD3" s="5">
        <f>IF(AB$36&gt;AA3,AA3,AB$36)</f>
        <v>32</v>
      </c>
      <c r="AE3" s="5">
        <f>IF(AB$36/Y3&gt;AA3,AA3/Y3,IF(AB$36/Y3&gt;Z3,Z3,AB$36/Y3))</f>
        <v>32</v>
      </c>
      <c r="AG3" s="1">
        <v>1</v>
      </c>
      <c r="AH3" s="1">
        <v>46</v>
      </c>
      <c r="AI3" s="2">
        <f>AH3*AG3</f>
        <v>46</v>
      </c>
      <c r="AJ3" s="6">
        <f>IF(AH$36&gt;AI3,AI3,AH$36)</f>
        <v>46</v>
      </c>
      <c r="AK3" s="5">
        <f>IF(AH$36/AG3&gt;AI3,AI3/AG3,IF(AH$36/AG3&gt;AH3,AH3,AH$36/AG3))</f>
        <v>46</v>
      </c>
      <c r="AL3" s="5">
        <f>IF(AJ$36&gt;AI3,AI3,AJ$36)</f>
        <v>46</v>
      </c>
      <c r="AM3" s="5">
        <f>IF(AJ$36/AG3&gt;AI3,AI3/AG3,IF(AJ$36/AG3&gt;AH3,AH3,AJ$36/AG3))</f>
        <v>46</v>
      </c>
      <c r="AO3" s="1">
        <v>1</v>
      </c>
      <c r="AP3" s="1">
        <v>70</v>
      </c>
      <c r="AQ3" s="2">
        <f>AP3*AO3</f>
        <v>70</v>
      </c>
      <c r="AR3" s="6">
        <f>IF(AP$36&gt;AQ3,AQ3,AP$36)</f>
        <v>70</v>
      </c>
      <c r="AS3" s="5">
        <f>IF(AP$36/AO3&gt;AQ3,AQ3/AO3,IF(AP$36/AO3&gt;AP3,AP3,AP$36/AO3))</f>
        <v>70</v>
      </c>
      <c r="AT3" s="5">
        <f>IF(AR$36&gt;AQ3,AQ3,AR$36)</f>
        <v>70</v>
      </c>
      <c r="AU3" s="5">
        <f>IF(AR$36/AO3&gt;AQ3,AQ3/AO3,IF(AR$36/AO3&gt;AP3,AP3,AR$36/AO3))</f>
        <v>70</v>
      </c>
    </row>
    <row r="4" spans="1:47" ht="14.25" x14ac:dyDescent="0.45">
      <c r="A4" s="5">
        <v>1</v>
      </c>
      <c r="B4" s="5">
        <v>30</v>
      </c>
      <c r="C4" s="6">
        <f t="shared" si="0"/>
        <v>30</v>
      </c>
      <c r="D4" s="6">
        <f t="shared" ref="D4:D30" si="1">IF($B$36&gt;C4,C4,$B$36)</f>
        <v>30</v>
      </c>
      <c r="E4" s="5">
        <f t="shared" ref="E4:E30" si="2">IF($B$36/A4&gt;C4,C4/A4,IF($B$36/A4&gt;B4,B4,$B$36/A4))</f>
        <v>30</v>
      </c>
      <c r="F4" s="5">
        <f t="shared" ref="F4:F30" si="3">IF($D$36&gt;C4,C4,$D$36)</f>
        <v>30</v>
      </c>
      <c r="G4" s="5">
        <f t="shared" ref="G4:G30" si="4">IF($D$36/A4&gt;C4,C4/A4,IF($D$36/A4&gt;B4,B4,$D$36/A4))</f>
        <v>30</v>
      </c>
      <c r="H4" s="2"/>
      <c r="I4" s="21">
        <v>11.337222110373594</v>
      </c>
      <c r="J4" s="21">
        <v>46.074054643460492</v>
      </c>
      <c r="K4" s="2">
        <f>IXTK60N50L2[[#This Row],[ID]]*IXTK60N50L2[[#This Row],[VDS]]</f>
        <v>522.3517910184014</v>
      </c>
      <c r="L4" s="2">
        <f>IXTK60N50L2[[#This Row],[VDS]]/IXTK60N50L2[[#This Row],[ID]]</f>
        <v>0.24606521388459435</v>
      </c>
      <c r="M4" s="2"/>
      <c r="N4" s="2"/>
      <c r="O4" s="2"/>
      <c r="P4" s="2"/>
      <c r="Q4" s="2">
        <v>2</v>
      </c>
      <c r="R4" s="2">
        <v>43</v>
      </c>
      <c r="S4" s="2">
        <f t="shared" ref="S4:S15" si="5">R4*Q4</f>
        <v>86</v>
      </c>
      <c r="T4" s="6">
        <f t="shared" ref="T4:T15" si="6">IF(R$36&gt;S4,S4,R$36)</f>
        <v>86</v>
      </c>
      <c r="U4" s="5">
        <f t="shared" ref="U4:U15" si="7">IF(R$36/Q4&gt;S4,S4/Q4,IF(R$36/Q4&gt;R4,R4,R$36/Q4))</f>
        <v>43</v>
      </c>
      <c r="V4" s="5">
        <f t="shared" ref="V4:V15" si="8">IF(T$36&gt;S4,S4,T$36)</f>
        <v>85.900352250397063</v>
      </c>
      <c r="W4" s="5">
        <f t="shared" ref="W4:W15" si="9">IF(T$36/Q4&gt;S4,S4/Q4,IF(T$36/Q4&gt;R4,R4,T$36/Q4))</f>
        <v>42.950176125198531</v>
      </c>
      <c r="Y4" s="1">
        <v>1.5</v>
      </c>
      <c r="Z4" s="1">
        <v>45</v>
      </c>
      <c r="AA4" s="2">
        <f t="shared" ref="AA4:AA16" si="10">Z4*Y4</f>
        <v>67.5</v>
      </c>
      <c r="AB4" s="6">
        <f t="shared" ref="AB4:AB16" si="11">IF(Z$36&gt;AA4,AA4,Z$36)</f>
        <v>67.5</v>
      </c>
      <c r="AC4" s="5">
        <f t="shared" ref="AC4:AC16" si="12">IF(Z$36/Y4&gt;AA4,AA4/Y4,IF(Z$36/Y4&gt;Z4,Z4,Z$36/Y4))</f>
        <v>45</v>
      </c>
      <c r="AD4" s="5">
        <f t="shared" ref="AD4:AD16" si="13">IF(AB$36&gt;AA4,AA4,AB$36)</f>
        <v>67.5</v>
      </c>
      <c r="AE4" s="5">
        <f t="shared" ref="AE4:AE16" si="14">IF(AB$36/Y4&gt;AA4,AA4/Y4,IF(AB$36/Y4&gt;Z4,Z4,AB$36/Y4))</f>
        <v>45</v>
      </c>
      <c r="AG4" s="1">
        <v>2</v>
      </c>
      <c r="AH4" s="1">
        <v>76</v>
      </c>
      <c r="AI4" s="2">
        <f t="shared" ref="AI4:AI15" si="15">AH4*AG4</f>
        <v>152</v>
      </c>
      <c r="AJ4" s="6">
        <f t="shared" ref="AJ4:AJ15" si="16">IF(AH$36&gt;AI4,AI4,AH$36)</f>
        <v>101.57440325038088</v>
      </c>
      <c r="AK4" s="5">
        <f t="shared" ref="AK4:AK15" si="17">IF(AH$36/AG4&gt;AI4,AI4/AG4,IF(AH$36/AG4&gt;AH4,AH4,AH$36/AG4))</f>
        <v>50.787201625190441</v>
      </c>
      <c r="AL4" s="5">
        <f t="shared" ref="AL4:AL15" si="18">IF(AJ$36&gt;AI4,AI4,AJ$36)</f>
        <v>85.900352250397063</v>
      </c>
      <c r="AM4" s="5">
        <f t="shared" ref="AM4:AM15" si="19">IF(AJ$36/AG4&gt;AI4,AI4/AG4,IF(AJ$36/AG4&gt;AH4,AH4,AJ$36/AG4))</f>
        <v>42.950176125198531</v>
      </c>
      <c r="AO4" s="1">
        <v>2</v>
      </c>
      <c r="AP4" s="1">
        <v>130</v>
      </c>
      <c r="AQ4" s="2">
        <f t="shared" ref="AQ4:AQ14" si="20">AP4*AO4</f>
        <v>260</v>
      </c>
      <c r="AR4" s="6">
        <f t="shared" ref="AR4:AR14" si="21">IF(AP$36&gt;AQ4,AQ4,AP$36)</f>
        <v>101.57440325038088</v>
      </c>
      <c r="AS4" s="5">
        <f t="shared" ref="AS4:AS14" si="22">IF(AP$36/AO4&gt;AQ4,AQ4/AO4,IF(AP$36/AO4&gt;AP4,AP4,AP$36/AO4))</f>
        <v>50.787201625190441</v>
      </c>
      <c r="AT4" s="5">
        <f t="shared" ref="AT4:AT14" si="23">IF(AR$36&gt;AQ4,AQ4,AR$36)</f>
        <v>85.900352250397063</v>
      </c>
      <c r="AU4" s="5">
        <f t="shared" ref="AU4:AU14" si="24">IF(AR$36/AO4&gt;AQ4,AQ4/AO4,IF(AR$36/AO4&gt;AP4,AP4,AR$36/AO4))</f>
        <v>42.950176125198531</v>
      </c>
    </row>
    <row r="5" spans="1:47" ht="14.25" x14ac:dyDescent="0.45">
      <c r="A5" s="5">
        <v>1.5</v>
      </c>
      <c r="B5" s="5">
        <v>33</v>
      </c>
      <c r="C5" s="6">
        <f t="shared" si="0"/>
        <v>49.5</v>
      </c>
      <c r="D5" s="6">
        <f t="shared" si="1"/>
        <v>49.5</v>
      </c>
      <c r="E5" s="5">
        <f t="shared" si="2"/>
        <v>33</v>
      </c>
      <c r="F5" s="5">
        <f t="shared" si="3"/>
        <v>49.5</v>
      </c>
      <c r="G5" s="5">
        <f t="shared" si="4"/>
        <v>33</v>
      </c>
      <c r="H5" s="2"/>
      <c r="I5" s="21">
        <v>12.903670133433213</v>
      </c>
      <c r="J5" s="21">
        <v>44.351950751877808</v>
      </c>
      <c r="K5" s="2">
        <f>IXTK60N50L2[[#This Row],[ID]]*IXTK60N50L2[[#This Row],[VDS]]</f>
        <v>572.30294227650643</v>
      </c>
      <c r="L5" s="2">
        <f>IXTK60N50L2[[#This Row],[VDS]]/IXTK60N50L2[[#This Row],[ID]]</f>
        <v>0.29093805153287167</v>
      </c>
      <c r="M5" s="2"/>
      <c r="N5" s="2"/>
      <c r="O5" s="2"/>
      <c r="P5" s="2"/>
      <c r="Q5" s="2">
        <v>3</v>
      </c>
      <c r="R5" s="2">
        <v>62</v>
      </c>
      <c r="S5" s="2">
        <f t="shared" si="5"/>
        <v>186</v>
      </c>
      <c r="T5" s="6">
        <f t="shared" si="6"/>
        <v>101.57440325038088</v>
      </c>
      <c r="U5" s="5">
        <f t="shared" si="7"/>
        <v>33.858134416793625</v>
      </c>
      <c r="V5" s="5">
        <f t="shared" si="8"/>
        <v>85.900352250397063</v>
      </c>
      <c r="W5" s="5">
        <f t="shared" si="9"/>
        <v>28.633450750132354</v>
      </c>
      <c r="Y5" s="1">
        <v>2</v>
      </c>
      <c r="Z5" s="1">
        <v>60</v>
      </c>
      <c r="AA5" s="2">
        <f t="shared" si="10"/>
        <v>120</v>
      </c>
      <c r="AB5" s="6">
        <f t="shared" si="11"/>
        <v>101.57440325038088</v>
      </c>
      <c r="AC5" s="5">
        <f t="shared" si="12"/>
        <v>50.787201625190441</v>
      </c>
      <c r="AD5" s="5">
        <f t="shared" si="13"/>
        <v>85.900352250397063</v>
      </c>
      <c r="AE5" s="5">
        <f t="shared" si="14"/>
        <v>42.950176125198531</v>
      </c>
      <c r="AG5" s="1">
        <v>3</v>
      </c>
      <c r="AH5" s="1">
        <v>105</v>
      </c>
      <c r="AI5" s="2">
        <f t="shared" si="15"/>
        <v>315</v>
      </c>
      <c r="AJ5" s="6">
        <f t="shared" si="16"/>
        <v>101.57440325038088</v>
      </c>
      <c r="AK5" s="5">
        <f t="shared" si="17"/>
        <v>33.858134416793625</v>
      </c>
      <c r="AL5" s="5">
        <f t="shared" si="18"/>
        <v>85.900352250397063</v>
      </c>
      <c r="AM5" s="5">
        <f t="shared" si="19"/>
        <v>28.633450750132354</v>
      </c>
      <c r="AO5" s="1">
        <v>3</v>
      </c>
      <c r="AP5" s="1">
        <v>185</v>
      </c>
      <c r="AQ5" s="2">
        <f t="shared" si="20"/>
        <v>555</v>
      </c>
      <c r="AR5" s="6">
        <f t="shared" si="21"/>
        <v>101.57440325038088</v>
      </c>
      <c r="AS5" s="5">
        <f t="shared" si="22"/>
        <v>33.858134416793625</v>
      </c>
      <c r="AT5" s="5">
        <f t="shared" si="23"/>
        <v>85.900352250397063</v>
      </c>
      <c r="AU5" s="5">
        <f t="shared" si="24"/>
        <v>28.633450750132354</v>
      </c>
    </row>
    <row r="6" spans="1:47" ht="14.25" x14ac:dyDescent="0.45">
      <c r="A6" s="5">
        <v>2</v>
      </c>
      <c r="B6" s="5">
        <v>36</v>
      </c>
      <c r="C6" s="6">
        <f t="shared" si="0"/>
        <v>72</v>
      </c>
      <c r="D6" s="6">
        <f t="shared" si="1"/>
        <v>72</v>
      </c>
      <c r="E6" s="5">
        <f t="shared" si="2"/>
        <v>36</v>
      </c>
      <c r="F6" s="5">
        <f t="shared" si="3"/>
        <v>72</v>
      </c>
      <c r="G6" s="5">
        <f t="shared" si="4"/>
        <v>36</v>
      </c>
      <c r="H6" s="2"/>
      <c r="I6" s="21">
        <v>14.686552075230503</v>
      </c>
      <c r="J6" s="21">
        <v>38.620024230057048</v>
      </c>
      <c r="K6" s="2">
        <f>IXTK60N50L2[[#This Row],[ID]]*IXTK60N50L2[[#This Row],[VDS]]</f>
        <v>567.1949970013967</v>
      </c>
      <c r="L6" s="2">
        <f>IXTK60N50L2[[#This Row],[VDS]]/IXTK60N50L2[[#This Row],[ID]]</f>
        <v>0.38028334699490707</v>
      </c>
      <c r="M6" s="2"/>
      <c r="N6" s="2"/>
      <c r="O6" s="2"/>
      <c r="P6" s="2"/>
      <c r="Q6" s="2">
        <v>4</v>
      </c>
      <c r="R6" s="2">
        <v>80</v>
      </c>
      <c r="S6" s="2">
        <f t="shared" si="5"/>
        <v>320</v>
      </c>
      <c r="T6" s="6">
        <f t="shared" si="6"/>
        <v>101.57440325038088</v>
      </c>
      <c r="U6" s="5">
        <f t="shared" si="7"/>
        <v>25.393600812595221</v>
      </c>
      <c r="V6" s="5">
        <f t="shared" si="8"/>
        <v>85.900352250397063</v>
      </c>
      <c r="W6" s="5">
        <f t="shared" si="9"/>
        <v>21.475088062599266</v>
      </c>
      <c r="Y6" s="1">
        <v>2.5</v>
      </c>
      <c r="Z6" s="1">
        <v>73</v>
      </c>
      <c r="AA6" s="2">
        <f t="shared" si="10"/>
        <v>182.5</v>
      </c>
      <c r="AB6" s="6">
        <f t="shared" si="11"/>
        <v>101.57440325038088</v>
      </c>
      <c r="AC6" s="5">
        <f t="shared" si="12"/>
        <v>40.629761300152353</v>
      </c>
      <c r="AD6" s="5">
        <f t="shared" si="13"/>
        <v>85.900352250397063</v>
      </c>
      <c r="AE6" s="5">
        <f t="shared" si="14"/>
        <v>34.360140900158825</v>
      </c>
      <c r="AG6" s="1">
        <v>4</v>
      </c>
      <c r="AH6" s="1">
        <v>125</v>
      </c>
      <c r="AI6" s="2">
        <f>AH6*AG6</f>
        <v>500</v>
      </c>
      <c r="AJ6" s="6">
        <f t="shared" si="16"/>
        <v>101.57440325038088</v>
      </c>
      <c r="AK6" s="5">
        <f t="shared" si="17"/>
        <v>25.393600812595221</v>
      </c>
      <c r="AL6" s="5">
        <f t="shared" si="18"/>
        <v>85.900352250397063</v>
      </c>
      <c r="AM6" s="5">
        <f t="shared" si="19"/>
        <v>21.475088062599266</v>
      </c>
      <c r="AO6" s="1">
        <v>4</v>
      </c>
      <c r="AP6" s="1">
        <v>210</v>
      </c>
      <c r="AQ6" s="2">
        <f t="shared" si="20"/>
        <v>840</v>
      </c>
      <c r="AR6" s="6">
        <f t="shared" si="21"/>
        <v>101.57440325038088</v>
      </c>
      <c r="AS6" s="5">
        <f t="shared" si="22"/>
        <v>25.393600812595221</v>
      </c>
      <c r="AT6" s="5">
        <f t="shared" si="23"/>
        <v>85.900352250397063</v>
      </c>
      <c r="AU6" s="5">
        <f t="shared" si="24"/>
        <v>21.475088062599266</v>
      </c>
    </row>
    <row r="7" spans="1:47" ht="14.25" x14ac:dyDescent="0.45">
      <c r="A7" s="5">
        <v>2.5</v>
      </c>
      <c r="B7" s="5">
        <v>44</v>
      </c>
      <c r="C7" s="6">
        <f t="shared" si="0"/>
        <v>110</v>
      </c>
      <c r="D7" s="6">
        <f t="shared" si="1"/>
        <v>108.16657652785288</v>
      </c>
      <c r="E7" s="5">
        <f t="shared" si="2"/>
        <v>43.266630611141153</v>
      </c>
      <c r="F7" s="5">
        <f t="shared" si="3"/>
        <v>90.568259485924855</v>
      </c>
      <c r="G7" s="5">
        <f t="shared" si="4"/>
        <v>36.227303794369945</v>
      </c>
      <c r="H7" s="2"/>
      <c r="I7" s="21">
        <v>16.715772305709788</v>
      </c>
      <c r="J7" s="21">
        <v>33.668932604971978</v>
      </c>
      <c r="K7" s="2">
        <f>IXTK60N50L2[[#This Row],[ID]]*IXTK60N50L2[[#This Row],[VDS]]</f>
        <v>562.80221120099986</v>
      </c>
      <c r="L7" s="2">
        <f>IXTK60N50L2[[#This Row],[VDS]]/IXTK60N50L2[[#This Row],[ID]]</f>
        <v>0.49647467301179982</v>
      </c>
      <c r="M7" s="2"/>
      <c r="N7" s="2"/>
      <c r="O7" s="2"/>
      <c r="P7" s="2"/>
      <c r="Q7" s="2">
        <v>5</v>
      </c>
      <c r="R7" s="2">
        <v>96</v>
      </c>
      <c r="S7" s="2">
        <f t="shared" si="5"/>
        <v>480</v>
      </c>
      <c r="T7" s="6">
        <f t="shared" si="6"/>
        <v>101.57440325038088</v>
      </c>
      <c r="U7" s="5">
        <f t="shared" si="7"/>
        <v>20.314880650076176</v>
      </c>
      <c r="V7" s="5">
        <f t="shared" si="8"/>
        <v>85.900352250397063</v>
      </c>
      <c r="W7" s="5">
        <f t="shared" si="9"/>
        <v>17.180070450079413</v>
      </c>
      <c r="Y7" s="1">
        <v>3</v>
      </c>
      <c r="Z7" s="1">
        <v>87</v>
      </c>
      <c r="AA7" s="2">
        <f t="shared" si="10"/>
        <v>261</v>
      </c>
      <c r="AB7" s="6">
        <f t="shared" si="11"/>
        <v>101.57440325038088</v>
      </c>
      <c r="AC7" s="5">
        <f t="shared" si="12"/>
        <v>33.858134416793625</v>
      </c>
      <c r="AD7" s="5">
        <f t="shared" si="13"/>
        <v>85.900352250397063</v>
      </c>
      <c r="AE7" s="5">
        <f t="shared" si="14"/>
        <v>28.633450750132354</v>
      </c>
      <c r="AG7" s="1">
        <v>5</v>
      </c>
      <c r="AH7" s="1">
        <v>150</v>
      </c>
      <c r="AI7" s="2">
        <f t="shared" si="15"/>
        <v>750</v>
      </c>
      <c r="AJ7" s="6">
        <f t="shared" si="16"/>
        <v>101.57440325038088</v>
      </c>
      <c r="AK7" s="5">
        <f t="shared" si="17"/>
        <v>20.314880650076176</v>
      </c>
      <c r="AL7" s="5">
        <f t="shared" si="18"/>
        <v>85.900352250397063</v>
      </c>
      <c r="AM7" s="5">
        <f t="shared" si="19"/>
        <v>17.180070450079413</v>
      </c>
      <c r="AO7" s="1">
        <v>5</v>
      </c>
      <c r="AP7" s="1">
        <v>170</v>
      </c>
      <c r="AQ7" s="2">
        <f t="shared" si="20"/>
        <v>850</v>
      </c>
      <c r="AR7" s="6">
        <f t="shared" si="21"/>
        <v>101.57440325038088</v>
      </c>
      <c r="AS7" s="5">
        <f t="shared" si="22"/>
        <v>20.314880650076176</v>
      </c>
      <c r="AT7" s="5">
        <f t="shared" si="23"/>
        <v>85.900352250397063</v>
      </c>
      <c r="AU7" s="5">
        <f t="shared" si="24"/>
        <v>17.180070450079413</v>
      </c>
    </row>
    <row r="8" spans="1:47" ht="14.25" x14ac:dyDescent="0.45">
      <c r="A8" s="5">
        <v>3</v>
      </c>
      <c r="B8" s="5">
        <v>52</v>
      </c>
      <c r="C8" s="6">
        <f t="shared" si="0"/>
        <v>156</v>
      </c>
      <c r="D8" s="6">
        <f t="shared" si="1"/>
        <v>108.16657652785288</v>
      </c>
      <c r="E8" s="5">
        <f t="shared" si="2"/>
        <v>36.055525509284294</v>
      </c>
      <c r="F8" s="5">
        <f t="shared" si="3"/>
        <v>90.568259485924855</v>
      </c>
      <c r="G8" s="5">
        <f t="shared" si="4"/>
        <v>30.189419828641618</v>
      </c>
      <c r="H8" s="2"/>
      <c r="I8" s="21">
        <v>19.025367039523395</v>
      </c>
      <c r="J8" s="21">
        <v>29.352571505532445</v>
      </c>
      <c r="K8" s="2">
        <f>IXTK60N50L2[[#This Row],[ID]]*IXTK60N50L2[[#This Row],[VDS]]</f>
        <v>558.44344644661055</v>
      </c>
      <c r="L8" s="2">
        <f>IXTK60N50L2[[#This Row],[VDS]]/IXTK60N50L2[[#This Row],[ID]]</f>
        <v>0.64816695995229745</v>
      </c>
      <c r="M8" s="2"/>
      <c r="N8" s="2"/>
      <c r="O8" s="2"/>
      <c r="P8" s="2"/>
      <c r="Q8" s="2">
        <v>6</v>
      </c>
      <c r="R8" s="2">
        <v>110</v>
      </c>
      <c r="S8" s="2">
        <f t="shared" si="5"/>
        <v>660</v>
      </c>
      <c r="T8" s="6">
        <f t="shared" si="6"/>
        <v>101.57440325038088</v>
      </c>
      <c r="U8" s="5">
        <f t="shared" si="7"/>
        <v>16.929067208396813</v>
      </c>
      <c r="V8" s="5">
        <f t="shared" si="8"/>
        <v>85.900352250397063</v>
      </c>
      <c r="W8" s="5">
        <f t="shared" si="9"/>
        <v>14.316725375066177</v>
      </c>
      <c r="Y8" s="1">
        <v>3.5</v>
      </c>
      <c r="Z8" s="1">
        <v>100</v>
      </c>
      <c r="AA8" s="2">
        <f t="shared" si="10"/>
        <v>350</v>
      </c>
      <c r="AB8" s="6">
        <f t="shared" si="11"/>
        <v>101.57440325038088</v>
      </c>
      <c r="AC8" s="5">
        <f t="shared" si="12"/>
        <v>29.021258071537396</v>
      </c>
      <c r="AD8" s="5">
        <f t="shared" si="13"/>
        <v>85.900352250397063</v>
      </c>
      <c r="AE8" s="5">
        <f t="shared" si="14"/>
        <v>24.542957785827731</v>
      </c>
      <c r="AG8" s="1">
        <v>6</v>
      </c>
      <c r="AH8" s="1">
        <v>145</v>
      </c>
      <c r="AI8" s="2">
        <f t="shared" si="15"/>
        <v>870</v>
      </c>
      <c r="AJ8" s="6">
        <f t="shared" si="16"/>
        <v>101.57440325038088</v>
      </c>
      <c r="AK8" s="5">
        <f t="shared" si="17"/>
        <v>16.929067208396813</v>
      </c>
      <c r="AL8" s="5">
        <f t="shared" si="18"/>
        <v>85.900352250397063</v>
      </c>
      <c r="AM8" s="5">
        <f t="shared" si="19"/>
        <v>14.316725375066177</v>
      </c>
      <c r="AO8" s="1">
        <v>6</v>
      </c>
      <c r="AP8" s="1">
        <v>145</v>
      </c>
      <c r="AQ8" s="2">
        <f t="shared" si="20"/>
        <v>870</v>
      </c>
      <c r="AR8" s="6">
        <f t="shared" si="21"/>
        <v>101.57440325038088</v>
      </c>
      <c r="AS8" s="5">
        <f t="shared" si="22"/>
        <v>16.929067208396813</v>
      </c>
      <c r="AT8" s="5">
        <f t="shared" si="23"/>
        <v>85.900352250397063</v>
      </c>
      <c r="AU8" s="5">
        <f t="shared" si="24"/>
        <v>14.316725375066177</v>
      </c>
    </row>
    <row r="9" spans="1:47" ht="14.25" x14ac:dyDescent="0.45">
      <c r="A9" s="5">
        <v>4</v>
      </c>
      <c r="B9" s="5">
        <v>66</v>
      </c>
      <c r="C9" s="6">
        <f t="shared" si="0"/>
        <v>264</v>
      </c>
      <c r="D9" s="6">
        <f t="shared" si="1"/>
        <v>108.16657652785288</v>
      </c>
      <c r="E9" s="5">
        <f t="shared" si="2"/>
        <v>27.041644131963221</v>
      </c>
      <c r="F9" s="5">
        <f t="shared" si="3"/>
        <v>90.568259485924855</v>
      </c>
      <c r="G9" s="5">
        <f t="shared" si="4"/>
        <v>22.642064871481214</v>
      </c>
      <c r="H9" s="2"/>
      <c r="I9" s="21">
        <v>21.654075227199822</v>
      </c>
      <c r="J9" s="21">
        <v>25.597185091400483</v>
      </c>
      <c r="K9" s="2">
        <f>IXTK60N50L2[[#This Row],[ID]]*IXTK60N50L2[[#This Row],[VDS]]</f>
        <v>554.28337157374381</v>
      </c>
      <c r="L9" s="2">
        <f>IXTK60N50L2[[#This Row],[VDS]]/IXTK60N50L2[[#This Row],[ID]]</f>
        <v>0.84595533258360622</v>
      </c>
      <c r="M9" s="2"/>
      <c r="N9" s="2"/>
      <c r="O9" s="2"/>
      <c r="P9" s="2"/>
      <c r="Q9" s="2">
        <v>10</v>
      </c>
      <c r="R9" s="2">
        <v>70</v>
      </c>
      <c r="S9" s="2">
        <f t="shared" si="5"/>
        <v>700</v>
      </c>
      <c r="T9" s="6">
        <f t="shared" si="6"/>
        <v>101.57440325038088</v>
      </c>
      <c r="U9" s="5">
        <f t="shared" si="7"/>
        <v>10.157440325038088</v>
      </c>
      <c r="V9" s="5">
        <f t="shared" si="8"/>
        <v>85.900352250397063</v>
      </c>
      <c r="W9" s="5">
        <f t="shared" si="9"/>
        <v>8.5900352250397063</v>
      </c>
      <c r="Y9" s="1">
        <v>4</v>
      </c>
      <c r="Z9" s="1">
        <v>112</v>
      </c>
      <c r="AA9" s="2">
        <f t="shared" si="10"/>
        <v>448</v>
      </c>
      <c r="AB9" s="6">
        <f t="shared" si="11"/>
        <v>101.57440325038088</v>
      </c>
      <c r="AC9" s="5">
        <f t="shared" si="12"/>
        <v>25.393600812595221</v>
      </c>
      <c r="AD9" s="5">
        <f t="shared" si="13"/>
        <v>85.900352250397063</v>
      </c>
      <c r="AE9" s="5">
        <f t="shared" si="14"/>
        <v>21.475088062599266</v>
      </c>
      <c r="AG9" s="1">
        <v>7</v>
      </c>
      <c r="AH9" s="1">
        <v>120</v>
      </c>
      <c r="AI9" s="2">
        <f t="shared" si="15"/>
        <v>840</v>
      </c>
      <c r="AJ9" s="6">
        <f t="shared" si="16"/>
        <v>101.57440325038088</v>
      </c>
      <c r="AK9" s="5">
        <f t="shared" si="17"/>
        <v>14.510629035768698</v>
      </c>
      <c r="AL9" s="5">
        <f t="shared" si="18"/>
        <v>85.900352250397063</v>
      </c>
      <c r="AM9" s="5">
        <f t="shared" si="19"/>
        <v>12.271478892913866</v>
      </c>
      <c r="AO9" s="1">
        <v>7</v>
      </c>
      <c r="AP9" s="1">
        <v>130</v>
      </c>
      <c r="AQ9" s="2">
        <f t="shared" si="20"/>
        <v>910</v>
      </c>
      <c r="AR9" s="6">
        <f t="shared" si="21"/>
        <v>101.57440325038088</v>
      </c>
      <c r="AS9" s="5">
        <f t="shared" si="22"/>
        <v>14.510629035768698</v>
      </c>
      <c r="AT9" s="5">
        <f t="shared" si="23"/>
        <v>85.900352250397063</v>
      </c>
      <c r="AU9" s="5">
        <f t="shared" si="24"/>
        <v>12.271478892913866</v>
      </c>
    </row>
    <row r="10" spans="1:47" ht="14.25" x14ac:dyDescent="0.45">
      <c r="A10" s="5">
        <v>5</v>
      </c>
      <c r="B10" s="5">
        <v>79</v>
      </c>
      <c r="C10" s="6">
        <f t="shared" si="0"/>
        <v>395</v>
      </c>
      <c r="D10" s="6">
        <f t="shared" si="1"/>
        <v>108.16657652785288</v>
      </c>
      <c r="E10" s="5">
        <f t="shared" si="2"/>
        <v>21.633315305570576</v>
      </c>
      <c r="F10" s="5">
        <f t="shared" si="3"/>
        <v>90.568259485924855</v>
      </c>
      <c r="G10" s="5">
        <f t="shared" si="4"/>
        <v>18.113651897184972</v>
      </c>
      <c r="H10" s="2"/>
      <c r="I10" s="21">
        <v>24.645988325541154</v>
      </c>
      <c r="J10" s="21">
        <v>22.322265171210606</v>
      </c>
      <c r="K10" s="2">
        <f>IXTK60N50L2[[#This Row],[ID]]*IXTK60N50L2[[#This Row],[VDS]]</f>
        <v>550.15428680929051</v>
      </c>
      <c r="L10" s="2">
        <f>IXTK60N50L2[[#This Row],[VDS]]/IXTK60N50L2[[#This Row],[ID]]</f>
        <v>1.104098895721725</v>
      </c>
      <c r="M10" s="2"/>
      <c r="N10" s="2"/>
      <c r="O10" s="2"/>
      <c r="P10" s="2"/>
      <c r="Q10" s="2">
        <v>20</v>
      </c>
      <c r="R10" s="2">
        <v>35</v>
      </c>
      <c r="S10" s="2">
        <f t="shared" si="5"/>
        <v>700</v>
      </c>
      <c r="T10" s="6">
        <f t="shared" si="6"/>
        <v>101.57440325038088</v>
      </c>
      <c r="U10" s="5">
        <f t="shared" si="7"/>
        <v>5.0787201625190441</v>
      </c>
      <c r="V10" s="5">
        <f t="shared" si="8"/>
        <v>85.900352250397063</v>
      </c>
      <c r="W10" s="5">
        <f t="shared" si="9"/>
        <v>4.2950176125198531</v>
      </c>
      <c r="Y10" s="1">
        <v>4.5</v>
      </c>
      <c r="Z10" s="1">
        <v>122</v>
      </c>
      <c r="AA10" s="2">
        <f t="shared" si="10"/>
        <v>549</v>
      </c>
      <c r="AB10" s="6">
        <f t="shared" si="11"/>
        <v>101.57440325038088</v>
      </c>
      <c r="AC10" s="5">
        <f t="shared" si="12"/>
        <v>22.57208961119575</v>
      </c>
      <c r="AD10" s="5">
        <f t="shared" si="13"/>
        <v>85.900352250397063</v>
      </c>
      <c r="AE10" s="5">
        <f t="shared" si="14"/>
        <v>19.088967166754902</v>
      </c>
      <c r="AG10" s="1">
        <v>8</v>
      </c>
      <c r="AH10" s="1">
        <v>110</v>
      </c>
      <c r="AI10" s="2">
        <f t="shared" si="15"/>
        <v>880</v>
      </c>
      <c r="AJ10" s="6">
        <f t="shared" si="16"/>
        <v>101.57440325038088</v>
      </c>
      <c r="AK10" s="5">
        <f t="shared" si="17"/>
        <v>12.69680040629761</v>
      </c>
      <c r="AL10" s="5">
        <f t="shared" si="18"/>
        <v>85.900352250397063</v>
      </c>
      <c r="AM10" s="5">
        <f t="shared" si="19"/>
        <v>10.737544031299633</v>
      </c>
      <c r="AO10" s="1">
        <v>8</v>
      </c>
      <c r="AP10" s="1">
        <v>115</v>
      </c>
      <c r="AQ10" s="2">
        <f t="shared" si="20"/>
        <v>920</v>
      </c>
      <c r="AR10" s="6">
        <f t="shared" si="21"/>
        <v>101.57440325038088</v>
      </c>
      <c r="AS10" s="5">
        <f t="shared" si="22"/>
        <v>12.69680040629761</v>
      </c>
      <c r="AT10" s="5">
        <f t="shared" si="23"/>
        <v>85.900352250397063</v>
      </c>
      <c r="AU10" s="5">
        <f t="shared" si="24"/>
        <v>10.737544031299633</v>
      </c>
    </row>
    <row r="11" spans="1:47" ht="14.25" x14ac:dyDescent="0.45">
      <c r="A11" s="5">
        <v>6</v>
      </c>
      <c r="B11" s="5">
        <v>91</v>
      </c>
      <c r="C11" s="6">
        <f t="shared" si="0"/>
        <v>546</v>
      </c>
      <c r="D11" s="6">
        <f t="shared" si="1"/>
        <v>108.16657652785288</v>
      </c>
      <c r="E11" s="5">
        <f t="shared" si="2"/>
        <v>18.027762754642147</v>
      </c>
      <c r="F11" s="5">
        <f t="shared" si="3"/>
        <v>90.568259485924855</v>
      </c>
      <c r="G11" s="5">
        <f t="shared" si="4"/>
        <v>15.094709914320809</v>
      </c>
      <c r="H11" s="2"/>
      <c r="I11" s="21">
        <v>28.051289845881762</v>
      </c>
      <c r="J11" s="21">
        <v>19.454757492123196</v>
      </c>
      <c r="K11" s="2">
        <f>IXTK60N50L2[[#This Row],[ID]]*IXTK60N50L2[[#This Row],[VDS]]</f>
        <v>545.73104129288754</v>
      </c>
      <c r="L11" s="2">
        <f>IXTK60N50L2[[#This Row],[VDS]]/IXTK60N50L2[[#This Row],[ID]]</f>
        <v>1.4418730152374868</v>
      </c>
      <c r="M11" s="2"/>
      <c r="N11" s="2"/>
      <c r="O11" s="2"/>
      <c r="P11" s="2"/>
      <c r="Q11" s="2">
        <v>30</v>
      </c>
      <c r="R11" s="2">
        <v>23</v>
      </c>
      <c r="S11" s="2">
        <f t="shared" si="5"/>
        <v>690</v>
      </c>
      <c r="T11" s="6">
        <f t="shared" si="6"/>
        <v>101.57440325038088</v>
      </c>
      <c r="U11" s="5">
        <f t="shared" si="7"/>
        <v>3.3858134416793626</v>
      </c>
      <c r="V11" s="5">
        <f t="shared" si="8"/>
        <v>85.900352250397063</v>
      </c>
      <c r="W11" s="5">
        <f t="shared" si="9"/>
        <v>2.8633450750132354</v>
      </c>
      <c r="Y11" s="1">
        <v>5</v>
      </c>
      <c r="Z11" s="1">
        <v>132</v>
      </c>
      <c r="AA11" s="2">
        <f t="shared" si="10"/>
        <v>660</v>
      </c>
      <c r="AB11" s="6">
        <f t="shared" si="11"/>
        <v>101.57440325038088</v>
      </c>
      <c r="AC11" s="5">
        <f t="shared" si="12"/>
        <v>20.314880650076176</v>
      </c>
      <c r="AD11" s="5">
        <f t="shared" si="13"/>
        <v>85.900352250397063</v>
      </c>
      <c r="AE11" s="5">
        <f t="shared" si="14"/>
        <v>17.180070450079413</v>
      </c>
      <c r="AG11" s="1">
        <v>9</v>
      </c>
      <c r="AH11" s="1">
        <v>93</v>
      </c>
      <c r="AI11" s="2">
        <f t="shared" si="15"/>
        <v>837</v>
      </c>
      <c r="AJ11" s="6">
        <f t="shared" si="16"/>
        <v>101.57440325038088</v>
      </c>
      <c r="AK11" s="5">
        <f t="shared" si="17"/>
        <v>11.286044805597875</v>
      </c>
      <c r="AL11" s="5">
        <f t="shared" si="18"/>
        <v>85.900352250397063</v>
      </c>
      <c r="AM11" s="5">
        <f t="shared" si="19"/>
        <v>9.5444835833774508</v>
      </c>
      <c r="AO11" s="1">
        <v>9</v>
      </c>
      <c r="AP11" s="1">
        <v>95</v>
      </c>
      <c r="AQ11" s="2">
        <f t="shared" si="20"/>
        <v>855</v>
      </c>
      <c r="AR11" s="6">
        <f t="shared" si="21"/>
        <v>101.57440325038088</v>
      </c>
      <c r="AS11" s="5">
        <f t="shared" si="22"/>
        <v>11.286044805597875</v>
      </c>
      <c r="AT11" s="5">
        <f t="shared" si="23"/>
        <v>85.900352250397063</v>
      </c>
      <c r="AU11" s="5">
        <f t="shared" si="24"/>
        <v>9.5444835833774508</v>
      </c>
    </row>
    <row r="12" spans="1:47" ht="14.25" x14ac:dyDescent="0.45">
      <c r="A12" s="5">
        <v>7</v>
      </c>
      <c r="B12" s="5">
        <v>101</v>
      </c>
      <c r="C12" s="6">
        <f t="shared" si="0"/>
        <v>707</v>
      </c>
      <c r="D12" s="6">
        <f t="shared" si="1"/>
        <v>108.16657652785288</v>
      </c>
      <c r="E12" s="5">
        <f t="shared" si="2"/>
        <v>15.452368075407554</v>
      </c>
      <c r="F12" s="5">
        <f t="shared" si="3"/>
        <v>90.568259485924855</v>
      </c>
      <c r="G12" s="5">
        <f t="shared" si="4"/>
        <v>12.938322783703551</v>
      </c>
      <c r="H12" s="2"/>
      <c r="I12" s="21">
        <v>31.927097084689244</v>
      </c>
      <c r="J12" s="21">
        <v>16.960655305300982</v>
      </c>
      <c r="K12" s="2">
        <f>IXTK60N50L2[[#This Row],[ID]]*IXTK60N50L2[[#This Row],[VDS]]</f>
        <v>541.50448855229411</v>
      </c>
      <c r="L12" s="2">
        <f>IXTK60N50L2[[#This Row],[VDS]]/IXTK60N50L2[[#This Row],[ID]]</f>
        <v>1.8824211983549104</v>
      </c>
      <c r="M12" s="2"/>
      <c r="N12" s="2"/>
      <c r="O12" s="2"/>
      <c r="P12" s="2"/>
      <c r="Q12" s="2">
        <v>40</v>
      </c>
      <c r="R12" s="2">
        <v>18</v>
      </c>
      <c r="S12" s="2">
        <f t="shared" si="5"/>
        <v>720</v>
      </c>
      <c r="T12" s="6">
        <f t="shared" si="6"/>
        <v>101.57440325038088</v>
      </c>
      <c r="U12" s="5">
        <f t="shared" si="7"/>
        <v>2.5393600812595221</v>
      </c>
      <c r="V12" s="5">
        <f t="shared" si="8"/>
        <v>85.900352250397063</v>
      </c>
      <c r="W12" s="5">
        <f t="shared" si="9"/>
        <v>2.1475088062599266</v>
      </c>
      <c r="Y12" s="1">
        <v>10</v>
      </c>
      <c r="Z12" s="1">
        <v>82</v>
      </c>
      <c r="AA12" s="2">
        <f t="shared" si="10"/>
        <v>820</v>
      </c>
      <c r="AB12" s="6">
        <f t="shared" si="11"/>
        <v>101.57440325038088</v>
      </c>
      <c r="AC12" s="5">
        <f t="shared" si="12"/>
        <v>10.157440325038088</v>
      </c>
      <c r="AD12" s="5">
        <f t="shared" si="13"/>
        <v>85.900352250397063</v>
      </c>
      <c r="AE12" s="5">
        <f t="shared" si="14"/>
        <v>8.5900352250397063</v>
      </c>
      <c r="AG12" s="1">
        <v>10</v>
      </c>
      <c r="AH12" s="1">
        <v>83</v>
      </c>
      <c r="AI12" s="2">
        <f t="shared" si="15"/>
        <v>830</v>
      </c>
      <c r="AJ12" s="6">
        <f t="shared" si="16"/>
        <v>101.57440325038088</v>
      </c>
      <c r="AK12" s="5">
        <f t="shared" si="17"/>
        <v>10.157440325038088</v>
      </c>
      <c r="AL12" s="5">
        <f t="shared" si="18"/>
        <v>85.900352250397063</v>
      </c>
      <c r="AM12" s="5">
        <f t="shared" si="19"/>
        <v>8.5900352250397063</v>
      </c>
      <c r="AO12" s="1">
        <v>10</v>
      </c>
      <c r="AP12" s="1">
        <v>85</v>
      </c>
      <c r="AQ12" s="2">
        <f t="shared" si="20"/>
        <v>850</v>
      </c>
      <c r="AR12" s="6">
        <f t="shared" si="21"/>
        <v>101.57440325038088</v>
      </c>
      <c r="AS12" s="5">
        <f t="shared" si="22"/>
        <v>10.157440325038088</v>
      </c>
      <c r="AT12" s="5">
        <f t="shared" si="23"/>
        <v>85.900352250397063</v>
      </c>
      <c r="AU12" s="5">
        <f t="shared" si="24"/>
        <v>8.5900352250397063</v>
      </c>
    </row>
    <row r="13" spans="1:47" ht="14.25" x14ac:dyDescent="0.45">
      <c r="A13" s="5">
        <v>8</v>
      </c>
      <c r="B13" s="5">
        <v>111</v>
      </c>
      <c r="C13" s="6">
        <f t="shared" si="0"/>
        <v>888</v>
      </c>
      <c r="D13" s="6">
        <f t="shared" si="1"/>
        <v>108.16657652785288</v>
      </c>
      <c r="E13" s="5">
        <f t="shared" si="2"/>
        <v>13.52082206598161</v>
      </c>
      <c r="F13" s="5">
        <f t="shared" si="3"/>
        <v>90.568259485924855</v>
      </c>
      <c r="G13" s="5">
        <f t="shared" si="4"/>
        <v>11.321032435740607</v>
      </c>
      <c r="H13" s="2"/>
      <c r="I13" s="21">
        <v>36.338419154897529</v>
      </c>
      <c r="J13" s="21">
        <v>14.786297310655391</v>
      </c>
      <c r="K13" s="2">
        <f>IXTK60N50L2[[#This Row],[ID]]*IXTK60N50L2[[#This Row],[VDS]]</f>
        <v>537.3106694235297</v>
      </c>
      <c r="L13" s="2">
        <f>IXTK60N50L2[[#This Row],[VDS]]/IXTK60N50L2[[#This Row],[ID]]</f>
        <v>2.4575739545498738</v>
      </c>
      <c r="M13" s="2"/>
      <c r="N13" s="2"/>
      <c r="O13" s="2"/>
      <c r="P13" s="2"/>
      <c r="Q13" s="2">
        <v>50</v>
      </c>
      <c r="R13" s="2">
        <v>14</v>
      </c>
      <c r="S13" s="2">
        <f t="shared" si="5"/>
        <v>700</v>
      </c>
      <c r="T13" s="6">
        <f t="shared" si="6"/>
        <v>101.57440325038088</v>
      </c>
      <c r="U13" s="5">
        <f t="shared" si="7"/>
        <v>2.0314880650076175</v>
      </c>
      <c r="V13" s="5">
        <f t="shared" si="8"/>
        <v>85.900352250397063</v>
      </c>
      <c r="W13" s="5">
        <f t="shared" si="9"/>
        <v>1.7180070450079412</v>
      </c>
      <c r="Y13" s="1">
        <v>20</v>
      </c>
      <c r="Z13" s="1">
        <v>42</v>
      </c>
      <c r="AA13" s="2">
        <f t="shared" si="10"/>
        <v>840</v>
      </c>
      <c r="AB13" s="6">
        <f t="shared" si="11"/>
        <v>101.57440325038088</v>
      </c>
      <c r="AC13" s="5">
        <f t="shared" si="12"/>
        <v>5.0787201625190441</v>
      </c>
      <c r="AD13" s="5">
        <f t="shared" si="13"/>
        <v>85.900352250397063</v>
      </c>
      <c r="AE13" s="5">
        <f t="shared" si="14"/>
        <v>4.2950176125198531</v>
      </c>
      <c r="AG13" s="1">
        <v>20</v>
      </c>
      <c r="AH13" s="1">
        <v>43</v>
      </c>
      <c r="AI13" s="2">
        <f t="shared" si="15"/>
        <v>860</v>
      </c>
      <c r="AJ13" s="6">
        <f t="shared" si="16"/>
        <v>101.57440325038088</v>
      </c>
      <c r="AK13" s="5">
        <f t="shared" si="17"/>
        <v>5.0787201625190441</v>
      </c>
      <c r="AL13" s="5">
        <f t="shared" si="18"/>
        <v>85.900352250397063</v>
      </c>
      <c r="AM13" s="5">
        <f t="shared" si="19"/>
        <v>4.2950176125198531</v>
      </c>
      <c r="AO13" s="1">
        <v>20</v>
      </c>
      <c r="AP13" s="1">
        <v>43</v>
      </c>
      <c r="AQ13" s="2">
        <f t="shared" si="20"/>
        <v>860</v>
      </c>
      <c r="AR13" s="6">
        <f t="shared" si="21"/>
        <v>101.57440325038088</v>
      </c>
      <c r="AS13" s="5">
        <f t="shared" si="22"/>
        <v>5.0787201625190441</v>
      </c>
      <c r="AT13" s="5">
        <f t="shared" si="23"/>
        <v>85.900352250397063</v>
      </c>
      <c r="AU13" s="5">
        <f t="shared" si="24"/>
        <v>4.2950176125198531</v>
      </c>
    </row>
    <row r="14" spans="1:47" ht="14.25" x14ac:dyDescent="0.45">
      <c r="A14" s="5">
        <v>9</v>
      </c>
      <c r="B14" s="5">
        <v>111</v>
      </c>
      <c r="C14" s="6">
        <f t="shared" si="0"/>
        <v>999</v>
      </c>
      <c r="D14" s="6">
        <f t="shared" si="1"/>
        <v>108.16657652785288</v>
      </c>
      <c r="E14" s="5">
        <f t="shared" si="2"/>
        <v>12.018508503094765</v>
      </c>
      <c r="F14" s="5">
        <f t="shared" si="3"/>
        <v>90.568259485924855</v>
      </c>
      <c r="G14" s="5">
        <f t="shared" si="4"/>
        <v>10.063139942880539</v>
      </c>
      <c r="H14" s="2"/>
      <c r="I14" s="21">
        <v>41.359247387081268</v>
      </c>
      <c r="J14" s="21">
        <v>12.894529155852153</v>
      </c>
      <c r="K14" s="2">
        <f>IXTK60N50L2[[#This Row],[ID]]*IXTK60N50L2[[#This Row],[VDS]]</f>
        <v>533.30802129682138</v>
      </c>
      <c r="L14" s="2">
        <f>IXTK60N50L2[[#This Row],[VDS]]/IXTK60N50L2[[#This Row],[ID]]</f>
        <v>3.2075034991340083</v>
      </c>
      <c r="M14" s="2"/>
      <c r="N14" s="2"/>
      <c r="O14" s="2"/>
      <c r="P14" s="2"/>
      <c r="Q14" s="2">
        <v>60</v>
      </c>
      <c r="R14" s="2">
        <v>12</v>
      </c>
      <c r="S14" s="2">
        <f t="shared" si="5"/>
        <v>720</v>
      </c>
      <c r="T14" s="6">
        <f t="shared" si="6"/>
        <v>101.57440325038088</v>
      </c>
      <c r="U14" s="5">
        <f t="shared" si="7"/>
        <v>1.6929067208396813</v>
      </c>
      <c r="V14" s="5">
        <f t="shared" si="8"/>
        <v>85.900352250397063</v>
      </c>
      <c r="W14" s="5">
        <f t="shared" si="9"/>
        <v>1.4316725375066177</v>
      </c>
      <c r="Y14" s="1">
        <v>30</v>
      </c>
      <c r="Z14" s="1">
        <v>28</v>
      </c>
      <c r="AA14" s="2">
        <f t="shared" si="10"/>
        <v>840</v>
      </c>
      <c r="AB14" s="6">
        <f t="shared" si="11"/>
        <v>101.57440325038088</v>
      </c>
      <c r="AC14" s="5">
        <f t="shared" si="12"/>
        <v>3.3858134416793626</v>
      </c>
      <c r="AD14" s="5">
        <f t="shared" si="13"/>
        <v>85.900352250397063</v>
      </c>
      <c r="AE14" s="5">
        <f t="shared" si="14"/>
        <v>2.8633450750132354</v>
      </c>
      <c r="AG14" s="1">
        <v>30</v>
      </c>
      <c r="AH14" s="1">
        <v>28</v>
      </c>
      <c r="AI14" s="2">
        <f t="shared" si="15"/>
        <v>840</v>
      </c>
      <c r="AJ14" s="6">
        <f t="shared" si="16"/>
        <v>101.57440325038088</v>
      </c>
      <c r="AK14" s="5">
        <f t="shared" si="17"/>
        <v>3.3858134416793626</v>
      </c>
      <c r="AL14" s="5">
        <f t="shared" si="18"/>
        <v>85.900352250397063</v>
      </c>
      <c r="AM14" s="5">
        <f t="shared" si="19"/>
        <v>2.8633450750132354</v>
      </c>
      <c r="AO14" s="1">
        <v>26</v>
      </c>
      <c r="AP14" s="1">
        <v>34</v>
      </c>
      <c r="AQ14" s="2">
        <f t="shared" si="20"/>
        <v>884</v>
      </c>
      <c r="AR14" s="6">
        <f t="shared" si="21"/>
        <v>101.57440325038088</v>
      </c>
      <c r="AS14" s="5">
        <f t="shared" si="22"/>
        <v>3.9067078173223417</v>
      </c>
      <c r="AT14" s="5">
        <f t="shared" si="23"/>
        <v>85.900352250397063</v>
      </c>
      <c r="AU14" s="5">
        <f t="shared" si="24"/>
        <v>3.3038597019383484</v>
      </c>
    </row>
    <row r="15" spans="1:47" ht="14.25" x14ac:dyDescent="0.45">
      <c r="A15" s="5">
        <v>10</v>
      </c>
      <c r="B15" s="5">
        <v>85</v>
      </c>
      <c r="C15" s="6">
        <f t="shared" si="0"/>
        <v>850</v>
      </c>
      <c r="D15" s="6">
        <f t="shared" si="1"/>
        <v>108.16657652785288</v>
      </c>
      <c r="E15" s="5">
        <f t="shared" si="2"/>
        <v>10.816657652785288</v>
      </c>
      <c r="F15" s="5">
        <f t="shared" si="3"/>
        <v>90.568259485924855</v>
      </c>
      <c r="G15" s="5">
        <f t="shared" si="4"/>
        <v>9.0568259485924862</v>
      </c>
      <c r="H15" s="2"/>
      <c r="I15" s="21">
        <v>47.073796389825709</v>
      </c>
      <c r="J15" s="21">
        <v>11.189824203748982</v>
      </c>
      <c r="K15" s="2">
        <f>IXTK60N50L2[[#This Row],[ID]]*IXTK60N50L2[[#This Row],[VDS]]</f>
        <v>526.7475062052232</v>
      </c>
      <c r="L15" s="2">
        <f>IXTK60N50L2[[#This Row],[VDS]]/IXTK60N50L2[[#This Row],[ID]]</f>
        <v>4.2068396726066837</v>
      </c>
      <c r="M15" s="2"/>
      <c r="N15" s="2"/>
      <c r="O15" s="2"/>
      <c r="P15" s="2"/>
      <c r="Q15" s="2">
        <v>63</v>
      </c>
      <c r="R15" s="2">
        <v>11</v>
      </c>
      <c r="S15" s="2">
        <f t="shared" si="5"/>
        <v>693</v>
      </c>
      <c r="T15" s="6">
        <f t="shared" si="6"/>
        <v>101.57440325038088</v>
      </c>
      <c r="U15" s="5">
        <f t="shared" si="7"/>
        <v>1.6122921150854108</v>
      </c>
      <c r="V15" s="5">
        <f t="shared" si="8"/>
        <v>85.900352250397063</v>
      </c>
      <c r="W15" s="5">
        <f t="shared" si="9"/>
        <v>1.3634976547682074</v>
      </c>
      <c r="Y15" s="1">
        <v>40</v>
      </c>
      <c r="Z15" s="1">
        <v>22</v>
      </c>
      <c r="AA15" s="2">
        <f t="shared" si="10"/>
        <v>880</v>
      </c>
      <c r="AB15" s="6">
        <f t="shared" si="11"/>
        <v>101.57440325038088</v>
      </c>
      <c r="AC15" s="5">
        <f t="shared" si="12"/>
        <v>2.5393600812595221</v>
      </c>
      <c r="AD15" s="5">
        <f t="shared" si="13"/>
        <v>85.900352250397063</v>
      </c>
      <c r="AE15" s="5">
        <f t="shared" si="14"/>
        <v>2.1475088062599266</v>
      </c>
      <c r="AG15" s="1">
        <v>37</v>
      </c>
      <c r="AH15" s="1">
        <v>23</v>
      </c>
      <c r="AI15" s="2">
        <f t="shared" si="15"/>
        <v>851</v>
      </c>
      <c r="AJ15" s="6">
        <f t="shared" si="16"/>
        <v>101.57440325038088</v>
      </c>
      <c r="AK15" s="5">
        <f t="shared" si="17"/>
        <v>2.7452541419021861</v>
      </c>
      <c r="AL15" s="5">
        <f t="shared" si="18"/>
        <v>85.900352250397063</v>
      </c>
      <c r="AM15" s="5">
        <f t="shared" si="19"/>
        <v>2.3216311419026234</v>
      </c>
    </row>
    <row r="16" spans="1:47" ht="14.25" x14ac:dyDescent="0.45">
      <c r="A16" s="5">
        <v>20</v>
      </c>
      <c r="B16" s="5">
        <v>52</v>
      </c>
      <c r="C16" s="6">
        <f t="shared" si="0"/>
        <v>1040</v>
      </c>
      <c r="D16" s="6">
        <f t="shared" si="1"/>
        <v>108.16657652785288</v>
      </c>
      <c r="E16" s="5">
        <f t="shared" si="2"/>
        <v>5.4083288263926441</v>
      </c>
      <c r="F16" s="5">
        <f t="shared" si="3"/>
        <v>90.568259485924855</v>
      </c>
      <c r="G16" s="5">
        <f t="shared" si="4"/>
        <v>4.5284129742962431</v>
      </c>
      <c r="H16" s="2"/>
      <c r="I16" s="21">
        <v>53.577916585661193</v>
      </c>
      <c r="J16" s="21">
        <v>9.8261886467551438</v>
      </c>
      <c r="K16" s="2">
        <f>IXTK60N50L2[[#This Row],[ID]]*IXTK60N50L2[[#This Row],[VDS]]</f>
        <v>526.46671567081808</v>
      </c>
      <c r="L16" s="2">
        <f>IXTK60N50L2[[#This Row],[VDS]]/IXTK60N50L2[[#This Row],[ID]]</f>
        <v>5.4525634009025437</v>
      </c>
      <c r="M16" s="2"/>
      <c r="N16" s="2"/>
      <c r="O16" s="2"/>
      <c r="P16" s="2"/>
      <c r="Q16" s="2"/>
      <c r="R16" s="2"/>
      <c r="S16" s="2"/>
      <c r="T16" s="2"/>
      <c r="U16" s="2"/>
      <c r="Y16" s="1">
        <v>50</v>
      </c>
      <c r="Z16" s="1">
        <v>17</v>
      </c>
      <c r="AA16" s="2">
        <f t="shared" si="10"/>
        <v>850</v>
      </c>
      <c r="AB16" s="6">
        <f t="shared" si="11"/>
        <v>101.57440325038088</v>
      </c>
      <c r="AC16" s="5">
        <f t="shared" si="12"/>
        <v>2.0314880650076175</v>
      </c>
      <c r="AD16" s="5">
        <f t="shared" si="13"/>
        <v>85.900352250397063</v>
      </c>
      <c r="AE16" s="5">
        <f t="shared" si="14"/>
        <v>1.7180070450079412</v>
      </c>
    </row>
    <row r="17" spans="1:45" ht="14.25" x14ac:dyDescent="0.45">
      <c r="A17" s="5">
        <v>30</v>
      </c>
      <c r="B17" s="5">
        <v>28</v>
      </c>
      <c r="C17" s="6">
        <f t="shared" si="0"/>
        <v>840</v>
      </c>
      <c r="D17" s="6">
        <f t="shared" si="1"/>
        <v>108.16657652785288</v>
      </c>
      <c r="E17" s="5">
        <f t="shared" si="2"/>
        <v>3.6055525509284294</v>
      </c>
      <c r="F17" s="5">
        <f t="shared" si="3"/>
        <v>90.568259485924855</v>
      </c>
      <c r="G17" s="5">
        <f t="shared" si="4"/>
        <v>3.0189419828641619</v>
      </c>
      <c r="H17" s="2"/>
      <c r="I17" s="21">
        <v>60.980701915099992</v>
      </c>
      <c r="J17" s="21">
        <v>8.7814034333494462</v>
      </c>
      <c r="K17" s="2">
        <f>IXTK60N50L2[[#This Row],[ID]]*IXTK60N50L2[[#This Row],[VDS]]</f>
        <v>535.49614516531824</v>
      </c>
      <c r="L17" s="2">
        <f>IXTK60N50L2[[#This Row],[VDS]]/IXTK60N50L2[[#This Row],[ID]]</f>
        <v>6.9443002337771462</v>
      </c>
      <c r="M17" s="2"/>
      <c r="N17" s="2"/>
      <c r="O17" s="2"/>
      <c r="P17" s="2"/>
      <c r="Q17" s="2"/>
      <c r="R17" s="2"/>
      <c r="S17" s="2"/>
      <c r="T17" s="2"/>
      <c r="U17" s="2"/>
    </row>
    <row r="18" spans="1:45" ht="14.25" x14ac:dyDescent="0.45">
      <c r="A18" s="5">
        <v>40</v>
      </c>
      <c r="B18" s="5">
        <v>18</v>
      </c>
      <c r="C18" s="6">
        <f t="shared" si="0"/>
        <v>720</v>
      </c>
      <c r="D18" s="6">
        <f t="shared" si="1"/>
        <v>108.16657652785288</v>
      </c>
      <c r="E18" s="5">
        <f t="shared" si="2"/>
        <v>2.7041644131963221</v>
      </c>
      <c r="F18" s="5">
        <f t="shared" si="3"/>
        <v>90.568259485924855</v>
      </c>
      <c r="G18" s="5">
        <f t="shared" si="4"/>
        <v>2.2642064871481216</v>
      </c>
      <c r="H18" s="2"/>
      <c r="I18" s="21">
        <v>69.406319674876713</v>
      </c>
      <c r="J18" s="21">
        <v>7.4827826186355644</v>
      </c>
      <c r="K18" s="2">
        <f>IXTK60N50L2[[#This Row],[ID]]*IXTK60N50L2[[#This Row],[VDS]]</f>
        <v>519.35240248663104</v>
      </c>
      <c r="L18" s="2">
        <f>IXTK60N50L2[[#This Row],[VDS]]/IXTK60N50L2[[#This Row],[ID]]</f>
        <v>9.2754691953796851</v>
      </c>
      <c r="M18" s="2"/>
      <c r="N18" s="2"/>
      <c r="O18" s="2"/>
      <c r="P18" s="2"/>
      <c r="Q18" s="2"/>
      <c r="R18" s="2"/>
      <c r="S18" s="2"/>
      <c r="T18" s="2"/>
      <c r="U18" s="2"/>
    </row>
    <row r="19" spans="1:45" ht="14.25" x14ac:dyDescent="0.45">
      <c r="A19" s="5">
        <v>50</v>
      </c>
      <c r="B19" s="5">
        <v>14</v>
      </c>
      <c r="C19" s="6">
        <f t="shared" si="0"/>
        <v>700</v>
      </c>
      <c r="D19" s="6">
        <f t="shared" si="1"/>
        <v>108.16657652785288</v>
      </c>
      <c r="E19" s="5">
        <f t="shared" si="2"/>
        <v>2.1633315305570577</v>
      </c>
      <c r="F19" s="5">
        <f t="shared" si="3"/>
        <v>90.568259485924855</v>
      </c>
      <c r="G19" s="5">
        <f t="shared" si="4"/>
        <v>1.811365189718497</v>
      </c>
      <c r="H19" s="2"/>
      <c r="I19" s="21">
        <v>78.996093182363609</v>
      </c>
      <c r="J19" s="21">
        <v>6.4975258482511826</v>
      </c>
      <c r="K19" s="2">
        <f>IXTK60N50L2[[#This Row],[ID]]*IXTK60N50L2[[#This Row],[VDS]]</f>
        <v>513.27915736326656</v>
      </c>
      <c r="L19" s="2">
        <f>IXTK60N50L2[[#This Row],[VDS]]/IXTK60N50L2[[#This Row],[ID]]</f>
        <v>12.157872862271953</v>
      </c>
      <c r="M19" s="2"/>
      <c r="N19" s="2"/>
      <c r="O19" s="2"/>
      <c r="P19" s="2"/>
      <c r="Q19" s="2"/>
      <c r="R19" s="2"/>
      <c r="S19" s="2"/>
      <c r="T19" s="2"/>
      <c r="U19" s="2"/>
    </row>
    <row r="20" spans="1:45" ht="14.25" x14ac:dyDescent="0.45">
      <c r="A20" s="5">
        <v>60</v>
      </c>
      <c r="B20" s="5">
        <v>10</v>
      </c>
      <c r="C20" s="6">
        <f t="shared" si="0"/>
        <v>600</v>
      </c>
      <c r="D20" s="6">
        <f t="shared" si="1"/>
        <v>108.16657652785288</v>
      </c>
      <c r="E20" s="5">
        <f t="shared" si="2"/>
        <v>1.8027762754642147</v>
      </c>
      <c r="F20" s="5">
        <f t="shared" si="3"/>
        <v>90.568259485924855</v>
      </c>
      <c r="G20" s="5">
        <f t="shared" si="4"/>
        <v>1.509470991432081</v>
      </c>
      <c r="H20" s="2"/>
      <c r="I20" s="21">
        <v>89.910872198796781</v>
      </c>
      <c r="J20" s="21">
        <v>5.6645422742529776</v>
      </c>
      <c r="K20" s="2">
        <f>IXTK60N50L2[[#This Row],[ID]]*IXTK60N50L2[[#This Row],[VDS]]</f>
        <v>509.30393648504116</v>
      </c>
      <c r="L20" s="2">
        <f>IXTK60N50L2[[#This Row],[VDS]]/IXTK60N50L2[[#This Row],[ID]]</f>
        <v>15.872575019427135</v>
      </c>
      <c r="M20" s="2"/>
      <c r="N20" s="2"/>
      <c r="O20" s="2"/>
      <c r="P20" s="2"/>
      <c r="Q20" s="2"/>
      <c r="R20" s="2"/>
      <c r="S20" s="2"/>
      <c r="T20" s="2"/>
      <c r="U20" s="2"/>
    </row>
    <row r="21" spans="1:45" ht="14.25" x14ac:dyDescent="0.45">
      <c r="A21" s="5">
        <v>70</v>
      </c>
      <c r="B21" s="5">
        <v>8</v>
      </c>
      <c r="C21" s="6">
        <f t="shared" si="0"/>
        <v>560</v>
      </c>
      <c r="D21" s="6">
        <f t="shared" si="1"/>
        <v>108.16657652785288</v>
      </c>
      <c r="E21" s="5">
        <f t="shared" si="2"/>
        <v>1.5452368075407554</v>
      </c>
      <c r="F21" s="5">
        <f t="shared" si="3"/>
        <v>90.568259485924855</v>
      </c>
      <c r="G21" s="5">
        <f t="shared" si="4"/>
        <v>1.2938322783703551</v>
      </c>
      <c r="H21" s="2"/>
      <c r="I21" s="21">
        <v>102.24776647907055</v>
      </c>
      <c r="J21" s="21">
        <v>4.9122961832697047</v>
      </c>
      <c r="K21" s="2">
        <f>IXTK60N50L2[[#This Row],[ID]]*IXTK60N50L2[[#This Row],[VDS]]</f>
        <v>502.27131302299034</v>
      </c>
      <c r="L21" s="2">
        <f>IXTK60N50L2[[#This Row],[VDS]]/IXTK60N50L2[[#This Row],[ID]]</f>
        <v>20.814658291026085</v>
      </c>
      <c r="M21" s="2"/>
      <c r="N21" s="2"/>
      <c r="O21" s="2"/>
      <c r="P21" s="2"/>
      <c r="Q21" s="2"/>
      <c r="R21" s="2"/>
      <c r="S21" s="2"/>
      <c r="T21" s="2"/>
      <c r="U21" s="2"/>
    </row>
    <row r="22" spans="1:45" ht="14.25" x14ac:dyDescent="0.45">
      <c r="A22" s="5">
        <v>80</v>
      </c>
      <c r="B22" s="5">
        <v>6.5</v>
      </c>
      <c r="C22" s="6">
        <f t="shared" si="0"/>
        <v>520</v>
      </c>
      <c r="D22" s="6">
        <f t="shared" si="1"/>
        <v>108.16657652785288</v>
      </c>
      <c r="E22" s="5">
        <f t="shared" si="2"/>
        <v>1.352082206598161</v>
      </c>
      <c r="F22" s="5">
        <f t="shared" si="3"/>
        <v>90.568259485924855</v>
      </c>
      <c r="G22" s="5">
        <f t="shared" si="4"/>
        <v>1.1321032435740608</v>
      </c>
      <c r="H22" s="2"/>
      <c r="I22" s="21">
        <v>116.47303844111686</v>
      </c>
      <c r="J22" s="21">
        <v>4.3078138723067116</v>
      </c>
      <c r="K22" s="2">
        <f>IXTK60N50L2[[#This Row],[ID]]*IXTK60N50L2[[#This Row],[VDS]]</f>
        <v>501.74417074635608</v>
      </c>
      <c r="L22" s="2">
        <f>IXTK60N50L2[[#This Row],[VDS]]/IXTK60N50L2[[#This Row],[ID]]</f>
        <v>27.03762091251841</v>
      </c>
      <c r="M22" s="2"/>
      <c r="N22" s="2"/>
      <c r="O22" s="2"/>
      <c r="P22" s="2"/>
      <c r="Q22" s="2"/>
      <c r="R22" s="2"/>
      <c r="S22" s="2"/>
      <c r="T22" s="2"/>
      <c r="U22" s="2"/>
    </row>
    <row r="23" spans="1:45" ht="14.25" x14ac:dyDescent="0.45">
      <c r="A23" s="5">
        <v>90</v>
      </c>
      <c r="B23" s="5">
        <v>5.5</v>
      </c>
      <c r="C23" s="6">
        <f t="shared" si="0"/>
        <v>495</v>
      </c>
      <c r="D23" s="6">
        <f t="shared" si="1"/>
        <v>108.16657652785288</v>
      </c>
      <c r="E23" s="5">
        <f t="shared" si="2"/>
        <v>1.2018508503094765</v>
      </c>
      <c r="F23" s="5">
        <f t="shared" si="3"/>
        <v>90.568259485924855</v>
      </c>
      <c r="G23" s="5">
        <f t="shared" si="4"/>
        <v>1.0063139942880539</v>
      </c>
      <c r="H23" s="2"/>
      <c r="I23" s="21">
        <v>132.56595423914948</v>
      </c>
      <c r="J23" s="21">
        <v>3.7555516298350025</v>
      </c>
      <c r="K23" s="2">
        <f>IXTK60N50L2[[#This Row],[ID]]*IXTK60N50L2[[#This Row],[VDS]]</f>
        <v>497.85828550347014</v>
      </c>
      <c r="L23" s="2">
        <f>IXTK60N50L2[[#This Row],[VDS]]/IXTK60N50L2[[#This Row],[ID]]</f>
        <v>35.298663766466092</v>
      </c>
      <c r="M23" s="2"/>
      <c r="N23" s="2"/>
      <c r="O23" s="2"/>
      <c r="P23" s="2"/>
      <c r="Q23" s="2"/>
      <c r="R23" s="2"/>
      <c r="S23" s="2"/>
      <c r="T23" s="2"/>
      <c r="U23" s="2"/>
    </row>
    <row r="24" spans="1:45" ht="14.25" x14ac:dyDescent="0.45">
      <c r="A24" s="5">
        <v>100</v>
      </c>
      <c r="B24" s="5">
        <v>4.5</v>
      </c>
      <c r="C24" s="6">
        <f t="shared" si="0"/>
        <v>450</v>
      </c>
      <c r="D24" s="6">
        <f t="shared" si="1"/>
        <v>108.16657652785288</v>
      </c>
      <c r="E24" s="5">
        <f t="shared" si="2"/>
        <v>1.0816657652785289</v>
      </c>
      <c r="F24" s="5">
        <f t="shared" si="3"/>
        <v>90.568259485924855</v>
      </c>
      <c r="G24" s="5">
        <f t="shared" si="4"/>
        <v>0.90568259485924851</v>
      </c>
      <c r="H24" s="2"/>
      <c r="I24" s="21">
        <v>150.88240556393404</v>
      </c>
      <c r="J24" s="21">
        <v>3.2740894714664051</v>
      </c>
      <c r="K24" s="2">
        <f>IXTK60N50L2[[#This Row],[ID]]*IXTK60N50L2[[#This Row],[VDS]]</f>
        <v>494.00249548640056</v>
      </c>
      <c r="L24" s="2">
        <f>IXTK60N50L2[[#This Row],[VDS]]/IXTK60N50L2[[#This Row],[ID]]</f>
        <v>46.083775925755795</v>
      </c>
      <c r="M24" s="2"/>
      <c r="N24" s="2"/>
      <c r="O24" s="2"/>
      <c r="P24" s="2"/>
      <c r="Q24" s="2"/>
      <c r="R24" s="2"/>
      <c r="S24" s="2"/>
      <c r="T24" s="2"/>
      <c r="U24" s="2"/>
    </row>
    <row r="25" spans="1:45" ht="14.25" x14ac:dyDescent="0.45">
      <c r="A25" s="5">
        <v>200</v>
      </c>
      <c r="B25" s="5">
        <v>1.7</v>
      </c>
      <c r="C25" s="6">
        <f t="shared" si="0"/>
        <v>340</v>
      </c>
      <c r="D25" s="6">
        <f t="shared" si="1"/>
        <v>108.16657652785288</v>
      </c>
      <c r="E25" s="5">
        <f t="shared" si="2"/>
        <v>0.54083288263926443</v>
      </c>
      <c r="F25" s="5">
        <f t="shared" si="3"/>
        <v>90.568259485924855</v>
      </c>
      <c r="G25" s="5">
        <f t="shared" si="4"/>
        <v>0.45284129742962426</v>
      </c>
      <c r="H25" s="2"/>
      <c r="I25" s="21">
        <v>171.72961518981279</v>
      </c>
      <c r="J25" s="21">
        <v>2.8552004103332136</v>
      </c>
      <c r="K25" s="2">
        <f>IXTK60N50L2[[#This Row],[ID]]*IXTK60N50L2[[#This Row],[VDS]]</f>
        <v>490.32246775631836</v>
      </c>
      <c r="L25" s="2">
        <f>IXTK60N50L2[[#This Row],[VDS]]/IXTK60N50L2[[#This Row],[ID]]</f>
        <v>60.146256132602346</v>
      </c>
      <c r="M25" s="2"/>
      <c r="N25" s="2"/>
      <c r="O25" s="2"/>
      <c r="P25" s="2"/>
      <c r="Q25" s="2"/>
      <c r="R25" s="2"/>
      <c r="S25" s="2"/>
      <c r="T25" s="2"/>
      <c r="U25" s="2"/>
    </row>
    <row r="26" spans="1:45" ht="14.25" x14ac:dyDescent="0.45">
      <c r="A26" s="5">
        <v>300</v>
      </c>
      <c r="B26" s="5">
        <v>0.8</v>
      </c>
      <c r="C26" s="6">
        <f t="shared" si="0"/>
        <v>240</v>
      </c>
      <c r="D26" s="6">
        <f t="shared" si="1"/>
        <v>108.16657652785288</v>
      </c>
      <c r="E26" s="5">
        <f t="shared" si="2"/>
        <v>0.36055525509284292</v>
      </c>
      <c r="F26" s="5">
        <f t="shared" si="3"/>
        <v>90.568259485924855</v>
      </c>
      <c r="G26" s="5">
        <f t="shared" si="4"/>
        <v>0.30189419828641617</v>
      </c>
      <c r="H26" s="2"/>
      <c r="I26" s="21">
        <v>195.45725442947543</v>
      </c>
      <c r="J26" s="21">
        <v>2.4891633836516447</v>
      </c>
      <c r="K26" s="2">
        <f>IXTK60N50L2[[#This Row],[ID]]*IXTK60N50L2[[#This Row],[VDS]]</f>
        <v>486.52504079493349</v>
      </c>
      <c r="L26" s="2">
        <f>IXTK60N50L2[[#This Row],[VDS]]/IXTK60N50L2[[#This Row],[ID]]</f>
        <v>78.523272402768654</v>
      </c>
      <c r="M26" s="2"/>
      <c r="N26" s="2"/>
      <c r="O26" s="2"/>
      <c r="P26" s="2"/>
      <c r="Q26" s="2"/>
      <c r="R26" s="2"/>
      <c r="S26" s="2"/>
      <c r="T26" s="2"/>
      <c r="U26" s="2"/>
    </row>
    <row r="27" spans="1:45" ht="14.25" x14ac:dyDescent="0.45">
      <c r="A27" s="5">
        <v>400</v>
      </c>
      <c r="B27" s="5">
        <v>0.55000000000000004</v>
      </c>
      <c r="C27" s="6">
        <f t="shared" si="0"/>
        <v>220.00000000000003</v>
      </c>
      <c r="D27" s="6">
        <f t="shared" si="1"/>
        <v>108.16657652785288</v>
      </c>
      <c r="E27" s="5">
        <f t="shared" si="2"/>
        <v>0.27041644131963222</v>
      </c>
      <c r="F27" s="5">
        <f t="shared" si="3"/>
        <v>90.568259485924855</v>
      </c>
      <c r="G27" s="5">
        <f t="shared" si="4"/>
        <v>0.22642064871481213</v>
      </c>
      <c r="H27" s="2"/>
      <c r="I27" s="21">
        <v>222.46330818876166</v>
      </c>
      <c r="J27" s="21">
        <v>2.1700523466193422</v>
      </c>
      <c r="K27" s="2">
        <f>IXTK60N50L2[[#This Row],[ID]]*IXTK60N50L2[[#This Row],[VDS]]</f>
        <v>482.75702397172415</v>
      </c>
      <c r="L27" s="2">
        <f>IXTK60N50L2[[#This Row],[VDS]]/IXTK60N50L2[[#This Row],[ID]]</f>
        <v>102.51518058323819</v>
      </c>
      <c r="M27" s="2"/>
      <c r="N27" s="2"/>
      <c r="O27" s="2"/>
      <c r="P27" s="2"/>
      <c r="Q27" s="2"/>
      <c r="R27" s="2"/>
      <c r="S27" s="2"/>
      <c r="T27" s="2"/>
      <c r="U27" s="2"/>
    </row>
    <row r="28" spans="1:45" ht="14.25" x14ac:dyDescent="0.45">
      <c r="A28" s="5">
        <v>500</v>
      </c>
      <c r="B28" s="5">
        <v>0.4</v>
      </c>
      <c r="C28" s="6">
        <f t="shared" si="0"/>
        <v>200</v>
      </c>
      <c r="D28" s="6">
        <f t="shared" si="1"/>
        <v>108.16657652785288</v>
      </c>
      <c r="E28" s="5">
        <f t="shared" si="2"/>
        <v>0.21633315305570577</v>
      </c>
      <c r="F28" s="5">
        <f t="shared" si="3"/>
        <v>90.568259485924855</v>
      </c>
      <c r="G28" s="5">
        <f t="shared" si="4"/>
        <v>0.18113651897184971</v>
      </c>
      <c r="H28" s="2"/>
      <c r="I28" s="21">
        <v>253.20075038782852</v>
      </c>
      <c r="J28" s="21">
        <v>1.8879143284421604</v>
      </c>
      <c r="K28" s="2">
        <f>IXTK60N50L2[[#This Row],[ID]]*IXTK60N50L2[[#This Row],[VDS]]</f>
        <v>478.02132462948839</v>
      </c>
      <c r="L28" s="2">
        <f>IXTK60N50L2[[#This Row],[VDS]]/IXTK60N50L2[[#This Row],[ID]]</f>
        <v>134.11665273855976</v>
      </c>
      <c r="M28" s="2"/>
      <c r="N28" s="2"/>
      <c r="O28" s="2"/>
      <c r="P28" s="2"/>
      <c r="Q28" s="2"/>
      <c r="R28" s="2"/>
      <c r="S28" s="2"/>
      <c r="T28" s="2"/>
      <c r="U28" s="2"/>
    </row>
    <row r="29" spans="1:45" ht="14.25" x14ac:dyDescent="0.45">
      <c r="A29" s="5">
        <v>600</v>
      </c>
      <c r="B29" s="5">
        <v>0.3</v>
      </c>
      <c r="C29" s="6">
        <f t="shared" si="0"/>
        <v>180</v>
      </c>
      <c r="D29" s="6">
        <f t="shared" si="1"/>
        <v>108.16657652785288</v>
      </c>
      <c r="E29" s="5">
        <f t="shared" si="2"/>
        <v>0.18027762754642146</v>
      </c>
      <c r="F29" s="5">
        <f t="shared" si="3"/>
        <v>90.568259485924855</v>
      </c>
      <c r="G29" s="5">
        <f t="shared" si="4"/>
        <v>0.15094709914320809</v>
      </c>
      <c r="H29" s="2"/>
      <c r="I29" s="21">
        <v>288.18514171586895</v>
      </c>
      <c r="J29" s="21">
        <v>1.6288287231732785</v>
      </c>
      <c r="K29" s="2">
        <f>IXTK60N50L2[[#This Row],[ID]]*IXTK60N50L2[[#This Row],[VDS]]</f>
        <v>469.40423641856916</v>
      </c>
      <c r="L29" s="2">
        <f>IXTK60N50L2[[#This Row],[VDS]]/IXTK60N50L2[[#This Row],[ID]]</f>
        <v>176.92783631321754</v>
      </c>
      <c r="M29" s="2"/>
      <c r="N29" s="2"/>
      <c r="O29" s="2"/>
      <c r="P29" s="2"/>
      <c r="Q29" s="2"/>
      <c r="R29" s="2"/>
      <c r="S29" s="2"/>
      <c r="T29" s="2"/>
      <c r="U29" s="2"/>
    </row>
    <row r="30" spans="1:45" ht="14.25" x14ac:dyDescent="0.45">
      <c r="A30" s="5">
        <v>650</v>
      </c>
      <c r="B30" s="2">
        <v>0.27</v>
      </c>
      <c r="C30" s="2">
        <f t="shared" si="0"/>
        <v>175.5</v>
      </c>
      <c r="D30" s="2">
        <f t="shared" si="1"/>
        <v>108.16657652785288</v>
      </c>
      <c r="E30" s="2">
        <f t="shared" si="2"/>
        <v>0.16641011773515829</v>
      </c>
      <c r="F30" s="2">
        <f t="shared" si="3"/>
        <v>90.568259485924855</v>
      </c>
      <c r="G30" s="2">
        <f t="shared" si="4"/>
        <v>0.13933578382449976</v>
      </c>
      <c r="H30" s="2"/>
      <c r="I30" s="21">
        <v>328.00327715690662</v>
      </c>
      <c r="J30" s="21">
        <v>1.4040443061740879</v>
      </c>
      <c r="K30" s="2">
        <f>IXTK60N50L2[[#This Row],[ID]]*IXTK60N50L2[[#This Row],[VDS]]</f>
        <v>460.53113369859602</v>
      </c>
      <c r="L30" s="2">
        <f>IXTK60N50L2[[#This Row],[VDS]]/IXTK60N50L2[[#This Row],[ID]]</f>
        <v>233.6131956196526</v>
      </c>
      <c r="M30" s="2"/>
      <c r="N30" s="2"/>
      <c r="O30" s="2"/>
      <c r="P30" s="2"/>
      <c r="Q30" s="2"/>
      <c r="R30" s="2"/>
      <c r="S30" s="2"/>
      <c r="T30" s="2"/>
      <c r="U30" s="2"/>
    </row>
    <row r="31" spans="1:45" ht="14.25" x14ac:dyDescent="0.45">
      <c r="I31" s="21">
        <v>373.32302833205455</v>
      </c>
      <c r="J31" s="21">
        <v>1.1810330321045945</v>
      </c>
      <c r="K31" s="2">
        <f>IXTK60N50L2[[#This Row],[ID]]*IXTK60N50L2[[#This Row],[VDS]]</f>
        <v>440.90682810547582</v>
      </c>
      <c r="L31" s="2">
        <f>IXTK60N50L2[[#This Row],[VDS]]/IXTK60N50L2[[#This Row],[ID]]</f>
        <v>316.09871881973947</v>
      </c>
    </row>
    <row r="32" spans="1:45" ht="15.75" x14ac:dyDescent="0.45">
      <c r="A32" s="1" t="s">
        <v>6</v>
      </c>
      <c r="B32" s="2">
        <v>0.12</v>
      </c>
      <c r="C32" s="3" t="s">
        <v>7</v>
      </c>
      <c r="D32" s="2">
        <v>0.12</v>
      </c>
      <c r="E32" s="3" t="s">
        <v>7</v>
      </c>
      <c r="F32" s="2">
        <f t="shared" ref="F32:F33" si="25">F33+$D$36*D32</f>
        <v>125</v>
      </c>
      <c r="I32" s="21">
        <v>403.4878297671961</v>
      </c>
      <c r="J32" s="21">
        <v>1.0912684077570403</v>
      </c>
      <c r="K32" s="2">
        <f>IXTK60N50L2[[#This Row],[ID]]*IXTK60N50L2[[#This Row],[VDS]]</f>
        <v>440.31352153939179</v>
      </c>
      <c r="L32" s="2">
        <f>IXTK60N50L2[[#This Row],[VDS]]/IXTK60N50L2[[#This Row],[ID]]</f>
        <v>369.74206061413679</v>
      </c>
      <c r="Q32" s="1" t="s">
        <v>6</v>
      </c>
      <c r="R32" s="2">
        <v>0.18</v>
      </c>
      <c r="S32" s="3" t="s">
        <v>7</v>
      </c>
      <c r="T32" s="2">
        <v>0.18</v>
      </c>
      <c r="U32" s="3" t="s">
        <v>7</v>
      </c>
      <c r="Y32" s="1" t="s">
        <v>6</v>
      </c>
      <c r="Z32" s="2">
        <v>0.18</v>
      </c>
      <c r="AA32" s="3" t="s">
        <v>7</v>
      </c>
      <c r="AB32" s="2">
        <v>0.18</v>
      </c>
      <c r="AC32" s="3" t="s">
        <v>7</v>
      </c>
      <c r="AG32" s="1" t="s">
        <v>6</v>
      </c>
      <c r="AH32" s="2">
        <v>0.18</v>
      </c>
      <c r="AI32" s="3" t="s">
        <v>7</v>
      </c>
      <c r="AJ32" s="2">
        <v>0.18</v>
      </c>
      <c r="AK32" s="3" t="s">
        <v>7</v>
      </c>
      <c r="AO32" s="1" t="s">
        <v>6</v>
      </c>
      <c r="AP32" s="2">
        <v>0.18</v>
      </c>
      <c r="AQ32" s="3" t="s">
        <v>7</v>
      </c>
      <c r="AR32" s="2">
        <v>0.18</v>
      </c>
      <c r="AS32" s="3" t="s">
        <v>7</v>
      </c>
    </row>
    <row r="33" spans="1:45" ht="15.75" x14ac:dyDescent="0.45">
      <c r="A33" s="1" t="s">
        <v>8</v>
      </c>
      <c r="B33" s="2">
        <f>RCOND</f>
        <v>0.4</v>
      </c>
      <c r="C33" s="3" t="s">
        <v>7</v>
      </c>
      <c r="D33" s="2">
        <f>RISO</f>
        <v>0.579639580109088</v>
      </c>
      <c r="E33" s="3" t="s">
        <v>7</v>
      </c>
      <c r="F33" s="2">
        <f t="shared" si="25"/>
        <v>114.13180886168902</v>
      </c>
      <c r="I33" s="21">
        <v>404.46350428265237</v>
      </c>
      <c r="J33" s="21">
        <v>0.76555074380390942</v>
      </c>
      <c r="K33" s="2">
        <f>IXTK60N50L2[[#This Row],[ID]]*IXTK60N50L2[[#This Row],[VDS]]</f>
        <v>309.63733654512021</v>
      </c>
      <c r="L33" s="2">
        <f>IXTK60N50L2[[#This Row],[VDS]]/IXTK60N50L2[[#This Row],[ID]]</f>
        <v>528.33010425008865</v>
      </c>
      <c r="Q33" s="1" t="s">
        <v>8</v>
      </c>
      <c r="R33" s="2">
        <f>RCOND</f>
        <v>0.4</v>
      </c>
      <c r="S33" s="3" t="s">
        <v>7</v>
      </c>
      <c r="T33" s="2">
        <f>RISO</f>
        <v>0.579639580109088</v>
      </c>
      <c r="U33" s="3" t="s">
        <v>7</v>
      </c>
      <c r="Y33" s="1" t="s">
        <v>8</v>
      </c>
      <c r="Z33" s="2">
        <f>RCOND</f>
        <v>0.4</v>
      </c>
      <c r="AA33" s="3" t="s">
        <v>7</v>
      </c>
      <c r="AB33" s="2">
        <f>RISO</f>
        <v>0.579639580109088</v>
      </c>
      <c r="AC33" s="3" t="s">
        <v>7</v>
      </c>
      <c r="AG33" s="1" t="s">
        <v>8</v>
      </c>
      <c r="AH33" s="2">
        <f>RCOND</f>
        <v>0.4</v>
      </c>
      <c r="AI33" s="3" t="s">
        <v>7</v>
      </c>
      <c r="AJ33" s="2">
        <f>RISO</f>
        <v>0.579639580109088</v>
      </c>
      <c r="AK33" s="3" t="s">
        <v>7</v>
      </c>
      <c r="AO33" s="1" t="s">
        <v>8</v>
      </c>
      <c r="AP33" s="2">
        <f>RCOND</f>
        <v>0.4</v>
      </c>
      <c r="AQ33" s="3" t="s">
        <v>7</v>
      </c>
      <c r="AR33" s="2">
        <f>RISO</f>
        <v>0.579639580109088</v>
      </c>
      <c r="AS33" s="3" t="s">
        <v>7</v>
      </c>
    </row>
    <row r="34" spans="1:45" ht="15.75" x14ac:dyDescent="0.45">
      <c r="A34" s="4" t="s">
        <v>9</v>
      </c>
      <c r="B34" s="2">
        <f>RSINK</f>
        <v>0.40450000000000003</v>
      </c>
      <c r="C34" s="3" t="s">
        <v>7</v>
      </c>
      <c r="D34" s="2">
        <f>RSINK</f>
        <v>0.40450000000000003</v>
      </c>
      <c r="E34" s="3" t="s">
        <v>7</v>
      </c>
      <c r="F34" s="2">
        <f>F35+$D$36*D34</f>
        <v>61.634860962056607</v>
      </c>
      <c r="I34" s="21">
        <v>404.46350428265237</v>
      </c>
      <c r="J34" s="21">
        <v>0.5888131545411629</v>
      </c>
      <c r="K34" s="2">
        <f>IXTK60N50L2[[#This Row],[ID]]*IXTK60N50L2[[#This Row],[VDS]]</f>
        <v>238.1534318534417</v>
      </c>
      <c r="L34" s="2">
        <f>IXTK60N50L2[[#This Row],[VDS]]/IXTK60N50L2[[#This Row],[ID]]</f>
        <v>686.91315940085201</v>
      </c>
      <c r="Q34" s="4" t="s">
        <v>9</v>
      </c>
      <c r="R34" s="2">
        <f>RSINK</f>
        <v>0.40450000000000003</v>
      </c>
      <c r="S34" s="3" t="s">
        <v>7</v>
      </c>
      <c r="T34" s="2">
        <f>RSINK</f>
        <v>0.40450000000000003</v>
      </c>
      <c r="U34" s="3" t="s">
        <v>7</v>
      </c>
      <c r="Y34" s="4" t="s">
        <v>9</v>
      </c>
      <c r="Z34" s="2">
        <f>RSINK</f>
        <v>0.40450000000000003</v>
      </c>
      <c r="AA34" s="3" t="s">
        <v>7</v>
      </c>
      <c r="AB34" s="2">
        <f>RSINK</f>
        <v>0.40450000000000003</v>
      </c>
      <c r="AC34" s="3" t="s">
        <v>7</v>
      </c>
      <c r="AG34" s="4" t="s">
        <v>9</v>
      </c>
      <c r="AH34" s="2">
        <f>RSINK</f>
        <v>0.40450000000000003</v>
      </c>
      <c r="AI34" s="3" t="s">
        <v>7</v>
      </c>
      <c r="AJ34" s="2">
        <f>RSINK</f>
        <v>0.40450000000000003</v>
      </c>
      <c r="AK34" s="3" t="s">
        <v>7</v>
      </c>
      <c r="AO34" s="4" t="s">
        <v>9</v>
      </c>
      <c r="AP34" s="2">
        <f>RSINK</f>
        <v>0.40450000000000003</v>
      </c>
      <c r="AQ34" s="3" t="s">
        <v>7</v>
      </c>
      <c r="AR34" s="2">
        <f>RSINK</f>
        <v>0.40450000000000003</v>
      </c>
      <c r="AS34" s="3" t="s">
        <v>7</v>
      </c>
    </row>
    <row r="35" spans="1:45" ht="15.75" x14ac:dyDescent="0.45">
      <c r="A35" s="1" t="s">
        <v>10</v>
      </c>
      <c r="B35" s="2">
        <f>SUM(B32:B34)</f>
        <v>0.9245000000000001</v>
      </c>
      <c r="C35" s="3" t="s">
        <v>7</v>
      </c>
      <c r="D35" s="2">
        <f>SUM(D32:D34)</f>
        <v>1.1041395801090881</v>
      </c>
      <c r="E35" s="3" t="s">
        <v>7</v>
      </c>
      <c r="F35" s="2">
        <v>25</v>
      </c>
      <c r="I35" s="21">
        <v>404.46350428265237</v>
      </c>
      <c r="J35" s="21">
        <v>0.45287779257846456</v>
      </c>
      <c r="K35" s="2">
        <f>IXTK60N50L2[[#This Row],[ID]]*IXTK60N50L2[[#This Row],[VDS]]</f>
        <v>183.17253899807795</v>
      </c>
      <c r="L35" s="2">
        <f>IXTK60N50L2[[#This Row],[VDS]]/IXTK60N50L2[[#This Row],[ID]]</f>
        <v>893.09635162244342</v>
      </c>
      <c r="Q35" s="1" t="s">
        <v>10</v>
      </c>
      <c r="R35" s="2">
        <f>SUM(R32:R34)</f>
        <v>0.98450000000000015</v>
      </c>
      <c r="S35" s="3" t="s">
        <v>7</v>
      </c>
      <c r="T35" s="2">
        <f>SUM(T32:T34)</f>
        <v>1.1641395801090881</v>
      </c>
      <c r="U35" s="3" t="s">
        <v>7</v>
      </c>
      <c r="Y35" s="1" t="s">
        <v>10</v>
      </c>
      <c r="Z35" s="2">
        <f>SUM(Z32:Z34)</f>
        <v>0.98450000000000015</v>
      </c>
      <c r="AA35" s="3" t="s">
        <v>7</v>
      </c>
      <c r="AB35" s="2">
        <f>SUM(AB32:AB34)</f>
        <v>1.1641395801090881</v>
      </c>
      <c r="AC35" s="3" t="s">
        <v>7</v>
      </c>
      <c r="AG35" s="1" t="s">
        <v>10</v>
      </c>
      <c r="AH35" s="2">
        <f>SUM(AH32:AH34)</f>
        <v>0.98450000000000015</v>
      </c>
      <c r="AI35" s="3" t="s">
        <v>7</v>
      </c>
      <c r="AJ35" s="2">
        <f>SUM(AJ32:AJ34)</f>
        <v>1.1641395801090881</v>
      </c>
      <c r="AK35" s="3" t="s">
        <v>7</v>
      </c>
      <c r="AO35" s="1" t="s">
        <v>10</v>
      </c>
      <c r="AP35" s="2">
        <f>SUM(AP32:AP34)</f>
        <v>0.98450000000000015</v>
      </c>
      <c r="AQ35" s="3" t="s">
        <v>7</v>
      </c>
      <c r="AR35" s="2">
        <f>SUM(AR32:AR34)</f>
        <v>1.1641395801090881</v>
      </c>
      <c r="AS35" s="3" t="s">
        <v>7</v>
      </c>
    </row>
    <row r="36" spans="1:45" ht="15.75" x14ac:dyDescent="0.45">
      <c r="A36" s="1" t="s">
        <v>2</v>
      </c>
      <c r="B36" s="2">
        <f>(tJmax-tA)/B35</f>
        <v>108.16657652785288</v>
      </c>
      <c r="C36" s="1" t="s">
        <v>3</v>
      </c>
      <c r="D36" s="2">
        <f>(tJmax-tA)/D35</f>
        <v>90.568259485924855</v>
      </c>
      <c r="E36" s="1" t="s">
        <v>3</v>
      </c>
      <c r="I36" s="21">
        <v>404.46350428265237</v>
      </c>
      <c r="J36" s="21">
        <v>0.34832492010231447</v>
      </c>
      <c r="K36" s="2">
        <f>IXTK60N50L2[[#This Row],[ID]]*IXTK60N50L2[[#This Row],[VDS]]</f>
        <v>140.88471781355702</v>
      </c>
      <c r="L36" s="2">
        <f>IXTK60N50L2[[#This Row],[VDS]]/IXTK60N50L2[[#This Row],[ID]]</f>
        <v>1161.1672922047844</v>
      </c>
      <c r="Q36" s="1" t="s">
        <v>2</v>
      </c>
      <c r="R36" s="2">
        <f>(tJmax-tA)/R35</f>
        <v>101.57440325038088</v>
      </c>
      <c r="S36" s="1" t="s">
        <v>3</v>
      </c>
      <c r="T36" s="2">
        <f>(tJmax-tA)/T35</f>
        <v>85.900352250397063</v>
      </c>
      <c r="U36" s="1" t="s">
        <v>3</v>
      </c>
      <c r="Y36" s="1" t="s">
        <v>2</v>
      </c>
      <c r="Z36" s="2">
        <f>(tJmax-tA)/Z35</f>
        <v>101.57440325038088</v>
      </c>
      <c r="AA36" s="1" t="s">
        <v>3</v>
      </c>
      <c r="AB36" s="2">
        <f>(tJmax-tA)/AB35</f>
        <v>85.900352250397063</v>
      </c>
      <c r="AC36" s="1" t="s">
        <v>3</v>
      </c>
      <c r="AG36" s="1" t="s">
        <v>2</v>
      </c>
      <c r="AH36" s="2">
        <f>(tJmax-tA)/AH35</f>
        <v>101.57440325038088</v>
      </c>
      <c r="AI36" s="1" t="s">
        <v>3</v>
      </c>
      <c r="AJ36" s="2">
        <f>(tJmax-tA)/AJ35</f>
        <v>85.900352250397063</v>
      </c>
      <c r="AK36" s="1" t="s">
        <v>3</v>
      </c>
      <c r="AO36" s="1" t="s">
        <v>2</v>
      </c>
      <c r="AP36" s="2">
        <f>(tJmax-tA)/AP35</f>
        <v>101.57440325038088</v>
      </c>
      <c r="AQ36" s="1" t="s">
        <v>3</v>
      </c>
      <c r="AR36" s="2">
        <f>(tJmax-tA)/AR35</f>
        <v>85.900352250397063</v>
      </c>
      <c r="AS36" s="1" t="s">
        <v>3</v>
      </c>
    </row>
    <row r="37" spans="1:45" ht="14.25" x14ac:dyDescent="0.45">
      <c r="I37" s="21">
        <v>404.46350428265237</v>
      </c>
      <c r="J37" s="21">
        <v>0.26790947128029607</v>
      </c>
      <c r="K37" s="2">
        <f>IXTK60N50L2[[#This Row],[ID]]*IXTK60N50L2[[#This Row],[VDS]]</f>
        <v>108.35960358454116</v>
      </c>
      <c r="L37" s="2">
        <f>IXTK60N50L2[[#This Row],[VDS]]/IXTK60N50L2[[#This Row],[ID]]</f>
        <v>1509.7021480792994</v>
      </c>
      <c r="T37" s="1">
        <f>ABS(T36-D36)/D36</f>
        <v>5.1540211350238306E-2</v>
      </c>
    </row>
    <row r="38" spans="1:45" ht="15.75" x14ac:dyDescent="0.45">
      <c r="A38" s="1" t="s">
        <v>20</v>
      </c>
      <c r="B38" s="1">
        <v>25</v>
      </c>
      <c r="C38" s="3" t="s">
        <v>21</v>
      </c>
      <c r="I38" s="21">
        <v>404.46350428265237</v>
      </c>
      <c r="J38" s="21">
        <v>0.20605900025931193</v>
      </c>
      <c r="K38" s="2">
        <f>IXTK60N50L2[[#This Row],[ID]]*IXTK60N50L2[[#This Row],[VDS]]</f>
        <v>83.343345333861279</v>
      </c>
      <c r="L38" s="2">
        <f>IXTK60N50L2[[#This Row],[VDS]]/IXTK60N50L2[[#This Row],[ID]]</f>
        <v>1962.8528905491205</v>
      </c>
    </row>
    <row r="39" spans="1:45" ht="15.75" x14ac:dyDescent="0.45">
      <c r="A39" s="1" t="s">
        <v>19</v>
      </c>
      <c r="B39" s="1">
        <v>125</v>
      </c>
      <c r="C39" s="3" t="s">
        <v>21</v>
      </c>
      <c r="I39" s="21">
        <v>404.46350428265237</v>
      </c>
      <c r="J39" s="21">
        <v>0.15848753455768561</v>
      </c>
      <c r="K39" s="2">
        <f>IXTK60N50L2[[#This Row],[ID]]*IXTK60N50L2[[#This Row],[VDS]]</f>
        <v>64.102423612319484</v>
      </c>
      <c r="L39" s="2">
        <f>IXTK60N50L2[[#This Row],[VDS]]/IXTK60N50L2[[#This Row],[ID]]</f>
        <v>2552.0209233580922</v>
      </c>
    </row>
    <row r="40" spans="1:45" ht="15.75" x14ac:dyDescent="0.45">
      <c r="A40" s="1" t="s">
        <v>22</v>
      </c>
      <c r="B40" s="1">
        <v>0.4</v>
      </c>
      <c r="C40" s="3" t="s">
        <v>7</v>
      </c>
      <c r="I40" s="21">
        <v>403.96527941484601</v>
      </c>
      <c r="J40" s="21">
        <v>0.11556795843393974</v>
      </c>
      <c r="K40" s="2">
        <f>IXTK60N50L2[[#This Row],[ID]]*IXTK60N50L2[[#This Row],[VDS]]</f>
        <v>46.685442620169781</v>
      </c>
      <c r="L40" s="2">
        <f>IXTK60N50L2[[#This Row],[VDS]]/IXTK60N50L2[[#This Row],[ID]]</f>
        <v>3495.4782007831191</v>
      </c>
    </row>
    <row r="41" spans="1:45" ht="15.75" x14ac:dyDescent="0.45">
      <c r="A41" s="1" t="s">
        <v>23</v>
      </c>
      <c r="B41" s="2">
        <v>0.579639580109088</v>
      </c>
      <c r="C41" s="3" t="s">
        <v>7</v>
      </c>
    </row>
    <row r="42" spans="1:45" ht="18" customHeight="1" x14ac:dyDescent="0.45">
      <c r="A42" s="1" t="s">
        <v>24</v>
      </c>
      <c r="B42" s="2">
        <v>0.40450000000000003</v>
      </c>
      <c r="C42" s="3" t="s">
        <v>7</v>
      </c>
    </row>
  </sheetData>
  <mergeCells count="5">
    <mergeCell ref="A1:G1"/>
    <mergeCell ref="Q1:W1"/>
    <mergeCell ref="Y1:AE1"/>
    <mergeCell ref="AG1:AM1"/>
    <mergeCell ref="AO1:AU1"/>
  </mergeCells>
  <hyperlinks>
    <hyperlink ref="A34" r:id="rId1" display="Heatsink to Ambient" xr:uid="{FF31F7FE-CA4E-4BB8-AD22-1332A910347D}"/>
    <hyperlink ref="Q34" r:id="rId2" display="Heatsink to Ambient" xr:uid="{4635C8C1-C477-493E-AA26-7D1791462532}"/>
    <hyperlink ref="Y34" r:id="rId3" display="Heatsink to Ambient" xr:uid="{3F59129B-DA67-4664-A518-9605E4C469A7}"/>
    <hyperlink ref="AG34" r:id="rId4" display="Heatsink to Ambient" xr:uid="{E302BBA7-0A0A-4A16-B0FE-9B44CB20CAD0}"/>
    <hyperlink ref="AO34" r:id="rId5" display="Heatsink to Ambient" xr:uid="{A959A902-1782-48A2-B2F7-2910589A3655}"/>
  </hyperlinks>
  <pageMargins left="0.7" right="0.7" top="0.75" bottom="0.75" header="0.3" footer="0.3"/>
  <pageSetup orientation="portrait" horizontalDpi="300" verticalDpi="300" r:id="rId6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2C3-0375-448C-93F6-8D3A5D340CE8}">
  <dimension ref="A1:S95"/>
  <sheetViews>
    <sheetView topLeftCell="D1" zoomScaleNormal="100" workbookViewId="0">
      <selection activeCell="T20" sqref="T20"/>
    </sheetView>
  </sheetViews>
  <sheetFormatPr defaultColWidth="9.73046875" defaultRowHeight="18" customHeight="1" x14ac:dyDescent="0.45"/>
  <cols>
    <col min="1" max="3" width="9.73046875" style="2" customWidth="1"/>
    <col min="4" max="4" width="9.73046875" style="1"/>
    <col min="5" max="5" width="9.73046875" style="1" customWidth="1"/>
    <col min="6" max="10" width="9.73046875" style="1"/>
    <col min="11" max="11" width="27.73046875" style="1" customWidth="1"/>
    <col min="12" max="15" width="9.73046875" style="1"/>
    <col min="16" max="16" width="27.73046875" style="1" customWidth="1"/>
    <col min="17" max="16384" width="9.73046875" style="1"/>
  </cols>
  <sheetData>
    <row r="1" spans="1:19" ht="18" customHeight="1" thickBot="1" x14ac:dyDescent="0.5">
      <c r="A1" s="27" t="s">
        <v>68</v>
      </c>
      <c r="B1" s="27"/>
      <c r="C1" s="27"/>
      <c r="D1" s="28" t="s">
        <v>27</v>
      </c>
      <c r="E1" s="28"/>
      <c r="F1" s="28" t="s">
        <v>30</v>
      </c>
      <c r="G1" s="28"/>
      <c r="H1" s="28" t="s">
        <v>63</v>
      </c>
      <c r="I1" s="28"/>
      <c r="P1" s="26" t="s">
        <v>51</v>
      </c>
      <c r="Q1" s="26"/>
      <c r="R1" s="26"/>
      <c r="S1" s="26"/>
    </row>
    <row r="2" spans="1:19" ht="18" customHeight="1" thickTop="1" thickBot="1" x14ac:dyDescent="0.5">
      <c r="A2" s="22" t="s">
        <v>28</v>
      </c>
      <c r="B2" s="23" t="s">
        <v>29</v>
      </c>
      <c r="C2" s="24" t="s">
        <v>1</v>
      </c>
      <c r="D2" s="13" t="s">
        <v>29</v>
      </c>
      <c r="E2" s="14" t="s">
        <v>1</v>
      </c>
      <c r="F2" s="13" t="s">
        <v>29</v>
      </c>
      <c r="G2" s="14" t="s">
        <v>1</v>
      </c>
      <c r="H2" s="13" t="s">
        <v>29</v>
      </c>
      <c r="I2" s="14" t="s">
        <v>1</v>
      </c>
      <c r="K2" s="1" t="s">
        <v>25</v>
      </c>
      <c r="L2" s="1" t="s">
        <v>20</v>
      </c>
      <c r="M2" s="1">
        <v>25</v>
      </c>
      <c r="N2" s="3" t="s">
        <v>21</v>
      </c>
      <c r="P2" s="1" t="s">
        <v>53</v>
      </c>
      <c r="Q2" s="1" t="s">
        <v>57</v>
      </c>
      <c r="R2" s="6">
        <f>$M$3</f>
        <v>125</v>
      </c>
      <c r="S2" s="3" t="s">
        <v>21</v>
      </c>
    </row>
    <row r="3" spans="1:19" ht="18" customHeight="1" thickTop="1" x14ac:dyDescent="0.45">
      <c r="A3" s="7">
        <v>0.25</v>
      </c>
      <c r="B3" s="2">
        <f>A3/0.25</f>
        <v>1</v>
      </c>
      <c r="C3" s="8">
        <f>A3*B3</f>
        <v>0.25</v>
      </c>
      <c r="D3" s="7">
        <f t="shared" ref="D3:D34" si="0">MIN($B3,$R$5/$A3)</f>
        <v>1</v>
      </c>
      <c r="E3" s="8">
        <f>MIN(C3,$R$5)</f>
        <v>0.25</v>
      </c>
      <c r="F3" s="7">
        <f t="shared" ref="F3:F34" si="1">MIN($B3,$R$13/$A3)</f>
        <v>1</v>
      </c>
      <c r="G3" s="8">
        <f t="shared" ref="G3:G34" si="2">MIN(C3,$R$13)</f>
        <v>0.25</v>
      </c>
      <c r="H3" s="7">
        <f t="shared" ref="H3:H34" si="3">MIN($B3,$R$20/$A3)</f>
        <v>1</v>
      </c>
      <c r="I3" s="8">
        <f t="shared" ref="I3:I34" si="4">MIN(C3,$R$20)</f>
        <v>0.25</v>
      </c>
      <c r="K3" s="1" t="s">
        <v>26</v>
      </c>
      <c r="L3" s="1" t="s">
        <v>19</v>
      </c>
      <c r="M3" s="1">
        <v>125</v>
      </c>
      <c r="N3" s="3" t="s">
        <v>21</v>
      </c>
      <c r="P3" s="1" t="s">
        <v>54</v>
      </c>
      <c r="Q3" s="1" t="s">
        <v>58</v>
      </c>
      <c r="R3" s="6">
        <f>R2-$R$5*$M$4</f>
        <v>95.018775572220832</v>
      </c>
      <c r="S3" s="3" t="s">
        <v>21</v>
      </c>
    </row>
    <row r="4" spans="1:19" ht="18" customHeight="1" x14ac:dyDescent="0.45">
      <c r="A4" s="7">
        <v>0.5</v>
      </c>
      <c r="B4" s="2">
        <f t="shared" ref="B4:B41" si="5">A4/0.25</f>
        <v>2</v>
      </c>
      <c r="C4" s="8">
        <f t="shared" ref="C4:C66" si="6">A4*B4</f>
        <v>1</v>
      </c>
      <c r="D4" s="7">
        <f t="shared" si="0"/>
        <v>2</v>
      </c>
      <c r="E4" s="8">
        <f t="shared" ref="E4:E67" si="7">MIN(C4,$R$5)</f>
        <v>1</v>
      </c>
      <c r="F4" s="7">
        <f t="shared" si="1"/>
        <v>2</v>
      </c>
      <c r="G4" s="8">
        <f t="shared" si="2"/>
        <v>1</v>
      </c>
      <c r="H4" s="7">
        <f t="shared" si="3"/>
        <v>2</v>
      </c>
      <c r="I4" s="8">
        <f t="shared" si="4"/>
        <v>1</v>
      </c>
      <c r="K4" s="18" t="s">
        <v>50</v>
      </c>
      <c r="L4" s="1" t="s">
        <v>6</v>
      </c>
      <c r="M4" s="2">
        <v>0.13</v>
      </c>
      <c r="N4" s="3" t="s">
        <v>7</v>
      </c>
      <c r="P4" s="1" t="s">
        <v>55</v>
      </c>
      <c r="Q4" s="1" t="s">
        <v>59</v>
      </c>
      <c r="R4" s="6">
        <f>R3-$R$5*M11</f>
        <v>25</v>
      </c>
      <c r="S4" s="3" t="s">
        <v>21</v>
      </c>
    </row>
    <row r="5" spans="1:19" ht="18" customHeight="1" x14ac:dyDescent="0.45">
      <c r="A5" s="7">
        <v>0.75</v>
      </c>
      <c r="B5" s="2">
        <f t="shared" si="5"/>
        <v>3</v>
      </c>
      <c r="C5" s="8">
        <f t="shared" si="6"/>
        <v>2.25</v>
      </c>
      <c r="D5" s="7">
        <f t="shared" si="0"/>
        <v>3</v>
      </c>
      <c r="E5" s="8">
        <f t="shared" si="7"/>
        <v>2.25</v>
      </c>
      <c r="F5" s="7">
        <f t="shared" si="1"/>
        <v>3</v>
      </c>
      <c r="G5" s="8">
        <f t="shared" si="2"/>
        <v>2.25</v>
      </c>
      <c r="H5" s="7">
        <f t="shared" si="3"/>
        <v>3</v>
      </c>
      <c r="I5" s="8">
        <f t="shared" si="4"/>
        <v>2.25</v>
      </c>
      <c r="P5" s="1" t="s">
        <v>60</v>
      </c>
      <c r="Q5" s="1" t="s">
        <v>52</v>
      </c>
      <c r="R5" s="6">
        <f>($M$3-$M$2)/SUM($M$4,$M$11,$M$19)</f>
        <v>230.62480329060898</v>
      </c>
      <c r="S5" s="1" t="s">
        <v>3</v>
      </c>
    </row>
    <row r="6" spans="1:19" ht="18" customHeight="1" x14ac:dyDescent="0.45">
      <c r="A6" s="7">
        <v>1</v>
      </c>
      <c r="B6" s="2">
        <f t="shared" si="5"/>
        <v>4</v>
      </c>
      <c r="C6" s="8">
        <f t="shared" si="6"/>
        <v>4</v>
      </c>
      <c r="D6" s="7">
        <f t="shared" si="0"/>
        <v>4</v>
      </c>
      <c r="E6" s="8">
        <f t="shared" si="7"/>
        <v>4</v>
      </c>
      <c r="F6" s="7">
        <f t="shared" si="1"/>
        <v>4</v>
      </c>
      <c r="G6" s="8">
        <f t="shared" si="2"/>
        <v>4</v>
      </c>
      <c r="H6" s="7">
        <f t="shared" si="3"/>
        <v>4</v>
      </c>
      <c r="I6" s="8">
        <f t="shared" si="4"/>
        <v>4</v>
      </c>
      <c r="K6" s="1" t="s">
        <v>45</v>
      </c>
      <c r="M6" s="19">
        <f>(20*17)/25.4^2</f>
        <v>0.52700105400210806</v>
      </c>
      <c r="N6" s="1" t="s">
        <v>46</v>
      </c>
      <c r="P6" s="1" t="s">
        <v>61</v>
      </c>
      <c r="Q6" s="1" t="s">
        <v>56</v>
      </c>
      <c r="R6" s="5">
        <f>MAX($D$3:$D$94)</f>
        <v>30</v>
      </c>
      <c r="S6" s="1" t="s">
        <v>31</v>
      </c>
    </row>
    <row r="7" spans="1:19" ht="18" customHeight="1" x14ac:dyDescent="0.45">
      <c r="A7" s="7">
        <v>1.25</v>
      </c>
      <c r="B7" s="2">
        <f t="shared" si="5"/>
        <v>5</v>
      </c>
      <c r="C7" s="8">
        <f t="shared" si="6"/>
        <v>6.25</v>
      </c>
      <c r="D7" s="7">
        <f t="shared" si="0"/>
        <v>5</v>
      </c>
      <c r="E7" s="8">
        <f t="shared" si="7"/>
        <v>6.25</v>
      </c>
      <c r="F7" s="7">
        <f t="shared" si="1"/>
        <v>5</v>
      </c>
      <c r="G7" s="8">
        <f t="shared" si="2"/>
        <v>6.25</v>
      </c>
      <c r="H7" s="7">
        <f t="shared" si="3"/>
        <v>5</v>
      </c>
      <c r="I7" s="8">
        <f t="shared" si="4"/>
        <v>6.25</v>
      </c>
      <c r="K7" s="1" t="s">
        <v>47</v>
      </c>
      <c r="M7" s="19">
        <f>(17*14)/25.4^2</f>
        <v>0.36890073780147564</v>
      </c>
      <c r="N7" s="1" t="s">
        <v>46</v>
      </c>
      <c r="R7" s="6"/>
    </row>
    <row r="8" spans="1:19" ht="18" customHeight="1" x14ac:dyDescent="0.45">
      <c r="A8" s="7">
        <v>1.5</v>
      </c>
      <c r="B8" s="2">
        <f t="shared" si="5"/>
        <v>6</v>
      </c>
      <c r="C8" s="8">
        <f t="shared" si="6"/>
        <v>9</v>
      </c>
      <c r="D8" s="7">
        <f t="shared" si="0"/>
        <v>6</v>
      </c>
      <c r="E8" s="8">
        <f t="shared" si="7"/>
        <v>9</v>
      </c>
      <c r="F8" s="7">
        <f t="shared" si="1"/>
        <v>6</v>
      </c>
      <c r="G8" s="8">
        <f t="shared" si="2"/>
        <v>9</v>
      </c>
      <c r="H8" s="7">
        <f t="shared" si="3"/>
        <v>6</v>
      </c>
      <c r="I8" s="8">
        <f t="shared" si="4"/>
        <v>9</v>
      </c>
      <c r="M8" s="19"/>
      <c r="P8" s="26" t="s">
        <v>62</v>
      </c>
      <c r="Q8" s="26"/>
      <c r="R8" s="26"/>
      <c r="S8" s="26"/>
    </row>
    <row r="9" spans="1:19" ht="18" customHeight="1" x14ac:dyDescent="0.45">
      <c r="A9" s="7">
        <v>1.75</v>
      </c>
      <c r="B9" s="2">
        <f t="shared" si="5"/>
        <v>7</v>
      </c>
      <c r="C9" s="8">
        <f t="shared" si="6"/>
        <v>12.25</v>
      </c>
      <c r="D9" s="7">
        <f t="shared" si="0"/>
        <v>7</v>
      </c>
      <c r="E9" s="8">
        <f t="shared" si="7"/>
        <v>12.25</v>
      </c>
      <c r="F9" s="7">
        <f t="shared" si="1"/>
        <v>7</v>
      </c>
      <c r="G9" s="8">
        <f t="shared" si="2"/>
        <v>12.25</v>
      </c>
      <c r="H9" s="7">
        <f t="shared" si="3"/>
        <v>7</v>
      </c>
      <c r="I9" s="8">
        <f t="shared" si="4"/>
        <v>12.25</v>
      </c>
      <c r="M9" s="19"/>
      <c r="P9" s="1" t="s">
        <v>53</v>
      </c>
      <c r="Q9" s="1" t="s">
        <v>57</v>
      </c>
      <c r="R9" s="6">
        <f>$M$3</f>
        <v>125</v>
      </c>
      <c r="S9" s="3" t="s">
        <v>21</v>
      </c>
    </row>
    <row r="10" spans="1:19" ht="18" customHeight="1" x14ac:dyDescent="0.45">
      <c r="A10" s="7">
        <v>2</v>
      </c>
      <c r="B10" s="2">
        <f t="shared" si="5"/>
        <v>8</v>
      </c>
      <c r="C10" s="8">
        <f t="shared" si="6"/>
        <v>16</v>
      </c>
      <c r="D10" s="7">
        <f t="shared" si="0"/>
        <v>8</v>
      </c>
      <c r="E10" s="8">
        <f t="shared" si="7"/>
        <v>16</v>
      </c>
      <c r="F10" s="7">
        <f t="shared" si="1"/>
        <v>8</v>
      </c>
      <c r="G10" s="8">
        <f t="shared" si="2"/>
        <v>16</v>
      </c>
      <c r="H10" s="7">
        <f t="shared" si="3"/>
        <v>8</v>
      </c>
      <c r="I10" s="8">
        <f t="shared" si="4"/>
        <v>16</v>
      </c>
      <c r="K10" s="1" t="s">
        <v>43</v>
      </c>
      <c r="M10" s="19">
        <v>0.16</v>
      </c>
      <c r="N10" s="1" t="s">
        <v>44</v>
      </c>
      <c r="P10" s="1" t="s">
        <v>54</v>
      </c>
      <c r="Q10" s="1" t="s">
        <v>58</v>
      </c>
      <c r="R10" s="6">
        <f>R9-$R$13*$M$4</f>
        <v>99.439874720689119</v>
      </c>
      <c r="S10" s="3" t="s">
        <v>21</v>
      </c>
    </row>
    <row r="11" spans="1:19" ht="18" customHeight="1" x14ac:dyDescent="0.45">
      <c r="A11" s="7">
        <v>2.25</v>
      </c>
      <c r="B11" s="2">
        <f t="shared" si="5"/>
        <v>9</v>
      </c>
      <c r="C11" s="8">
        <f t="shared" si="6"/>
        <v>20.25</v>
      </c>
      <c r="D11" s="7">
        <f t="shared" si="0"/>
        <v>9</v>
      </c>
      <c r="E11" s="8">
        <f t="shared" si="7"/>
        <v>20.25</v>
      </c>
      <c r="F11" s="7">
        <f t="shared" si="1"/>
        <v>9</v>
      </c>
      <c r="G11" s="8">
        <f t="shared" si="2"/>
        <v>20.25</v>
      </c>
      <c r="H11" s="7">
        <f t="shared" si="3"/>
        <v>9</v>
      </c>
      <c r="I11" s="8">
        <f t="shared" si="4"/>
        <v>20.25</v>
      </c>
      <c r="K11" s="1" t="s">
        <v>48</v>
      </c>
      <c r="L11" s="1" t="s">
        <v>75</v>
      </c>
      <c r="M11" s="19">
        <f>M10/M6</f>
        <v>0.30360470588235289</v>
      </c>
      <c r="N11" s="3" t="s">
        <v>7</v>
      </c>
      <c r="P11" s="1" t="s">
        <v>55</v>
      </c>
      <c r="Q11" s="1" t="s">
        <v>59</v>
      </c>
      <c r="R11" s="6">
        <f>R10-$R$13*M11</f>
        <v>39.746226122679339</v>
      </c>
      <c r="S11" s="3" t="s">
        <v>21</v>
      </c>
    </row>
    <row r="12" spans="1:19" ht="18" customHeight="1" x14ac:dyDescent="0.45">
      <c r="A12" s="7">
        <v>2.5</v>
      </c>
      <c r="B12" s="2">
        <f t="shared" si="5"/>
        <v>10</v>
      </c>
      <c r="C12" s="8">
        <f t="shared" si="6"/>
        <v>25</v>
      </c>
      <c r="D12" s="7">
        <f t="shared" si="0"/>
        <v>10</v>
      </c>
      <c r="E12" s="8">
        <f t="shared" si="7"/>
        <v>25</v>
      </c>
      <c r="F12" s="7">
        <f t="shared" si="1"/>
        <v>10</v>
      </c>
      <c r="G12" s="8">
        <f t="shared" si="2"/>
        <v>25</v>
      </c>
      <c r="H12" s="7">
        <f t="shared" si="3"/>
        <v>10</v>
      </c>
      <c r="I12" s="8">
        <f t="shared" si="4"/>
        <v>25</v>
      </c>
      <c r="K12" s="1" t="s">
        <v>49</v>
      </c>
      <c r="L12" s="1" t="s">
        <v>75</v>
      </c>
      <c r="M12" s="19">
        <f>M10/M7</f>
        <v>0.43372100840336131</v>
      </c>
      <c r="N12" s="3" t="s">
        <v>7</v>
      </c>
      <c r="P12" s="1" t="s">
        <v>72</v>
      </c>
      <c r="Q12" s="1" t="s">
        <v>73</v>
      </c>
      <c r="R12" s="6">
        <f>R11-$R$13*M17</f>
        <v>29.91540870755977</v>
      </c>
      <c r="S12" s="3" t="s">
        <v>21</v>
      </c>
    </row>
    <row r="13" spans="1:19" ht="18" customHeight="1" x14ac:dyDescent="0.45">
      <c r="A13" s="7">
        <v>2.75</v>
      </c>
      <c r="B13" s="2">
        <f t="shared" si="5"/>
        <v>11</v>
      </c>
      <c r="C13" s="8">
        <f t="shared" si="6"/>
        <v>30.25</v>
      </c>
      <c r="D13" s="7">
        <f t="shared" si="0"/>
        <v>11</v>
      </c>
      <c r="E13" s="8">
        <f t="shared" si="7"/>
        <v>30.25</v>
      </c>
      <c r="F13" s="7">
        <f t="shared" si="1"/>
        <v>11</v>
      </c>
      <c r="G13" s="8">
        <f t="shared" si="2"/>
        <v>30.25</v>
      </c>
      <c r="H13" s="7">
        <f t="shared" si="3"/>
        <v>11</v>
      </c>
      <c r="I13" s="8">
        <f t="shared" si="4"/>
        <v>30.25</v>
      </c>
      <c r="M13" s="19"/>
      <c r="P13" s="1" t="s">
        <v>60</v>
      </c>
      <c r="Q13" s="1" t="s">
        <v>52</v>
      </c>
      <c r="R13" s="6">
        <f>($M$3-$M$2)/SUM($M$4,$M$11,$M$17,$M$18)</f>
        <v>196.61634830239134</v>
      </c>
      <c r="S13" s="1" t="s">
        <v>3</v>
      </c>
    </row>
    <row r="14" spans="1:19" ht="18" customHeight="1" x14ac:dyDescent="0.45">
      <c r="A14" s="7">
        <v>3</v>
      </c>
      <c r="B14" s="2">
        <f t="shared" si="5"/>
        <v>12</v>
      </c>
      <c r="C14" s="8">
        <f t="shared" si="6"/>
        <v>36</v>
      </c>
      <c r="D14" s="7">
        <f t="shared" si="0"/>
        <v>12</v>
      </c>
      <c r="E14" s="8">
        <f t="shared" si="7"/>
        <v>36</v>
      </c>
      <c r="F14" s="7">
        <f t="shared" si="1"/>
        <v>12</v>
      </c>
      <c r="G14" s="8">
        <f t="shared" si="2"/>
        <v>36</v>
      </c>
      <c r="H14" s="7">
        <f t="shared" si="3"/>
        <v>12</v>
      </c>
      <c r="I14" s="8">
        <f t="shared" si="4"/>
        <v>36</v>
      </c>
      <c r="P14" s="1" t="s">
        <v>61</v>
      </c>
      <c r="Q14" s="1" t="s">
        <v>56</v>
      </c>
      <c r="R14" s="5">
        <f>MAX($F$3:$F$94)</f>
        <v>28</v>
      </c>
      <c r="S14" s="1" t="s">
        <v>31</v>
      </c>
    </row>
    <row r="15" spans="1:19" ht="18" customHeight="1" x14ac:dyDescent="0.45">
      <c r="A15" s="7">
        <v>3.25</v>
      </c>
      <c r="B15" s="2">
        <f t="shared" si="5"/>
        <v>13</v>
      </c>
      <c r="C15" s="8">
        <f t="shared" si="6"/>
        <v>42.25</v>
      </c>
      <c r="D15" s="7">
        <f t="shared" si="0"/>
        <v>13</v>
      </c>
      <c r="E15" s="8">
        <f t="shared" si="7"/>
        <v>42.25</v>
      </c>
      <c r="F15" s="7">
        <f t="shared" si="1"/>
        <v>13</v>
      </c>
      <c r="G15" s="8">
        <f t="shared" si="2"/>
        <v>42.25</v>
      </c>
      <c r="H15" s="7">
        <f t="shared" si="3"/>
        <v>13</v>
      </c>
      <c r="I15" s="8">
        <f t="shared" si="4"/>
        <v>42.25</v>
      </c>
      <c r="K15" s="18" t="s">
        <v>41</v>
      </c>
      <c r="L15" s="1" t="s">
        <v>76</v>
      </c>
      <c r="M15" s="19">
        <v>0.40450000000000003</v>
      </c>
      <c r="N15" s="3" t="s">
        <v>7</v>
      </c>
    </row>
    <row r="16" spans="1:19" ht="18" customHeight="1" x14ac:dyDescent="0.45">
      <c r="A16" s="7">
        <v>3.5</v>
      </c>
      <c r="B16" s="2">
        <f t="shared" si="5"/>
        <v>14</v>
      </c>
      <c r="C16" s="8">
        <f t="shared" si="6"/>
        <v>49</v>
      </c>
      <c r="D16" s="7">
        <f t="shared" si="0"/>
        <v>14</v>
      </c>
      <c r="E16" s="8">
        <f t="shared" si="7"/>
        <v>49</v>
      </c>
      <c r="F16" s="7">
        <f t="shared" si="1"/>
        <v>14</v>
      </c>
      <c r="G16" s="8">
        <f t="shared" si="2"/>
        <v>49</v>
      </c>
      <c r="H16" s="7">
        <f t="shared" si="3"/>
        <v>14</v>
      </c>
      <c r="I16" s="8">
        <f t="shared" si="4"/>
        <v>49</v>
      </c>
      <c r="K16" s="18" t="s">
        <v>42</v>
      </c>
      <c r="L16" s="1" t="s">
        <v>76</v>
      </c>
      <c r="M16" s="19">
        <v>0.1</v>
      </c>
      <c r="N16" s="3" t="s">
        <v>7</v>
      </c>
      <c r="P16" s="26" t="s">
        <v>64</v>
      </c>
      <c r="Q16" s="26"/>
      <c r="R16" s="26"/>
      <c r="S16" s="26"/>
    </row>
    <row r="17" spans="1:19" ht="18" customHeight="1" x14ac:dyDescent="0.45">
      <c r="A17" s="7">
        <v>3.75</v>
      </c>
      <c r="B17" s="2">
        <f t="shared" si="5"/>
        <v>15</v>
      </c>
      <c r="C17" s="8">
        <f t="shared" si="6"/>
        <v>56.25</v>
      </c>
      <c r="D17" s="7">
        <f t="shared" si="0"/>
        <v>15</v>
      </c>
      <c r="E17" s="8">
        <f t="shared" si="7"/>
        <v>56.25</v>
      </c>
      <c r="F17" s="7">
        <f t="shared" si="1"/>
        <v>15</v>
      </c>
      <c r="G17" s="8">
        <f t="shared" si="2"/>
        <v>56.25</v>
      </c>
      <c r="H17" s="7">
        <f t="shared" si="3"/>
        <v>15</v>
      </c>
      <c r="I17" s="8">
        <f t="shared" si="4"/>
        <v>56.25</v>
      </c>
      <c r="K17" s="1" t="s">
        <v>71</v>
      </c>
      <c r="L17" s="1" t="s">
        <v>74</v>
      </c>
      <c r="M17" s="19">
        <v>0.05</v>
      </c>
      <c r="N17" s="3" t="s">
        <v>7</v>
      </c>
      <c r="P17" s="1" t="s">
        <v>53</v>
      </c>
      <c r="Q17" s="1" t="s">
        <v>57</v>
      </c>
      <c r="R17" s="6">
        <f>$M$3</f>
        <v>125</v>
      </c>
      <c r="S17" s="3" t="s">
        <v>21</v>
      </c>
    </row>
    <row r="18" spans="1:19" ht="18" customHeight="1" x14ac:dyDescent="0.45">
      <c r="A18" s="7">
        <v>4</v>
      </c>
      <c r="B18" s="2">
        <f t="shared" si="5"/>
        <v>16</v>
      </c>
      <c r="C18" s="8">
        <f t="shared" si="6"/>
        <v>64</v>
      </c>
      <c r="D18" s="7">
        <f t="shared" si="0"/>
        <v>16</v>
      </c>
      <c r="E18" s="8">
        <f t="shared" si="7"/>
        <v>64</v>
      </c>
      <c r="F18" s="7">
        <f t="shared" si="1"/>
        <v>16</v>
      </c>
      <c r="G18" s="8">
        <f t="shared" si="2"/>
        <v>64</v>
      </c>
      <c r="H18" s="7">
        <f t="shared" si="3"/>
        <v>16</v>
      </c>
      <c r="I18" s="8">
        <f t="shared" si="4"/>
        <v>64</v>
      </c>
      <c r="K18" s="1" t="s">
        <v>70</v>
      </c>
      <c r="L18" s="1" t="s">
        <v>69</v>
      </c>
      <c r="M18" s="19">
        <v>2.5000000000000001E-2</v>
      </c>
      <c r="N18" s="3" t="s">
        <v>7</v>
      </c>
      <c r="P18" s="1" t="s">
        <v>54</v>
      </c>
      <c r="Q18" s="1" t="s">
        <v>58</v>
      </c>
      <c r="R18" s="6">
        <f>R17-$R$13*$M$4</f>
        <v>99.439874720689119</v>
      </c>
      <c r="S18" s="3" t="s">
        <v>21</v>
      </c>
    </row>
    <row r="19" spans="1:19" ht="18" customHeight="1" x14ac:dyDescent="0.45">
      <c r="A19" s="7">
        <v>4.25</v>
      </c>
      <c r="B19" s="2">
        <f t="shared" si="5"/>
        <v>17</v>
      </c>
      <c r="C19" s="8">
        <f t="shared" si="6"/>
        <v>72.25</v>
      </c>
      <c r="D19" s="7">
        <f t="shared" si="0"/>
        <v>17</v>
      </c>
      <c r="E19" s="8">
        <f t="shared" si="7"/>
        <v>72.25</v>
      </c>
      <c r="F19" s="7">
        <f t="shared" si="1"/>
        <v>17</v>
      </c>
      <c r="G19" s="8">
        <f t="shared" si="2"/>
        <v>72.25</v>
      </c>
      <c r="H19" s="7">
        <f t="shared" si="3"/>
        <v>17</v>
      </c>
      <c r="I19" s="8">
        <f t="shared" si="4"/>
        <v>72.25</v>
      </c>
      <c r="K19" s="18" t="s">
        <v>40</v>
      </c>
      <c r="L19" s="1" t="s">
        <v>76</v>
      </c>
      <c r="M19" s="19">
        <v>0</v>
      </c>
      <c r="N19" s="3" t="s">
        <v>7</v>
      </c>
      <c r="P19" s="1" t="s">
        <v>55</v>
      </c>
      <c r="Q19" s="1" t="s">
        <v>59</v>
      </c>
      <c r="R19" s="6">
        <f>R18-$R$13*M15</f>
        <v>19.908561832371817</v>
      </c>
      <c r="S19" s="3" t="s">
        <v>21</v>
      </c>
    </row>
    <row r="20" spans="1:19" ht="18" customHeight="1" x14ac:dyDescent="0.45">
      <c r="A20" s="7">
        <v>4.5</v>
      </c>
      <c r="B20" s="2">
        <f t="shared" si="5"/>
        <v>18</v>
      </c>
      <c r="C20" s="8">
        <f t="shared" si="6"/>
        <v>81</v>
      </c>
      <c r="D20" s="7">
        <f t="shared" si="0"/>
        <v>18</v>
      </c>
      <c r="E20" s="8">
        <f t="shared" si="7"/>
        <v>81</v>
      </c>
      <c r="F20" s="7">
        <f t="shared" si="1"/>
        <v>18</v>
      </c>
      <c r="G20" s="8">
        <f t="shared" si="2"/>
        <v>81</v>
      </c>
      <c r="H20" s="7">
        <f t="shared" si="3"/>
        <v>18</v>
      </c>
      <c r="I20" s="8">
        <f t="shared" si="4"/>
        <v>81</v>
      </c>
      <c r="P20" s="1" t="s">
        <v>60</v>
      </c>
      <c r="Q20" s="1" t="s">
        <v>52</v>
      </c>
      <c r="R20" s="6">
        <f>($M$3-$M$2)/SUM($M$4,$M$11,$M$15)</f>
        <v>119.31683392079327</v>
      </c>
      <c r="S20" s="1" t="s">
        <v>3</v>
      </c>
    </row>
    <row r="21" spans="1:19" ht="18" customHeight="1" x14ac:dyDescent="0.45">
      <c r="A21" s="7">
        <v>4.75</v>
      </c>
      <c r="B21" s="2">
        <f t="shared" si="5"/>
        <v>19</v>
      </c>
      <c r="C21" s="8">
        <f t="shared" si="6"/>
        <v>90.25</v>
      </c>
      <c r="D21" s="7">
        <f t="shared" si="0"/>
        <v>19</v>
      </c>
      <c r="E21" s="8">
        <f t="shared" si="7"/>
        <v>90.25</v>
      </c>
      <c r="F21" s="7">
        <f t="shared" si="1"/>
        <v>19</v>
      </c>
      <c r="G21" s="8">
        <f t="shared" si="2"/>
        <v>90.25</v>
      </c>
      <c r="H21" s="7">
        <f t="shared" si="3"/>
        <v>19</v>
      </c>
      <c r="I21" s="8">
        <f t="shared" si="4"/>
        <v>90.25</v>
      </c>
      <c r="P21" s="1" t="s">
        <v>61</v>
      </c>
      <c r="Q21" s="1" t="s">
        <v>56</v>
      </c>
      <c r="R21" s="5">
        <f>MAX($H$3:$H$94)</f>
        <v>21.693969803780593</v>
      </c>
      <c r="S21" s="1" t="s">
        <v>31</v>
      </c>
    </row>
    <row r="22" spans="1:19" ht="18" customHeight="1" x14ac:dyDescent="0.45">
      <c r="A22" s="7">
        <v>5</v>
      </c>
      <c r="B22" s="2">
        <f t="shared" si="5"/>
        <v>20</v>
      </c>
      <c r="C22" s="9">
        <f t="shared" si="6"/>
        <v>100</v>
      </c>
      <c r="D22" s="7">
        <f t="shared" si="0"/>
        <v>20</v>
      </c>
      <c r="E22" s="8">
        <f t="shared" si="7"/>
        <v>100</v>
      </c>
      <c r="F22" s="7">
        <f t="shared" si="1"/>
        <v>20</v>
      </c>
      <c r="G22" s="8">
        <f t="shared" si="2"/>
        <v>100</v>
      </c>
      <c r="H22" s="7">
        <f t="shared" si="3"/>
        <v>20</v>
      </c>
      <c r="I22" s="8">
        <f t="shared" si="4"/>
        <v>100</v>
      </c>
    </row>
    <row r="23" spans="1:19" ht="18" customHeight="1" x14ac:dyDescent="0.45">
      <c r="A23" s="7">
        <v>5.25</v>
      </c>
      <c r="B23" s="2">
        <f t="shared" si="5"/>
        <v>21</v>
      </c>
      <c r="C23" s="9">
        <f t="shared" si="6"/>
        <v>110.25</v>
      </c>
      <c r="D23" s="7">
        <f t="shared" si="0"/>
        <v>21</v>
      </c>
      <c r="E23" s="8">
        <f t="shared" si="7"/>
        <v>110.25</v>
      </c>
      <c r="F23" s="7">
        <f t="shared" si="1"/>
        <v>21</v>
      </c>
      <c r="G23" s="8">
        <f t="shared" si="2"/>
        <v>110.25</v>
      </c>
      <c r="H23" s="7">
        <f t="shared" si="3"/>
        <v>21</v>
      </c>
      <c r="I23" s="8">
        <f t="shared" si="4"/>
        <v>110.25</v>
      </c>
    </row>
    <row r="24" spans="1:19" ht="18" customHeight="1" x14ac:dyDescent="0.45">
      <c r="A24" s="7">
        <v>5.5</v>
      </c>
      <c r="B24" s="2">
        <f t="shared" si="5"/>
        <v>22</v>
      </c>
      <c r="C24" s="9">
        <f t="shared" si="6"/>
        <v>121</v>
      </c>
      <c r="D24" s="7">
        <f t="shared" si="0"/>
        <v>22</v>
      </c>
      <c r="E24" s="8">
        <f t="shared" si="7"/>
        <v>121</v>
      </c>
      <c r="F24" s="7">
        <f t="shared" si="1"/>
        <v>22</v>
      </c>
      <c r="G24" s="8">
        <f t="shared" si="2"/>
        <v>121</v>
      </c>
      <c r="H24" s="7">
        <f t="shared" si="3"/>
        <v>21.693969803780593</v>
      </c>
      <c r="I24" s="8">
        <f t="shared" si="4"/>
        <v>119.31683392079327</v>
      </c>
    </row>
    <row r="25" spans="1:19" ht="18" customHeight="1" x14ac:dyDescent="0.45">
      <c r="A25" s="7">
        <v>5.75</v>
      </c>
      <c r="B25" s="2">
        <f t="shared" si="5"/>
        <v>23</v>
      </c>
      <c r="C25" s="9">
        <f t="shared" si="6"/>
        <v>132.25</v>
      </c>
      <c r="D25" s="7">
        <f t="shared" si="0"/>
        <v>23</v>
      </c>
      <c r="E25" s="8">
        <f t="shared" si="7"/>
        <v>132.25</v>
      </c>
      <c r="F25" s="7">
        <f t="shared" si="1"/>
        <v>23</v>
      </c>
      <c r="G25" s="8">
        <f t="shared" si="2"/>
        <v>132.25</v>
      </c>
      <c r="H25" s="7">
        <f t="shared" si="3"/>
        <v>20.750753725355352</v>
      </c>
      <c r="I25" s="8">
        <f t="shared" si="4"/>
        <v>119.31683392079327</v>
      </c>
    </row>
    <row r="26" spans="1:19" ht="18" customHeight="1" x14ac:dyDescent="0.45">
      <c r="A26" s="7">
        <v>6</v>
      </c>
      <c r="B26" s="2">
        <f t="shared" si="5"/>
        <v>24</v>
      </c>
      <c r="C26" s="9">
        <f t="shared" si="6"/>
        <v>144</v>
      </c>
      <c r="D26" s="7">
        <f t="shared" si="0"/>
        <v>24</v>
      </c>
      <c r="E26" s="8">
        <f t="shared" si="7"/>
        <v>144</v>
      </c>
      <c r="F26" s="7">
        <f t="shared" si="1"/>
        <v>24</v>
      </c>
      <c r="G26" s="8">
        <f t="shared" si="2"/>
        <v>144</v>
      </c>
      <c r="H26" s="7">
        <f t="shared" si="3"/>
        <v>19.88613898679888</v>
      </c>
      <c r="I26" s="8">
        <f t="shared" si="4"/>
        <v>119.31683392079327</v>
      </c>
    </row>
    <row r="27" spans="1:19" ht="18" customHeight="1" x14ac:dyDescent="0.45">
      <c r="A27" s="7">
        <v>6.25</v>
      </c>
      <c r="B27" s="2">
        <f t="shared" si="5"/>
        <v>25</v>
      </c>
      <c r="C27" s="9">
        <f t="shared" si="6"/>
        <v>156.25</v>
      </c>
      <c r="D27" s="7">
        <f t="shared" si="0"/>
        <v>25</v>
      </c>
      <c r="E27" s="8">
        <f t="shared" si="7"/>
        <v>156.25</v>
      </c>
      <c r="F27" s="7">
        <f t="shared" si="1"/>
        <v>25</v>
      </c>
      <c r="G27" s="8">
        <f t="shared" si="2"/>
        <v>156.25</v>
      </c>
      <c r="H27" s="7">
        <f t="shared" si="3"/>
        <v>19.090693427326922</v>
      </c>
      <c r="I27" s="8">
        <f t="shared" si="4"/>
        <v>119.31683392079327</v>
      </c>
    </row>
    <row r="28" spans="1:19" ht="18" customHeight="1" x14ac:dyDescent="0.45">
      <c r="A28" s="7">
        <v>6.5</v>
      </c>
      <c r="B28" s="2">
        <f t="shared" si="5"/>
        <v>26</v>
      </c>
      <c r="C28" s="9">
        <f t="shared" si="6"/>
        <v>169</v>
      </c>
      <c r="D28" s="7">
        <f t="shared" si="0"/>
        <v>26</v>
      </c>
      <c r="E28" s="8">
        <f t="shared" si="7"/>
        <v>169</v>
      </c>
      <c r="F28" s="7">
        <f t="shared" si="1"/>
        <v>26</v>
      </c>
      <c r="G28" s="8">
        <f t="shared" si="2"/>
        <v>169</v>
      </c>
      <c r="H28" s="7">
        <f t="shared" si="3"/>
        <v>18.356435987814351</v>
      </c>
      <c r="I28" s="8">
        <f t="shared" si="4"/>
        <v>119.31683392079327</v>
      </c>
    </row>
    <row r="29" spans="1:19" ht="18" customHeight="1" x14ac:dyDescent="0.45">
      <c r="A29" s="7">
        <v>6.75</v>
      </c>
      <c r="B29" s="2">
        <f t="shared" si="5"/>
        <v>27</v>
      </c>
      <c r="C29" s="9">
        <f t="shared" si="6"/>
        <v>182.25</v>
      </c>
      <c r="D29" s="7">
        <f t="shared" si="0"/>
        <v>27</v>
      </c>
      <c r="E29" s="8">
        <f t="shared" si="7"/>
        <v>182.25</v>
      </c>
      <c r="F29" s="7">
        <f t="shared" si="1"/>
        <v>27</v>
      </c>
      <c r="G29" s="8">
        <f t="shared" si="2"/>
        <v>182.25</v>
      </c>
      <c r="H29" s="7">
        <f t="shared" si="3"/>
        <v>17.676567988265671</v>
      </c>
      <c r="I29" s="8">
        <f t="shared" si="4"/>
        <v>119.31683392079327</v>
      </c>
    </row>
    <row r="30" spans="1:19" ht="18" customHeight="1" x14ac:dyDescent="0.45">
      <c r="A30" s="7">
        <v>7</v>
      </c>
      <c r="B30" s="2">
        <f t="shared" si="5"/>
        <v>28</v>
      </c>
      <c r="C30" s="9">
        <f t="shared" si="6"/>
        <v>196</v>
      </c>
      <c r="D30" s="7">
        <f t="shared" si="0"/>
        <v>28</v>
      </c>
      <c r="E30" s="8">
        <f t="shared" si="7"/>
        <v>196</v>
      </c>
      <c r="F30" s="7">
        <f t="shared" si="1"/>
        <v>28</v>
      </c>
      <c r="G30" s="8">
        <f t="shared" si="2"/>
        <v>196</v>
      </c>
      <c r="H30" s="7">
        <f t="shared" si="3"/>
        <v>17.045261988684754</v>
      </c>
      <c r="I30" s="8">
        <f t="shared" si="4"/>
        <v>119.31683392079327</v>
      </c>
    </row>
    <row r="31" spans="1:19" ht="18" customHeight="1" x14ac:dyDescent="0.45">
      <c r="A31" s="7">
        <v>7.25</v>
      </c>
      <c r="B31" s="2">
        <f t="shared" si="5"/>
        <v>29</v>
      </c>
      <c r="C31" s="9">
        <f t="shared" si="6"/>
        <v>210.25</v>
      </c>
      <c r="D31" s="7">
        <f t="shared" si="0"/>
        <v>29</v>
      </c>
      <c r="E31" s="8">
        <f t="shared" si="7"/>
        <v>210.25</v>
      </c>
      <c r="F31" s="7">
        <f t="shared" si="1"/>
        <v>27.119496317571219</v>
      </c>
      <c r="G31" s="8">
        <f t="shared" si="2"/>
        <v>196.61634830239134</v>
      </c>
      <c r="H31" s="7">
        <f t="shared" si="3"/>
        <v>16.45749433390252</v>
      </c>
      <c r="I31" s="8">
        <f t="shared" si="4"/>
        <v>119.31683392079327</v>
      </c>
    </row>
    <row r="32" spans="1:19" ht="18" customHeight="1" x14ac:dyDescent="0.45">
      <c r="A32" s="7">
        <v>7.5</v>
      </c>
      <c r="B32" s="2">
        <f t="shared" si="5"/>
        <v>30</v>
      </c>
      <c r="C32" s="9">
        <f t="shared" si="6"/>
        <v>225</v>
      </c>
      <c r="D32" s="7">
        <f t="shared" si="0"/>
        <v>30</v>
      </c>
      <c r="E32" s="8">
        <f t="shared" si="7"/>
        <v>225</v>
      </c>
      <c r="F32" s="7">
        <f t="shared" si="1"/>
        <v>26.215513106985512</v>
      </c>
      <c r="G32" s="8">
        <f t="shared" si="2"/>
        <v>196.61634830239134</v>
      </c>
      <c r="H32" s="7">
        <f t="shared" si="3"/>
        <v>15.908911189439102</v>
      </c>
      <c r="I32" s="8">
        <f t="shared" si="4"/>
        <v>119.31683392079327</v>
      </c>
    </row>
    <row r="33" spans="1:9" ht="18" customHeight="1" x14ac:dyDescent="0.45">
      <c r="A33" s="7">
        <v>7.75</v>
      </c>
      <c r="B33" s="2">
        <f t="shared" si="5"/>
        <v>31</v>
      </c>
      <c r="C33" s="9">
        <f t="shared" si="6"/>
        <v>240.25</v>
      </c>
      <c r="D33" s="7">
        <f t="shared" si="0"/>
        <v>29.758039134272128</v>
      </c>
      <c r="E33" s="8">
        <f t="shared" si="7"/>
        <v>230.62480329060898</v>
      </c>
      <c r="F33" s="7">
        <f t="shared" si="1"/>
        <v>25.369851393856948</v>
      </c>
      <c r="G33" s="8">
        <f t="shared" si="2"/>
        <v>196.61634830239134</v>
      </c>
      <c r="H33" s="7">
        <f t="shared" si="3"/>
        <v>15.395720505908809</v>
      </c>
      <c r="I33" s="8">
        <f t="shared" si="4"/>
        <v>119.31683392079327</v>
      </c>
    </row>
    <row r="34" spans="1:9" ht="18" customHeight="1" x14ac:dyDescent="0.45">
      <c r="A34" s="7">
        <v>8</v>
      </c>
      <c r="B34" s="2">
        <f t="shared" si="5"/>
        <v>32</v>
      </c>
      <c r="C34" s="9">
        <f t="shared" si="6"/>
        <v>256</v>
      </c>
      <c r="D34" s="7">
        <f t="shared" si="0"/>
        <v>28.828100411326123</v>
      </c>
      <c r="E34" s="8">
        <f t="shared" si="7"/>
        <v>230.62480329060898</v>
      </c>
      <c r="F34" s="7">
        <f t="shared" si="1"/>
        <v>24.577043537798918</v>
      </c>
      <c r="G34" s="8">
        <f t="shared" si="2"/>
        <v>196.61634830239134</v>
      </c>
      <c r="H34" s="7">
        <f t="shared" si="3"/>
        <v>14.914604240099159</v>
      </c>
      <c r="I34" s="8">
        <f t="shared" si="4"/>
        <v>119.31683392079327</v>
      </c>
    </row>
    <row r="35" spans="1:9" ht="18" customHeight="1" x14ac:dyDescent="0.45">
      <c r="A35" s="7">
        <v>8.25</v>
      </c>
      <c r="B35" s="2">
        <f t="shared" si="5"/>
        <v>33</v>
      </c>
      <c r="C35" s="9">
        <f t="shared" si="6"/>
        <v>272.25</v>
      </c>
      <c r="D35" s="7">
        <f t="shared" ref="D35:D66" si="8">MIN($B35,$R$5/$A35)</f>
        <v>27.954521610982908</v>
      </c>
      <c r="E35" s="8">
        <f t="shared" si="7"/>
        <v>230.62480329060898</v>
      </c>
      <c r="F35" s="7">
        <f t="shared" ref="F35:F66" si="9">MIN($B35,$R$13/$A35)</f>
        <v>23.832284642714104</v>
      </c>
      <c r="G35" s="8">
        <f t="shared" ref="G35:G66" si="10">MIN(C35,$R$13)</f>
        <v>196.61634830239134</v>
      </c>
      <c r="H35" s="7">
        <f t="shared" ref="H35:H66" si="11">MIN($B35,$R$20/$A35)</f>
        <v>14.462646535853731</v>
      </c>
      <c r="I35" s="8">
        <f t="shared" ref="I35:I66" si="12">MIN(C35,$R$20)</f>
        <v>119.31683392079327</v>
      </c>
    </row>
    <row r="36" spans="1:9" ht="18" customHeight="1" x14ac:dyDescent="0.45">
      <c r="A36" s="7">
        <v>8.5</v>
      </c>
      <c r="B36" s="2">
        <f t="shared" si="5"/>
        <v>34</v>
      </c>
      <c r="C36" s="9">
        <f t="shared" si="6"/>
        <v>289</v>
      </c>
      <c r="D36" s="7">
        <f t="shared" si="8"/>
        <v>27.132329798895174</v>
      </c>
      <c r="E36" s="8">
        <f t="shared" si="7"/>
        <v>230.62480329060898</v>
      </c>
      <c r="F36" s="7">
        <f t="shared" si="9"/>
        <v>23.131335094398981</v>
      </c>
      <c r="G36" s="8">
        <f t="shared" si="10"/>
        <v>196.61634830239134</v>
      </c>
      <c r="H36" s="7">
        <f t="shared" si="11"/>
        <v>14.037274578916856</v>
      </c>
      <c r="I36" s="8">
        <f t="shared" si="12"/>
        <v>119.31683392079327</v>
      </c>
    </row>
    <row r="37" spans="1:9" ht="18" customHeight="1" x14ac:dyDescent="0.45">
      <c r="A37" s="7">
        <v>8.75</v>
      </c>
      <c r="B37" s="2">
        <f t="shared" si="5"/>
        <v>35</v>
      </c>
      <c r="C37" s="9">
        <f t="shared" si="6"/>
        <v>306.25</v>
      </c>
      <c r="D37" s="7">
        <f t="shared" si="8"/>
        <v>26.357120376069599</v>
      </c>
      <c r="E37" s="8">
        <f t="shared" si="7"/>
        <v>230.62480329060898</v>
      </c>
      <c r="F37" s="7">
        <f t="shared" si="9"/>
        <v>22.470439805987581</v>
      </c>
      <c r="G37" s="8">
        <f t="shared" si="10"/>
        <v>196.61634830239134</v>
      </c>
      <c r="H37" s="7">
        <f t="shared" si="11"/>
        <v>13.636209590947802</v>
      </c>
      <c r="I37" s="8">
        <f t="shared" si="12"/>
        <v>119.31683392079327</v>
      </c>
    </row>
    <row r="38" spans="1:9" ht="18" customHeight="1" x14ac:dyDescent="0.45">
      <c r="A38" s="7">
        <v>9</v>
      </c>
      <c r="B38" s="2">
        <f t="shared" si="5"/>
        <v>36</v>
      </c>
      <c r="C38" s="9">
        <f t="shared" si="6"/>
        <v>324</v>
      </c>
      <c r="D38" s="7">
        <f t="shared" si="8"/>
        <v>25.624978143400998</v>
      </c>
      <c r="E38" s="8">
        <f t="shared" si="7"/>
        <v>230.62480329060898</v>
      </c>
      <c r="F38" s="7">
        <f t="shared" si="9"/>
        <v>21.846260922487929</v>
      </c>
      <c r="G38" s="8">
        <f t="shared" si="10"/>
        <v>196.61634830239134</v>
      </c>
      <c r="H38" s="7">
        <f t="shared" si="11"/>
        <v>13.257425991199252</v>
      </c>
      <c r="I38" s="8">
        <f t="shared" si="12"/>
        <v>119.31683392079327</v>
      </c>
    </row>
    <row r="39" spans="1:9" ht="18" customHeight="1" x14ac:dyDescent="0.45">
      <c r="A39" s="7">
        <v>9.25</v>
      </c>
      <c r="B39" s="2">
        <f t="shared" si="5"/>
        <v>37</v>
      </c>
      <c r="C39" s="9">
        <f t="shared" si="6"/>
        <v>342.25</v>
      </c>
      <c r="D39" s="7">
        <f t="shared" si="8"/>
        <v>24.93241116655232</v>
      </c>
      <c r="E39" s="8">
        <f t="shared" si="7"/>
        <v>230.62480329060898</v>
      </c>
      <c r="F39" s="7">
        <f t="shared" si="9"/>
        <v>21.255821438096362</v>
      </c>
      <c r="G39" s="8">
        <f t="shared" si="10"/>
        <v>196.61634830239134</v>
      </c>
      <c r="H39" s="7">
        <f t="shared" si="11"/>
        <v>12.8991171806263</v>
      </c>
      <c r="I39" s="8">
        <f t="shared" si="12"/>
        <v>119.31683392079327</v>
      </c>
    </row>
    <row r="40" spans="1:9" ht="18" customHeight="1" x14ac:dyDescent="0.45">
      <c r="A40" s="7">
        <v>9.5</v>
      </c>
      <c r="B40" s="2">
        <f t="shared" si="5"/>
        <v>38</v>
      </c>
      <c r="C40" s="9">
        <f t="shared" si="6"/>
        <v>361</v>
      </c>
      <c r="D40" s="7">
        <f t="shared" si="8"/>
        <v>24.276295083221999</v>
      </c>
      <c r="E40" s="8">
        <f t="shared" si="7"/>
        <v>230.62480329060898</v>
      </c>
      <c r="F40" s="7">
        <f t="shared" si="9"/>
        <v>20.696457716041195</v>
      </c>
      <c r="G40" s="8">
        <f t="shared" si="10"/>
        <v>196.61634830239134</v>
      </c>
      <c r="H40" s="7">
        <f t="shared" si="11"/>
        <v>12.559666728504554</v>
      </c>
      <c r="I40" s="8">
        <f t="shared" si="12"/>
        <v>119.31683392079327</v>
      </c>
    </row>
    <row r="41" spans="1:9" ht="18" customHeight="1" x14ac:dyDescent="0.45">
      <c r="A41" s="7">
        <v>9.75</v>
      </c>
      <c r="B41" s="2">
        <f t="shared" si="5"/>
        <v>39</v>
      </c>
      <c r="C41" s="9">
        <f t="shared" si="6"/>
        <v>380.25</v>
      </c>
      <c r="D41" s="7">
        <f t="shared" si="8"/>
        <v>23.653825978523997</v>
      </c>
      <c r="E41" s="8">
        <f t="shared" si="7"/>
        <v>230.62480329060898</v>
      </c>
      <c r="F41" s="7">
        <f t="shared" si="9"/>
        <v>20.16577931306578</v>
      </c>
      <c r="G41" s="8">
        <f t="shared" si="10"/>
        <v>196.61634830239134</v>
      </c>
      <c r="H41" s="7">
        <f t="shared" si="11"/>
        <v>12.237623991876234</v>
      </c>
      <c r="I41" s="8">
        <f t="shared" si="12"/>
        <v>119.31683392079327</v>
      </c>
    </row>
    <row r="42" spans="1:9" ht="18" customHeight="1" x14ac:dyDescent="0.45">
      <c r="A42" s="7">
        <f>Comparison!I3</f>
        <v>10</v>
      </c>
      <c r="B42" s="2">
        <f>Comparison!J3</f>
        <v>42.340946623038278</v>
      </c>
      <c r="C42" s="9">
        <f t="shared" si="6"/>
        <v>423.4094662303828</v>
      </c>
      <c r="D42" s="7">
        <f t="shared" si="8"/>
        <v>23.062480329060897</v>
      </c>
      <c r="E42" s="8">
        <f t="shared" si="7"/>
        <v>230.62480329060898</v>
      </c>
      <c r="F42" s="7">
        <f t="shared" si="9"/>
        <v>19.661634830239134</v>
      </c>
      <c r="G42" s="8">
        <f t="shared" si="10"/>
        <v>196.61634830239134</v>
      </c>
      <c r="H42" s="7">
        <f t="shared" si="11"/>
        <v>11.931683392079327</v>
      </c>
      <c r="I42" s="8">
        <f t="shared" si="12"/>
        <v>119.31683392079327</v>
      </c>
    </row>
    <row r="43" spans="1:9" ht="18" customHeight="1" x14ac:dyDescent="0.45">
      <c r="A43" s="7">
        <f>Comparison!I4</f>
        <v>11.337222110373594</v>
      </c>
      <c r="B43" s="2">
        <f>Comparison!J4</f>
        <v>46.074054643460492</v>
      </c>
      <c r="C43" s="9">
        <f t="shared" si="6"/>
        <v>522.3517910184014</v>
      </c>
      <c r="D43" s="7">
        <f t="shared" si="8"/>
        <v>20.342267360148707</v>
      </c>
      <c r="E43" s="8">
        <f t="shared" si="7"/>
        <v>230.62480329060898</v>
      </c>
      <c r="F43" s="7">
        <f t="shared" si="9"/>
        <v>17.342550616741182</v>
      </c>
      <c r="G43" s="8">
        <f t="shared" si="10"/>
        <v>196.61634830239134</v>
      </c>
      <c r="H43" s="7">
        <f t="shared" si="11"/>
        <v>10.524344743287511</v>
      </c>
      <c r="I43" s="8">
        <f t="shared" si="12"/>
        <v>119.31683392079327</v>
      </c>
    </row>
    <row r="44" spans="1:9" ht="18" customHeight="1" x14ac:dyDescent="0.45">
      <c r="A44" s="7">
        <f>Comparison!I5</f>
        <v>12.903670133433213</v>
      </c>
      <c r="B44" s="2">
        <f>Comparison!J5</f>
        <v>44.351950751877808</v>
      </c>
      <c r="C44" s="9">
        <f t="shared" si="6"/>
        <v>572.30294227650643</v>
      </c>
      <c r="D44" s="7">
        <f t="shared" si="8"/>
        <v>17.872806798824129</v>
      </c>
      <c r="E44" s="8">
        <f t="shared" si="7"/>
        <v>230.62480329060898</v>
      </c>
      <c r="F44" s="7">
        <f t="shared" si="9"/>
        <v>15.237242293799914</v>
      </c>
      <c r="G44" s="8">
        <f t="shared" si="10"/>
        <v>196.61634830239134</v>
      </c>
      <c r="H44" s="7">
        <f t="shared" si="11"/>
        <v>9.2467362143461163</v>
      </c>
      <c r="I44" s="8">
        <f t="shared" si="12"/>
        <v>119.31683392079327</v>
      </c>
    </row>
    <row r="45" spans="1:9" ht="18" customHeight="1" x14ac:dyDescent="0.45">
      <c r="A45" s="7">
        <f>Comparison!I6</f>
        <v>14.686552075230503</v>
      </c>
      <c r="B45" s="2">
        <f>Comparison!J6</f>
        <v>38.620024230057048</v>
      </c>
      <c r="C45" s="9">
        <f t="shared" si="6"/>
        <v>567.1949970013967</v>
      </c>
      <c r="D45" s="7">
        <f t="shared" si="8"/>
        <v>15.703127739530339</v>
      </c>
      <c r="E45" s="8">
        <f t="shared" si="7"/>
        <v>230.62480329060898</v>
      </c>
      <c r="F45" s="7">
        <f t="shared" si="9"/>
        <v>13.387509014726009</v>
      </c>
      <c r="G45" s="8">
        <f t="shared" si="10"/>
        <v>196.61634830239134</v>
      </c>
      <c r="H45" s="7">
        <f t="shared" si="11"/>
        <v>8.1242236645881096</v>
      </c>
      <c r="I45" s="8">
        <f t="shared" si="12"/>
        <v>119.31683392079327</v>
      </c>
    </row>
    <row r="46" spans="1:9" ht="18" customHeight="1" x14ac:dyDescent="0.45">
      <c r="A46" s="7">
        <f>Comparison!I7</f>
        <v>16.715772305709788</v>
      </c>
      <c r="B46" s="2">
        <f>Comparison!J7</f>
        <v>33.668932604971978</v>
      </c>
      <c r="C46" s="9">
        <f t="shared" si="6"/>
        <v>562.80221120099986</v>
      </c>
      <c r="D46" s="7">
        <f t="shared" si="8"/>
        <v>13.796838044499562</v>
      </c>
      <c r="E46" s="8">
        <f t="shared" si="7"/>
        <v>230.62480329060898</v>
      </c>
      <c r="F46" s="7">
        <f t="shared" si="9"/>
        <v>11.762325108677807</v>
      </c>
      <c r="G46" s="8">
        <f t="shared" si="10"/>
        <v>196.61634830239134</v>
      </c>
      <c r="H46" s="7">
        <f t="shared" si="11"/>
        <v>7.1379791336375717</v>
      </c>
      <c r="I46" s="8">
        <f t="shared" si="12"/>
        <v>119.31683392079327</v>
      </c>
    </row>
    <row r="47" spans="1:9" ht="18" customHeight="1" x14ac:dyDescent="0.45">
      <c r="A47" s="7">
        <f>Comparison!I8</f>
        <v>19.025367039523395</v>
      </c>
      <c r="B47" s="2">
        <f>Comparison!J8</f>
        <v>29.352571505532445</v>
      </c>
      <c r="C47" s="9">
        <f t="shared" si="6"/>
        <v>558.44344644661055</v>
      </c>
      <c r="D47" s="7">
        <f t="shared" si="8"/>
        <v>12.121963419234321</v>
      </c>
      <c r="E47" s="8">
        <f t="shared" si="7"/>
        <v>230.62480329060898</v>
      </c>
      <c r="F47" s="7">
        <f t="shared" si="9"/>
        <v>10.334431282925555</v>
      </c>
      <c r="G47" s="8">
        <f t="shared" si="10"/>
        <v>196.61634830239134</v>
      </c>
      <c r="H47" s="7">
        <f t="shared" si="11"/>
        <v>6.2714602915635673</v>
      </c>
      <c r="I47" s="8">
        <f t="shared" si="12"/>
        <v>119.31683392079327</v>
      </c>
    </row>
    <row r="48" spans="1:9" ht="18" customHeight="1" x14ac:dyDescent="0.45">
      <c r="A48" s="7">
        <f>Comparison!I9</f>
        <v>21.654075227199822</v>
      </c>
      <c r="B48" s="2">
        <f>Comparison!J9</f>
        <v>25.597185091400483</v>
      </c>
      <c r="C48" s="9">
        <f t="shared" si="6"/>
        <v>554.28337157374381</v>
      </c>
      <c r="D48" s="7">
        <f t="shared" si="8"/>
        <v>10.650411106031427</v>
      </c>
      <c r="E48" s="8">
        <f t="shared" si="7"/>
        <v>230.62480329060898</v>
      </c>
      <c r="F48" s="7">
        <f t="shared" si="9"/>
        <v>9.0798774013410792</v>
      </c>
      <c r="G48" s="8">
        <f t="shared" si="10"/>
        <v>196.61634830239134</v>
      </c>
      <c r="H48" s="7">
        <f t="shared" si="11"/>
        <v>5.5101329735346365</v>
      </c>
      <c r="I48" s="8">
        <f t="shared" si="12"/>
        <v>119.31683392079327</v>
      </c>
    </row>
    <row r="49" spans="1:9" ht="18" customHeight="1" x14ac:dyDescent="0.45">
      <c r="A49" s="7">
        <f>Comparison!I10</f>
        <v>24.645988325541154</v>
      </c>
      <c r="B49" s="2">
        <f>Comparison!J10</f>
        <v>22.322265171210606</v>
      </c>
      <c r="C49" s="9">
        <f t="shared" si="6"/>
        <v>550.15428680929051</v>
      </c>
      <c r="D49" s="7">
        <f t="shared" si="8"/>
        <v>9.3574986827210189</v>
      </c>
      <c r="E49" s="8">
        <f t="shared" si="7"/>
        <v>230.62480329060898</v>
      </c>
      <c r="F49" s="7">
        <f t="shared" si="9"/>
        <v>7.9776207675402375</v>
      </c>
      <c r="G49" s="8">
        <f t="shared" si="10"/>
        <v>196.61634830239134</v>
      </c>
      <c r="H49" s="7">
        <f t="shared" si="11"/>
        <v>4.8412273975291438</v>
      </c>
      <c r="I49" s="8">
        <f t="shared" si="12"/>
        <v>119.31683392079327</v>
      </c>
    </row>
    <row r="50" spans="1:9" ht="18" customHeight="1" x14ac:dyDescent="0.45">
      <c r="A50" s="7">
        <f>Comparison!I11</f>
        <v>28.051289845881762</v>
      </c>
      <c r="B50" s="2">
        <f>Comparison!J11</f>
        <v>19.454757492123196</v>
      </c>
      <c r="C50" s="9">
        <f t="shared" si="6"/>
        <v>545.73104129288754</v>
      </c>
      <c r="D50" s="7">
        <f t="shared" si="8"/>
        <v>8.2215400631378532</v>
      </c>
      <c r="E50" s="8">
        <f t="shared" si="7"/>
        <v>230.62480329060898</v>
      </c>
      <c r="F50" s="7">
        <f t="shared" si="9"/>
        <v>7.0091731746608721</v>
      </c>
      <c r="G50" s="8">
        <f t="shared" si="10"/>
        <v>196.61634830239134</v>
      </c>
      <c r="H50" s="7">
        <f t="shared" si="11"/>
        <v>4.2535239761286876</v>
      </c>
      <c r="I50" s="8">
        <f t="shared" si="12"/>
        <v>119.31683392079327</v>
      </c>
    </row>
    <row r="51" spans="1:9" ht="18" customHeight="1" x14ac:dyDescent="0.45">
      <c r="A51" s="7">
        <f>Comparison!I12</f>
        <v>31.927097084689244</v>
      </c>
      <c r="B51" s="2">
        <f>Comparison!J12</f>
        <v>16.960655305300982</v>
      </c>
      <c r="C51" s="9">
        <f t="shared" si="6"/>
        <v>541.50448855229411</v>
      </c>
      <c r="D51" s="7">
        <f t="shared" si="8"/>
        <v>7.2234817552894892</v>
      </c>
      <c r="E51" s="8">
        <f t="shared" si="7"/>
        <v>230.62480329060898</v>
      </c>
      <c r="F51" s="7">
        <f t="shared" si="9"/>
        <v>6.1582908017240134</v>
      </c>
      <c r="G51" s="8">
        <f t="shared" si="10"/>
        <v>196.61634830239134</v>
      </c>
      <c r="H51" s="7">
        <f t="shared" si="11"/>
        <v>3.7371651298048043</v>
      </c>
      <c r="I51" s="8">
        <f t="shared" si="12"/>
        <v>119.31683392079327</v>
      </c>
    </row>
    <row r="52" spans="1:9" ht="18" customHeight="1" x14ac:dyDescent="0.45">
      <c r="A52" s="7">
        <f>Comparison!I13</f>
        <v>36.338419154897529</v>
      </c>
      <c r="B52" s="2">
        <f>Comparison!J13</f>
        <v>14.786297310655391</v>
      </c>
      <c r="C52" s="9">
        <f t="shared" si="6"/>
        <v>537.3106694235297</v>
      </c>
      <c r="D52" s="7">
        <f t="shared" si="8"/>
        <v>6.3465832761612138</v>
      </c>
      <c r="E52" s="8">
        <f t="shared" si="7"/>
        <v>230.62480329060898</v>
      </c>
      <c r="F52" s="7">
        <f t="shared" si="9"/>
        <v>5.4107017551943306</v>
      </c>
      <c r="G52" s="8">
        <f t="shared" si="10"/>
        <v>196.61634830239134</v>
      </c>
      <c r="H52" s="7">
        <f t="shared" si="11"/>
        <v>3.2834899452336876</v>
      </c>
      <c r="I52" s="8">
        <f t="shared" si="12"/>
        <v>119.31683392079327</v>
      </c>
    </row>
    <row r="53" spans="1:9" ht="18" customHeight="1" x14ac:dyDescent="0.45">
      <c r="A53" s="7">
        <f>Comparison!I14</f>
        <v>41.359247387081268</v>
      </c>
      <c r="B53" s="2">
        <f>Comparison!J14</f>
        <v>12.894529155852153</v>
      </c>
      <c r="C53" s="9">
        <f t="shared" si="6"/>
        <v>533.30802129682138</v>
      </c>
      <c r="D53" s="7">
        <f t="shared" si="8"/>
        <v>5.5761363627386888</v>
      </c>
      <c r="E53" s="8">
        <f t="shared" si="7"/>
        <v>230.62480329060898</v>
      </c>
      <c r="F53" s="7">
        <f t="shared" si="9"/>
        <v>4.7538666857802951</v>
      </c>
      <c r="G53" s="8">
        <f t="shared" si="10"/>
        <v>196.61634830239134</v>
      </c>
      <c r="H53" s="7">
        <f t="shared" si="11"/>
        <v>2.8848889053542686</v>
      </c>
      <c r="I53" s="8">
        <f t="shared" si="12"/>
        <v>119.31683392079327</v>
      </c>
    </row>
    <row r="54" spans="1:9" ht="18" customHeight="1" x14ac:dyDescent="0.45">
      <c r="A54" s="7">
        <f>Comparison!I15</f>
        <v>47.073796389825709</v>
      </c>
      <c r="B54" s="2">
        <f>Comparison!J15</f>
        <v>11.189824203748982</v>
      </c>
      <c r="C54" s="9">
        <f t="shared" si="6"/>
        <v>526.7475062052232</v>
      </c>
      <c r="D54" s="7">
        <f t="shared" si="8"/>
        <v>4.8992182695605795</v>
      </c>
      <c r="E54" s="8">
        <f t="shared" si="7"/>
        <v>230.62480329060898</v>
      </c>
      <c r="F54" s="7">
        <f t="shared" si="9"/>
        <v>4.1767684652875587</v>
      </c>
      <c r="G54" s="8">
        <f t="shared" si="10"/>
        <v>196.61634830239134</v>
      </c>
      <c r="H54" s="7">
        <f t="shared" si="11"/>
        <v>2.5346762545495864</v>
      </c>
      <c r="I54" s="8">
        <f t="shared" si="12"/>
        <v>119.31683392079327</v>
      </c>
    </row>
    <row r="55" spans="1:9" ht="18" customHeight="1" x14ac:dyDescent="0.45">
      <c r="A55" s="7">
        <f>Comparison!I16</f>
        <v>53.577916585661193</v>
      </c>
      <c r="B55" s="2">
        <f>Comparison!J16</f>
        <v>9.8261886467551438</v>
      </c>
      <c r="C55" s="9">
        <f t="shared" si="6"/>
        <v>526.46671567081808</v>
      </c>
      <c r="D55" s="7">
        <f t="shared" si="8"/>
        <v>4.304475014848375</v>
      </c>
      <c r="E55" s="8">
        <f t="shared" si="7"/>
        <v>230.62480329060898</v>
      </c>
      <c r="F55" s="7">
        <f t="shared" si="9"/>
        <v>3.6697273957645988</v>
      </c>
      <c r="G55" s="8">
        <f t="shared" si="10"/>
        <v>196.61634830239134</v>
      </c>
      <c r="H55" s="7">
        <f t="shared" si="11"/>
        <v>2.2269778581260748</v>
      </c>
      <c r="I55" s="8">
        <f t="shared" si="12"/>
        <v>119.31683392079327</v>
      </c>
    </row>
    <row r="56" spans="1:9" ht="18" customHeight="1" x14ac:dyDescent="0.45">
      <c r="A56" s="7">
        <f>Comparison!I17</f>
        <v>60.980701915099992</v>
      </c>
      <c r="B56" s="2">
        <f>Comparison!J17</f>
        <v>8.7814034333494462</v>
      </c>
      <c r="C56" s="9">
        <f t="shared" si="6"/>
        <v>535.49614516531824</v>
      </c>
      <c r="D56" s="7">
        <f t="shared" si="8"/>
        <v>3.7819309395896252</v>
      </c>
      <c r="E56" s="8">
        <f t="shared" si="7"/>
        <v>230.62480329060898</v>
      </c>
      <c r="F56" s="7">
        <f t="shared" si="9"/>
        <v>3.2242388514341678</v>
      </c>
      <c r="G56" s="8">
        <f t="shared" si="10"/>
        <v>196.61634830239134</v>
      </c>
      <c r="H56" s="7">
        <f t="shared" si="11"/>
        <v>1.9566326751520735</v>
      </c>
      <c r="I56" s="8">
        <f t="shared" si="12"/>
        <v>119.31683392079327</v>
      </c>
    </row>
    <row r="57" spans="1:9" ht="18" customHeight="1" x14ac:dyDescent="0.45">
      <c r="A57" s="7">
        <f>Comparison!I18</f>
        <v>69.406319674876713</v>
      </c>
      <c r="B57" s="2">
        <f>Comparison!J18</f>
        <v>7.4827826186355644</v>
      </c>
      <c r="C57" s="9">
        <f t="shared" si="6"/>
        <v>519.35240248663104</v>
      </c>
      <c r="D57" s="7">
        <f t="shared" si="8"/>
        <v>3.3228213852994308</v>
      </c>
      <c r="E57" s="8">
        <f t="shared" si="7"/>
        <v>230.62480329060898</v>
      </c>
      <c r="F57" s="7">
        <f t="shared" si="9"/>
        <v>2.8328306301704305</v>
      </c>
      <c r="G57" s="8">
        <f t="shared" si="10"/>
        <v>196.61634830239134</v>
      </c>
      <c r="H57" s="7">
        <f t="shared" si="11"/>
        <v>1.7191061920544806</v>
      </c>
      <c r="I57" s="8">
        <f t="shared" si="12"/>
        <v>119.31683392079327</v>
      </c>
    </row>
    <row r="58" spans="1:9" ht="18" customHeight="1" x14ac:dyDescent="0.45">
      <c r="A58" s="7">
        <f>Comparison!I19</f>
        <v>78.996093182363609</v>
      </c>
      <c r="B58" s="2">
        <f>Comparison!J19</f>
        <v>6.4975258482511826</v>
      </c>
      <c r="C58" s="9">
        <f t="shared" si="6"/>
        <v>513.27915736326656</v>
      </c>
      <c r="D58" s="7">
        <f t="shared" si="8"/>
        <v>2.9194456839556397</v>
      </c>
      <c r="E58" s="8">
        <f t="shared" si="7"/>
        <v>230.62480329060898</v>
      </c>
      <c r="F58" s="7">
        <f t="shared" si="9"/>
        <v>2.4889376218707384</v>
      </c>
      <c r="G58" s="8">
        <f t="shared" si="10"/>
        <v>196.61634830239134</v>
      </c>
      <c r="H58" s="7">
        <f t="shared" si="11"/>
        <v>1.5104143649907933</v>
      </c>
      <c r="I58" s="8">
        <f t="shared" si="12"/>
        <v>119.31683392079327</v>
      </c>
    </row>
    <row r="59" spans="1:9" ht="18" customHeight="1" x14ac:dyDescent="0.45">
      <c r="A59" s="7">
        <f>Comparison!I20</f>
        <v>89.910872198796781</v>
      </c>
      <c r="B59" s="2">
        <f>Comparison!J20</f>
        <v>5.6645422742529776</v>
      </c>
      <c r="C59" s="9">
        <f t="shared" si="6"/>
        <v>509.30393648504116</v>
      </c>
      <c r="D59" s="7">
        <f t="shared" si="8"/>
        <v>2.5650379943004857</v>
      </c>
      <c r="E59" s="8">
        <f t="shared" si="7"/>
        <v>230.62480329060898</v>
      </c>
      <c r="F59" s="7">
        <f t="shared" si="9"/>
        <v>2.1867916915282968</v>
      </c>
      <c r="G59" s="8">
        <f t="shared" si="10"/>
        <v>196.61634830239134</v>
      </c>
      <c r="H59" s="7">
        <f t="shared" si="11"/>
        <v>1.3270567952780912</v>
      </c>
      <c r="I59" s="8">
        <f t="shared" si="12"/>
        <v>119.31683392079327</v>
      </c>
    </row>
    <row r="60" spans="1:9" ht="18" customHeight="1" x14ac:dyDescent="0.45">
      <c r="A60" s="10">
        <f>Comparison!I21</f>
        <v>102.24776647907055</v>
      </c>
      <c r="B60" s="2">
        <f>Comparison!J21</f>
        <v>4.9122961832697047</v>
      </c>
      <c r="C60" s="9">
        <f t="shared" si="6"/>
        <v>502.27131302299034</v>
      </c>
      <c r="D60" s="7">
        <f t="shared" si="8"/>
        <v>2.2555485682693752</v>
      </c>
      <c r="E60" s="8">
        <f t="shared" si="7"/>
        <v>230.62480329060898</v>
      </c>
      <c r="F60" s="7">
        <f t="shared" si="9"/>
        <v>1.9229402760855165</v>
      </c>
      <c r="G60" s="8">
        <f t="shared" si="10"/>
        <v>196.61634830239134</v>
      </c>
      <c r="H60" s="7">
        <f t="shared" si="11"/>
        <v>1.1669382914610331</v>
      </c>
      <c r="I60" s="8">
        <f t="shared" si="12"/>
        <v>119.31683392079327</v>
      </c>
    </row>
    <row r="61" spans="1:9" ht="18" customHeight="1" x14ac:dyDescent="0.45">
      <c r="A61" s="10">
        <f>Comparison!I22</f>
        <v>116.47303844111686</v>
      </c>
      <c r="B61" s="2">
        <f>Comparison!J22</f>
        <v>4.3078138723067116</v>
      </c>
      <c r="C61" s="9">
        <f t="shared" si="6"/>
        <v>501.74417074635608</v>
      </c>
      <c r="D61" s="7">
        <f t="shared" si="8"/>
        <v>1.9800702924668849</v>
      </c>
      <c r="E61" s="8">
        <f t="shared" si="7"/>
        <v>230.62480329060898</v>
      </c>
      <c r="F61" s="7">
        <f t="shared" si="9"/>
        <v>1.6880846497517199</v>
      </c>
      <c r="G61" s="8">
        <f t="shared" si="10"/>
        <v>196.61634830239134</v>
      </c>
      <c r="H61" s="7">
        <f t="shared" si="11"/>
        <v>1.0244159121951137</v>
      </c>
      <c r="I61" s="8">
        <f t="shared" si="12"/>
        <v>119.31683392079327</v>
      </c>
    </row>
    <row r="62" spans="1:9" ht="18" customHeight="1" x14ac:dyDescent="0.45">
      <c r="A62" s="10">
        <f>Comparison!I23</f>
        <v>132.56595423914948</v>
      </c>
      <c r="B62" s="2">
        <f>Comparison!J23</f>
        <v>3.7555516298350025</v>
      </c>
      <c r="C62" s="9">
        <f t="shared" si="6"/>
        <v>497.85828550347014</v>
      </c>
      <c r="D62" s="7">
        <f t="shared" si="8"/>
        <v>1.7396985871241191</v>
      </c>
      <c r="E62" s="8">
        <f t="shared" si="7"/>
        <v>230.62480329060898</v>
      </c>
      <c r="F62" s="7">
        <f t="shared" si="9"/>
        <v>1.4831586996137389</v>
      </c>
      <c r="G62" s="8">
        <f t="shared" si="10"/>
        <v>196.61634830239134</v>
      </c>
      <c r="H62" s="7">
        <f t="shared" si="11"/>
        <v>0.90005638782296438</v>
      </c>
      <c r="I62" s="8">
        <f t="shared" si="12"/>
        <v>119.31683392079327</v>
      </c>
    </row>
    <row r="63" spans="1:9" ht="18" customHeight="1" x14ac:dyDescent="0.45">
      <c r="A63" s="10">
        <f>Comparison!I24</f>
        <v>150.88240556393404</v>
      </c>
      <c r="B63" s="2">
        <f>Comparison!J24</f>
        <v>3.2740894714664051</v>
      </c>
      <c r="C63" s="9">
        <f t="shared" si="6"/>
        <v>494.00249548640056</v>
      </c>
      <c r="D63" s="7">
        <f t="shared" si="8"/>
        <v>1.5285069351103722</v>
      </c>
      <c r="E63" s="8">
        <f t="shared" si="7"/>
        <v>230.62480329060898</v>
      </c>
      <c r="F63" s="7">
        <f t="shared" si="9"/>
        <v>1.3031098461581609</v>
      </c>
      <c r="G63" s="8">
        <f t="shared" si="10"/>
        <v>196.61634830239134</v>
      </c>
      <c r="H63" s="7">
        <f t="shared" si="11"/>
        <v>0.79079355525144146</v>
      </c>
      <c r="I63" s="8">
        <f t="shared" si="12"/>
        <v>119.31683392079327</v>
      </c>
    </row>
    <row r="64" spans="1:9" ht="18" customHeight="1" x14ac:dyDescent="0.45">
      <c r="A64" s="10">
        <f>Comparison!I25</f>
        <v>171.72961518981279</v>
      </c>
      <c r="B64" s="2">
        <f>Comparison!J25</f>
        <v>2.8552004103332136</v>
      </c>
      <c r="C64" s="9">
        <f t="shared" si="6"/>
        <v>490.32246775631836</v>
      </c>
      <c r="D64" s="7">
        <f t="shared" si="8"/>
        <v>1.3429530080510534</v>
      </c>
      <c r="E64" s="8">
        <f t="shared" si="7"/>
        <v>230.62480329060898</v>
      </c>
      <c r="F64" s="7">
        <f t="shared" si="9"/>
        <v>1.144918120762521</v>
      </c>
      <c r="G64" s="8">
        <f t="shared" si="10"/>
        <v>196.61634830239134</v>
      </c>
      <c r="H64" s="7">
        <f t="shared" si="11"/>
        <v>0.6947947434046966</v>
      </c>
      <c r="I64" s="8">
        <f t="shared" si="12"/>
        <v>119.31683392079327</v>
      </c>
    </row>
    <row r="65" spans="1:9" ht="18" customHeight="1" x14ac:dyDescent="0.45">
      <c r="A65" s="10">
        <f>Comparison!I26</f>
        <v>195.45725442947543</v>
      </c>
      <c r="B65" s="2">
        <f>Comparison!J26</f>
        <v>2.4891633836516447</v>
      </c>
      <c r="C65" s="9">
        <f t="shared" si="6"/>
        <v>486.52504079493349</v>
      </c>
      <c r="D65" s="7">
        <f t="shared" si="8"/>
        <v>1.1799245004427434</v>
      </c>
      <c r="E65" s="8">
        <f t="shared" si="7"/>
        <v>230.62480329060898</v>
      </c>
      <c r="F65" s="7">
        <f t="shared" si="9"/>
        <v>1.0059301655305617</v>
      </c>
      <c r="G65" s="8">
        <f t="shared" si="10"/>
        <v>196.61634830239134</v>
      </c>
      <c r="H65" s="7">
        <f t="shared" si="11"/>
        <v>0.61044975930450807</v>
      </c>
      <c r="I65" s="8">
        <f t="shared" si="12"/>
        <v>119.31683392079327</v>
      </c>
    </row>
    <row r="66" spans="1:9" ht="18" customHeight="1" x14ac:dyDescent="0.45">
      <c r="A66" s="10">
        <f>Comparison!I27</f>
        <v>222.46330818876166</v>
      </c>
      <c r="B66" s="2">
        <f>Comparison!J27</f>
        <v>2.1700523466193422</v>
      </c>
      <c r="C66" s="9">
        <f t="shared" si="6"/>
        <v>482.75702397172415</v>
      </c>
      <c r="D66" s="7">
        <f t="shared" si="8"/>
        <v>1.0366869267938883</v>
      </c>
      <c r="E66" s="8">
        <f t="shared" si="7"/>
        <v>230.62480329060898</v>
      </c>
      <c r="F66" s="7">
        <f t="shared" si="9"/>
        <v>0.88381472838460629</v>
      </c>
      <c r="G66" s="8">
        <f t="shared" si="10"/>
        <v>196.61634830239134</v>
      </c>
      <c r="H66" s="7">
        <f t="shared" si="11"/>
        <v>0.53634388022114687</v>
      </c>
      <c r="I66" s="8">
        <f t="shared" si="12"/>
        <v>119.31683392079327</v>
      </c>
    </row>
    <row r="67" spans="1:9" ht="18" customHeight="1" x14ac:dyDescent="0.45">
      <c r="A67" s="10">
        <f>Comparison!I28</f>
        <v>253.20075038782852</v>
      </c>
      <c r="B67" s="2">
        <f>Comparison!J28</f>
        <v>1.8879143284421604</v>
      </c>
      <c r="C67" s="9">
        <f t="shared" ref="C67:C79" si="13">A67*B67</f>
        <v>478.02132462948839</v>
      </c>
      <c r="D67" s="7">
        <f t="shared" ref="D67:D79" si="14">MIN($B67,$R$5/$A67)</f>
        <v>0.91083775595988603</v>
      </c>
      <c r="E67" s="8">
        <f t="shared" si="7"/>
        <v>230.62480329060898</v>
      </c>
      <c r="F67" s="7">
        <f t="shared" ref="F67:F79" si="15">MIN($B67,$R$13/$A67)</f>
        <v>0.77652356085530305</v>
      </c>
      <c r="G67" s="8">
        <f t="shared" ref="G67:G79" si="16">MIN(C67,$R$13)</f>
        <v>196.61634830239134</v>
      </c>
      <c r="H67" s="7">
        <f t="shared" ref="H67:H79" si="17">MIN($B67,$R$20/$A67)</f>
        <v>0.47123412445672153</v>
      </c>
      <c r="I67" s="8">
        <f t="shared" ref="I67:I79" si="18">MIN(C67,$R$20)</f>
        <v>119.31683392079327</v>
      </c>
    </row>
    <row r="68" spans="1:9" ht="18" customHeight="1" x14ac:dyDescent="0.45">
      <c r="A68" s="10">
        <f>Comparison!I29</f>
        <v>288.18514171586895</v>
      </c>
      <c r="B68" s="2">
        <f>Comparison!J29</f>
        <v>1.6288287231732785</v>
      </c>
      <c r="C68" s="9">
        <f t="shared" si="13"/>
        <v>469.40423641856916</v>
      </c>
      <c r="D68" s="7">
        <f t="shared" si="14"/>
        <v>0.80026611336537756</v>
      </c>
      <c r="E68" s="8">
        <f t="shared" ref="E68:E79" si="19">MIN(C68,$R$5)</f>
        <v>230.62480329060898</v>
      </c>
      <c r="F68" s="7">
        <f t="shared" si="15"/>
        <v>0.68225706270534159</v>
      </c>
      <c r="G68" s="8">
        <f t="shared" si="16"/>
        <v>196.61634830239134</v>
      </c>
      <c r="H68" s="7">
        <f t="shared" si="17"/>
        <v>0.41402840274961711</v>
      </c>
      <c r="I68" s="8">
        <f t="shared" si="18"/>
        <v>119.31683392079327</v>
      </c>
    </row>
    <row r="69" spans="1:9" ht="18" customHeight="1" x14ac:dyDescent="0.45">
      <c r="A69" s="10">
        <f>Comparison!I30</f>
        <v>328.00327715690662</v>
      </c>
      <c r="B69" s="2">
        <f>Comparison!J30</f>
        <v>1.4040443061740879</v>
      </c>
      <c r="C69" s="9">
        <f t="shared" si="13"/>
        <v>460.53113369859602</v>
      </c>
      <c r="D69" s="7">
        <f t="shared" si="14"/>
        <v>0.70311737519709361</v>
      </c>
      <c r="E69" s="8">
        <f t="shared" si="19"/>
        <v>230.62480329060898</v>
      </c>
      <c r="F69" s="7">
        <f t="shared" si="15"/>
        <v>0.59943409714268236</v>
      </c>
      <c r="G69" s="8">
        <f t="shared" si="16"/>
        <v>196.61634830239134</v>
      </c>
      <c r="H69" s="7">
        <f t="shared" si="17"/>
        <v>0.36376720060548601</v>
      </c>
      <c r="I69" s="8">
        <f t="shared" si="18"/>
        <v>119.31683392079327</v>
      </c>
    </row>
    <row r="70" spans="1:9" ht="18" customHeight="1" x14ac:dyDescent="0.45">
      <c r="A70" s="10">
        <f>Comparison!I31</f>
        <v>373.32302833205455</v>
      </c>
      <c r="B70" s="2">
        <f>Comparison!J31</f>
        <v>1.1810330321045945</v>
      </c>
      <c r="C70" s="9">
        <f t="shared" si="13"/>
        <v>440.90682810547582</v>
      </c>
      <c r="D70" s="7">
        <f t="shared" si="14"/>
        <v>0.61776206070384243</v>
      </c>
      <c r="E70" s="8">
        <f t="shared" si="19"/>
        <v>230.62480329060898</v>
      </c>
      <c r="F70" s="7">
        <f t="shared" si="15"/>
        <v>0.52666547033233024</v>
      </c>
      <c r="G70" s="8">
        <f t="shared" si="16"/>
        <v>196.61634830239134</v>
      </c>
      <c r="H70" s="7">
        <f t="shared" si="17"/>
        <v>0.31960748431159236</v>
      </c>
      <c r="I70" s="8">
        <f t="shared" si="18"/>
        <v>119.31683392079327</v>
      </c>
    </row>
    <row r="71" spans="1:9" ht="18" customHeight="1" x14ac:dyDescent="0.45">
      <c r="A71" s="10">
        <f>Comparison!I32</f>
        <v>403.4878297671961</v>
      </c>
      <c r="B71" s="2">
        <f>Comparison!J32</f>
        <v>1.0912684077570403</v>
      </c>
      <c r="C71" s="9">
        <f t="shared" si="13"/>
        <v>440.31352153939179</v>
      </c>
      <c r="D71" s="7">
        <f t="shared" si="14"/>
        <v>0.57157809053044939</v>
      </c>
      <c r="E71" s="8">
        <f t="shared" si="19"/>
        <v>230.62480329060898</v>
      </c>
      <c r="F71" s="7">
        <f t="shared" si="15"/>
        <v>0.48729189283313651</v>
      </c>
      <c r="G71" s="8">
        <f t="shared" si="16"/>
        <v>196.61634830239134</v>
      </c>
      <c r="H71" s="7">
        <f t="shared" si="17"/>
        <v>0.2957135881635799</v>
      </c>
      <c r="I71" s="8">
        <f t="shared" si="18"/>
        <v>119.31683392079327</v>
      </c>
    </row>
    <row r="72" spans="1:9" ht="18" customHeight="1" x14ac:dyDescent="0.45">
      <c r="A72" s="10">
        <f>Comparison!I33</f>
        <v>404.46350428265237</v>
      </c>
      <c r="B72" s="2">
        <f>Comparison!J33</f>
        <v>0.76555074380390942</v>
      </c>
      <c r="C72" s="9">
        <f t="shared" si="13"/>
        <v>309.63733654512021</v>
      </c>
      <c r="D72" s="7">
        <f t="shared" si="14"/>
        <v>0.57019929078555576</v>
      </c>
      <c r="E72" s="8">
        <f t="shared" si="19"/>
        <v>230.62480329060898</v>
      </c>
      <c r="F72" s="7">
        <f t="shared" si="15"/>
        <v>0.48611641401640376</v>
      </c>
      <c r="G72" s="8">
        <f t="shared" si="16"/>
        <v>196.61634830239134</v>
      </c>
      <c r="H72" s="7">
        <f t="shared" si="17"/>
        <v>0.29500024763028004</v>
      </c>
      <c r="I72" s="8">
        <f t="shared" si="18"/>
        <v>119.31683392079327</v>
      </c>
    </row>
    <row r="73" spans="1:9" ht="18" customHeight="1" x14ac:dyDescent="0.45">
      <c r="A73" s="10">
        <f>Comparison!I34</f>
        <v>404.46350428265237</v>
      </c>
      <c r="B73" s="2">
        <f>Comparison!J34</f>
        <v>0.5888131545411629</v>
      </c>
      <c r="C73" s="9">
        <f t="shared" si="13"/>
        <v>238.1534318534417</v>
      </c>
      <c r="D73" s="7">
        <f t="shared" si="14"/>
        <v>0.57019929078555576</v>
      </c>
      <c r="E73" s="8">
        <f t="shared" si="19"/>
        <v>230.62480329060898</v>
      </c>
      <c r="F73" s="7">
        <f t="shared" si="15"/>
        <v>0.48611641401640376</v>
      </c>
      <c r="G73" s="8">
        <f t="shared" si="16"/>
        <v>196.61634830239134</v>
      </c>
      <c r="H73" s="7">
        <f t="shared" si="17"/>
        <v>0.29500024763028004</v>
      </c>
      <c r="I73" s="8">
        <f t="shared" si="18"/>
        <v>119.31683392079327</v>
      </c>
    </row>
    <row r="74" spans="1:9" ht="18" customHeight="1" x14ac:dyDescent="0.45">
      <c r="A74" s="10">
        <f>Comparison!I35</f>
        <v>404.46350428265237</v>
      </c>
      <c r="B74" s="2">
        <f>Comparison!J35</f>
        <v>0.45287779257846456</v>
      </c>
      <c r="C74" s="9">
        <f t="shared" si="13"/>
        <v>183.17253899807795</v>
      </c>
      <c r="D74" s="7">
        <f t="shared" si="14"/>
        <v>0.45287779257846456</v>
      </c>
      <c r="E74" s="8">
        <f t="shared" si="19"/>
        <v>183.17253899807795</v>
      </c>
      <c r="F74" s="7">
        <f t="shared" si="15"/>
        <v>0.45287779257846456</v>
      </c>
      <c r="G74" s="8">
        <f t="shared" si="16"/>
        <v>183.17253899807795</v>
      </c>
      <c r="H74" s="7">
        <f t="shared" si="17"/>
        <v>0.29500024763028004</v>
      </c>
      <c r="I74" s="8">
        <f t="shared" si="18"/>
        <v>119.31683392079327</v>
      </c>
    </row>
    <row r="75" spans="1:9" ht="18" customHeight="1" x14ac:dyDescent="0.45">
      <c r="A75" s="10">
        <f>Comparison!I36</f>
        <v>404.46350428265237</v>
      </c>
      <c r="B75" s="2">
        <f>Comparison!J36</f>
        <v>0.34832492010231447</v>
      </c>
      <c r="C75" s="9">
        <f t="shared" si="13"/>
        <v>140.88471781355702</v>
      </c>
      <c r="D75" s="7">
        <f t="shared" si="14"/>
        <v>0.34832492010231447</v>
      </c>
      <c r="E75" s="8">
        <f t="shared" si="19"/>
        <v>140.88471781355702</v>
      </c>
      <c r="F75" s="7">
        <f t="shared" si="15"/>
        <v>0.34832492010231447</v>
      </c>
      <c r="G75" s="8">
        <f t="shared" si="16"/>
        <v>140.88471781355702</v>
      </c>
      <c r="H75" s="7">
        <f t="shared" si="17"/>
        <v>0.29500024763028004</v>
      </c>
      <c r="I75" s="8">
        <f t="shared" si="18"/>
        <v>119.31683392079327</v>
      </c>
    </row>
    <row r="76" spans="1:9" ht="18" customHeight="1" x14ac:dyDescent="0.45">
      <c r="A76" s="10">
        <f>Comparison!I37</f>
        <v>404.46350428265237</v>
      </c>
      <c r="B76" s="2">
        <f>Comparison!J37</f>
        <v>0.26790947128029607</v>
      </c>
      <c r="C76" s="9">
        <f t="shared" si="13"/>
        <v>108.35960358454116</v>
      </c>
      <c r="D76" s="7">
        <f t="shared" si="14"/>
        <v>0.26790947128029607</v>
      </c>
      <c r="E76" s="8">
        <f t="shared" si="19"/>
        <v>108.35960358454116</v>
      </c>
      <c r="F76" s="7">
        <f t="shared" si="15"/>
        <v>0.26790947128029607</v>
      </c>
      <c r="G76" s="8">
        <f t="shared" si="16"/>
        <v>108.35960358454116</v>
      </c>
      <c r="H76" s="7">
        <f t="shared" si="17"/>
        <v>0.26790947128029607</v>
      </c>
      <c r="I76" s="8">
        <f t="shared" si="18"/>
        <v>108.35960358454116</v>
      </c>
    </row>
    <row r="77" spans="1:9" ht="18" customHeight="1" x14ac:dyDescent="0.45">
      <c r="A77" s="10">
        <f>Comparison!I38</f>
        <v>404.46350428265237</v>
      </c>
      <c r="B77" s="2">
        <f>Comparison!J38</f>
        <v>0.20605900025931193</v>
      </c>
      <c r="C77" s="8">
        <f t="shared" si="13"/>
        <v>83.343345333861279</v>
      </c>
      <c r="D77" s="7">
        <f t="shared" si="14"/>
        <v>0.20605900025931193</v>
      </c>
      <c r="E77" s="8">
        <f t="shared" si="19"/>
        <v>83.343345333861279</v>
      </c>
      <c r="F77" s="7">
        <f t="shared" si="15"/>
        <v>0.20605900025931193</v>
      </c>
      <c r="G77" s="8">
        <f t="shared" si="16"/>
        <v>83.343345333861279</v>
      </c>
      <c r="H77" s="7">
        <f t="shared" si="17"/>
        <v>0.20605900025931193</v>
      </c>
      <c r="I77" s="8">
        <f t="shared" si="18"/>
        <v>83.343345333861279</v>
      </c>
    </row>
    <row r="78" spans="1:9" ht="18" customHeight="1" x14ac:dyDescent="0.45">
      <c r="A78" s="10">
        <f>Comparison!I39</f>
        <v>404.46350428265237</v>
      </c>
      <c r="B78" s="2">
        <f>Comparison!J39</f>
        <v>0.15848753455768561</v>
      </c>
      <c r="C78" s="8">
        <f t="shared" si="13"/>
        <v>64.102423612319484</v>
      </c>
      <c r="D78" s="7">
        <f t="shared" si="14"/>
        <v>0.15848753455768561</v>
      </c>
      <c r="E78" s="8">
        <f t="shared" si="19"/>
        <v>64.102423612319484</v>
      </c>
      <c r="F78" s="7">
        <f t="shared" si="15"/>
        <v>0.15848753455768561</v>
      </c>
      <c r="G78" s="8">
        <f t="shared" si="16"/>
        <v>64.102423612319484</v>
      </c>
      <c r="H78" s="7">
        <f t="shared" si="17"/>
        <v>0.15848753455768561</v>
      </c>
      <c r="I78" s="8">
        <f t="shared" si="18"/>
        <v>64.102423612319484</v>
      </c>
    </row>
    <row r="79" spans="1:9" ht="18" customHeight="1" x14ac:dyDescent="0.45">
      <c r="A79" s="10">
        <f>Comparison!I40</f>
        <v>403.96527941484601</v>
      </c>
      <c r="B79" s="2">
        <f>Comparison!J40</f>
        <v>0.11556795843393974</v>
      </c>
      <c r="C79" s="8">
        <f t="shared" si="13"/>
        <v>46.685442620169781</v>
      </c>
      <c r="D79" s="7">
        <f t="shared" si="14"/>
        <v>0.11556795843393974</v>
      </c>
      <c r="E79" s="8">
        <f t="shared" si="19"/>
        <v>46.685442620169781</v>
      </c>
      <c r="F79" s="7">
        <f t="shared" si="15"/>
        <v>0.11556795843393974</v>
      </c>
      <c r="G79" s="8">
        <f t="shared" si="16"/>
        <v>46.685442620169781</v>
      </c>
      <c r="H79" s="7">
        <f t="shared" si="17"/>
        <v>0.11556795843393974</v>
      </c>
      <c r="I79" s="8">
        <f t="shared" si="18"/>
        <v>46.685442620169781</v>
      </c>
    </row>
    <row r="80" spans="1:9" ht="18" customHeight="1" x14ac:dyDescent="0.45">
      <c r="A80" s="7"/>
      <c r="C80" s="8"/>
      <c r="D80" s="7"/>
      <c r="E80" s="8"/>
      <c r="F80" s="7"/>
      <c r="G80" s="8"/>
      <c r="H80" s="7"/>
      <c r="I80" s="8"/>
    </row>
    <row r="81" spans="1:9" ht="18" customHeight="1" x14ac:dyDescent="0.45">
      <c r="A81" s="7"/>
      <c r="C81" s="8"/>
      <c r="D81" s="7"/>
      <c r="E81" s="8"/>
      <c r="F81" s="7"/>
      <c r="G81" s="8"/>
      <c r="H81" s="7"/>
      <c r="I81" s="8"/>
    </row>
    <row r="82" spans="1:9" ht="18" customHeight="1" x14ac:dyDescent="0.45">
      <c r="A82" s="7"/>
      <c r="C82" s="8"/>
      <c r="D82" s="7"/>
      <c r="E82" s="8"/>
      <c r="F82" s="7"/>
      <c r="G82" s="8"/>
      <c r="H82" s="7"/>
      <c r="I82" s="8"/>
    </row>
    <row r="83" spans="1:9" ht="18" customHeight="1" x14ac:dyDescent="0.45">
      <c r="A83" s="7"/>
      <c r="C83" s="8"/>
      <c r="D83" s="7"/>
      <c r="E83" s="8"/>
      <c r="F83" s="7"/>
      <c r="G83" s="8"/>
      <c r="H83" s="7"/>
      <c r="I83" s="8"/>
    </row>
    <row r="84" spans="1:9" ht="18" customHeight="1" x14ac:dyDescent="0.45">
      <c r="A84" s="7"/>
      <c r="C84" s="8"/>
      <c r="D84" s="7"/>
      <c r="E84" s="8"/>
      <c r="F84" s="7"/>
      <c r="G84" s="8"/>
      <c r="H84" s="7"/>
      <c r="I84" s="8"/>
    </row>
    <row r="85" spans="1:9" ht="18" customHeight="1" x14ac:dyDescent="0.45">
      <c r="A85" s="7"/>
      <c r="C85" s="8"/>
      <c r="D85" s="7"/>
      <c r="E85" s="8"/>
      <c r="F85" s="7"/>
      <c r="G85" s="8"/>
      <c r="H85" s="7"/>
      <c r="I85" s="8"/>
    </row>
    <row r="86" spans="1:9" ht="18" customHeight="1" x14ac:dyDescent="0.45">
      <c r="A86" s="7"/>
      <c r="C86" s="8"/>
      <c r="D86" s="7"/>
      <c r="E86" s="8"/>
      <c r="F86" s="7"/>
      <c r="G86" s="8"/>
      <c r="H86" s="7"/>
      <c r="I86" s="8"/>
    </row>
    <row r="87" spans="1:9" ht="18" customHeight="1" x14ac:dyDescent="0.45">
      <c r="A87" s="7"/>
      <c r="C87" s="8"/>
      <c r="D87" s="7"/>
      <c r="E87" s="8"/>
      <c r="F87" s="7"/>
      <c r="G87" s="8"/>
      <c r="H87" s="7"/>
      <c r="I87" s="8"/>
    </row>
    <row r="88" spans="1:9" ht="18" customHeight="1" x14ac:dyDescent="0.45">
      <c r="A88" s="7"/>
      <c r="C88" s="8"/>
      <c r="D88" s="7"/>
      <c r="E88" s="8"/>
      <c r="F88" s="7"/>
      <c r="G88" s="8"/>
      <c r="H88" s="7"/>
      <c r="I88" s="8"/>
    </row>
    <row r="89" spans="1:9" ht="18" customHeight="1" x14ac:dyDescent="0.45">
      <c r="A89" s="7"/>
      <c r="C89" s="8"/>
      <c r="D89" s="7"/>
      <c r="E89" s="8"/>
      <c r="F89" s="7"/>
      <c r="G89" s="8"/>
      <c r="H89" s="7"/>
      <c r="I89" s="8"/>
    </row>
    <row r="90" spans="1:9" ht="18" customHeight="1" x14ac:dyDescent="0.45">
      <c r="A90" s="7"/>
      <c r="C90" s="8"/>
      <c r="D90" s="7"/>
      <c r="E90" s="8"/>
      <c r="F90" s="7"/>
      <c r="G90" s="8"/>
      <c r="H90" s="7"/>
      <c r="I90" s="8"/>
    </row>
    <row r="91" spans="1:9" ht="18" customHeight="1" x14ac:dyDescent="0.45">
      <c r="A91" s="7"/>
      <c r="C91" s="8"/>
      <c r="D91" s="7"/>
      <c r="E91" s="8"/>
      <c r="F91" s="7"/>
      <c r="G91" s="8"/>
      <c r="H91" s="7"/>
      <c r="I91" s="8"/>
    </row>
    <row r="92" spans="1:9" ht="18" customHeight="1" x14ac:dyDescent="0.45">
      <c r="A92" s="7"/>
      <c r="C92" s="8"/>
      <c r="D92" s="7"/>
      <c r="E92" s="8"/>
      <c r="F92" s="7"/>
      <c r="G92" s="8"/>
      <c r="H92" s="7"/>
      <c r="I92" s="8"/>
    </row>
    <row r="93" spans="1:9" ht="18" customHeight="1" x14ac:dyDescent="0.45">
      <c r="A93" s="7"/>
      <c r="C93" s="8"/>
      <c r="D93" s="7"/>
      <c r="E93" s="8"/>
      <c r="F93" s="7"/>
      <c r="G93" s="8"/>
      <c r="H93" s="7"/>
      <c r="I93" s="8"/>
    </row>
    <row r="94" spans="1:9" ht="18" customHeight="1" thickBot="1" x14ac:dyDescent="0.5">
      <c r="A94" s="12"/>
      <c r="B94" s="11"/>
      <c r="C94" s="20"/>
      <c r="D94" s="7"/>
      <c r="E94" s="8"/>
      <c r="F94" s="7"/>
      <c r="G94" s="8"/>
      <c r="H94" s="7"/>
      <c r="I94" s="8"/>
    </row>
    <row r="95" spans="1:9" ht="18" customHeight="1" thickTop="1" x14ac:dyDescent="0.45">
      <c r="F95" s="7"/>
    </row>
  </sheetData>
  <mergeCells count="7">
    <mergeCell ref="P16:S16"/>
    <mergeCell ref="A1:C1"/>
    <mergeCell ref="D1:E1"/>
    <mergeCell ref="F1:G1"/>
    <mergeCell ref="P1:S1"/>
    <mergeCell ref="P8:S8"/>
    <mergeCell ref="H1:I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1C64-1EDE-4391-8412-792EB47F68EE}">
  <dimension ref="A1:G5"/>
  <sheetViews>
    <sheetView tabSelected="1" workbookViewId="0">
      <selection activeCell="E13" sqref="E13"/>
    </sheetView>
  </sheetViews>
  <sheetFormatPr defaultColWidth="12.73046875" defaultRowHeight="18.600000000000001" customHeight="1" x14ac:dyDescent="0.45"/>
  <cols>
    <col min="1" max="16384" width="12.73046875" style="15"/>
  </cols>
  <sheetData>
    <row r="1" spans="1:7" ht="18.600000000000001" customHeight="1" x14ac:dyDescent="0.45">
      <c r="D1" s="15" t="s">
        <v>32</v>
      </c>
      <c r="E1" s="15" t="s">
        <v>33</v>
      </c>
      <c r="F1" s="15" t="s">
        <v>34</v>
      </c>
      <c r="G1" s="15" t="s">
        <v>35</v>
      </c>
    </row>
    <row r="2" spans="1:7" ht="18.600000000000001" customHeight="1" x14ac:dyDescent="0.45">
      <c r="A2" s="15" t="s">
        <v>36</v>
      </c>
      <c r="B2" s="15" t="s">
        <v>36</v>
      </c>
      <c r="C2" s="15" t="s">
        <v>37</v>
      </c>
      <c r="D2" s="16">
        <v>143000</v>
      </c>
      <c r="E2" s="16">
        <f>0.015*0.015</f>
        <v>2.2499999999999999E-4</v>
      </c>
      <c r="F2" s="17">
        <f>D2*E2</f>
        <v>32.174999999999997</v>
      </c>
      <c r="G2" s="17">
        <f>1/F2</f>
        <v>3.1080031080031083E-2</v>
      </c>
    </row>
    <row r="3" spans="1:7" ht="18.600000000000001" customHeight="1" x14ac:dyDescent="0.45">
      <c r="A3" s="15" t="s">
        <v>36</v>
      </c>
      <c r="B3" s="15" t="s">
        <v>36</v>
      </c>
      <c r="C3" s="15" t="s">
        <v>38</v>
      </c>
      <c r="D3" s="16">
        <v>55500</v>
      </c>
      <c r="E3" s="16">
        <f t="shared" ref="E3:E5" si="0">0.015*0.015</f>
        <v>2.2499999999999999E-4</v>
      </c>
      <c r="F3" s="17">
        <f t="shared" ref="F3:F5" si="1">D3*E3</f>
        <v>12.487499999999999</v>
      </c>
      <c r="G3" s="17">
        <f t="shared" ref="G3:G5" si="2">1/F3</f>
        <v>8.0080080080080093E-2</v>
      </c>
    </row>
    <row r="4" spans="1:7" ht="18.600000000000001" customHeight="1" x14ac:dyDescent="0.45">
      <c r="A4" s="15" t="s">
        <v>36</v>
      </c>
      <c r="B4" s="15" t="s">
        <v>39</v>
      </c>
      <c r="C4" s="15" t="s">
        <v>37</v>
      </c>
      <c r="D4" s="16">
        <v>56000</v>
      </c>
      <c r="E4" s="16">
        <f t="shared" si="0"/>
        <v>2.2499999999999999E-4</v>
      </c>
      <c r="F4" s="17">
        <f t="shared" si="1"/>
        <v>12.6</v>
      </c>
      <c r="G4" s="17">
        <f t="shared" si="2"/>
        <v>7.9365079365079361E-2</v>
      </c>
    </row>
    <row r="5" spans="1:7" ht="18.600000000000001" customHeight="1" x14ac:dyDescent="0.45">
      <c r="A5" s="15" t="s">
        <v>36</v>
      </c>
      <c r="B5" s="15" t="s">
        <v>39</v>
      </c>
      <c r="C5" s="15" t="s">
        <v>38</v>
      </c>
      <c r="D5" s="16">
        <v>12000</v>
      </c>
      <c r="E5" s="16">
        <f t="shared" si="0"/>
        <v>2.2499999999999999E-4</v>
      </c>
      <c r="F5" s="17">
        <f t="shared" si="1"/>
        <v>2.6999999999999997</v>
      </c>
      <c r="G5" s="17">
        <f t="shared" si="2"/>
        <v>0.37037037037037041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e 2 4 e 5 5 - 1 2 f 0 - 4 a c 9 - b b 4 6 - d 5 a a c b 8 e 1 a 2 a "   x m l n s = " h t t p : / / s c h e m a s . m i c r o s o f t . c o m / D a t a M a s h u p " > A A A A A E o E A A B Q S w M E F A A C A A g A N l h 4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2 W H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l h 4 T g R t X R h C A Q A A C g Q A A B M A H A B G b 3 J t d W x h c y 9 T Z W N 0 a W 9 u M S 5 t I K I Y A C i g F A A A A A A A A A A A A A A A A A A A A A A A A A A A A N 2 Q T 2 v C Q B D F 7 4 F 8 h 2 W 9 K K w h C d h C J Y e S R C i 1 p i U 5 F J o e Y j L V l W Q 3 7 B + p i N + 9 K 6 k o Y g 8 t t I f u Z X b n L e / N / C S U i n K G 0 q 5 6 Y 9 u y L b k s B F S o h x + S d B J n K E 1 u M Q p Q D c q 2 k D k p 1 6 I E 0 w n l 2 o l 4 q R t g q j + h N T g h Z 8 o 8 Z B 9 H N / m j 4 C v j K / O 4 N k V w R s v h l B d V H i V h m h / N n V K u 8 Y C 8 R F D T h i o Q A R 5 j g k J e 6 4 b J w C c o Z i W v K F s E n j + 6 J u h J c w W p 2 t Q Q H K / O j D N 4 H Z B u x h 4 O l w V b m D W y T Q v 7 8 b N i b j 5 l o m D y j Y u m c 9 + L s t 8 t R L Z b 3 H U 9 k 6 6 M g p h u 5 i B 2 B B 0 U / 0 z Z D W y L s o u R F 1 E m W r V a o W x l F v k 9 p q c p / x / u 3 X N 2 f + X O R u 7 U / w n R s O a 6 y h M G k a B r y N s D 4 C i M p 0 P P d d 0 O 7 U m K o 9 7 V G V L y N V L / W 0 j / n u g n 0 A 9 Q S w E C L Q A U A A I A C A A 2 W H h O 9 B N B m K Y A A A D 4 A A A A E g A A A A A A A A A A A A A A A A A A A A A A Q 2 9 u Z m l n L 1 B h Y 2 t h Z 2 U u e G 1 s U E s B A i 0 A F A A C A A g A N l h 4 T g / K 6 a u k A A A A 6 Q A A A B M A A A A A A A A A A A A A A A A A 8 g A A A F t D b 2 5 0 Z W 5 0 X 1 R 5 c G V z X S 5 4 b W x Q S w E C L Q A U A A I A C A A 2 W H h O B G 1 d G E I B A A A K B A A A E w A A A A A A A A A A A A A A A A D j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G A A A A A A A A P M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1 N G R V Q l M j B T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W F R L M T A y T j Y 1 W D I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J U M T E 6 M j k 6 M j Y u N j A 1 N T k 4 N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U 0 Z F V C B T T 0 E v Q 2 h h b m d l Z C B U e X B l L n t D b 2 x 1 b W 4 x L D B 9 J n F 1 b 3 Q 7 L C Z x d W 9 0 O 1 N l Y 3 R p b 2 4 x L 0 1 P U 0 Z F V C B T T 0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U 0 Z F V C B T T 0 E v Q 2 h h b m d l Z C B U e X B l L n t D b 2 x 1 b W 4 x L D B 9 J n F 1 b 3 Q 7 L C Z x d W 9 0 O 1 N l Y 3 R p b 2 4 x L 0 1 P U 0 Z F V C B T T 0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1 N G R V Q l M j B T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J T I w U 0 9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J T I w T 3 V 0 c H V 0 J T I w V G o x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W F R L M T A y T j Y 1 W D I i I C 8 + P E V u d H J 5 I F R 5 c G U 9 I l J l Y 2 9 2 Z X J 5 V G F y Z 2 V 0 Q 2 9 s d W 1 u I i B W Y W x 1 Z T 0 i b D E 0 I i A v P j x F b n R y e S B U e X B l P S J S Z W N v d m V y e V R h c m d l d F J v d y I g V m F s d W U 9 I m w z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y V D E x O j Q 0 O j U x L j I z M z U 2 O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Q g T 3 V 0 c H V 0 I F R q M T I 1 L 0 N o Y W 5 n Z W Q g V H l w Z S 5 7 Q 2 9 s d W 1 u M S w w f S Z x d W 9 0 O y w m c X V v d D t T Z W N 0 a W 9 u M S 9 N T 1 N G R V Q g T 3 V 0 c H V 0 I F R q M T I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1 N G R V Q g T 3 V 0 c H V 0 I F R q M T I 1 L 0 N o Y W 5 n Z W Q g V H l w Z S 5 7 Q 2 9 s d W 1 u M S w w f S Z x d W 9 0 O y w m c X V v d D t T Z W N 0 a W 9 u M S 9 N T 1 N G R V Q g T 3 V 0 c H V 0 I F R q M T I 1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J T I w T 3 V 0 c H V 0 J T I w V G o x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J T I w T 3 V 0 c H V 0 J T I w V G o x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W F R L N j B O N T B M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v b X B h c m l z b 2 4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k Z p b G x U Y X J n Z X Q i I F Z h b H V l P S J z S V h U S z Y w T j U w T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R U M D k 6 M D E 6 N D Q u O T M w M T M 3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Y V E s 2 M E 4 1 M E w y L 0 N o Y W 5 n Z S B U e X B l L n t D b 2 x 1 b W 4 x L D B 9 J n F 1 b 3 Q 7 L C Z x d W 9 0 O 1 N l Y 3 R p b 2 4 x L 0 l Y V E s 2 M E 4 1 M E w y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Y V E s 2 M E 4 1 M E w y L 0 N o Y W 5 n Z S B U e X B l L n t D b 2 x 1 b W 4 x L D B 9 J n F 1 b 3 Q 7 L C Z x d W 9 0 O 1 N l Y 3 R p b 2 4 x L 0 l Y V E s 2 M E 4 1 M E w y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W F R L N j B O N T B M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W F R L N j B O N T B M M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4 c Q N K I / R B O l B B 4 Z k Q n l B A A A A A A A g A A A A A A E G Y A A A A B A A A g A A A A a Z i D g o q Y H 1 w 5 e N 3 l m J O 1 d 9 t q S / u 6 Y z X Y X q C j y L c x 8 x g A A A A A D o A A A A A C A A A g A A A A W W E l 2 d E I U H m z 4 I L i 8 Z F S P d S T z I m P 5 O 1 3 w + I G k z S m U 9 B Q A A A A 5 i j f v A w 3 b L / e q G 8 x y U w 7 L T 9 Q B U e c B M + v R Q v z E D + c z y 6 h b k Z g s 2 7 W q I n S N G V Y d G J q S n f e 6 t z R L i d I D w Q / R X I u t o 8 V 1 Y W d 2 j L c C J 5 T m M E z n 7 l A A A A A K L u 7 m T Z S d E f 3 g l f F g X R A d 9 r t A A / b M x O d b l x 6 A 3 R k 3 k n o y G / j / a 4 3 S + 6 r Z 5 5 3 Z 1 H 6 s A B K f i 5 p F A L + f 5 h 6 C q J V 2 A = = < / D a t a M a s h u p > 
</file>

<file path=customXml/itemProps1.xml><?xml version="1.0" encoding="utf-8"?>
<ds:datastoreItem xmlns:ds="http://schemas.openxmlformats.org/officeDocument/2006/customXml" ds:itemID="{D37F1A9A-4425-44FE-ADDB-79017C221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Comparison</vt:lpstr>
      <vt:lpstr>IXTK102N65X2</vt:lpstr>
      <vt:lpstr>Sheet1</vt:lpstr>
      <vt:lpstr>RCOND</vt:lpstr>
      <vt:lpstr>RISO</vt:lpstr>
      <vt:lpstr>RSINK</vt:lpstr>
      <vt:lpstr>tA</vt:lpstr>
      <vt:lpstr>tJmax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2019-04-03T05:38:00Z</dcterms:modified>
</cp:coreProperties>
</file>