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71975EA2-6126-42D9-8817-1D020A963479}" xr6:coauthVersionLast="31" xr6:coauthVersionMax="34" xr10:uidLastSave="{00000000-0000-0000-0000-000000000000}"/>
  <bookViews>
    <workbookView xWindow="0" yWindow="0" windowWidth="22260" windowHeight="12645" xr2:uid="{00000000-000D-0000-FFFF-FFFF00000000}"/>
  </bookViews>
  <sheets>
    <sheet name="Ranges" sheetId="1" r:id="rId1"/>
    <sheet name="Power" sheetId="3" r:id="rId2"/>
    <sheet name="SPI timing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15" i="1"/>
  <c r="B4" i="1"/>
  <c r="B3" i="1"/>
  <c r="C19" i="3" l="1"/>
  <c r="C16" i="3"/>
  <c r="C18" i="3"/>
  <c r="C17" i="3"/>
  <c r="E17" i="3"/>
  <c r="F17" i="3"/>
  <c r="B17" i="3"/>
  <c r="B16" i="3"/>
  <c r="F16" i="3"/>
  <c r="E16" i="3"/>
  <c r="C10" i="3"/>
  <c r="C14" i="3" s="1"/>
  <c r="C15" i="3" s="1"/>
  <c r="B14" i="3"/>
  <c r="B15" i="3" s="1"/>
  <c r="D14" i="3"/>
  <c r="D15" i="3" s="1"/>
  <c r="E14" i="3"/>
  <c r="E15" i="3" s="1"/>
  <c r="F14" i="3"/>
  <c r="F15" i="3" s="1"/>
  <c r="B10" i="3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2" i="1"/>
  <c r="B8" i="2" l="1"/>
  <c r="D8" i="2" s="1"/>
  <c r="D7" i="2"/>
  <c r="B6" i="2"/>
  <c r="D6" i="2" s="1"/>
  <c r="D4" i="2"/>
  <c r="B3" i="2"/>
  <c r="D3" i="2" s="1"/>
  <c r="D2" i="2"/>
  <c r="B2" i="2"/>
  <c r="D1" i="2"/>
  <c r="L27" i="1" l="1"/>
  <c r="L28" i="1" s="1"/>
  <c r="L16" i="1"/>
  <c r="N16" i="1" s="1"/>
  <c r="L5" i="1"/>
  <c r="L7" i="1" s="1"/>
  <c r="B7" i="1"/>
  <c r="B18" i="1"/>
  <c r="B30" i="1"/>
  <c r="H28" i="1"/>
  <c r="J28" i="1" s="1"/>
  <c r="H27" i="1"/>
  <c r="J27" i="1" s="1"/>
  <c r="B32" i="1"/>
  <c r="D32" i="1" s="1"/>
  <c r="D26" i="1"/>
  <c r="B26" i="1"/>
  <c r="B28" i="1" s="1"/>
  <c r="B25" i="1"/>
  <c r="D25" i="1" s="1"/>
  <c r="D19" i="1"/>
  <c r="B20" i="1"/>
  <c r="D20" i="1" s="1"/>
  <c r="D28" i="1" l="1"/>
  <c r="B29" i="1"/>
  <c r="N7" i="1"/>
  <c r="L9" i="1"/>
  <c r="N9" i="1" s="1"/>
  <c r="H29" i="1"/>
  <c r="H31" i="1" s="1"/>
  <c r="J31" i="1" s="1"/>
  <c r="L17" i="1"/>
  <c r="N17" i="1" s="1"/>
  <c r="N27" i="1"/>
  <c r="N5" i="1"/>
  <c r="L18" i="1"/>
  <c r="N18" i="1" s="1"/>
  <c r="L29" i="1"/>
  <c r="L6" i="1"/>
  <c r="L8" i="1" s="1"/>
  <c r="L10" i="1" s="1"/>
  <c r="N10" i="1" s="1"/>
  <c r="H30" i="1"/>
  <c r="J30" i="1" s="1"/>
  <c r="N28" i="1"/>
  <c r="L30" i="1"/>
  <c r="L20" i="1"/>
  <c r="N20" i="1" s="1"/>
  <c r="L19" i="1"/>
  <c r="H32" i="1"/>
  <c r="J32" i="1" s="1"/>
  <c r="J29" i="1"/>
  <c r="D15" i="1"/>
  <c r="B9" i="1"/>
  <c r="D9" i="1" s="1"/>
  <c r="H16" i="1"/>
  <c r="H17" i="1" s="1"/>
  <c r="B16" i="1"/>
  <c r="D16" i="1" s="1"/>
  <c r="H6" i="1"/>
  <c r="D3" i="1"/>
  <c r="H5" i="1"/>
  <c r="B5" i="1"/>
  <c r="D5" i="1" s="1"/>
  <c r="N8" i="1" l="1"/>
  <c r="B6" i="1"/>
  <c r="U5" i="1"/>
  <c r="W4" i="1" s="1"/>
  <c r="L31" i="1"/>
  <c r="N31" i="1" s="1"/>
  <c r="N29" i="1"/>
  <c r="N6" i="1"/>
  <c r="L32" i="1"/>
  <c r="N32" i="1" s="1"/>
  <c r="N30" i="1"/>
  <c r="N19" i="1"/>
  <c r="L21" i="1"/>
  <c r="N21" i="1" s="1"/>
  <c r="D8" i="1"/>
  <c r="H19" i="1"/>
  <c r="J17" i="1"/>
  <c r="H18" i="1"/>
  <c r="H20" i="1" s="1"/>
  <c r="J16" i="1"/>
  <c r="B17" i="1"/>
  <c r="J6" i="1"/>
  <c r="H7" i="1"/>
  <c r="H8" i="1"/>
  <c r="H10" i="1" s="1"/>
  <c r="J5" i="1"/>
  <c r="J18" i="1" l="1"/>
  <c r="J20" i="1"/>
  <c r="H21" i="1"/>
  <c r="J21" i="1" s="1"/>
  <c r="J19" i="1"/>
  <c r="J8" i="1"/>
  <c r="J10" i="1"/>
  <c r="J7" i="1"/>
  <c r="H9" i="1"/>
  <c r="J9" i="1" s="1"/>
</calcChain>
</file>

<file path=xl/sharedStrings.xml><?xml version="1.0" encoding="utf-8"?>
<sst xmlns="http://schemas.openxmlformats.org/spreadsheetml/2006/main" count="216" uniqueCount="69">
  <si>
    <t>A</t>
  </si>
  <si>
    <t>Ω</t>
  </si>
  <si>
    <t>G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</si>
  <si>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</si>
  <si>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</t>
  </si>
  <si>
    <r>
      <t>G</t>
    </r>
    <r>
      <rPr>
        <vertAlign val="subscript"/>
        <sz val="11"/>
        <color theme="1"/>
        <rFont val="Calibri"/>
        <family val="2"/>
        <charset val="186"/>
        <scheme val="minor"/>
      </rPr>
      <t>max</t>
    </r>
  </si>
  <si>
    <t>V/V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</si>
  <si>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ref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</si>
  <si>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</si>
  <si>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</rPr>
      <t>V</t>
    </r>
  </si>
  <si>
    <r>
      <t>m</t>
    </r>
    <r>
      <rPr>
        <sz val="11"/>
        <color theme="1"/>
        <rFont val="Calibri"/>
        <family val="2"/>
        <charset val="186"/>
      </rPr>
      <t>Ω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</si>
  <si>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high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</si>
  <si>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stepact</t>
    </r>
  </si>
  <si>
    <t>mA</t>
  </si>
  <si>
    <r>
      <t>I</t>
    </r>
    <r>
      <rPr>
        <vertAlign val="subscript"/>
        <sz val="11"/>
        <color theme="1"/>
        <rFont val="Calibri"/>
        <family val="2"/>
        <charset val="186"/>
        <scheme val="minor"/>
      </rPr>
      <t>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</si>
  <si>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</si>
  <si>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gstepact</t>
    </r>
  </si>
  <si>
    <t>LSB noise</t>
  </si>
  <si>
    <t>bits</t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</si>
  <si>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low</t>
    </r>
  </si>
  <si>
    <r>
      <rPr>
        <sz val="11"/>
        <color theme="1"/>
        <rFont val="Calibri"/>
        <family val="2"/>
        <charset val="186"/>
      </rPr>
      <t>μ</t>
    </r>
    <r>
      <rPr>
        <sz val="11"/>
        <color theme="1"/>
        <rFont val="Calibri"/>
        <family val="2"/>
        <scheme val="minor"/>
      </rPr>
      <t>A</t>
    </r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</si>
  <si>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min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</si>
  <si>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</si>
  <si>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charset val="186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</si>
  <si>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mV</t>
  </si>
  <si>
    <t>MΩ</t>
  </si>
  <si>
    <t>kΩ</t>
  </si>
  <si>
    <r>
      <t>U</t>
    </r>
    <r>
      <rPr>
        <vertAlign val="subscript"/>
        <sz val="11"/>
        <color theme="1"/>
        <rFont val="Calibri"/>
        <family val="2"/>
        <charset val="186"/>
        <scheme val="minor"/>
      </rPr>
      <t>INstep</t>
    </r>
  </si>
  <si>
    <t>50A range</t>
  </si>
  <si>
    <t>50mA range</t>
  </si>
  <si>
    <t>500V range</t>
  </si>
  <si>
    <r>
      <t>I</t>
    </r>
    <r>
      <rPr>
        <b/>
        <vertAlign val="subscript"/>
        <sz val="11"/>
        <color theme="1"/>
        <rFont val="Calibri"/>
        <family val="2"/>
        <scheme val="minor"/>
      </rPr>
      <t>max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</si>
  <si>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min</t>
    </r>
  </si>
  <si>
    <r>
      <t>I</t>
    </r>
    <r>
      <rPr>
        <b/>
        <vertAlign val="subscript"/>
        <sz val="11"/>
        <color theme="1"/>
        <rFont val="Calibri"/>
        <family val="2"/>
        <scheme val="minor"/>
      </rPr>
      <t>stepact</t>
    </r>
  </si>
  <si>
    <r>
      <rPr>
        <b/>
        <sz val="11"/>
        <color theme="1"/>
        <rFont val="Calibri"/>
        <family val="2"/>
      </rPr>
      <t>μ</t>
    </r>
    <r>
      <rPr>
        <b/>
        <sz val="11"/>
        <color theme="1"/>
        <rFont val="Calibri"/>
        <family val="2"/>
        <scheme val="minor"/>
      </rPr>
      <t>A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</si>
  <si>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INmax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</si>
  <si>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INmin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</si>
  <si>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INstepact</t>
    </r>
  </si>
  <si>
    <t>nV</t>
  </si>
  <si>
    <t>nA</t>
  </si>
  <si>
    <t>Oversampled x 256 (586Hz, 1.71ms)</t>
  </si>
  <si>
    <r>
      <t>f</t>
    </r>
    <r>
      <rPr>
        <vertAlign val="subscript"/>
        <sz val="11"/>
        <color theme="1"/>
        <rFont val="Calibri"/>
        <family val="2"/>
        <scheme val="minor"/>
      </rPr>
      <t>SCK</t>
    </r>
  </si>
  <si>
    <t>Hz</t>
  </si>
  <si>
    <t>s</t>
  </si>
  <si>
    <r>
      <t>T</t>
    </r>
    <r>
      <rPr>
        <vertAlign val="subscript"/>
        <sz val="11"/>
        <color theme="1"/>
        <rFont val="Calibri"/>
        <family val="2"/>
        <scheme val="minor"/>
      </rPr>
      <t>DAC</t>
    </r>
  </si>
  <si>
    <t>ns</t>
  </si>
  <si>
    <r>
      <t>f</t>
    </r>
    <r>
      <rPr>
        <vertAlign val="subscript"/>
        <sz val="11"/>
        <color theme="1"/>
        <rFont val="Calibri"/>
        <family val="2"/>
        <scheme val="minor"/>
      </rPr>
      <t>DAC</t>
    </r>
  </si>
  <si>
    <t>MHz</t>
  </si>
  <si>
    <r>
      <t>T</t>
    </r>
    <r>
      <rPr>
        <vertAlign val="subscript"/>
        <sz val="11"/>
        <color theme="1"/>
        <rFont val="Calibri"/>
        <family val="2"/>
        <scheme val="minor"/>
      </rPr>
      <t>ADC</t>
    </r>
  </si>
  <si>
    <r>
      <t>f</t>
    </r>
    <r>
      <rPr>
        <vertAlign val="subscript"/>
        <sz val="11"/>
        <color theme="1"/>
        <rFont val="Calibri"/>
        <family val="2"/>
        <scheme val="minor"/>
      </rPr>
      <t>ADC</t>
    </r>
  </si>
  <si>
    <r>
      <t>T</t>
    </r>
    <r>
      <rPr>
        <vertAlign val="subscript"/>
        <sz val="11"/>
        <color theme="1"/>
        <rFont val="Calibri"/>
        <family val="2"/>
        <scheme val="minor"/>
      </rPr>
      <t>rmin</t>
    </r>
  </si>
  <si>
    <r>
      <t>T</t>
    </r>
    <r>
      <rPr>
        <vertAlign val="subscript"/>
        <sz val="11"/>
        <color theme="1"/>
        <rFont val="Calibri"/>
        <family val="2"/>
        <scheme val="minor"/>
      </rPr>
      <t>SCK</t>
    </r>
  </si>
  <si>
    <t>R</t>
  </si>
  <si>
    <t>Load FET driver 1</t>
  </si>
  <si>
    <t>Load FET driver 2</t>
  </si>
  <si>
    <t>Bypass On</t>
  </si>
  <si>
    <t>Bypass Off</t>
  </si>
  <si>
    <t>Both</t>
  </si>
  <si>
    <t>Total:</t>
  </si>
  <si>
    <t>mW</t>
  </si>
  <si>
    <t>Current ADC 1</t>
  </si>
  <si>
    <t>Current ADC 2</t>
  </si>
  <si>
    <t>Voltage ADC</t>
  </si>
  <si>
    <t>Temp ADC</t>
  </si>
  <si>
    <t>Iso</t>
  </si>
  <si>
    <t>MAX743</t>
  </si>
  <si>
    <t>To 5V</t>
  </si>
  <si>
    <t>To 12V</t>
  </si>
  <si>
    <t>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</si>
</sst>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E+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vertAlign val="subscript"/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1" fontId="5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workbookViewId="0">
      <selection activeCell="K21" sqref="K21"/>
    </sheetView>
  </sheetViews>
  <sheetFormatPr defaultColWidth="9.73046875" defaultRowHeight="18" customHeight="1" x14ac:dyDescent="0.45"/>
  <cols>
    <col min="1" max="1" width="9.73046875" style="1"/>
    <col min="2" max="2" width="9.73046875" style="3"/>
    <col min="3" max="7" width="9.73046875" style="1"/>
    <col min="8" max="8" width="12" style="3" bestFit="1" customWidth="1"/>
    <col min="9" max="13" width="9.73046875" style="1"/>
    <col min="14" max="14" width="9.73046875" style="6"/>
    <col min="15" max="17" width="9.73046875" style="1"/>
    <col min="18" max="18" width="9.73046875" style="6"/>
    <col min="19" max="16384" width="9.73046875" style="1"/>
  </cols>
  <sheetData>
    <row r="1" spans="1:23" ht="18" customHeight="1" x14ac:dyDescent="0.45">
      <c r="A1" s="22" t="s">
        <v>28</v>
      </c>
      <c r="B1" s="22"/>
      <c r="C1" s="22"/>
      <c r="D1" s="22"/>
      <c r="E1" s="22"/>
      <c r="F1" s="22"/>
      <c r="G1" s="22"/>
      <c r="H1" s="22"/>
      <c r="I1" s="22"/>
      <c r="J1" s="22"/>
      <c r="K1" s="22"/>
      <c r="R1" s="6" t="s">
        <v>2</v>
      </c>
      <c r="S1" s="1" t="s">
        <v>52</v>
      </c>
    </row>
    <row r="2" spans="1:23" ht="18" customHeight="1" x14ac:dyDescent="0.45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R2" s="6">
        <f>49.4/S2+1</f>
        <v>50.4</v>
      </c>
      <c r="S2" s="1">
        <v>1</v>
      </c>
    </row>
    <row r="3" spans="1:23" ht="18" customHeight="1" x14ac:dyDescent="0.45">
      <c r="A3" s="1" t="s">
        <v>11</v>
      </c>
      <c r="B3" s="3">
        <f>0.01/3</f>
        <v>3.3333333333333335E-3</v>
      </c>
      <c r="C3" s="2" t="s">
        <v>1</v>
      </c>
      <c r="D3" s="3">
        <f>B3*1000</f>
        <v>3.3333333333333335</v>
      </c>
      <c r="E3" s="1" t="s">
        <v>10</v>
      </c>
      <c r="G3" s="1" t="s">
        <v>7</v>
      </c>
      <c r="H3" s="3">
        <v>3</v>
      </c>
      <c r="I3" s="1" t="s">
        <v>4</v>
      </c>
      <c r="L3" s="21" t="s">
        <v>40</v>
      </c>
      <c r="M3" s="21"/>
      <c r="N3" s="21"/>
      <c r="O3" s="21"/>
      <c r="R3" s="6">
        <f t="shared" ref="R3:R46" si="0">49.4/S3+1</f>
        <v>49.431372549019606</v>
      </c>
      <c r="S3" s="1">
        <v>1.02</v>
      </c>
    </row>
    <row r="4" spans="1:23" ht="18" customHeight="1" x14ac:dyDescent="0.45">
      <c r="A4" s="9" t="s">
        <v>31</v>
      </c>
      <c r="B4" s="10">
        <f>0.1/B3</f>
        <v>30</v>
      </c>
      <c r="C4" s="9" t="s">
        <v>0</v>
      </c>
      <c r="D4" s="9"/>
      <c r="E4" s="9"/>
      <c r="G4" s="11" t="s">
        <v>17</v>
      </c>
      <c r="H4" s="12">
        <v>2</v>
      </c>
      <c r="I4" s="11" t="s">
        <v>18</v>
      </c>
      <c r="J4" s="11"/>
      <c r="K4" s="11"/>
      <c r="L4" s="21"/>
      <c r="M4" s="21"/>
      <c r="N4" s="21"/>
      <c r="O4" s="21"/>
      <c r="R4" s="6">
        <f t="shared" si="0"/>
        <v>48.047619047619044</v>
      </c>
      <c r="S4" s="1">
        <v>1.05</v>
      </c>
      <c r="V4" s="1">
        <v>3.1</v>
      </c>
      <c r="W4" s="20">
        <f>2^16*U5/V4</f>
        <v>50688.384096024005</v>
      </c>
    </row>
    <row r="5" spans="1:23" ht="18" customHeight="1" x14ac:dyDescent="0.45">
      <c r="A5" s="1" t="s">
        <v>3</v>
      </c>
      <c r="B5" s="3">
        <f>B3*B4</f>
        <v>0.1</v>
      </c>
      <c r="C5" s="1" t="s">
        <v>4</v>
      </c>
      <c r="D5" s="3">
        <f>B5*1000000</f>
        <v>100000</v>
      </c>
      <c r="E5" s="2" t="s">
        <v>9</v>
      </c>
      <c r="F5" s="3"/>
      <c r="G5" s="1" t="s">
        <v>15</v>
      </c>
      <c r="H5" s="3">
        <f>H3/2^16</f>
        <v>4.57763671875E-5</v>
      </c>
      <c r="I5" s="1" t="s">
        <v>4</v>
      </c>
      <c r="J5" s="3">
        <f>H5*1000000</f>
        <v>45.7763671875</v>
      </c>
      <c r="K5" s="2" t="s">
        <v>9</v>
      </c>
      <c r="L5" s="3">
        <f>H3/2^20</f>
        <v>2.86102294921875E-6</v>
      </c>
      <c r="M5" s="5" t="s">
        <v>4</v>
      </c>
      <c r="N5" s="3">
        <f>L5*1000000</f>
        <v>2.86102294921875</v>
      </c>
      <c r="O5" s="2" t="s">
        <v>9</v>
      </c>
      <c r="R5" s="6">
        <f t="shared" si="0"/>
        <v>47.168224299065415</v>
      </c>
      <c r="S5" s="1">
        <v>1.07</v>
      </c>
      <c r="U5" s="3">
        <f>B5*B7</f>
        <v>2.3976744186046512</v>
      </c>
    </row>
    <row r="6" spans="1:23" ht="18" customHeight="1" x14ac:dyDescent="0.45">
      <c r="A6" s="11" t="s">
        <v>5</v>
      </c>
      <c r="B6" s="13">
        <f>$H$3/B5</f>
        <v>30</v>
      </c>
      <c r="C6" s="11" t="s">
        <v>6</v>
      </c>
      <c r="D6" s="11"/>
      <c r="E6" s="11"/>
      <c r="G6" s="11" t="s">
        <v>16</v>
      </c>
      <c r="H6" s="13">
        <f>H5*2^H4</f>
        <v>1.8310546875E-4</v>
      </c>
      <c r="I6" s="11" t="s">
        <v>4</v>
      </c>
      <c r="J6" s="13">
        <f>H6*1000000</f>
        <v>183.10546875</v>
      </c>
      <c r="K6" s="14" t="s">
        <v>9</v>
      </c>
      <c r="L6" s="13">
        <f>L5*2^H4</f>
        <v>1.1444091796875E-5</v>
      </c>
      <c r="M6" s="11" t="s">
        <v>4</v>
      </c>
      <c r="N6" s="13">
        <f>L6*1000000</f>
        <v>11.444091796875</v>
      </c>
      <c r="O6" s="14" t="s">
        <v>9</v>
      </c>
      <c r="R6" s="6">
        <f t="shared" si="0"/>
        <v>45.504504504504496</v>
      </c>
      <c r="S6" s="1">
        <v>1.1100000000000001</v>
      </c>
    </row>
    <row r="7" spans="1:23" ht="18" customHeight="1" x14ac:dyDescent="0.45">
      <c r="A7" s="1" t="s">
        <v>2</v>
      </c>
      <c r="B7" s="3">
        <f>49.4/2.15+1</f>
        <v>23.976744186046513</v>
      </c>
      <c r="C7" s="1" t="s">
        <v>6</v>
      </c>
      <c r="G7" s="1" t="s">
        <v>8</v>
      </c>
      <c r="H7" s="3">
        <f>H5/B7</f>
        <v>1.9091986314864206E-6</v>
      </c>
      <c r="I7" s="1" t="s">
        <v>4</v>
      </c>
      <c r="J7" s="3">
        <f t="shared" ref="J7:J8" si="1">H7*1000000</f>
        <v>1.9091986314864207</v>
      </c>
      <c r="K7" s="2" t="s">
        <v>9</v>
      </c>
      <c r="L7" s="3">
        <f>L5/B7</f>
        <v>1.1932491446790129E-7</v>
      </c>
      <c r="M7" s="5" t="s">
        <v>4</v>
      </c>
      <c r="N7" s="6">
        <f>L7*1000000000</f>
        <v>119.32491446790129</v>
      </c>
      <c r="O7" s="1" t="s">
        <v>38</v>
      </c>
      <c r="R7" s="6">
        <f t="shared" si="0"/>
        <v>44.716814159292035</v>
      </c>
      <c r="S7" s="1">
        <v>1.1299999999999999</v>
      </c>
    </row>
    <row r="8" spans="1:23" ht="18" customHeight="1" x14ac:dyDescent="0.45">
      <c r="A8" s="9" t="s">
        <v>32</v>
      </c>
      <c r="B8" s="10">
        <f>0.1/B14</f>
        <v>0.05</v>
      </c>
      <c r="C8" s="9" t="s">
        <v>0</v>
      </c>
      <c r="D8" s="10">
        <f>B8*1000</f>
        <v>50</v>
      </c>
      <c r="E8" s="9" t="s">
        <v>13</v>
      </c>
      <c r="G8" s="11" t="s">
        <v>12</v>
      </c>
      <c r="H8" s="13">
        <f>H6/B7</f>
        <v>7.6367945259456825E-6</v>
      </c>
      <c r="I8" s="11" t="s">
        <v>4</v>
      </c>
      <c r="J8" s="13">
        <f t="shared" si="1"/>
        <v>7.6367945259456826</v>
      </c>
      <c r="K8" s="14" t="s">
        <v>9</v>
      </c>
      <c r="L8" s="13">
        <f>L6/B7</f>
        <v>4.7729965787160515E-7</v>
      </c>
      <c r="M8" s="15" t="s">
        <v>4</v>
      </c>
      <c r="N8" s="16">
        <f>L8*1000000000</f>
        <v>477.29965787160518</v>
      </c>
      <c r="O8" s="11" t="s">
        <v>38</v>
      </c>
      <c r="R8" s="6">
        <f t="shared" si="0"/>
        <v>43.956521739130437</v>
      </c>
      <c r="S8" s="1">
        <v>1.1499999999999999</v>
      </c>
    </row>
    <row r="9" spans="1:23" ht="18" customHeight="1" x14ac:dyDescent="0.45">
      <c r="A9" s="1" t="s">
        <v>21</v>
      </c>
      <c r="B9" s="3">
        <f>B8*B3</f>
        <v>1.6666666666666669E-4</v>
      </c>
      <c r="C9" s="1" t="s">
        <v>4</v>
      </c>
      <c r="D9" s="3">
        <f>B9*1000000</f>
        <v>166.66666666666669</v>
      </c>
      <c r="E9" s="2" t="s">
        <v>9</v>
      </c>
      <c r="F9" s="3"/>
      <c r="G9" s="1" t="s">
        <v>14</v>
      </c>
      <c r="H9" s="3">
        <f>H7/B3</f>
        <v>5.7275958944592615E-4</v>
      </c>
      <c r="I9" s="1" t="s">
        <v>0</v>
      </c>
      <c r="J9" s="3">
        <f>H9*1000</f>
        <v>0.5727595894459262</v>
      </c>
      <c r="K9" s="1" t="s">
        <v>13</v>
      </c>
      <c r="L9" s="3">
        <f>L7/B3</f>
        <v>3.5797474340370384E-5</v>
      </c>
      <c r="M9" s="6" t="s">
        <v>0</v>
      </c>
      <c r="N9" s="3">
        <f>L9*1000000</f>
        <v>35.797474340370385</v>
      </c>
      <c r="O9" s="4" t="s">
        <v>20</v>
      </c>
      <c r="R9" s="6">
        <f t="shared" si="0"/>
        <v>42.864406779661017</v>
      </c>
      <c r="S9" s="1">
        <v>1.18</v>
      </c>
    </row>
    <row r="10" spans="1:23" ht="18" customHeight="1" x14ac:dyDescent="0.45">
      <c r="G10" s="9" t="s">
        <v>33</v>
      </c>
      <c r="H10" s="10">
        <f>H8/B3</f>
        <v>2.2910383577837046E-3</v>
      </c>
      <c r="I10" s="9" t="s">
        <v>0</v>
      </c>
      <c r="J10" s="10">
        <f>H10*1000</f>
        <v>2.2910383577837048</v>
      </c>
      <c r="K10" s="9" t="s">
        <v>13</v>
      </c>
      <c r="L10" s="10">
        <f>L8/B3</f>
        <v>1.4318989736148154E-4</v>
      </c>
      <c r="M10" s="17" t="s">
        <v>0</v>
      </c>
      <c r="N10" s="10">
        <f>L10*1000000</f>
        <v>143.18989736148154</v>
      </c>
      <c r="O10" s="9" t="s">
        <v>34</v>
      </c>
      <c r="R10" s="6">
        <f t="shared" si="0"/>
        <v>41.826446280991739</v>
      </c>
      <c r="S10" s="1">
        <v>1.21</v>
      </c>
    </row>
    <row r="11" spans="1:23" ht="18" customHeight="1" x14ac:dyDescent="0.45">
      <c r="J11" s="3"/>
      <c r="M11" s="5"/>
      <c r="R11" s="6">
        <f t="shared" si="0"/>
        <v>40.838709677419352</v>
      </c>
      <c r="S11" s="1">
        <v>1.24</v>
      </c>
    </row>
    <row r="12" spans="1:23" ht="18" customHeight="1" x14ac:dyDescent="0.45">
      <c r="A12" s="22" t="s">
        <v>29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M12" s="5"/>
      <c r="R12" s="6">
        <f t="shared" si="0"/>
        <v>39.897637795275585</v>
      </c>
      <c r="S12" s="1">
        <v>1.27</v>
      </c>
    </row>
    <row r="13" spans="1:23" ht="18" customHeight="1" x14ac:dyDescent="0.4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M13" s="5"/>
      <c r="R13" s="6">
        <f t="shared" si="0"/>
        <v>39</v>
      </c>
      <c r="S13" s="1">
        <v>1.3</v>
      </c>
    </row>
    <row r="14" spans="1:23" ht="18" customHeight="1" x14ac:dyDescent="0.45">
      <c r="A14" s="1" t="s">
        <v>19</v>
      </c>
      <c r="B14" s="3">
        <v>2</v>
      </c>
      <c r="C14" s="2" t="s">
        <v>1</v>
      </c>
      <c r="D14" s="3"/>
      <c r="G14" s="1" t="s">
        <v>7</v>
      </c>
      <c r="H14" s="3">
        <v>3</v>
      </c>
      <c r="I14" s="1" t="s">
        <v>4</v>
      </c>
      <c r="L14" s="21" t="s">
        <v>40</v>
      </c>
      <c r="M14" s="21"/>
      <c r="N14" s="21"/>
      <c r="O14" s="21"/>
      <c r="R14" s="6">
        <f t="shared" si="0"/>
        <v>38.142857142857139</v>
      </c>
      <c r="S14" s="1">
        <v>1.33</v>
      </c>
    </row>
    <row r="15" spans="1:23" ht="18" customHeight="1" x14ac:dyDescent="0.45">
      <c r="A15" s="9" t="s">
        <v>31</v>
      </c>
      <c r="B15" s="10">
        <f>0.1/B14</f>
        <v>0.05</v>
      </c>
      <c r="C15" s="9" t="s">
        <v>0</v>
      </c>
      <c r="D15" s="10">
        <f>B15*1000</f>
        <v>50</v>
      </c>
      <c r="E15" s="9" t="s">
        <v>13</v>
      </c>
      <c r="G15" s="11" t="s">
        <v>17</v>
      </c>
      <c r="H15" s="12">
        <v>2</v>
      </c>
      <c r="I15" s="11" t="s">
        <v>18</v>
      </c>
      <c r="J15" s="11"/>
      <c r="K15" s="11"/>
      <c r="L15" s="21"/>
      <c r="M15" s="21"/>
      <c r="N15" s="21"/>
      <c r="O15" s="21"/>
      <c r="R15" s="6">
        <f t="shared" si="0"/>
        <v>37.058394160583937</v>
      </c>
      <c r="S15" s="1">
        <v>1.37</v>
      </c>
    </row>
    <row r="16" spans="1:23" ht="18" customHeight="1" x14ac:dyDescent="0.45">
      <c r="A16" s="1" t="s">
        <v>3</v>
      </c>
      <c r="B16" s="3">
        <f>B14*B15</f>
        <v>0.1</v>
      </c>
      <c r="C16" s="1" t="s">
        <v>4</v>
      </c>
      <c r="D16" s="3">
        <f>B16*1000000</f>
        <v>100000</v>
      </c>
      <c r="E16" s="2" t="s">
        <v>9</v>
      </c>
      <c r="G16" s="1" t="s">
        <v>15</v>
      </c>
      <c r="H16" s="3">
        <f>H14/2^16</f>
        <v>4.57763671875E-5</v>
      </c>
      <c r="I16" s="1" t="s">
        <v>4</v>
      </c>
      <c r="J16" s="3">
        <f>H16*1000000</f>
        <v>45.7763671875</v>
      </c>
      <c r="K16" s="2" t="s">
        <v>9</v>
      </c>
      <c r="L16" s="3">
        <f>H14/2^20</f>
        <v>2.86102294921875E-6</v>
      </c>
      <c r="M16" s="5" t="s">
        <v>4</v>
      </c>
      <c r="N16" s="3">
        <f>L16*1000000</f>
        <v>2.86102294921875</v>
      </c>
      <c r="O16" s="2" t="s">
        <v>9</v>
      </c>
      <c r="R16" s="6">
        <f t="shared" si="0"/>
        <v>36.285714285714285</v>
      </c>
      <c r="S16" s="1">
        <v>1.4</v>
      </c>
    </row>
    <row r="17" spans="1:19" ht="18" customHeight="1" x14ac:dyDescent="0.45">
      <c r="A17" s="11" t="s">
        <v>5</v>
      </c>
      <c r="B17" s="13">
        <f>$H$3/B16</f>
        <v>30</v>
      </c>
      <c r="C17" s="11" t="s">
        <v>6</v>
      </c>
      <c r="D17" s="11"/>
      <c r="E17" s="11"/>
      <c r="G17" s="11" t="s">
        <v>16</v>
      </c>
      <c r="H17" s="13">
        <f>H16*2^H15</f>
        <v>1.8310546875E-4</v>
      </c>
      <c r="I17" s="11" t="s">
        <v>4</v>
      </c>
      <c r="J17" s="13">
        <f>H17*1000000</f>
        <v>183.10546875</v>
      </c>
      <c r="K17" s="14" t="s">
        <v>9</v>
      </c>
      <c r="L17" s="13">
        <f>L16*2^H15</f>
        <v>1.1444091796875E-5</v>
      </c>
      <c r="M17" s="11" t="s">
        <v>4</v>
      </c>
      <c r="N17" s="13">
        <f>L17*1000000</f>
        <v>11.444091796875</v>
      </c>
      <c r="O17" s="14" t="s">
        <v>9</v>
      </c>
      <c r="R17" s="6">
        <f t="shared" si="0"/>
        <v>35.545454545454547</v>
      </c>
      <c r="S17" s="1">
        <v>1.43</v>
      </c>
    </row>
    <row r="18" spans="1:19" ht="18" customHeight="1" x14ac:dyDescent="0.45">
      <c r="A18" s="1" t="s">
        <v>2</v>
      </c>
      <c r="B18" s="3">
        <f>49.4/2.15+1</f>
        <v>23.976744186046513</v>
      </c>
      <c r="C18" s="1" t="s">
        <v>6</v>
      </c>
      <c r="G18" s="1" t="s">
        <v>8</v>
      </c>
      <c r="H18" s="3">
        <f>H16/B18</f>
        <v>1.9091986314864206E-6</v>
      </c>
      <c r="I18" s="1" t="s">
        <v>4</v>
      </c>
      <c r="J18" s="3">
        <f t="shared" ref="J18:J19" si="2">H18*1000000</f>
        <v>1.9091986314864207</v>
      </c>
      <c r="K18" s="2" t="s">
        <v>9</v>
      </c>
      <c r="L18" s="3">
        <f>L16/B18</f>
        <v>1.1932491446790129E-7</v>
      </c>
      <c r="M18" s="5" t="s">
        <v>4</v>
      </c>
      <c r="N18" s="6">
        <f>L18*1000000000</f>
        <v>119.32491446790129</v>
      </c>
      <c r="O18" s="1" t="s">
        <v>38</v>
      </c>
      <c r="R18" s="6">
        <f t="shared" si="0"/>
        <v>34.605442176870746</v>
      </c>
      <c r="S18" s="1">
        <v>1.47</v>
      </c>
    </row>
    <row r="19" spans="1:19" ht="18" customHeight="1" x14ac:dyDescent="0.45">
      <c r="A19" s="9" t="s">
        <v>32</v>
      </c>
      <c r="B19" s="10">
        <v>5.0000000000000002E-5</v>
      </c>
      <c r="C19" s="9" t="s">
        <v>0</v>
      </c>
      <c r="D19" s="10">
        <f>B19*1000000</f>
        <v>50</v>
      </c>
      <c r="E19" s="9" t="s">
        <v>34</v>
      </c>
      <c r="G19" s="11" t="s">
        <v>12</v>
      </c>
      <c r="H19" s="13">
        <f>H17/B18</f>
        <v>7.6367945259456825E-6</v>
      </c>
      <c r="I19" s="11" t="s">
        <v>4</v>
      </c>
      <c r="J19" s="13">
        <f t="shared" si="2"/>
        <v>7.6367945259456826</v>
      </c>
      <c r="K19" s="14" t="s">
        <v>9</v>
      </c>
      <c r="L19" s="13">
        <f>L17/B18</f>
        <v>4.7729965787160515E-7</v>
      </c>
      <c r="M19" s="15" t="s">
        <v>4</v>
      </c>
      <c r="N19" s="16">
        <f>L19*1000000000</f>
        <v>477.29965787160518</v>
      </c>
      <c r="O19" s="11" t="s">
        <v>38</v>
      </c>
      <c r="R19" s="6">
        <f t="shared" si="0"/>
        <v>33.93333333333333</v>
      </c>
      <c r="S19" s="1">
        <v>1.5</v>
      </c>
    </row>
    <row r="20" spans="1:19" ht="18" customHeight="1" x14ac:dyDescent="0.45">
      <c r="A20" s="1" t="s">
        <v>21</v>
      </c>
      <c r="B20" s="3">
        <f>B19*B14</f>
        <v>1E-4</v>
      </c>
      <c r="C20" s="1" t="s">
        <v>4</v>
      </c>
      <c r="D20" s="3">
        <f>B20*1000000</f>
        <v>100</v>
      </c>
      <c r="E20" s="2" t="s">
        <v>9</v>
      </c>
      <c r="G20" s="1" t="s">
        <v>14</v>
      </c>
      <c r="H20" s="3">
        <f>H18/B14</f>
        <v>9.5459931574321031E-7</v>
      </c>
      <c r="I20" s="1" t="s">
        <v>0</v>
      </c>
      <c r="J20" s="3">
        <f>H20*1000000</f>
        <v>0.95459931574321033</v>
      </c>
      <c r="K20" s="4" t="s">
        <v>20</v>
      </c>
      <c r="L20" s="3">
        <f>L18/B14</f>
        <v>5.9662457233950644E-8</v>
      </c>
      <c r="M20" s="6" t="s">
        <v>0</v>
      </c>
      <c r="N20" s="3">
        <f>L20*1000000000</f>
        <v>59.662457233950647</v>
      </c>
      <c r="O20" s="2" t="s">
        <v>39</v>
      </c>
      <c r="R20" s="6">
        <f t="shared" si="0"/>
        <v>33.077922077922075</v>
      </c>
      <c r="S20" s="1">
        <v>1.54</v>
      </c>
    </row>
    <row r="21" spans="1:19" ht="18" customHeight="1" x14ac:dyDescent="0.45">
      <c r="B21" s="1"/>
      <c r="G21" s="9" t="s">
        <v>33</v>
      </c>
      <c r="H21" s="10">
        <f>H19/B14</f>
        <v>3.8183972629728412E-6</v>
      </c>
      <c r="I21" s="9" t="s">
        <v>0</v>
      </c>
      <c r="J21" s="10">
        <f>H21*1000000</f>
        <v>3.8183972629728413</v>
      </c>
      <c r="K21" s="9" t="s">
        <v>34</v>
      </c>
      <c r="L21" s="10">
        <f>L19/B14</f>
        <v>2.3864982893580258E-7</v>
      </c>
      <c r="M21" s="17" t="s">
        <v>0</v>
      </c>
      <c r="N21" s="10">
        <f>L21*1000000000</f>
        <v>238.64982893580259</v>
      </c>
      <c r="O21" s="18" t="s">
        <v>39</v>
      </c>
      <c r="R21" s="6">
        <f t="shared" si="0"/>
        <v>32.265822784810126</v>
      </c>
      <c r="S21" s="1">
        <v>1.58</v>
      </c>
    </row>
    <row r="22" spans="1:19" ht="18" customHeight="1" x14ac:dyDescent="0.45">
      <c r="B22" s="1"/>
      <c r="J22" s="3"/>
      <c r="K22" s="4"/>
      <c r="M22" s="5"/>
      <c r="R22" s="6">
        <f t="shared" si="0"/>
        <v>31.493827160493826</v>
      </c>
      <c r="S22" s="1">
        <v>1.62</v>
      </c>
    </row>
    <row r="23" spans="1:19" ht="18" customHeight="1" x14ac:dyDescent="0.45">
      <c r="A23" s="22" t="s">
        <v>30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M23" s="5"/>
      <c r="R23" s="6">
        <f t="shared" si="0"/>
        <v>30.939393939393941</v>
      </c>
      <c r="S23" s="1">
        <v>1.65</v>
      </c>
    </row>
    <row r="24" spans="1:19" ht="18" customHeight="1" x14ac:dyDescent="0.4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M24" s="5"/>
      <c r="R24" s="6">
        <f t="shared" si="0"/>
        <v>30.23076923076923</v>
      </c>
      <c r="S24" s="1">
        <v>1.69</v>
      </c>
    </row>
    <row r="25" spans="1:19" ht="18" customHeight="1" x14ac:dyDescent="0.45">
      <c r="A25" s="1" t="s">
        <v>22</v>
      </c>
      <c r="B25" s="3">
        <f>5*2000000</f>
        <v>10000000</v>
      </c>
      <c r="C25" s="2" t="s">
        <v>1</v>
      </c>
      <c r="D25" s="3">
        <f>B25/1000000</f>
        <v>10</v>
      </c>
      <c r="E25" s="2" t="s">
        <v>25</v>
      </c>
      <c r="G25" s="1" t="s">
        <v>7</v>
      </c>
      <c r="H25" s="3">
        <v>3</v>
      </c>
      <c r="I25" s="1" t="s">
        <v>4</v>
      </c>
      <c r="L25" s="21" t="s">
        <v>40</v>
      </c>
      <c r="M25" s="21"/>
      <c r="N25" s="21"/>
      <c r="O25" s="21"/>
      <c r="R25" s="6">
        <f t="shared" si="0"/>
        <v>29.390804597701148</v>
      </c>
      <c r="S25" s="1">
        <v>1.74</v>
      </c>
    </row>
    <row r="26" spans="1:19" ht="18" customHeight="1" x14ac:dyDescent="0.45">
      <c r="A26" s="11" t="s">
        <v>23</v>
      </c>
      <c r="B26" s="13">
        <f>2150</f>
        <v>2150</v>
      </c>
      <c r="C26" s="14" t="s">
        <v>1</v>
      </c>
      <c r="D26" s="13">
        <f>B26/1000</f>
        <v>2.15</v>
      </c>
      <c r="E26" s="11" t="s">
        <v>26</v>
      </c>
      <c r="G26" s="11" t="s">
        <v>17</v>
      </c>
      <c r="H26" s="12">
        <v>2</v>
      </c>
      <c r="I26" s="11" t="s">
        <v>18</v>
      </c>
      <c r="J26" s="11"/>
      <c r="K26" s="11"/>
      <c r="L26" s="21"/>
      <c r="M26" s="21"/>
      <c r="N26" s="21"/>
      <c r="O26" s="21"/>
      <c r="R26" s="6">
        <f t="shared" si="0"/>
        <v>28.752808988764045</v>
      </c>
      <c r="S26" s="1">
        <v>1.78</v>
      </c>
    </row>
    <row r="27" spans="1:19" ht="18" customHeight="1" x14ac:dyDescent="0.45">
      <c r="A27" s="7" t="s">
        <v>35</v>
      </c>
      <c r="B27" s="8">
        <v>500</v>
      </c>
      <c r="C27" s="7" t="s">
        <v>4</v>
      </c>
      <c r="D27" s="7"/>
      <c r="E27" s="7"/>
      <c r="G27" s="1" t="s">
        <v>15</v>
      </c>
      <c r="H27" s="3">
        <f>H25/2^16</f>
        <v>4.57763671875E-5</v>
      </c>
      <c r="I27" s="1" t="s">
        <v>4</v>
      </c>
      <c r="J27" s="3">
        <f>H27*1000000</f>
        <v>45.7763671875</v>
      </c>
      <c r="K27" s="2" t="s">
        <v>9</v>
      </c>
      <c r="L27" s="3">
        <f>H25/2^20</f>
        <v>2.86102294921875E-6</v>
      </c>
      <c r="M27" s="1" t="s">
        <v>4</v>
      </c>
      <c r="N27" s="3">
        <f>L27*1000000</f>
        <v>2.86102294921875</v>
      </c>
      <c r="O27" s="2" t="s">
        <v>9</v>
      </c>
      <c r="R27" s="6">
        <f t="shared" si="0"/>
        <v>28.142857142857142</v>
      </c>
      <c r="S27" s="1">
        <v>1.82</v>
      </c>
    </row>
    <row r="28" spans="1:19" ht="18" customHeight="1" x14ac:dyDescent="0.45">
      <c r="A28" s="11" t="s">
        <v>3</v>
      </c>
      <c r="B28" s="13">
        <f>B27*$B$26/($B$25+$B$26)</f>
        <v>0.10747689246811935</v>
      </c>
      <c r="C28" s="11" t="s">
        <v>4</v>
      </c>
      <c r="D28" s="13">
        <f>B28*1000</f>
        <v>107.47689246811936</v>
      </c>
      <c r="E28" s="11" t="s">
        <v>24</v>
      </c>
      <c r="F28" s="3"/>
      <c r="G28" s="11" t="s">
        <v>16</v>
      </c>
      <c r="H28" s="13">
        <f>H27*2^H26</f>
        <v>1.8310546875E-4</v>
      </c>
      <c r="I28" s="11" t="s">
        <v>4</v>
      </c>
      <c r="J28" s="13">
        <f>H28*1000000</f>
        <v>183.10546875</v>
      </c>
      <c r="K28" s="14" t="s">
        <v>9</v>
      </c>
      <c r="L28" s="13">
        <f>L27*2^H26</f>
        <v>1.1444091796875E-5</v>
      </c>
      <c r="M28" s="11" t="s">
        <v>4</v>
      </c>
      <c r="N28" s="13">
        <f>L28*1000000</f>
        <v>11.444091796875</v>
      </c>
      <c r="O28" s="14" t="s">
        <v>9</v>
      </c>
      <c r="R28" s="6">
        <f t="shared" si="0"/>
        <v>27.417112299465238</v>
      </c>
      <c r="S28" s="1">
        <v>1.87</v>
      </c>
    </row>
    <row r="29" spans="1:19" ht="18" customHeight="1" x14ac:dyDescent="0.45">
      <c r="A29" s="1" t="s">
        <v>5</v>
      </c>
      <c r="B29" s="3">
        <f>H3/B28</f>
        <v>27.912976744186047</v>
      </c>
      <c r="C29" s="1" t="s">
        <v>6</v>
      </c>
      <c r="G29" s="1" t="s">
        <v>8</v>
      </c>
      <c r="H29" s="3">
        <f>H27/B30</f>
        <v>1.9091986314864206E-6</v>
      </c>
      <c r="I29" s="1" t="s">
        <v>4</v>
      </c>
      <c r="J29" s="3">
        <f t="shared" ref="J29:J30" si="3">H29*1000000</f>
        <v>1.9091986314864207</v>
      </c>
      <c r="K29" s="2" t="s">
        <v>9</v>
      </c>
      <c r="L29" s="3">
        <f>L27/B30</f>
        <v>1.1932491446790129E-7</v>
      </c>
      <c r="M29" s="1" t="s">
        <v>4</v>
      </c>
      <c r="N29" s="3">
        <f>L29*1000000000</f>
        <v>119.32491446790129</v>
      </c>
      <c r="O29" s="2" t="s">
        <v>38</v>
      </c>
      <c r="R29" s="6">
        <f t="shared" si="0"/>
        <v>26.863874345549739</v>
      </c>
      <c r="S29" s="1">
        <v>1.91</v>
      </c>
    </row>
    <row r="30" spans="1:19" ht="18" customHeight="1" x14ac:dyDescent="0.45">
      <c r="A30" s="11" t="s">
        <v>2</v>
      </c>
      <c r="B30" s="13">
        <f>49.4/2.15+1</f>
        <v>23.976744186046513</v>
      </c>
      <c r="C30" s="11" t="s">
        <v>6</v>
      </c>
      <c r="D30" s="11"/>
      <c r="E30" s="11"/>
      <c r="G30" s="11" t="s">
        <v>12</v>
      </c>
      <c r="H30" s="13">
        <f>H28/B30</f>
        <v>7.6367945259456825E-6</v>
      </c>
      <c r="I30" s="11" t="s">
        <v>4</v>
      </c>
      <c r="J30" s="13">
        <f t="shared" si="3"/>
        <v>7.6367945259456826</v>
      </c>
      <c r="K30" s="14" t="s">
        <v>9</v>
      </c>
      <c r="L30" s="13">
        <f>L28/B30</f>
        <v>4.7729965787160515E-7</v>
      </c>
      <c r="M30" s="11" t="s">
        <v>4</v>
      </c>
      <c r="N30" s="13">
        <f>L30*1000000000</f>
        <v>477.29965787160518</v>
      </c>
      <c r="O30" s="14" t="s">
        <v>38</v>
      </c>
      <c r="R30" s="6">
        <f t="shared" si="0"/>
        <v>26.204081632653061</v>
      </c>
      <c r="S30" s="1">
        <v>1.96</v>
      </c>
    </row>
    <row r="31" spans="1:19" ht="18" customHeight="1" x14ac:dyDescent="0.45">
      <c r="A31" s="7" t="s">
        <v>36</v>
      </c>
      <c r="B31" s="8">
        <v>1</v>
      </c>
      <c r="C31" s="7" t="s">
        <v>4</v>
      </c>
      <c r="D31" s="7"/>
      <c r="E31" s="7"/>
      <c r="G31" s="1" t="s">
        <v>27</v>
      </c>
      <c r="H31" s="3">
        <f>H29*($B$26+$B$25)/$B$26</f>
        <v>8.8819028334520475E-3</v>
      </c>
      <c r="I31" s="1" t="s">
        <v>4</v>
      </c>
      <c r="J31" s="3">
        <f>H31*1000</f>
        <v>8.8819028334520471</v>
      </c>
      <c r="K31" s="1" t="s">
        <v>24</v>
      </c>
      <c r="L31" s="3">
        <f>L29*($B$26+$B$25)/$B$26</f>
        <v>5.5511892709075297E-4</v>
      </c>
      <c r="M31" s="1" t="s">
        <v>4</v>
      </c>
      <c r="N31" s="3">
        <f>L31*1000000</f>
        <v>555.118927090753</v>
      </c>
      <c r="O31" s="2" t="s">
        <v>9</v>
      </c>
      <c r="R31" s="6">
        <f t="shared" si="0"/>
        <v>25.7</v>
      </c>
      <c r="S31" s="1">
        <v>2</v>
      </c>
    </row>
    <row r="32" spans="1:19" ht="18" customHeight="1" x14ac:dyDescent="0.45">
      <c r="A32" s="11" t="s">
        <v>21</v>
      </c>
      <c r="B32" s="13">
        <f>B31*$B$26/($B$25+$B$26)</f>
        <v>2.1495378493623871E-4</v>
      </c>
      <c r="C32" s="11" t="s">
        <v>4</v>
      </c>
      <c r="D32" s="13">
        <f>B32*1000000</f>
        <v>214.95378493623872</v>
      </c>
      <c r="E32" s="14" t="s">
        <v>9</v>
      </c>
      <c r="F32" s="3"/>
      <c r="G32" s="9" t="s">
        <v>37</v>
      </c>
      <c r="H32" s="10">
        <f>H30*($B$26+$B$25)/$B$26</f>
        <v>3.552761133380819E-2</v>
      </c>
      <c r="I32" s="9" t="s">
        <v>4</v>
      </c>
      <c r="J32" s="10">
        <f>H32*1000</f>
        <v>35.527611333808188</v>
      </c>
      <c r="K32" s="9" t="s">
        <v>24</v>
      </c>
      <c r="L32" s="10">
        <f>L30*($B$26+$B$25)/$B$26</f>
        <v>2.2204757083630119E-3</v>
      </c>
      <c r="M32" s="9" t="s">
        <v>4</v>
      </c>
      <c r="N32" s="10">
        <f>L32*1000</f>
        <v>2.2204757083630118</v>
      </c>
      <c r="O32" s="9" t="s">
        <v>24</v>
      </c>
      <c r="R32" s="6">
        <f t="shared" si="0"/>
        <v>25.097560975609756</v>
      </c>
      <c r="S32" s="1">
        <v>2.0499999999999998</v>
      </c>
    </row>
    <row r="33" spans="18:19" ht="18" customHeight="1" x14ac:dyDescent="0.45">
      <c r="R33" s="6">
        <f t="shared" si="0"/>
        <v>24.523809523809522</v>
      </c>
      <c r="S33" s="1">
        <v>2.1</v>
      </c>
    </row>
    <row r="34" spans="18:19" ht="18" customHeight="1" x14ac:dyDescent="0.45">
      <c r="R34" s="6">
        <f t="shared" si="0"/>
        <v>23.976744186046513</v>
      </c>
      <c r="S34" s="1">
        <v>2.15</v>
      </c>
    </row>
    <row r="35" spans="18:19" ht="18" customHeight="1" x14ac:dyDescent="0.45">
      <c r="R35" s="6">
        <f t="shared" si="0"/>
        <v>22.858407079646017</v>
      </c>
      <c r="S35" s="1">
        <v>2.2599999999999998</v>
      </c>
    </row>
    <row r="36" spans="18:19" ht="18" customHeight="1" x14ac:dyDescent="0.45">
      <c r="R36" s="6">
        <f t="shared" si="0"/>
        <v>21.843881856540083</v>
      </c>
      <c r="S36" s="1">
        <v>2.37</v>
      </c>
    </row>
    <row r="37" spans="18:19" ht="18" customHeight="1" x14ac:dyDescent="0.45">
      <c r="R37" s="6">
        <f t="shared" si="0"/>
        <v>20.839357429718874</v>
      </c>
      <c r="S37" s="1">
        <v>2.4900000000000002</v>
      </c>
    </row>
    <row r="38" spans="18:19" ht="18" customHeight="1" x14ac:dyDescent="0.45">
      <c r="R38" s="6">
        <f t="shared" si="0"/>
        <v>19.927203065134101</v>
      </c>
      <c r="S38" s="1">
        <v>2.61</v>
      </c>
    </row>
    <row r="39" spans="18:19" ht="18" customHeight="1" x14ac:dyDescent="0.45">
      <c r="R39" s="6">
        <f t="shared" si="0"/>
        <v>19.029197080291969</v>
      </c>
      <c r="S39" s="1">
        <v>2.74</v>
      </c>
    </row>
    <row r="40" spans="18:19" ht="18" customHeight="1" x14ac:dyDescent="0.45">
      <c r="R40" s="6">
        <f t="shared" si="0"/>
        <v>18.642857142857142</v>
      </c>
      <c r="S40" s="1">
        <v>2.8</v>
      </c>
    </row>
    <row r="41" spans="18:19" ht="18" customHeight="1" x14ac:dyDescent="0.45">
      <c r="R41" s="6">
        <f t="shared" si="0"/>
        <v>18.212543554006967</v>
      </c>
      <c r="S41" s="1">
        <v>2.87</v>
      </c>
    </row>
    <row r="42" spans="18:19" ht="18" customHeight="1" x14ac:dyDescent="0.45">
      <c r="R42" s="6">
        <f t="shared" si="0"/>
        <v>17.802721088435373</v>
      </c>
      <c r="S42" s="1">
        <v>2.94</v>
      </c>
    </row>
    <row r="43" spans="18:19" ht="18" customHeight="1" x14ac:dyDescent="0.45">
      <c r="R43" s="6">
        <f t="shared" si="0"/>
        <v>17.411960132890368</v>
      </c>
      <c r="S43" s="1">
        <v>3.01</v>
      </c>
    </row>
    <row r="44" spans="18:19" ht="18" customHeight="1" x14ac:dyDescent="0.45">
      <c r="R44" s="6">
        <f t="shared" si="0"/>
        <v>16.98705501618123</v>
      </c>
      <c r="S44" s="1">
        <v>3.09</v>
      </c>
    </row>
    <row r="45" spans="18:19" ht="18" customHeight="1" x14ac:dyDescent="0.45">
      <c r="R45" s="6">
        <f t="shared" si="0"/>
        <v>16.632911392405063</v>
      </c>
      <c r="S45" s="1">
        <v>3.16</v>
      </c>
    </row>
    <row r="46" spans="18:19" ht="18" customHeight="1" x14ac:dyDescent="0.45">
      <c r="R46" s="6">
        <f t="shared" si="0"/>
        <v>16.246913580246911</v>
      </c>
      <c r="S46" s="1">
        <v>3.24</v>
      </c>
    </row>
  </sheetData>
  <mergeCells count="6">
    <mergeCell ref="L25:O26"/>
    <mergeCell ref="A1:K2"/>
    <mergeCell ref="A12:K13"/>
    <mergeCell ref="A23:K24"/>
    <mergeCell ref="L3:O4"/>
    <mergeCell ref="L14:O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F9DA-F989-4F05-B358-67BD5736B8A3}">
  <dimension ref="A1:H19"/>
  <sheetViews>
    <sheetView workbookViewId="0">
      <selection activeCell="D21" sqref="D21"/>
    </sheetView>
  </sheetViews>
  <sheetFormatPr defaultColWidth="10.73046875" defaultRowHeight="18.600000000000001" customHeight="1" x14ac:dyDescent="0.45"/>
  <cols>
    <col min="1" max="1" width="18.73046875" style="19" customWidth="1"/>
    <col min="2" max="16384" width="10.73046875" style="19"/>
  </cols>
  <sheetData>
    <row r="1" spans="1:8" ht="18.600000000000001" customHeight="1" x14ac:dyDescent="0.45">
      <c r="B1" s="19">
        <v>3</v>
      </c>
      <c r="C1" s="19">
        <v>5</v>
      </c>
      <c r="D1" s="19">
        <v>12</v>
      </c>
      <c r="E1" s="19">
        <v>15</v>
      </c>
      <c r="F1" s="19">
        <v>-15</v>
      </c>
    </row>
    <row r="2" spans="1:8" ht="18.600000000000001" customHeight="1" x14ac:dyDescent="0.45">
      <c r="A2" s="19" t="s">
        <v>53</v>
      </c>
      <c r="B2" s="6">
        <v>0</v>
      </c>
      <c r="C2" s="6">
        <v>0</v>
      </c>
      <c r="D2" s="6">
        <v>3</v>
      </c>
      <c r="E2" s="6">
        <v>8</v>
      </c>
      <c r="F2" s="6">
        <v>2</v>
      </c>
      <c r="G2" s="19" t="s">
        <v>13</v>
      </c>
    </row>
    <row r="3" spans="1:8" ht="18.600000000000001" customHeight="1" x14ac:dyDescent="0.45">
      <c r="A3" s="19" t="s">
        <v>54</v>
      </c>
      <c r="B3" s="6">
        <v>0</v>
      </c>
      <c r="C3" s="6">
        <v>0</v>
      </c>
      <c r="D3" s="6">
        <v>3</v>
      </c>
      <c r="E3" s="6">
        <v>8</v>
      </c>
      <c r="F3" s="6">
        <v>2</v>
      </c>
      <c r="G3" s="19" t="s">
        <v>13</v>
      </c>
    </row>
    <row r="4" spans="1:8" ht="18.600000000000001" customHeight="1" x14ac:dyDescent="0.45">
      <c r="A4" s="19" t="s">
        <v>55</v>
      </c>
      <c r="B4" s="6">
        <v>0</v>
      </c>
      <c r="C4" s="6">
        <v>0</v>
      </c>
      <c r="D4" s="6">
        <v>0.25</v>
      </c>
      <c r="E4" s="6">
        <v>0</v>
      </c>
      <c r="F4" s="6">
        <v>0</v>
      </c>
      <c r="G4" s="19" t="s">
        <v>13</v>
      </c>
      <c r="H4" s="21" t="s">
        <v>57</v>
      </c>
    </row>
    <row r="5" spans="1:8" ht="18.600000000000001" customHeight="1" x14ac:dyDescent="0.45">
      <c r="A5" s="19" t="s">
        <v>56</v>
      </c>
      <c r="B5" s="6">
        <v>0</v>
      </c>
      <c r="C5" s="6">
        <v>0</v>
      </c>
      <c r="D5" s="6">
        <v>24</v>
      </c>
      <c r="E5" s="6">
        <v>0</v>
      </c>
      <c r="F5" s="6">
        <v>0</v>
      </c>
      <c r="G5" s="19" t="s">
        <v>13</v>
      </c>
      <c r="H5" s="21"/>
    </row>
    <row r="6" spans="1:8" ht="18.600000000000001" customHeight="1" x14ac:dyDescent="0.45">
      <c r="A6" s="19" t="s">
        <v>60</v>
      </c>
      <c r="B6" s="6">
        <v>1</v>
      </c>
      <c r="C6" s="6">
        <v>0</v>
      </c>
      <c r="D6" s="6">
        <v>0</v>
      </c>
      <c r="E6" s="6">
        <v>0</v>
      </c>
      <c r="F6" s="6">
        <v>0</v>
      </c>
      <c r="G6" s="19" t="s">
        <v>13</v>
      </c>
    </row>
    <row r="7" spans="1:8" ht="18.600000000000001" customHeight="1" x14ac:dyDescent="0.45">
      <c r="A7" s="19" t="s">
        <v>61</v>
      </c>
      <c r="B7" s="6">
        <v>1</v>
      </c>
      <c r="C7" s="6">
        <v>0</v>
      </c>
      <c r="D7" s="6">
        <v>0</v>
      </c>
      <c r="E7" s="6">
        <v>0</v>
      </c>
      <c r="F7" s="6">
        <v>0</v>
      </c>
      <c r="G7" s="19" t="s">
        <v>13</v>
      </c>
    </row>
    <row r="8" spans="1:8" ht="18.600000000000001" customHeight="1" x14ac:dyDescent="0.45">
      <c r="A8" s="19" t="s">
        <v>62</v>
      </c>
      <c r="B8" s="6">
        <v>1</v>
      </c>
      <c r="C8" s="6">
        <v>0</v>
      </c>
      <c r="D8" s="6">
        <v>0</v>
      </c>
      <c r="E8" s="6">
        <v>0</v>
      </c>
      <c r="F8" s="6">
        <v>0</v>
      </c>
      <c r="G8" s="19" t="s">
        <v>13</v>
      </c>
    </row>
    <row r="9" spans="1:8" ht="18.600000000000001" customHeight="1" x14ac:dyDescent="0.45">
      <c r="A9" s="19" t="s">
        <v>63</v>
      </c>
      <c r="B9" s="6">
        <v>1</v>
      </c>
      <c r="C9" s="6">
        <v>0</v>
      </c>
      <c r="D9" s="6">
        <v>0</v>
      </c>
      <c r="E9" s="6">
        <v>0</v>
      </c>
      <c r="F9" s="6">
        <v>0</v>
      </c>
      <c r="G9" s="19" t="s">
        <v>13</v>
      </c>
    </row>
    <row r="10" spans="1:8" ht="18.600000000000001" customHeight="1" x14ac:dyDescent="0.45">
      <c r="A10" s="19" t="s">
        <v>64</v>
      </c>
      <c r="B10" s="6">
        <f>8.57*3</f>
        <v>25.71</v>
      </c>
      <c r="C10" s="6">
        <f>14.3*11+21*4</f>
        <v>241.3</v>
      </c>
      <c r="D10" s="6">
        <v>0</v>
      </c>
      <c r="E10" s="6">
        <v>0</v>
      </c>
      <c r="F10" s="6">
        <v>0</v>
      </c>
      <c r="G10" s="19" t="s">
        <v>13</v>
      </c>
    </row>
    <row r="11" spans="1:8" ht="18.600000000000001" customHeight="1" x14ac:dyDescent="0.45">
      <c r="A11" s="19" t="s">
        <v>65</v>
      </c>
      <c r="B11" s="6">
        <v>0</v>
      </c>
      <c r="C11" s="6">
        <v>30</v>
      </c>
      <c r="D11" s="6">
        <v>0</v>
      </c>
      <c r="E11" s="6">
        <v>0</v>
      </c>
      <c r="F11" s="6">
        <v>0</v>
      </c>
      <c r="G11" s="19" t="s">
        <v>13</v>
      </c>
    </row>
    <row r="12" spans="1:8" ht="18.600000000000001" customHeight="1" x14ac:dyDescent="0.45">
      <c r="A12" s="19" t="s">
        <v>68</v>
      </c>
      <c r="B12" s="6"/>
      <c r="C12" s="6"/>
      <c r="D12" s="6"/>
      <c r="E12" s="6"/>
      <c r="F12" s="6"/>
    </row>
    <row r="13" spans="1:8" ht="18.600000000000001" customHeight="1" x14ac:dyDescent="0.45">
      <c r="B13" s="6"/>
      <c r="C13" s="6"/>
      <c r="D13" s="6"/>
      <c r="E13" s="6"/>
      <c r="F13" s="6"/>
    </row>
    <row r="14" spans="1:8" ht="18.600000000000001" customHeight="1" x14ac:dyDescent="0.45">
      <c r="A14" s="23" t="s">
        <v>58</v>
      </c>
      <c r="B14" s="6">
        <f>SUM(B2:B13)</f>
        <v>29.71</v>
      </c>
      <c r="C14" s="6">
        <f>SUM(C2:C13)</f>
        <v>271.3</v>
      </c>
      <c r="D14" s="6">
        <f t="shared" ref="D14:F14" si="0">SUM(D2:D13)</f>
        <v>30.25</v>
      </c>
      <c r="E14" s="6">
        <f t="shared" si="0"/>
        <v>16</v>
      </c>
      <c r="F14" s="6">
        <f t="shared" si="0"/>
        <v>4</v>
      </c>
      <c r="G14" s="19" t="s">
        <v>13</v>
      </c>
    </row>
    <row r="15" spans="1:8" ht="18.600000000000001" customHeight="1" x14ac:dyDescent="0.45">
      <c r="A15" s="23"/>
      <c r="B15" s="6">
        <f>ABS(B14*B1)</f>
        <v>89.13</v>
      </c>
      <c r="C15" s="6">
        <f t="shared" ref="C15:F15" si="1">ABS(C14*C1)</f>
        <v>1356.5</v>
      </c>
      <c r="D15" s="6">
        <f t="shared" si="1"/>
        <v>363</v>
      </c>
      <c r="E15" s="6">
        <f t="shared" si="1"/>
        <v>240</v>
      </c>
      <c r="F15" s="6">
        <f t="shared" si="1"/>
        <v>60</v>
      </c>
      <c r="G15" s="19" t="s">
        <v>59</v>
      </c>
    </row>
    <row r="16" spans="1:8" ht="18.600000000000001" customHeight="1" x14ac:dyDescent="0.45">
      <c r="A16" s="21" t="s">
        <v>66</v>
      </c>
      <c r="B16" s="6">
        <f>B14</f>
        <v>29.71</v>
      </c>
      <c r="C16" s="6">
        <f>SUM(B16,E16,F16,C14)</f>
        <v>385.01</v>
      </c>
      <c r="E16" s="19">
        <f>E15/0.75/5</f>
        <v>64</v>
      </c>
      <c r="F16" s="19">
        <f>F15/0.6/5</f>
        <v>20</v>
      </c>
      <c r="G16" s="19" t="s">
        <v>13</v>
      </c>
    </row>
    <row r="17" spans="1:7" ht="18.600000000000001" customHeight="1" x14ac:dyDescent="0.45">
      <c r="A17" s="21"/>
      <c r="B17" s="19">
        <f>$C$1*B16</f>
        <v>148.55000000000001</v>
      </c>
      <c r="C17" s="6">
        <f>SUM(B17,C15,E17,F17)</f>
        <v>1925.05</v>
      </c>
      <c r="E17" s="19">
        <f t="shared" ref="E17:F17" si="2">$C$1*E16</f>
        <v>320</v>
      </c>
      <c r="F17" s="19">
        <f t="shared" si="2"/>
        <v>100</v>
      </c>
      <c r="G17" s="19" t="s">
        <v>59</v>
      </c>
    </row>
    <row r="18" spans="1:7" ht="18.600000000000001" customHeight="1" x14ac:dyDescent="0.45">
      <c r="A18" s="21" t="s">
        <v>67</v>
      </c>
      <c r="C18" s="6">
        <f>C16</f>
        <v>385.01</v>
      </c>
    </row>
    <row r="19" spans="1:7" ht="18.600000000000001" customHeight="1" x14ac:dyDescent="0.45">
      <c r="A19" s="21"/>
      <c r="C19" s="19">
        <f>C18*D1</f>
        <v>4620.12</v>
      </c>
    </row>
  </sheetData>
  <mergeCells count="4">
    <mergeCell ref="H4:H5"/>
    <mergeCell ref="A14:A15"/>
    <mergeCell ref="A16:A17"/>
    <mergeCell ref="A18:A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B7D5-8A6F-4FB6-B62C-6FEA60EB499C}">
  <dimension ref="A1:E8"/>
  <sheetViews>
    <sheetView workbookViewId="0">
      <selection activeCell="D12" sqref="D12"/>
    </sheetView>
  </sheetViews>
  <sheetFormatPr defaultColWidth="9.59765625" defaultRowHeight="18" customHeight="1" x14ac:dyDescent="0.45"/>
  <cols>
    <col min="1" max="1" width="9.59765625" style="1"/>
    <col min="2" max="2" width="9.59765625" style="3" customWidth="1"/>
    <col min="3" max="3" width="9.59765625" style="1"/>
    <col min="4" max="4" width="9.59765625" style="3" customWidth="1"/>
    <col min="5" max="16384" width="9.59765625" style="1"/>
  </cols>
  <sheetData>
    <row r="1" spans="1:5" ht="18" customHeight="1" x14ac:dyDescent="0.45">
      <c r="A1" s="1" t="s">
        <v>44</v>
      </c>
      <c r="B1" s="3">
        <v>2.9999999999999999E-7</v>
      </c>
      <c r="C1" s="1" t="s">
        <v>43</v>
      </c>
      <c r="D1" s="3">
        <f>B1*1000000000</f>
        <v>300</v>
      </c>
      <c r="E1" s="1" t="s">
        <v>45</v>
      </c>
    </row>
    <row r="2" spans="1:5" ht="18" customHeight="1" x14ac:dyDescent="0.45">
      <c r="A2" s="1" t="s">
        <v>46</v>
      </c>
      <c r="B2" s="3">
        <f>1/B1</f>
        <v>3333333.3333333335</v>
      </c>
      <c r="C2" s="1" t="s">
        <v>42</v>
      </c>
      <c r="D2" s="3">
        <f>B2/1000000</f>
        <v>3.3333333333333335</v>
      </c>
      <c r="E2" s="1" t="s">
        <v>47</v>
      </c>
    </row>
    <row r="3" spans="1:5" ht="18" customHeight="1" x14ac:dyDescent="0.45">
      <c r="A3" s="1" t="s">
        <v>48</v>
      </c>
      <c r="B3" s="3">
        <f>1/B4</f>
        <v>1.2499999999999999E-7</v>
      </c>
      <c r="C3" s="1" t="s">
        <v>43</v>
      </c>
      <c r="D3" s="3">
        <f>B3*1000000000</f>
        <v>125</v>
      </c>
      <c r="E3" s="1" t="s">
        <v>45</v>
      </c>
    </row>
    <row r="4" spans="1:5" ht="18" customHeight="1" x14ac:dyDescent="0.45">
      <c r="A4" s="1" t="s">
        <v>49</v>
      </c>
      <c r="B4" s="3">
        <v>8000000</v>
      </c>
      <c r="C4" s="1" t="s">
        <v>42</v>
      </c>
      <c r="D4" s="3">
        <f>B4/1000000</f>
        <v>8</v>
      </c>
      <c r="E4" s="1" t="s">
        <v>47</v>
      </c>
    </row>
    <row r="6" spans="1:5" ht="18" customHeight="1" x14ac:dyDescent="0.45">
      <c r="A6" s="1" t="s">
        <v>50</v>
      </c>
      <c r="B6" s="3">
        <f>1/(B4*PI())</f>
        <v>3.9788735772973837E-8</v>
      </c>
      <c r="C6" s="1" t="s">
        <v>43</v>
      </c>
      <c r="D6" s="3">
        <f>B6*1000000000</f>
        <v>39.788735772973837</v>
      </c>
      <c r="E6" s="1" t="s">
        <v>45</v>
      </c>
    </row>
    <row r="7" spans="1:5" ht="18" customHeight="1" x14ac:dyDescent="0.45">
      <c r="A7" s="1" t="s">
        <v>41</v>
      </c>
      <c r="B7" s="3">
        <v>2000000</v>
      </c>
      <c r="C7" s="1" t="s">
        <v>42</v>
      </c>
      <c r="D7" s="3">
        <f>B7/1000000</f>
        <v>2</v>
      </c>
      <c r="E7" s="1" t="s">
        <v>47</v>
      </c>
    </row>
    <row r="8" spans="1:5" ht="18" customHeight="1" x14ac:dyDescent="0.45">
      <c r="A8" s="1" t="s">
        <v>51</v>
      </c>
      <c r="B8" s="3">
        <f>1/B7</f>
        <v>4.9999999999999998E-7</v>
      </c>
      <c r="C8" s="1" t="s">
        <v>43</v>
      </c>
      <c r="D8" s="3">
        <f>B8*1000000000</f>
        <v>500</v>
      </c>
      <c r="E8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Ranges</vt:lpstr>
      <vt:lpstr>Power</vt:lpstr>
      <vt:lpstr>SPI timings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2018-08-18T14:32:09Z</dcterms:modified>
</cp:coreProperties>
</file>