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IENTIFICO DE DATOS\Documents\Volana\evaluacion_desempeño\"/>
    </mc:Choice>
  </mc:AlternateContent>
  <xr:revisionPtr revIDLastSave="0" documentId="13_ncr:1_{C5F14786-8EC2-433A-AE9B-114FAA799F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D Original" sheetId="1" r:id="rId1"/>
    <sheet name="Etiquetas" sheetId="2" r:id="rId2"/>
    <sheet name="BD Análisis" sheetId="3" r:id="rId3"/>
    <sheet name="Análisis Fuerza Comercial" sheetId="7" r:id="rId4"/>
    <sheet name="Calificaciones Promotores Sucur" sheetId="10" r:id="rId5"/>
    <sheet name="Impacto Rotación" sheetId="4" r:id="rId6"/>
  </sheets>
  <definedNames>
    <definedName name="_xlnm._FilterDatabase" localSheetId="2" hidden="1">'BD Análisis'!$B$4:$BA$78</definedName>
    <definedName name="_xlnm._FilterDatabase" localSheetId="0" hidden="1">'BD Original'!$A$2:$Z$226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0" i="3" l="1"/>
  <c r="AL20" i="3"/>
  <c r="AO20" i="3"/>
  <c r="AP20" i="3"/>
  <c r="AQ20" i="3"/>
  <c r="AR20" i="3"/>
  <c r="AS20" i="3"/>
  <c r="AT20" i="3"/>
  <c r="AU20" i="3"/>
  <c r="AV20" i="3"/>
  <c r="AY20" i="3"/>
  <c r="AZ20" i="3"/>
  <c r="AJ21" i="3"/>
  <c r="AY21" i="3" s="1"/>
  <c r="AL21" i="3"/>
  <c r="AO21" i="3"/>
  <c r="AP21" i="3"/>
  <c r="AQ21" i="3"/>
  <c r="AR21" i="3"/>
  <c r="AU21" i="3" s="1"/>
  <c r="AS21" i="3"/>
  <c r="AT21" i="3"/>
  <c r="AZ21" i="3"/>
  <c r="AI20" i="3"/>
  <c r="AI21" i="3"/>
  <c r="AH20" i="3"/>
  <c r="AH21" i="3"/>
  <c r="AG20" i="3"/>
  <c r="AG21" i="3"/>
  <c r="AF20" i="3"/>
  <c r="AF21" i="3"/>
  <c r="AE20" i="3"/>
  <c r="AE21" i="3"/>
  <c r="AD20" i="3"/>
  <c r="AD21" i="3"/>
  <c r="AC20" i="3"/>
  <c r="AC21" i="3"/>
  <c r="AB20" i="3"/>
  <c r="AB21" i="3"/>
  <c r="AA20" i="3"/>
  <c r="AA21" i="3"/>
  <c r="Z20" i="3"/>
  <c r="Z21" i="3"/>
  <c r="V20" i="3"/>
  <c r="V21" i="3"/>
  <c r="U20" i="3"/>
  <c r="U21" i="3"/>
  <c r="S20" i="3"/>
  <c r="S21" i="3"/>
  <c r="P20" i="3"/>
  <c r="I20" i="3" s="1"/>
  <c r="P21" i="3"/>
  <c r="I21" i="3" s="1"/>
  <c r="O20" i="3"/>
  <c r="O21" i="3"/>
  <c r="N20" i="3"/>
  <c r="N21" i="3"/>
  <c r="M20" i="3"/>
  <c r="M21" i="3"/>
  <c r="L20" i="3"/>
  <c r="L21" i="3"/>
  <c r="K20" i="3"/>
  <c r="K21" i="3"/>
  <c r="J20" i="3"/>
  <c r="J21" i="3"/>
  <c r="H20" i="3"/>
  <c r="H21" i="3"/>
  <c r="S39" i="1"/>
  <c r="S9" i="1"/>
  <c r="S24" i="1"/>
  <c r="S40" i="1"/>
  <c r="S41" i="1"/>
  <c r="S10" i="1"/>
  <c r="S25" i="1"/>
  <c r="S42" i="1"/>
  <c r="S11" i="1"/>
  <c r="S26" i="1"/>
  <c r="S43" i="1"/>
  <c r="S12" i="1"/>
  <c r="S27" i="1"/>
  <c r="S44" i="1"/>
  <c r="S28" i="1"/>
  <c r="S45" i="1"/>
  <c r="S13" i="1"/>
  <c r="S29" i="1"/>
  <c r="S46" i="1"/>
  <c r="S14" i="1"/>
  <c r="S30" i="1"/>
  <c r="S47" i="1"/>
  <c r="S15" i="1"/>
  <c r="S31" i="1"/>
  <c r="S48" i="1"/>
  <c r="S16" i="1"/>
  <c r="S32" i="1"/>
  <c r="S49" i="1"/>
  <c r="S17" i="1"/>
  <c r="S33" i="1"/>
  <c r="S50" i="1"/>
  <c r="J47" i="1"/>
  <c r="Q39" i="1"/>
  <c r="Q9" i="1"/>
  <c r="Q24" i="1"/>
  <c r="Q40" i="1"/>
  <c r="Q41" i="1"/>
  <c r="Q10" i="1"/>
  <c r="Q25" i="1"/>
  <c r="Q42" i="1"/>
  <c r="Q11" i="1"/>
  <c r="Q26" i="1"/>
  <c r="Q43" i="1"/>
  <c r="Q12" i="1"/>
  <c r="Q27" i="1"/>
  <c r="Q44" i="1"/>
  <c r="Q28" i="1"/>
  <c r="Q45" i="1"/>
  <c r="Q13" i="1"/>
  <c r="Q29" i="1"/>
  <c r="Q46" i="1"/>
  <c r="Q14" i="1"/>
  <c r="Q30" i="1"/>
  <c r="Q47" i="1"/>
  <c r="Q15" i="1"/>
  <c r="Q31" i="1"/>
  <c r="Q48" i="1"/>
  <c r="Q16" i="1"/>
  <c r="Q32" i="1"/>
  <c r="Q49" i="1"/>
  <c r="Q17" i="1"/>
  <c r="Q33" i="1"/>
  <c r="Q50" i="1"/>
  <c r="K14" i="1"/>
  <c r="K49" i="1"/>
  <c r="J46" i="1"/>
  <c r="C39" i="1"/>
  <c r="C9" i="1"/>
  <c r="C24" i="1"/>
  <c r="C40" i="1"/>
  <c r="C41" i="1"/>
  <c r="C10" i="1"/>
  <c r="C25" i="1"/>
  <c r="C42" i="1"/>
  <c r="C11" i="1"/>
  <c r="C26" i="1"/>
  <c r="C43" i="1"/>
  <c r="C12" i="1"/>
  <c r="C27" i="1"/>
  <c r="C44" i="1"/>
  <c r="C28" i="1"/>
  <c r="C45" i="1"/>
  <c r="C13" i="1"/>
  <c r="C29" i="1"/>
  <c r="C46" i="1"/>
  <c r="C14" i="1"/>
  <c r="C30" i="1"/>
  <c r="C47" i="1"/>
  <c r="C15" i="1"/>
  <c r="C31" i="1"/>
  <c r="C48" i="1"/>
  <c r="C16" i="1"/>
  <c r="C32" i="1"/>
  <c r="C49" i="1"/>
  <c r="C17" i="1"/>
  <c r="C33" i="1"/>
  <c r="C50" i="1"/>
  <c r="I39" i="1"/>
  <c r="K39" i="1" s="1"/>
  <c r="I9" i="1"/>
  <c r="K9" i="1" s="1"/>
  <c r="I24" i="1"/>
  <c r="K24" i="1" s="1"/>
  <c r="I40" i="1"/>
  <c r="K40" i="1" s="1"/>
  <c r="I41" i="1"/>
  <c r="K41" i="1" s="1"/>
  <c r="I10" i="1"/>
  <c r="K10" i="1" s="1"/>
  <c r="I25" i="1"/>
  <c r="J25" i="1" s="1"/>
  <c r="I42" i="1"/>
  <c r="J42" i="1" s="1"/>
  <c r="I11" i="1"/>
  <c r="K11" i="1" s="1"/>
  <c r="I26" i="1"/>
  <c r="J26" i="1" s="1"/>
  <c r="I43" i="1"/>
  <c r="K43" i="1" s="1"/>
  <c r="I12" i="1"/>
  <c r="K12" i="1" s="1"/>
  <c r="I27" i="1"/>
  <c r="J27" i="1" s="1"/>
  <c r="I44" i="1"/>
  <c r="K44" i="1" s="1"/>
  <c r="I28" i="1"/>
  <c r="K28" i="1" s="1"/>
  <c r="I45" i="1"/>
  <c r="J45" i="1" s="1"/>
  <c r="I13" i="1"/>
  <c r="K13" i="1" s="1"/>
  <c r="I29" i="1"/>
  <c r="J29" i="1" s="1"/>
  <c r="I46" i="1"/>
  <c r="K46" i="1" s="1"/>
  <c r="I14" i="1"/>
  <c r="J14" i="1" s="1"/>
  <c r="I30" i="1"/>
  <c r="K30" i="1" s="1"/>
  <c r="I47" i="1"/>
  <c r="K47" i="1" s="1"/>
  <c r="I15" i="1"/>
  <c r="K15" i="1" s="1"/>
  <c r="I31" i="1"/>
  <c r="K31" i="1" s="1"/>
  <c r="I48" i="1"/>
  <c r="K48" i="1" s="1"/>
  <c r="I16" i="1"/>
  <c r="J16" i="1" s="1"/>
  <c r="I32" i="1"/>
  <c r="J32" i="1" s="1"/>
  <c r="I49" i="1"/>
  <c r="J49" i="1" s="1"/>
  <c r="I17" i="1"/>
  <c r="K17" i="1" s="1"/>
  <c r="I33" i="1"/>
  <c r="K33" i="1" s="1"/>
  <c r="I50" i="1"/>
  <c r="K50" i="1" s="1"/>
  <c r="Y21" i="3" l="1"/>
  <c r="AX21" i="3" s="1"/>
  <c r="BA21" i="3" s="1"/>
  <c r="R20" i="3"/>
  <c r="Y20" i="3"/>
  <c r="AW20" i="3" s="1"/>
  <c r="R21" i="3"/>
  <c r="T21" i="3" s="1"/>
  <c r="AN21" i="3" s="1"/>
  <c r="AW21" i="3"/>
  <c r="T20" i="3"/>
  <c r="AN20" i="3" s="1"/>
  <c r="Q21" i="3"/>
  <c r="Q20" i="3"/>
  <c r="AV21" i="3"/>
  <c r="J31" i="1"/>
  <c r="J13" i="1"/>
  <c r="K32" i="1"/>
  <c r="J48" i="1"/>
  <c r="K16" i="1"/>
  <c r="J41" i="1"/>
  <c r="M41" i="1" s="1"/>
  <c r="J40" i="1"/>
  <c r="K25" i="1"/>
  <c r="J24" i="1"/>
  <c r="J9" i="1"/>
  <c r="K42" i="1"/>
  <c r="J12" i="1"/>
  <c r="J15" i="1"/>
  <c r="L48" i="1" s="1"/>
  <c r="J43" i="1"/>
  <c r="J39" i="1"/>
  <c r="K27" i="1"/>
  <c r="J50" i="1"/>
  <c r="J11" i="1"/>
  <c r="J44" i="1"/>
  <c r="J33" i="1"/>
  <c r="J30" i="1"/>
  <c r="L14" i="1" s="1"/>
  <c r="J17" i="1"/>
  <c r="J10" i="1"/>
  <c r="L42" i="1" s="1"/>
  <c r="L16" i="1"/>
  <c r="L32" i="1"/>
  <c r="M49" i="1"/>
  <c r="L49" i="1"/>
  <c r="M16" i="1"/>
  <c r="M32" i="1"/>
  <c r="L31" i="1"/>
  <c r="M15" i="1"/>
  <c r="M13" i="1"/>
  <c r="M29" i="1"/>
  <c r="L29" i="1"/>
  <c r="M46" i="1"/>
  <c r="L13" i="1"/>
  <c r="L46" i="1"/>
  <c r="K29" i="1"/>
  <c r="K45" i="1"/>
  <c r="J28" i="1"/>
  <c r="M28" i="1" s="1"/>
  <c r="L28" i="1"/>
  <c r="M45" i="1"/>
  <c r="M27" i="1"/>
  <c r="K26" i="1"/>
  <c r="AX20" i="3" l="1"/>
  <c r="BA20" i="3" s="1"/>
  <c r="W21" i="3"/>
  <c r="X21" i="3" s="1"/>
  <c r="AK21" i="3"/>
  <c r="AM21" i="3"/>
  <c r="BB21" i="3" s="1"/>
  <c r="AK20" i="3"/>
  <c r="AM20" i="3"/>
  <c r="BB20" i="3" s="1"/>
  <c r="W20" i="3"/>
  <c r="X20" i="3" s="1"/>
  <c r="L44" i="1"/>
  <c r="L26" i="1"/>
  <c r="L24" i="1"/>
  <c r="L40" i="1"/>
  <c r="L45" i="1"/>
  <c r="M24" i="1"/>
  <c r="L11" i="1"/>
  <c r="M40" i="1"/>
  <c r="L25" i="1"/>
  <c r="L41" i="1"/>
  <c r="L9" i="1"/>
  <c r="M50" i="1"/>
  <c r="M9" i="1"/>
  <c r="M14" i="1"/>
  <c r="L27" i="1"/>
  <c r="L15" i="1"/>
  <c r="M43" i="1"/>
  <c r="M12" i="1"/>
  <c r="M31" i="1"/>
  <c r="M10" i="1"/>
  <c r="M26" i="1"/>
  <c r="L12" i="1"/>
  <c r="M48" i="1"/>
  <c r="L50" i="1"/>
  <c r="M47" i="1"/>
  <c r="M25" i="1"/>
  <c r="L43" i="1"/>
  <c r="M17" i="1"/>
  <c r="L33" i="1"/>
  <c r="L30" i="1"/>
  <c r="M42" i="1"/>
  <c r="M11" i="1"/>
  <c r="M33" i="1"/>
  <c r="M30" i="1"/>
  <c r="L10" i="1"/>
  <c r="M44" i="1"/>
  <c r="L17" i="1"/>
  <c r="L47" i="1"/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5" i="3"/>
  <c r="AU2" i="3"/>
  <c r="BA1" i="3"/>
  <c r="AH6" i="3"/>
  <c r="AI6" i="3"/>
  <c r="AH7" i="3"/>
  <c r="AI7" i="3"/>
  <c r="AH8" i="3"/>
  <c r="AI8" i="3"/>
  <c r="AH9" i="3"/>
  <c r="AI9" i="3"/>
  <c r="AH10" i="3"/>
  <c r="AI10" i="3"/>
  <c r="AH11" i="3"/>
  <c r="AI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5" i="3"/>
  <c r="AI5" i="3"/>
  <c r="AE6" i="3"/>
  <c r="AF6" i="3"/>
  <c r="AE7" i="3"/>
  <c r="AF7" i="3"/>
  <c r="AE8" i="3"/>
  <c r="AF8" i="3"/>
  <c r="AE9" i="3"/>
  <c r="AF9" i="3"/>
  <c r="AE10" i="3"/>
  <c r="AF10" i="3"/>
  <c r="AE11" i="3"/>
  <c r="AF11" i="3"/>
  <c r="AE12" i="3"/>
  <c r="AF12" i="3"/>
  <c r="AE13" i="3"/>
  <c r="AF13" i="3"/>
  <c r="AE14" i="3"/>
  <c r="AF14" i="3"/>
  <c r="AE15" i="3"/>
  <c r="AF15" i="3"/>
  <c r="AE16" i="3"/>
  <c r="AF16" i="3"/>
  <c r="AE17" i="3"/>
  <c r="AF17" i="3"/>
  <c r="AE18" i="3"/>
  <c r="AF18" i="3"/>
  <c r="AE19" i="3"/>
  <c r="AF19" i="3"/>
  <c r="AE5" i="3"/>
  <c r="AG5" i="3"/>
  <c r="AO5" i="3" s="1"/>
  <c r="AF5" i="3"/>
  <c r="AG19" i="3"/>
  <c r="AO19" i="3" s="1"/>
  <c r="AG18" i="3"/>
  <c r="AO18" i="3" s="1"/>
  <c r="AG17" i="3"/>
  <c r="AO17" i="3" s="1"/>
  <c r="AG16" i="3"/>
  <c r="AO16" i="3" s="1"/>
  <c r="AG15" i="3"/>
  <c r="AO15" i="3" s="1"/>
  <c r="AG14" i="3"/>
  <c r="AO14" i="3" s="1"/>
  <c r="AG13" i="3"/>
  <c r="AO13" i="3" s="1"/>
  <c r="AG12" i="3"/>
  <c r="AO12" i="3" s="1"/>
  <c r="AG11" i="3"/>
  <c r="AO11" i="3" s="1"/>
  <c r="AG10" i="3"/>
  <c r="AO10" i="3" s="1"/>
  <c r="AG9" i="3"/>
  <c r="AO9" i="3" s="1"/>
  <c r="AG8" i="3"/>
  <c r="AO8" i="3" s="1"/>
  <c r="AG7" i="3"/>
  <c r="AO7" i="3" s="1"/>
  <c r="AG6" i="3"/>
  <c r="AO6" i="3" s="1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5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S4" i="1"/>
  <c r="S35" i="1"/>
  <c r="S8" i="1"/>
  <c r="S23" i="1"/>
  <c r="S5" i="1"/>
  <c r="S37" i="1"/>
  <c r="S38" i="1"/>
  <c r="S3" i="1"/>
  <c r="S19" i="1"/>
  <c r="S6" i="1"/>
  <c r="S36" i="1"/>
  <c r="S21" i="1"/>
  <c r="S18" i="1"/>
  <c r="S7" i="1"/>
  <c r="S22" i="1"/>
  <c r="S20" i="1"/>
  <c r="S34" i="1"/>
  <c r="Q4" i="1"/>
  <c r="Q35" i="1"/>
  <c r="Q8" i="1"/>
  <c r="Q23" i="1"/>
  <c r="Q5" i="1"/>
  <c r="Q37" i="1"/>
  <c r="Q38" i="1"/>
  <c r="Q3" i="1"/>
  <c r="Q19" i="1"/>
  <c r="Q6" i="1"/>
  <c r="Q36" i="1"/>
  <c r="Q21" i="1"/>
  <c r="Q18" i="1"/>
  <c r="Q7" i="1"/>
  <c r="Q22" i="1"/>
  <c r="Q20" i="1"/>
  <c r="Q34" i="1"/>
  <c r="C18" i="1"/>
  <c r="C34" i="1"/>
  <c r="C4" i="1"/>
  <c r="C19" i="1"/>
  <c r="C35" i="1"/>
  <c r="C5" i="1"/>
  <c r="C20" i="1"/>
  <c r="C36" i="1"/>
  <c r="C6" i="1"/>
  <c r="C21" i="1"/>
  <c r="C37" i="1"/>
  <c r="C7" i="1"/>
  <c r="C22" i="1"/>
  <c r="C38" i="1"/>
  <c r="C8" i="1"/>
  <c r="C23" i="1"/>
  <c r="C3" i="1"/>
  <c r="B7" i="2"/>
  <c r="B8" i="2" s="1"/>
  <c r="I4" i="1"/>
  <c r="I35" i="1"/>
  <c r="I8" i="1"/>
  <c r="I23" i="1"/>
  <c r="I5" i="1"/>
  <c r="I37" i="1"/>
  <c r="I38" i="1"/>
  <c r="I3" i="1"/>
  <c r="I19" i="1"/>
  <c r="I6" i="1"/>
  <c r="I36" i="1"/>
  <c r="I21" i="1"/>
  <c r="I18" i="1"/>
  <c r="I7" i="1"/>
  <c r="I22" i="1"/>
  <c r="I20" i="1"/>
  <c r="I34" i="1"/>
  <c r="K34" i="1" s="1"/>
  <c r="K19" i="1" l="1"/>
  <c r="K3" i="1"/>
  <c r="K37" i="1"/>
  <c r="K38" i="1"/>
  <c r="K7" i="1"/>
  <c r="AL19" i="3" s="1"/>
  <c r="K21" i="1"/>
  <c r="K23" i="1"/>
  <c r="K8" i="1"/>
  <c r="K20" i="1"/>
  <c r="K22" i="1"/>
  <c r="K6" i="1"/>
  <c r="K35" i="1"/>
  <c r="AP12" i="3"/>
  <c r="AP19" i="3"/>
  <c r="AP11" i="3"/>
  <c r="AP18" i="3"/>
  <c r="AP10" i="3"/>
  <c r="AP13" i="3"/>
  <c r="AP17" i="3"/>
  <c r="AP9" i="3"/>
  <c r="AP5" i="3"/>
  <c r="AP16" i="3"/>
  <c r="AP8" i="3"/>
  <c r="AP15" i="3"/>
  <c r="AP7" i="3"/>
  <c r="AP14" i="3"/>
  <c r="AP6" i="3"/>
  <c r="AJ17" i="3"/>
  <c r="AJ13" i="3"/>
  <c r="AJ9" i="3"/>
  <c r="AJ7" i="3"/>
  <c r="AJ15" i="3"/>
  <c r="AJ19" i="3"/>
  <c r="AJ12" i="3"/>
  <c r="AJ10" i="3"/>
  <c r="K18" i="1"/>
  <c r="K5" i="1"/>
  <c r="K4" i="1"/>
  <c r="AL6" i="3" s="1"/>
  <c r="AJ5" i="3"/>
  <c r="AJ16" i="3"/>
  <c r="AB8" i="3"/>
  <c r="AJ8" i="3"/>
  <c r="AJ18" i="3"/>
  <c r="AJ11" i="3"/>
  <c r="AJ14" i="3"/>
  <c r="AJ6" i="3"/>
  <c r="AD12" i="3"/>
  <c r="AD19" i="3"/>
  <c r="AR19" i="3" s="1"/>
  <c r="AD11" i="3"/>
  <c r="AD18" i="3"/>
  <c r="AD10" i="3"/>
  <c r="AD17" i="3"/>
  <c r="AD9" i="3"/>
  <c r="AD16" i="3"/>
  <c r="AD8" i="3"/>
  <c r="AD5" i="3"/>
  <c r="AD15" i="3"/>
  <c r="AD7" i="3"/>
  <c r="AB16" i="3"/>
  <c r="AD14" i="3"/>
  <c r="AD6" i="3"/>
  <c r="AR6" i="3" s="1"/>
  <c r="AB17" i="3"/>
  <c r="AB9" i="3"/>
  <c r="AD13" i="3"/>
  <c r="AB19" i="3"/>
  <c r="AB11" i="3"/>
  <c r="AB13" i="3"/>
  <c r="AB15" i="3"/>
  <c r="AB7" i="3"/>
  <c r="AB14" i="3"/>
  <c r="AB6" i="3"/>
  <c r="AB12" i="3"/>
  <c r="AB18" i="3"/>
  <c r="AB10" i="3"/>
  <c r="AB5" i="3"/>
  <c r="J4" i="1"/>
  <c r="J3" i="1"/>
  <c r="J19" i="1"/>
  <c r="J6" i="1"/>
  <c r="J20" i="1"/>
  <c r="A31" i="1"/>
  <c r="J34" i="1"/>
  <c r="AL5" i="3" s="1"/>
  <c r="J35" i="1"/>
  <c r="J8" i="1"/>
  <c r="J36" i="1"/>
  <c r="A32" i="1"/>
  <c r="J23" i="1"/>
  <c r="J21" i="1"/>
  <c r="A49" i="1"/>
  <c r="J5" i="1"/>
  <c r="J18" i="1"/>
  <c r="A30" i="1"/>
  <c r="J37" i="1"/>
  <c r="J7" i="1"/>
  <c r="A47" i="1"/>
  <c r="J38" i="1"/>
  <c r="J22" i="1"/>
  <c r="A15" i="1"/>
  <c r="A17" i="1"/>
  <c r="B9" i="2"/>
  <c r="M39" i="1" l="1"/>
  <c r="L39" i="1"/>
  <c r="M35" i="1"/>
  <c r="AL10" i="3"/>
  <c r="AL12" i="3"/>
  <c r="AL14" i="3"/>
  <c r="AL18" i="3"/>
  <c r="AL7" i="3"/>
  <c r="AL9" i="3"/>
  <c r="M34" i="1"/>
  <c r="AL15" i="3"/>
  <c r="AL17" i="3"/>
  <c r="AL8" i="3"/>
  <c r="AL11" i="3"/>
  <c r="AL13" i="3"/>
  <c r="AZ6" i="3"/>
  <c r="AY6" i="3"/>
  <c r="AZ17" i="3"/>
  <c r="AY17" i="3"/>
  <c r="AY11" i="3"/>
  <c r="AZ11" i="3"/>
  <c r="AZ18" i="3"/>
  <c r="AY18" i="3"/>
  <c r="AZ10" i="3"/>
  <c r="AY10" i="3"/>
  <c r="AZ7" i="3"/>
  <c r="AY7" i="3"/>
  <c r="AZ5" i="3"/>
  <c r="AY5" i="3"/>
  <c r="AZ15" i="3"/>
  <c r="AY15" i="3"/>
  <c r="AY13" i="3"/>
  <c r="AZ13" i="3"/>
  <c r="AY12" i="3"/>
  <c r="AZ12" i="3"/>
  <c r="AZ8" i="3"/>
  <c r="AY8" i="3"/>
  <c r="AZ16" i="3"/>
  <c r="AY16" i="3"/>
  <c r="AY19" i="3"/>
  <c r="AZ19" i="3"/>
  <c r="AZ14" i="3"/>
  <c r="AY14" i="3"/>
  <c r="AZ9" i="3"/>
  <c r="AY9" i="3"/>
  <c r="AQ13" i="3"/>
  <c r="AR13" i="3"/>
  <c r="AQ14" i="3"/>
  <c r="AR14" i="3"/>
  <c r="AQ7" i="3"/>
  <c r="AR7" i="3"/>
  <c r="AQ10" i="3"/>
  <c r="AR10" i="3"/>
  <c r="AS15" i="3"/>
  <c r="AT15" i="3"/>
  <c r="AS17" i="3"/>
  <c r="AT17" i="3"/>
  <c r="AS16" i="3"/>
  <c r="AT16" i="3"/>
  <c r="AS18" i="3"/>
  <c r="AT18" i="3"/>
  <c r="AS12" i="3"/>
  <c r="AT12" i="3"/>
  <c r="AQ15" i="3"/>
  <c r="AR15" i="3"/>
  <c r="AR5" i="3"/>
  <c r="AQ5" i="3"/>
  <c r="AQ18" i="3"/>
  <c r="AR18" i="3"/>
  <c r="AQ11" i="3"/>
  <c r="AR11" i="3"/>
  <c r="AS10" i="3"/>
  <c r="AT10" i="3"/>
  <c r="AS11" i="3"/>
  <c r="AT11" i="3"/>
  <c r="AQ8" i="3"/>
  <c r="AR8" i="3"/>
  <c r="AQ12" i="3"/>
  <c r="AR12" i="3"/>
  <c r="AS7" i="3"/>
  <c r="AT7" i="3"/>
  <c r="AT5" i="3"/>
  <c r="AS5" i="3"/>
  <c r="AS9" i="3"/>
  <c r="AT9" i="3"/>
  <c r="AS19" i="3"/>
  <c r="AT19" i="3"/>
  <c r="AU19" i="3" s="1"/>
  <c r="AV19" i="3" s="1"/>
  <c r="AQ16" i="3"/>
  <c r="AR16" i="3"/>
  <c r="AQ9" i="3"/>
  <c r="AR9" i="3"/>
  <c r="AS13" i="3"/>
  <c r="AT13" i="3"/>
  <c r="AQ17" i="3"/>
  <c r="AR17" i="3"/>
  <c r="AS8" i="3"/>
  <c r="AT8" i="3"/>
  <c r="AS6" i="3"/>
  <c r="AT6" i="3"/>
  <c r="AU6" i="3" s="1"/>
  <c r="AV6" i="3" s="1"/>
  <c r="AS14" i="3"/>
  <c r="AT14" i="3"/>
  <c r="AQ19" i="3"/>
  <c r="AQ6" i="3"/>
  <c r="K36" i="1"/>
  <c r="AL16" i="3" s="1"/>
  <c r="A12" i="1"/>
  <c r="A6" i="1"/>
  <c r="M19" i="1"/>
  <c r="A40" i="1"/>
  <c r="A42" i="1"/>
  <c r="A37" i="1"/>
  <c r="M36" i="1"/>
  <c r="A44" i="1"/>
  <c r="A45" i="1"/>
  <c r="A14" i="1"/>
  <c r="A35" i="1"/>
  <c r="M5" i="1"/>
  <c r="A20" i="1"/>
  <c r="M38" i="1"/>
  <c r="A18" i="1"/>
  <c r="M4" i="1"/>
  <c r="A48" i="1"/>
  <c r="A4" i="1"/>
  <c r="M8" i="1"/>
  <c r="A50" i="1"/>
  <c r="A23" i="1"/>
  <c r="M20" i="1"/>
  <c r="A21" i="1"/>
  <c r="M6" i="1"/>
  <c r="A22" i="1"/>
  <c r="M18" i="1"/>
  <c r="A33" i="1"/>
  <c r="A8" i="1"/>
  <c r="M22" i="1"/>
  <c r="A13" i="1"/>
  <c r="A11" i="1"/>
  <c r="A26" i="1"/>
  <c r="A38" i="1"/>
  <c r="M7" i="1"/>
  <c r="A46" i="1"/>
  <c r="A9" i="1"/>
  <c r="A41" i="1"/>
  <c r="A24" i="1"/>
  <c r="A27" i="1"/>
  <c r="A28" i="1"/>
  <c r="A39" i="1"/>
  <c r="A29" i="1"/>
  <c r="A19" i="1"/>
  <c r="M23" i="1"/>
  <c r="A5" i="1"/>
  <c r="M37" i="1"/>
  <c r="A36" i="1"/>
  <c r="M3" i="1"/>
  <c r="A43" i="1"/>
  <c r="A16" i="1"/>
  <c r="A7" i="1"/>
  <c r="M21" i="1"/>
  <c r="A25" i="1"/>
  <c r="A10" i="1"/>
  <c r="L35" i="1"/>
  <c r="A34" i="1"/>
  <c r="L34" i="1"/>
  <c r="A3" i="1"/>
  <c r="L19" i="1"/>
  <c r="J14" i="3" s="1"/>
  <c r="L5" i="1"/>
  <c r="L38" i="1"/>
  <c r="J12" i="3" s="1"/>
  <c r="L4" i="1"/>
  <c r="J6" i="3" s="1"/>
  <c r="L8" i="1"/>
  <c r="L6" i="1"/>
  <c r="J15" i="3" s="1"/>
  <c r="L18" i="1"/>
  <c r="J18" i="3" s="1"/>
  <c r="L22" i="1"/>
  <c r="L3" i="1"/>
  <c r="J13" i="3" s="1"/>
  <c r="L23" i="1"/>
  <c r="L37" i="1"/>
  <c r="J11" i="3" s="1"/>
  <c r="L21" i="1"/>
  <c r="J17" i="3" s="1"/>
  <c r="L7" i="1"/>
  <c r="J19" i="3" s="1"/>
  <c r="L20" i="1"/>
  <c r="L36" i="1"/>
  <c r="J16" i="3" s="1"/>
  <c r="J10" i="3" l="1"/>
  <c r="J9" i="3"/>
  <c r="J7" i="3"/>
  <c r="L7" i="3" s="1"/>
  <c r="J5" i="3"/>
  <c r="M5" i="3" s="1"/>
  <c r="K9" i="3"/>
  <c r="S9" i="3" s="1"/>
  <c r="J8" i="3"/>
  <c r="P8" i="3" s="1"/>
  <c r="I8" i="3" s="1"/>
  <c r="K11" i="3"/>
  <c r="U11" i="3" s="1"/>
  <c r="K8" i="3"/>
  <c r="K12" i="3"/>
  <c r="S12" i="3" s="1"/>
  <c r="K14" i="3"/>
  <c r="U14" i="3" s="1"/>
  <c r="K5" i="3"/>
  <c r="K17" i="3"/>
  <c r="U17" i="3" s="1"/>
  <c r="K13" i="3"/>
  <c r="U13" i="3" s="1"/>
  <c r="K10" i="3"/>
  <c r="U10" i="3" s="1"/>
  <c r="K19" i="3"/>
  <c r="S19" i="3" s="1"/>
  <c r="K15" i="3"/>
  <c r="U15" i="3" s="1"/>
  <c r="K18" i="3"/>
  <c r="U18" i="3" s="1"/>
  <c r="K16" i="3"/>
  <c r="U16" i="3" s="1"/>
  <c r="K7" i="3"/>
  <c r="U7" i="3" s="1"/>
  <c r="K6" i="3"/>
  <c r="S6" i="3" s="1"/>
  <c r="AU13" i="3"/>
  <c r="AV13" i="3" s="1"/>
  <c r="AU18" i="3"/>
  <c r="AV18" i="3" s="1"/>
  <c r="AU15" i="3"/>
  <c r="AV15" i="3" s="1"/>
  <c r="AU8" i="3"/>
  <c r="AV8" i="3" s="1"/>
  <c r="AU10" i="3"/>
  <c r="AV10" i="3" s="1"/>
  <c r="AU12" i="3"/>
  <c r="AV12" i="3" s="1"/>
  <c r="AU5" i="3"/>
  <c r="AV5" i="3" s="1"/>
  <c r="AU17" i="3"/>
  <c r="AV17" i="3" s="1"/>
  <c r="AU11" i="3"/>
  <c r="AV11" i="3" s="1"/>
  <c r="U9" i="3"/>
  <c r="L6" i="3"/>
  <c r="AU14" i="3"/>
  <c r="AV14" i="3" s="1"/>
  <c r="AU16" i="3"/>
  <c r="AV16" i="3" s="1"/>
  <c r="AU9" i="3"/>
  <c r="AV9" i="3" s="1"/>
  <c r="AU7" i="3"/>
  <c r="AV7" i="3" s="1"/>
  <c r="L12" i="3"/>
  <c r="L10" i="3"/>
  <c r="L19" i="3"/>
  <c r="L14" i="3"/>
  <c r="L9" i="3"/>
  <c r="L17" i="3"/>
  <c r="L13" i="3"/>
  <c r="L16" i="3"/>
  <c r="L11" i="3"/>
  <c r="L18" i="3"/>
  <c r="L15" i="3"/>
  <c r="P19" i="3"/>
  <c r="I19" i="3" s="1"/>
  <c r="O19" i="3"/>
  <c r="N19" i="3"/>
  <c r="M19" i="3"/>
  <c r="N13" i="3"/>
  <c r="P13" i="3"/>
  <c r="I13" i="3" s="1"/>
  <c r="M13" i="3"/>
  <c r="O13" i="3"/>
  <c r="N14" i="3"/>
  <c r="M14" i="3"/>
  <c r="P14" i="3"/>
  <c r="I14" i="3" s="1"/>
  <c r="O14" i="3"/>
  <c r="N9" i="3"/>
  <c r="P9" i="3"/>
  <c r="I9" i="3" s="1"/>
  <c r="O9" i="3"/>
  <c r="M9" i="3"/>
  <c r="M6" i="3"/>
  <c r="N6" i="3"/>
  <c r="P6" i="3"/>
  <c r="I6" i="3" s="1"/>
  <c r="O6" i="3"/>
  <c r="P5" i="3"/>
  <c r="I5" i="3" s="1"/>
  <c r="N5" i="3"/>
  <c r="N18" i="3"/>
  <c r="M18" i="3"/>
  <c r="P18" i="3"/>
  <c r="I18" i="3" s="1"/>
  <c r="O18" i="3"/>
  <c r="P17" i="3"/>
  <c r="I17" i="3" s="1"/>
  <c r="N17" i="3"/>
  <c r="O17" i="3"/>
  <c r="M17" i="3"/>
  <c r="P16" i="3"/>
  <c r="I16" i="3" s="1"/>
  <c r="O16" i="3"/>
  <c r="N16" i="3"/>
  <c r="M16" i="3"/>
  <c r="P11" i="3"/>
  <c r="I11" i="3" s="1"/>
  <c r="O11" i="3"/>
  <c r="N11" i="3"/>
  <c r="M11" i="3"/>
  <c r="P15" i="3"/>
  <c r="I15" i="3" s="1"/>
  <c r="O15" i="3"/>
  <c r="N15" i="3"/>
  <c r="M15" i="3"/>
  <c r="P12" i="3"/>
  <c r="I12" i="3" s="1"/>
  <c r="N12" i="3"/>
  <c r="O12" i="3"/>
  <c r="M12" i="3"/>
  <c r="N10" i="3"/>
  <c r="M10" i="3"/>
  <c r="P10" i="3"/>
  <c r="I10" i="3" s="1"/>
  <c r="O10" i="3"/>
  <c r="P7" i="3"/>
  <c r="I7" i="3" s="1"/>
  <c r="N7" i="3"/>
  <c r="M7" i="3"/>
  <c r="O7" i="3"/>
  <c r="O5" i="3" l="1"/>
  <c r="L5" i="3"/>
  <c r="R5" i="3" s="1"/>
  <c r="N8" i="3"/>
  <c r="L8" i="3"/>
  <c r="U5" i="3"/>
  <c r="S8" i="3"/>
  <c r="O8" i="3"/>
  <c r="M8" i="3"/>
  <c r="U8" i="3"/>
  <c r="S17" i="3"/>
  <c r="Y17" i="3" s="1"/>
  <c r="AW17" i="3" s="1"/>
  <c r="S11" i="3"/>
  <c r="Y11" i="3" s="1"/>
  <c r="AW11" i="3" s="1"/>
  <c r="U12" i="3"/>
  <c r="Y12" i="3" s="1"/>
  <c r="AW12" i="3" s="1"/>
  <c r="S5" i="3"/>
  <c r="S16" i="3"/>
  <c r="Y16" i="3" s="1"/>
  <c r="AW16" i="3" s="1"/>
  <c r="S10" i="3"/>
  <c r="S7" i="3"/>
  <c r="S14" i="3"/>
  <c r="Y9" i="3"/>
  <c r="AW9" i="3" s="1"/>
  <c r="S13" i="3"/>
  <c r="S15" i="3"/>
  <c r="U6" i="3"/>
  <c r="Y6" i="3" s="1"/>
  <c r="U19" i="3"/>
  <c r="Y19" i="3" s="1"/>
  <c r="S18" i="3"/>
  <c r="Q7" i="3"/>
  <c r="Q10" i="3"/>
  <c r="Q12" i="3"/>
  <c r="Q6" i="3"/>
  <c r="Q16" i="3"/>
  <c r="Q15" i="3"/>
  <c r="Q13" i="3"/>
  <c r="Q18" i="3"/>
  <c r="Q19" i="3"/>
  <c r="Q17" i="3"/>
  <c r="Q9" i="3"/>
  <c r="Q11" i="3"/>
  <c r="Q14" i="3"/>
  <c r="R15" i="3"/>
  <c r="R10" i="3"/>
  <c r="R9" i="3"/>
  <c r="R16" i="3"/>
  <c r="R12" i="3"/>
  <c r="R11" i="3"/>
  <c r="R17" i="3"/>
  <c r="R7" i="3"/>
  <c r="R18" i="3"/>
  <c r="R14" i="3"/>
  <c r="R13" i="3"/>
  <c r="R6" i="3"/>
  <c r="R19" i="3"/>
  <c r="Q5" i="3" l="1"/>
  <c r="AM5" i="3" s="1"/>
  <c r="Y5" i="3"/>
  <c r="AW5" i="3" s="1"/>
  <c r="Y8" i="3"/>
  <c r="AX8" i="3" s="1"/>
  <c r="BA8" i="3" s="1"/>
  <c r="R8" i="3"/>
  <c r="T8" i="3" s="1"/>
  <c r="AN8" i="3" s="1"/>
  <c r="Q8" i="3"/>
  <c r="AM8" i="3" s="1"/>
  <c r="T11" i="3"/>
  <c r="AN11" i="3" s="1"/>
  <c r="Y7" i="3"/>
  <c r="AW7" i="3" s="1"/>
  <c r="T7" i="3"/>
  <c r="AN7" i="3" s="1"/>
  <c r="T5" i="3"/>
  <c r="AN5" i="3" s="1"/>
  <c r="T19" i="3"/>
  <c r="AN19" i="3" s="1"/>
  <c r="T16" i="3"/>
  <c r="AN16" i="3" s="1"/>
  <c r="Y10" i="3"/>
  <c r="AW10" i="3" s="1"/>
  <c r="T10" i="3"/>
  <c r="AN10" i="3" s="1"/>
  <c r="T6" i="3"/>
  <c r="AN6" i="3" s="1"/>
  <c r="T17" i="3"/>
  <c r="AN17" i="3" s="1"/>
  <c r="Y13" i="3"/>
  <c r="AW13" i="3" s="1"/>
  <c r="T13" i="3"/>
  <c r="AN13" i="3" s="1"/>
  <c r="T12" i="3"/>
  <c r="AN12" i="3" s="1"/>
  <c r="T9" i="3"/>
  <c r="AN9" i="3" s="1"/>
  <c r="Y18" i="3"/>
  <c r="AW18" i="3" s="1"/>
  <c r="T18" i="3"/>
  <c r="AN18" i="3" s="1"/>
  <c r="Y15" i="3"/>
  <c r="AW15" i="3" s="1"/>
  <c r="T15" i="3"/>
  <c r="AN15" i="3" s="1"/>
  <c r="Y14" i="3"/>
  <c r="AW14" i="3" s="1"/>
  <c r="T14" i="3"/>
  <c r="AN14" i="3" s="1"/>
  <c r="AX12" i="3"/>
  <c r="BA12" i="3" s="1"/>
  <c r="AX11" i="3"/>
  <c r="BA11" i="3" s="1"/>
  <c r="AX9" i="3"/>
  <c r="BA9" i="3" s="1"/>
  <c r="AX17" i="3"/>
  <c r="BA17" i="3" s="1"/>
  <c r="AX16" i="3"/>
  <c r="BA16" i="3" s="1"/>
  <c r="AW6" i="3"/>
  <c r="AX6" i="3"/>
  <c r="BA6" i="3" s="1"/>
  <c r="AW19" i="3"/>
  <c r="AX19" i="3"/>
  <c r="BA19" i="3" s="1"/>
  <c r="AX5" i="3"/>
  <c r="BA5" i="3" s="1"/>
  <c r="AK5" i="3"/>
  <c r="AK16" i="3"/>
  <c r="AK10" i="3"/>
  <c r="AK17" i="3"/>
  <c r="AK15" i="3"/>
  <c r="AK11" i="3"/>
  <c r="AK18" i="3"/>
  <c r="AK6" i="3"/>
  <c r="AK13" i="3"/>
  <c r="AK19" i="3"/>
  <c r="AK14" i="3"/>
  <c r="AK9" i="3"/>
  <c r="AK12" i="3"/>
  <c r="AK7" i="3"/>
  <c r="W13" i="3"/>
  <c r="X13" i="3" s="1"/>
  <c r="AM13" i="3"/>
  <c r="W16" i="3"/>
  <c r="X16" i="3" s="1"/>
  <c r="AM16" i="3"/>
  <c r="BB16" i="3" s="1"/>
  <c r="W10" i="3"/>
  <c r="X10" i="3" s="1"/>
  <c r="AM10" i="3"/>
  <c r="W17" i="3"/>
  <c r="X17" i="3" s="1"/>
  <c r="AM17" i="3"/>
  <c r="BB17" i="3" s="1"/>
  <c r="W15" i="3"/>
  <c r="X15" i="3" s="1"/>
  <c r="AM15" i="3"/>
  <c r="W5" i="3"/>
  <c r="X5" i="3" s="1"/>
  <c r="W11" i="3"/>
  <c r="X11" i="3" s="1"/>
  <c r="AM11" i="3"/>
  <c r="BB11" i="3" s="1"/>
  <c r="W18" i="3"/>
  <c r="X18" i="3" s="1"/>
  <c r="AM18" i="3"/>
  <c r="W6" i="3"/>
  <c r="X6" i="3" s="1"/>
  <c r="AM6" i="3"/>
  <c r="W19" i="3"/>
  <c r="X19" i="3" s="1"/>
  <c r="AM19" i="3"/>
  <c r="W14" i="3"/>
  <c r="X14" i="3" s="1"/>
  <c r="AM14" i="3"/>
  <c r="W9" i="3"/>
  <c r="X9" i="3" s="1"/>
  <c r="AM9" i="3"/>
  <c r="BB9" i="3" s="1"/>
  <c r="W12" i="3"/>
  <c r="X12" i="3" s="1"/>
  <c r="AM12" i="3"/>
  <c r="BB12" i="3" s="1"/>
  <c r="W7" i="3"/>
  <c r="X7" i="3" s="1"/>
  <c r="AM7" i="3"/>
  <c r="W8" i="3" l="1"/>
  <c r="X8" i="3" s="1"/>
  <c r="AW8" i="3"/>
  <c r="BB8" i="3" s="1"/>
  <c r="AK8" i="3"/>
  <c r="AX10" i="3"/>
  <c r="BA10" i="3" s="1"/>
  <c r="BB7" i="3"/>
  <c r="BB19" i="3"/>
  <c r="AX15" i="3"/>
  <c r="BA15" i="3" s="1"/>
  <c r="AX13" i="3"/>
  <c r="BA13" i="3" s="1"/>
  <c r="AX14" i="3"/>
  <c r="BA14" i="3" s="1"/>
  <c r="AX18" i="3"/>
  <c r="BA18" i="3" s="1"/>
  <c r="BB13" i="3"/>
  <c r="AX7" i="3"/>
  <c r="BA7" i="3" s="1"/>
  <c r="BB15" i="3"/>
  <c r="BB18" i="3"/>
  <c r="BB6" i="3"/>
  <c r="BB5" i="3"/>
  <c r="BB10" i="3"/>
  <c r="BB14" i="3"/>
</calcChain>
</file>

<file path=xl/sharedStrings.xml><?xml version="1.0" encoding="utf-8"?>
<sst xmlns="http://schemas.openxmlformats.org/spreadsheetml/2006/main" count="596" uniqueCount="202">
  <si>
    <t>SUCURSAL</t>
  </si>
  <si>
    <t>ID</t>
  </si>
  <si>
    <t>NOMBRE DEL EMPLEADO</t>
  </si>
  <si>
    <t>FECHA DE INGRESO</t>
  </si>
  <si>
    <t>Cartera 0 Mora</t>
  </si>
  <si>
    <t>CREDITOS_POR_RENOVAR</t>
  </si>
  <si>
    <t>CREDITOS_RENOVADOS</t>
  </si>
  <si>
    <t>Total incentivos</t>
  </si>
  <si>
    <t>MES</t>
  </si>
  <si>
    <t>AMECAMECA</t>
  </si>
  <si>
    <t>CHALCO</t>
  </si>
  <si>
    <t>IXTAPALUCA</t>
  </si>
  <si>
    <t>MILPA ALTA</t>
  </si>
  <si>
    <t>TEXCOCO</t>
  </si>
  <si>
    <t>TLAHUAC</t>
  </si>
  <si>
    <t>TONALA</t>
  </si>
  <si>
    <t>TONALA 2</t>
  </si>
  <si>
    <t>CHIMALHUACAN 2</t>
  </si>
  <si>
    <t>FORTIN</t>
  </si>
  <si>
    <t>IZTAPALAPA</t>
  </si>
  <si>
    <t>NEZAHUALCOYOTL</t>
  </si>
  <si>
    <t>NEZAHUALCOYOTL 2</t>
  </si>
  <si>
    <t>ORIZABA</t>
  </si>
  <si>
    <t>SURESTE</t>
  </si>
  <si>
    <t>COATZACOALCOS</t>
  </si>
  <si>
    <t>VILLAHERMOSA</t>
  </si>
  <si>
    <t>CARDENAS</t>
  </si>
  <si>
    <t>Bolsa de incentivo</t>
  </si>
  <si>
    <t>REGION</t>
  </si>
  <si>
    <t>REGIÓN F</t>
  </si>
  <si>
    <t>REGIÓN O</t>
  </si>
  <si>
    <t>Meta de colocación</t>
  </si>
  <si>
    <t>colocación real</t>
  </si>
  <si>
    <t>NUM DE PROSPECTOS</t>
  </si>
  <si>
    <t>Quebrantos</t>
  </si>
  <si>
    <t>Antigüedad</t>
  </si>
  <si>
    <t>Antigüedad (días)</t>
  </si>
  <si>
    <t>3 a 6 Meses</t>
  </si>
  <si>
    <t>&lt; 3 Meses</t>
  </si>
  <si>
    <t>6 a 12 Meses</t>
  </si>
  <si>
    <t>1 a 1.5 años</t>
  </si>
  <si>
    <t>1.5 a 2 años</t>
  </si>
  <si>
    <t>2 a 2.5 años</t>
  </si>
  <si>
    <t>2.5 a 3 años</t>
  </si>
  <si>
    <t>Mas de 3 años</t>
  </si>
  <si>
    <t>Etiqueta Antigüedad</t>
  </si>
  <si>
    <t>Etiquetas de fila</t>
  </si>
  <si>
    <t>Total general</t>
  </si>
  <si>
    <t>Etiquetas de columna</t>
  </si>
  <si>
    <t>jul</t>
  </si>
  <si>
    <t>ago</t>
  </si>
  <si>
    <t>sep</t>
  </si>
  <si>
    <t>oct</t>
  </si>
  <si>
    <t>nov</t>
  </si>
  <si>
    <t>Cuenta de NOMBRE DEL EMPLEADO</t>
  </si>
  <si>
    <t>(Todas)</t>
  </si>
  <si>
    <t>Total REGIÓN F</t>
  </si>
  <si>
    <t>Total REGIÓN O</t>
  </si>
  <si>
    <t>Total SURESTE</t>
  </si>
  <si>
    <t>No Mes</t>
  </si>
  <si>
    <t>Antigüedad (Meses)</t>
  </si>
  <si>
    <t>Cartera inicio de Mes</t>
  </si>
  <si>
    <t>Cartera cierre de Mes</t>
  </si>
  <si>
    <t>% Cartera 0 Mora</t>
  </si>
  <si>
    <t>% Quebranto / Cartera</t>
  </si>
  <si>
    <t>Mes 1</t>
  </si>
  <si>
    <t>Mes 2</t>
  </si>
  <si>
    <t>Mes 3</t>
  </si>
  <si>
    <t>Mes 4</t>
  </si>
  <si>
    <t>Mes 5</t>
  </si>
  <si>
    <t>Antigüedad Primer Mes de Evaluación</t>
  </si>
  <si>
    <t>Llave</t>
  </si>
  <si>
    <t>¿Cartera en ceros en mes 5?</t>
  </si>
  <si>
    <t>Fecha de Ingreso</t>
  </si>
  <si>
    <t>Nombre del empleado</t>
  </si>
  <si>
    <t>Sucursal</t>
  </si>
  <si>
    <t>Región</t>
  </si>
  <si>
    <t>Num Meses Laborados</t>
  </si>
  <si>
    <t>Promedio Cartera</t>
  </si>
  <si>
    <t>Mes para evaluación</t>
  </si>
  <si>
    <t>CAGR (Ritmo Mensual)</t>
  </si>
  <si>
    <t># Meses Completos Laborados</t>
  </si>
  <si>
    <t>Última Cartera para Evaluación</t>
  </si>
  <si>
    <t>% Cartera Quebrantada</t>
  </si>
  <si>
    <t>% Cartera Quebrantada Anualizada</t>
  </si>
  <si>
    <t>Meta Colocación</t>
  </si>
  <si>
    <t>Colocación Real</t>
  </si>
  <si>
    <t>% Alcance Colocación</t>
  </si>
  <si>
    <t>Prospectos</t>
  </si>
  <si>
    <t>Prospectos Diarios</t>
  </si>
  <si>
    <t>Prospectos por Día</t>
  </si>
  <si>
    <t>% Renovación</t>
  </si>
  <si>
    <t>Créditos por Renovar</t>
  </si>
  <si>
    <t>Créditos Renovados</t>
  </si>
  <si>
    <t>Bolsa Incentivos</t>
  </si>
  <si>
    <t>Incentivos Ganados</t>
  </si>
  <si>
    <t>% Incentivos Ganados</t>
  </si>
  <si>
    <t>Etiqueta Crecimiento</t>
  </si>
  <si>
    <t>Etiqueta Calidad</t>
  </si>
  <si>
    <t>Etiqueta Prospección</t>
  </si>
  <si>
    <t>Etiqueta Cumplimiento Meta Colocación</t>
  </si>
  <si>
    <t>Etiqueta Incentivos</t>
  </si>
  <si>
    <t>Etiqueta Renovaciones</t>
  </si>
  <si>
    <t>% Crecimiento</t>
  </si>
  <si>
    <t>Cartera</t>
  </si>
  <si>
    <t>Etiqueta Tamaño Cartera</t>
  </si>
  <si>
    <t>NA</t>
  </si>
  <si>
    <t>Ventas</t>
  </si>
  <si>
    <t>Tamaño</t>
  </si>
  <si>
    <t>Ritmo</t>
  </si>
  <si>
    <t>Calidad</t>
  </si>
  <si>
    <t>Calificación Ventas</t>
  </si>
  <si>
    <t>Ganancias</t>
  </si>
  <si>
    <t>Calificación Total</t>
  </si>
  <si>
    <t>Rentabilidad Mensual</t>
  </si>
  <si>
    <t>% Renovaciones</t>
  </si>
  <si>
    <t>Puntaje</t>
  </si>
  <si>
    <t>% Cumplimiento Meta Colocación</t>
  </si>
  <si>
    <t>Etiqueta Meta Colocación</t>
  </si>
  <si>
    <t>Puntaje Renovaciones</t>
  </si>
  <si>
    <t>Puntaje Prospección</t>
  </si>
  <si>
    <t>Puntaje Cumplimiento Meta Colocación</t>
  </si>
  <si>
    <t>% Calidad Ajustada (1-IMOR)</t>
  </si>
  <si>
    <t>Calidad (1-% IMOR)</t>
  </si>
  <si>
    <t>Puntaje Calidad</t>
  </si>
  <si>
    <t>% Alcance Incentivos</t>
  </si>
  <si>
    <t>Puntaje Incentivos</t>
  </si>
  <si>
    <t>Total</t>
  </si>
  <si>
    <t>Etiqueta Global</t>
  </si>
  <si>
    <t>Puntaje Ventas</t>
  </si>
  <si>
    <t>Etiqueta Ventas</t>
  </si>
  <si>
    <t>Promedio de Calificación Total</t>
  </si>
  <si>
    <t>Valores</t>
  </si>
  <si>
    <t>Total Promedio de Calificación Total</t>
  </si>
  <si>
    <t>Total Cuenta de Nombre del empleado</t>
  </si>
  <si>
    <t>Cuenta de Nombre del empleado</t>
  </si>
  <si>
    <r>
      <t xml:space="preserve">1 Decrecimiento </t>
    </r>
    <r>
      <rPr>
        <sz val="10"/>
        <color theme="1"/>
        <rFont val="Calibri"/>
        <family val="2"/>
      </rPr>
      <t xml:space="preserve">≥ </t>
    </r>
    <r>
      <rPr>
        <sz val="10"/>
        <color theme="1"/>
        <rFont val="Calibri"/>
        <family val="2"/>
        <scheme val="minor"/>
      </rPr>
      <t>50%</t>
    </r>
  </si>
  <si>
    <r>
      <t xml:space="preserve">2 Decrecimiento </t>
    </r>
    <r>
      <rPr>
        <sz val="10"/>
        <color theme="1"/>
        <rFont val="Calibri"/>
        <family val="2"/>
      </rPr>
      <t>entre 0.1% y 50%</t>
    </r>
  </si>
  <si>
    <t>3 0 Crecimiento</t>
  </si>
  <si>
    <t>4 Crecimiento Muy Bajo</t>
  </si>
  <si>
    <t>5 Crecimiento Medio</t>
  </si>
  <si>
    <t>6 Crecimiento Alto</t>
  </si>
  <si>
    <t>7 Crecimiento Muy Alto</t>
  </si>
  <si>
    <t>8 Crecimiento Exponencial</t>
  </si>
  <si>
    <t>2 Decrecimiento entre 0.1% y 50%</t>
  </si>
  <si>
    <t>1 Decrecimiento ≥ 50%</t>
  </si>
  <si>
    <r>
      <t xml:space="preserve">1 Pequeño </t>
    </r>
    <r>
      <rPr>
        <sz val="10"/>
        <color theme="1"/>
        <rFont val="Calibri"/>
        <family val="2"/>
      </rPr>
      <t>≤</t>
    </r>
    <r>
      <rPr>
        <sz val="8"/>
        <color theme="1"/>
        <rFont val="Calibri"/>
        <family val="2"/>
      </rPr>
      <t xml:space="preserve"> 500k</t>
    </r>
  </si>
  <si>
    <r>
      <t xml:space="preserve">2 Mediana </t>
    </r>
    <r>
      <rPr>
        <sz val="10"/>
        <color theme="1"/>
        <rFont val="Calibri"/>
        <family val="2"/>
      </rPr>
      <t>≤</t>
    </r>
    <r>
      <rPr>
        <sz val="8"/>
        <color theme="1"/>
        <rFont val="Calibri"/>
        <family val="2"/>
      </rPr>
      <t xml:space="preserve"> 1MM</t>
    </r>
  </si>
  <si>
    <r>
      <t xml:space="preserve">3 Mediana </t>
    </r>
    <r>
      <rPr>
        <sz val="10"/>
        <color theme="1"/>
        <rFont val="Calibri"/>
        <family val="2"/>
      </rPr>
      <t>≥</t>
    </r>
    <r>
      <rPr>
        <sz val="8"/>
        <color theme="1"/>
        <rFont val="Calibri"/>
        <family val="2"/>
      </rPr>
      <t xml:space="preserve"> 1MM</t>
    </r>
  </si>
  <si>
    <r>
      <t xml:space="preserve">4 Grande </t>
    </r>
    <r>
      <rPr>
        <sz val="10"/>
        <color theme="1"/>
        <rFont val="Calibri"/>
        <family val="2"/>
      </rPr>
      <t>≤</t>
    </r>
    <r>
      <rPr>
        <sz val="8"/>
        <color theme="1"/>
        <rFont val="Calibri"/>
        <family val="2"/>
      </rPr>
      <t xml:space="preserve"> 1.5MM</t>
    </r>
  </si>
  <si>
    <r>
      <t xml:space="preserve">5 Grande </t>
    </r>
    <r>
      <rPr>
        <sz val="10"/>
        <color theme="1"/>
        <rFont val="Calibri"/>
        <family val="2"/>
      </rPr>
      <t>≤</t>
    </r>
    <r>
      <rPr>
        <sz val="8"/>
        <color theme="1"/>
        <rFont val="Calibri"/>
        <family val="2"/>
      </rPr>
      <t xml:space="preserve"> 2MM</t>
    </r>
  </si>
  <si>
    <r>
      <t xml:space="preserve">6 Grande </t>
    </r>
    <r>
      <rPr>
        <sz val="10"/>
        <color theme="1"/>
        <rFont val="Calibri"/>
        <family val="2"/>
      </rPr>
      <t>≥ 2MM</t>
    </r>
  </si>
  <si>
    <t>1 Pequeño ≤ 500k</t>
  </si>
  <si>
    <t>3 Mediana ≥ 1MM</t>
  </si>
  <si>
    <t>2 Mediana ≤ 1MM</t>
  </si>
  <si>
    <t>5 Grande ≤ 2MM</t>
  </si>
  <si>
    <t>4 Grande ≤ 1.5MM</t>
  </si>
  <si>
    <t>Fecha de Baja</t>
  </si>
  <si>
    <t>Etiqueta Activo/Baja</t>
  </si>
  <si>
    <t>1 Bajo Extremo</t>
  </si>
  <si>
    <t>2 Bajo</t>
  </si>
  <si>
    <t>3 Medio Bajo</t>
  </si>
  <si>
    <t>4 Medio Alto</t>
  </si>
  <si>
    <t>5 Alto</t>
  </si>
  <si>
    <t>6 Muy Alto</t>
  </si>
  <si>
    <t>7 Sobresaliente</t>
  </si>
  <si>
    <t>1 Mal Vendedor</t>
  </si>
  <si>
    <t>2 Medio Vendedor</t>
  </si>
  <si>
    <t>3 Buen Vendedor</t>
  </si>
  <si>
    <t>4 Gran Vendedor</t>
  </si>
  <si>
    <t>1 Bajo</t>
  </si>
  <si>
    <t>2 Medio</t>
  </si>
  <si>
    <t>3 Medio Alto</t>
  </si>
  <si>
    <t>4 Alto</t>
  </si>
  <si>
    <t>5 Sobresaliente</t>
  </si>
  <si>
    <t>Promedio de Puntaje Renovaciones</t>
  </si>
  <si>
    <t>Promedio de Puntaje Prospección</t>
  </si>
  <si>
    <t>Promedio de Puntaje Cumplimiento Meta Colocación</t>
  </si>
  <si>
    <t>Promedio de Calificación Ventas</t>
  </si>
  <si>
    <t>Promedio de Puntaje Calidad</t>
  </si>
  <si>
    <t>Promedio de Puntaje Incentivos</t>
  </si>
  <si>
    <t>Promedio de Promedio Cartera</t>
  </si>
  <si>
    <t>DANIEL ARROYO VELAZQUEZ</t>
  </si>
  <si>
    <t>DUCISE LOPEZ AGUDO</t>
  </si>
  <si>
    <t>GENARO BERNALDEZ MALDONADO</t>
  </si>
  <si>
    <t>MIGUEL AGUSTIN CHAVEZ HUITRON</t>
  </si>
  <si>
    <t>JAZMIN MARINES REYES</t>
  </si>
  <si>
    <t>LUIS ALBERTO CHAVEZ OCAÑA</t>
  </si>
  <si>
    <t>CARLOS HUMBERTO SANCHEZ MORALES</t>
  </si>
  <si>
    <t>ERIC ANTONIO MARINERO SANCHEZ</t>
  </si>
  <si>
    <t>JOSE GILBERTO LOPEZ GALLEGOS</t>
  </si>
  <si>
    <t>CESAR ISAID GONZALEZ TELLEZ</t>
  </si>
  <si>
    <t>LUIS ANGEL CADENA MENDOZA</t>
  </si>
  <si>
    <t>MARCO ANTONIO DORANTES JAVIER</t>
  </si>
  <si>
    <t>JORGE OSIRIS MENDEZ HERNANDEZ</t>
  </si>
  <si>
    <t>LAURA PATRICIA ROMAY JERONIMO</t>
  </si>
  <si>
    <t xml:space="preserve">JOSUE JONATHAN HUERTA BELTRAN </t>
  </si>
  <si>
    <t xml:space="preserve">MARIA DE LOS ANGELES PONCE PAEZ </t>
  </si>
  <si>
    <t xml:space="preserve">PATRICIA GARCIA HERNANDEZ </t>
  </si>
  <si>
    <t>CENTRO</t>
  </si>
  <si>
    <t>SUR</t>
  </si>
  <si>
    <t>OCCIDENTE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</si>
</sst>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;[Red]\-&quot;$&quot;#,##0"/>
    <numFmt numFmtId="8" formatCode="&quot;$&quot;#,##0.00;[Red]\-&quot;$&quot;#,##0.00"/>
    <numFmt numFmtId="43" formatCode="_-* #,##0.00_-;\-* #,##0.00_-;_-* &quot;-&quot;??_-;_-@_-"/>
    <numFmt numFmtId="164" formatCode="[$-80A]General"/>
    <numFmt numFmtId="165" formatCode="[$-80A]dd/mm/yyyy"/>
    <numFmt numFmtId="166" formatCode="&quot;$&quot;#,##0.00"/>
    <numFmt numFmtId="167" formatCode="_-* #,##0.0_-;\-* #,##0.0_-;_-* &quot;-&quot;??_-;_-@_-"/>
    <numFmt numFmtId="168" formatCode="_-* #,##0_-;\-* #,##0_-;_-* &quot;-&quot;??_-;_-@_-"/>
    <numFmt numFmtId="169" formatCode="0.0%"/>
    <numFmt numFmtId="170" formatCode="0.0"/>
  </numFmts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/>
    <xf numFmtId="165" fontId="2" fillId="0" borderId="0" xfId="1" applyNumberFormat="1" applyFont="1" applyAlignment="1" applyProtection="1">
      <alignment horizontal="center"/>
      <protection locked="0"/>
    </xf>
    <xf numFmtId="3" fontId="2" fillId="0" borderId="0" xfId="0" applyNumberFormat="1" applyFont="1" applyAlignment="1">
      <alignment horizontal="right"/>
    </xf>
    <xf numFmtId="6" fontId="3" fillId="0" borderId="0" xfId="0" applyNumberFormat="1" applyFont="1"/>
    <xf numFmtId="6" fontId="2" fillId="0" borderId="0" xfId="0" applyNumberFormat="1" applyFont="1" applyAlignment="1">
      <alignment horizontal="right"/>
    </xf>
    <xf numFmtId="6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3" fillId="2" borderId="1" xfId="0" applyFont="1" applyFill="1" applyBorder="1"/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 wrapText="1"/>
    </xf>
    <xf numFmtId="0" fontId="2" fillId="0" borderId="0" xfId="0" applyFont="1"/>
    <xf numFmtId="14" fontId="6" fillId="0" borderId="0" xfId="0" applyNumberFormat="1" applyFont="1" applyAlignment="1">
      <alignment horizontal="center"/>
    </xf>
    <xf numFmtId="166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2" fillId="0" borderId="0" xfId="1" applyFont="1" applyAlignment="1" applyProtection="1">
      <alignment horizontal="left"/>
      <protection locked="0"/>
    </xf>
    <xf numFmtId="165" fontId="5" fillId="0" borderId="0" xfId="1" applyNumberFormat="1" applyFont="1" applyAlignment="1" applyProtection="1">
      <alignment horizontal="center"/>
      <protection locked="0"/>
    </xf>
    <xf numFmtId="0" fontId="3" fillId="0" borderId="0" xfId="0" applyFont="1" applyAlignment="1">
      <alignment vertical="center"/>
    </xf>
    <xf numFmtId="164" fontId="3" fillId="0" borderId="0" xfId="1" applyFont="1" applyAlignment="1" applyProtection="1">
      <alignment horizontal="left"/>
      <protection locked="0"/>
    </xf>
    <xf numFmtId="164" fontId="3" fillId="0" borderId="0" xfId="1" applyFont="1" applyAlignment="1" applyProtection="1">
      <alignment horizontal="center"/>
      <protection locked="0"/>
    </xf>
    <xf numFmtId="14" fontId="3" fillId="0" borderId="0" xfId="1" applyNumberFormat="1" applyFont="1" applyAlignment="1" applyProtection="1">
      <alignment horizontal="center"/>
      <protection locked="0"/>
    </xf>
    <xf numFmtId="8" fontId="3" fillId="0" borderId="0" xfId="0" applyNumberFormat="1" applyFont="1"/>
    <xf numFmtId="3" fontId="3" fillId="0" borderId="0" xfId="0" applyNumberFormat="1" applyFont="1"/>
    <xf numFmtId="8" fontId="3" fillId="0" borderId="0" xfId="0" applyNumberFormat="1" applyFont="1" applyAlignment="1">
      <alignment horizontal="right"/>
    </xf>
    <xf numFmtId="43" fontId="2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pivotButton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2" applyNumberFormat="1" applyFont="1" applyAlignment="1">
      <alignment horizontal="center" vertical="center"/>
    </xf>
    <xf numFmtId="9" fontId="2" fillId="0" borderId="0" xfId="3" applyFont="1" applyAlignment="1">
      <alignment horizontal="center"/>
    </xf>
    <xf numFmtId="169" fontId="2" fillId="0" borderId="0" xfId="3" applyNumberFormat="1" applyFont="1" applyAlignment="1">
      <alignment horizontal="center"/>
    </xf>
    <xf numFmtId="170" fontId="2" fillId="0" borderId="0" xfId="2" applyNumberFormat="1" applyFont="1" applyAlignment="1">
      <alignment horizontal="center" vertical="center"/>
    </xf>
    <xf numFmtId="165" fontId="2" fillId="2" borderId="0" xfId="1" applyNumberFormat="1" applyFont="1" applyFill="1" applyAlignment="1" applyProtection="1">
      <alignment horizontal="center"/>
      <protection locked="0"/>
    </xf>
    <xf numFmtId="0" fontId="8" fillId="0" borderId="0" xfId="0" applyFont="1"/>
    <xf numFmtId="0" fontId="8" fillId="0" borderId="0" xfId="0" applyFont="1" applyAlignment="1">
      <alignment horizontal="center"/>
    </xf>
    <xf numFmtId="169" fontId="8" fillId="0" borderId="0" xfId="3" applyNumberFormat="1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169" fontId="9" fillId="0" borderId="0" xfId="3" applyNumberFormat="1" applyFont="1" applyAlignment="1">
      <alignment horizontal="center" vertical="center" wrapText="1"/>
    </xf>
    <xf numFmtId="164" fontId="10" fillId="0" borderId="0" xfId="1" applyFont="1" applyProtection="1">
      <protection locked="0"/>
    </xf>
    <xf numFmtId="0" fontId="8" fillId="0" borderId="0" xfId="0" applyFont="1" applyAlignment="1">
      <alignment vertical="center"/>
    </xf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168" fontId="10" fillId="0" borderId="0" xfId="2" applyNumberFormat="1" applyFont="1"/>
    <xf numFmtId="0" fontId="10" fillId="0" borderId="0" xfId="2" applyNumberFormat="1" applyFont="1" applyAlignment="1">
      <alignment horizontal="center"/>
    </xf>
    <xf numFmtId="169" fontId="10" fillId="0" borderId="0" xfId="3" applyNumberFormat="1" applyFont="1" applyAlignment="1">
      <alignment horizontal="center"/>
    </xf>
    <xf numFmtId="167" fontId="10" fillId="0" borderId="0" xfId="2" applyNumberFormat="1" applyFont="1"/>
    <xf numFmtId="165" fontId="10" fillId="0" borderId="0" xfId="1" applyNumberFormat="1" applyFont="1" applyAlignment="1" applyProtection="1">
      <alignment horizontal="center"/>
      <protection locked="0"/>
    </xf>
    <xf numFmtId="0" fontId="11" fillId="0" borderId="0" xfId="0" applyFont="1" applyAlignment="1">
      <alignment horizontal="left"/>
    </xf>
    <xf numFmtId="164" fontId="10" fillId="0" borderId="0" xfId="1" applyFont="1" applyAlignment="1" applyProtection="1">
      <alignment horizontal="left"/>
      <protection locked="0"/>
    </xf>
    <xf numFmtId="43" fontId="10" fillId="0" borderId="0" xfId="2" applyFont="1"/>
    <xf numFmtId="169" fontId="9" fillId="3" borderId="0" xfId="3" applyNumberFormat="1" applyFont="1" applyFill="1" applyAlignment="1">
      <alignment horizontal="center" vertical="center" wrapText="1"/>
    </xf>
    <xf numFmtId="169" fontId="10" fillId="3" borderId="0" xfId="3" applyNumberFormat="1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168" fontId="10" fillId="3" borderId="0" xfId="2" applyNumberFormat="1" applyFont="1" applyFill="1"/>
    <xf numFmtId="167" fontId="10" fillId="3" borderId="0" xfId="2" applyNumberFormat="1" applyFont="1" applyFill="1"/>
    <xf numFmtId="164" fontId="10" fillId="0" borderId="0" xfId="1" applyFont="1" applyAlignment="1" applyProtection="1">
      <alignment horizontal="center"/>
      <protection locked="0"/>
    </xf>
    <xf numFmtId="164" fontId="10" fillId="0" borderId="0" xfId="1" applyFont="1" applyAlignment="1" applyProtection="1">
      <alignment horizontal="left" indent="1"/>
      <protection locked="0"/>
    </xf>
    <xf numFmtId="0" fontId="8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indent="1"/>
    </xf>
    <xf numFmtId="9" fontId="8" fillId="0" borderId="0" xfId="0" applyNumberFormat="1" applyFont="1" applyAlignment="1">
      <alignment horizontal="left" indent="1"/>
    </xf>
    <xf numFmtId="0" fontId="14" fillId="3" borderId="0" xfId="0" applyFont="1" applyFill="1" applyAlignment="1">
      <alignment horizontal="center"/>
    </xf>
    <xf numFmtId="9" fontId="8" fillId="0" borderId="0" xfId="0" applyNumberFormat="1" applyFont="1" applyAlignment="1">
      <alignment horizontal="center"/>
    </xf>
    <xf numFmtId="169" fontId="8" fillId="0" borderId="0" xfId="0" applyNumberFormat="1" applyFont="1" applyAlignment="1">
      <alignment horizontal="left" indent="1"/>
    </xf>
    <xf numFmtId="0" fontId="9" fillId="4" borderId="0" xfId="0" applyFont="1" applyFill="1" applyAlignment="1">
      <alignment horizontal="center" vertical="center" wrapText="1"/>
    </xf>
    <xf numFmtId="1" fontId="10" fillId="4" borderId="0" xfId="1" applyNumberFormat="1" applyFont="1" applyFill="1" applyAlignment="1" applyProtection="1">
      <alignment horizontal="center"/>
      <protection locked="0"/>
    </xf>
    <xf numFmtId="43" fontId="8" fillId="0" borderId="0" xfId="2" applyFont="1" applyAlignment="1">
      <alignment horizontal="left" indent="1"/>
    </xf>
    <xf numFmtId="1" fontId="0" fillId="0" borderId="0" xfId="0" applyNumberFormat="1" applyAlignment="1">
      <alignment horizontal="center"/>
    </xf>
    <xf numFmtId="0" fontId="8" fillId="0" borderId="0" xfId="0" pivotButton="1" applyFont="1"/>
    <xf numFmtId="0" fontId="8" fillId="0" borderId="0" xfId="0" applyFont="1" applyAlignment="1">
      <alignment horizontal="center" vertical="center" wrapText="1"/>
    </xf>
    <xf numFmtId="0" fontId="8" fillId="0" borderId="0" xfId="0" pivotButton="1" applyFont="1" applyAlignment="1">
      <alignment horizontal="center" vertical="center" wrapText="1"/>
    </xf>
    <xf numFmtId="170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0" fontId="8" fillId="0" borderId="0" xfId="3" applyNumberFormat="1" applyFont="1"/>
    <xf numFmtId="14" fontId="3" fillId="0" borderId="0" xfId="0" applyNumberFormat="1" applyFont="1"/>
    <xf numFmtId="0" fontId="15" fillId="0" borderId="0" xfId="0" applyFont="1" applyBorder="1" applyAlignment="1">
      <alignment horizontal="right" wrapText="1"/>
    </xf>
    <xf numFmtId="0" fontId="15" fillId="0" borderId="0" xfId="0" applyFont="1" applyBorder="1"/>
    <xf numFmtId="14" fontId="8" fillId="0" borderId="0" xfId="0" applyNumberFormat="1" applyFont="1"/>
  </cellXfs>
  <cellStyles count="4">
    <cellStyle name="Excel Built-in Normal" xfId="1" xr:uid="{00000000-0005-0000-0000-000000000000}"/>
    <cellStyle name="Millares" xfId="2" builtinId="3"/>
    <cellStyle name="Normal" xfId="0" builtinId="0"/>
    <cellStyle name="Porcentaje" xfId="3" builtinId="5"/>
  </cellStyles>
  <dxfs count="99"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wrapText="1"/>
    </dxf>
    <dxf>
      <numFmt numFmtId="3" formatCode="#,##0"/>
    </dxf>
    <dxf>
      <numFmt numFmtId="170" formatCode="0.0"/>
    </dxf>
    <dxf>
      <alignment horizontal="center"/>
    </dxf>
    <dxf>
      <numFmt numFmtId="1" formatCode="0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numFmt numFmtId="14" formatCode="0.00%"/>
    </dxf>
    <dxf>
      <alignment vertical="center"/>
    </dxf>
    <dxf>
      <alignment horizontal="center"/>
    </dxf>
    <dxf>
      <alignment wrapText="1"/>
    </dxf>
    <dxf>
      <numFmt numFmtId="1" formatCode="0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da" refreshedDate="45278.721449537035" createdVersion="8" refreshedVersion="8" minRefreshableVersion="3" recordCount="224" xr:uid="{432F9626-CEA0-4E0E-AE6A-0E9E431AD13A}">
  <cacheSource type="worksheet">
    <worksheetSource ref="D2:AA226" sheet="BD Original"/>
  </cacheSource>
  <cacheFields count="21">
    <cacheField name="REGION" numFmtId="0">
      <sharedItems count="3">
        <s v="SURESTE"/>
        <s v="REGIÓN O"/>
        <s v="REGIÓN F"/>
      </sharedItems>
    </cacheField>
    <cacheField name="SUCURSAL" numFmtId="0">
      <sharedItems/>
    </cacheField>
    <cacheField name="ID" numFmtId="0">
      <sharedItems containsString="0" containsBlank="1" containsNumber="1" containsInteger="1" minValue="2376" maxValue="36305"/>
    </cacheField>
    <cacheField name="NOMBRE DEL EMPLEADO" numFmtId="0">
      <sharedItems/>
    </cacheField>
    <cacheField name="FECHA DE INGRESO" numFmtId="0">
      <sharedItems containsSemiMixedTypes="0" containsNonDate="0" containsDate="1" containsString="0" minDate="2020-01-20T00:00:00" maxDate="2023-11-11T00:00:00"/>
    </cacheField>
    <cacheField name="Antigüedad (días)" numFmtId="43">
      <sharedItems containsSemiMixedTypes="0" containsString="0" containsNumber="1" containsInteger="1" minValue="4" maxValue="1410"/>
    </cacheField>
    <cacheField name="Etiqueta Antigüedad" numFmtId="43">
      <sharedItems count="7">
        <s v="&lt; 3 Meses"/>
        <s v="3 a 6 Meses"/>
        <s v="1 a 1.5 años"/>
        <s v="6 a 12 Meses"/>
        <s v="Mas de 3 años"/>
        <s v="2 a 2.5 años"/>
        <s v="1.5 a 2 años"/>
      </sharedItems>
    </cacheField>
    <cacheField name="Cartera inicial" numFmtId="0">
      <sharedItems containsSemiMixedTypes="0" containsString="0" containsNumber="1" minValue="0" maxValue="2581285.0400000005"/>
    </cacheField>
    <cacheField name="Cartera cierre" numFmtId="6">
      <sharedItems containsSemiMixedTypes="0" containsString="0" containsNumber="1" minValue="0" maxValue="2581285.0400000005"/>
    </cacheField>
    <cacheField name="Cartera 0 Mora" numFmtId="0">
      <sharedItems containsSemiMixedTypes="0" containsString="0" containsNumber="1" minValue="0" maxValue="2581285.0400000005"/>
    </cacheField>
    <cacheField name="Quebrantos" numFmtId="3">
      <sharedItems containsSemiMixedTypes="0" containsString="0" containsNumber="1" minValue="0" maxValue="170549.7"/>
    </cacheField>
    <cacheField name="Meta de colocación" numFmtId="6">
      <sharedItems containsString="0" containsBlank="1" containsNumber="1" minValue="35000" maxValue="1233213.2402499998"/>
    </cacheField>
    <cacheField name="colocación real" numFmtId="0">
      <sharedItems containsSemiMixedTypes="0" containsString="0" containsNumber="1" minValue="0" maxValue="1559000"/>
    </cacheField>
    <cacheField name="NUM DE PROSPECTOS" numFmtId="0">
      <sharedItems containsSemiMixedTypes="0" containsString="0" containsNumber="1" containsInteger="1" minValue="0" maxValue="94"/>
    </cacheField>
    <cacheField name="CREDITOS_POR_RENOVAR" numFmtId="0">
      <sharedItems containsSemiMixedTypes="0" containsString="0" containsNumber="1" containsInteger="1" minValue="0" maxValue="120"/>
    </cacheField>
    <cacheField name="CREDITOS_RENOVADOS" numFmtId="0">
      <sharedItems containsSemiMixedTypes="0" containsString="0" containsNumber="1" containsInteger="1" minValue="0" maxValue="76"/>
    </cacheField>
    <cacheField name="Bolsa de incentivo" numFmtId="0">
      <sharedItems containsSemiMixedTypes="0" containsString="0" containsNumber="1" minValue="1512.5" maxValue="26068.041738319102"/>
    </cacheField>
    <cacheField name="Total incentivos" numFmtId="0">
      <sharedItems containsMixedTypes="1" containsNumber="1" minValue="0" maxValue="25443.75"/>
    </cacheField>
    <cacheField name="MES" numFmtId="0">
      <sharedItems containsSemiMixedTypes="0" containsNonDate="0" containsDate="1" containsString="0" minDate="2023-07-31T00:00:00" maxDate="2023-12-01T00:00:00" count="5">
        <d v="2023-07-31T00:00:00"/>
        <d v="2023-08-31T00:00:00"/>
        <d v="2023-09-30T00:00:00"/>
        <d v="2023-10-31T00:00:00"/>
        <d v="2023-11-30T00:00:00"/>
      </sharedItems>
      <fieldGroup par="20"/>
    </cacheField>
    <cacheField name="Días (MES)" numFmtId="0" databaseField="0">
      <fieldGroup base="18">
        <rangePr groupBy="days" startDate="2023-07-31T00:00:00" endDate="2023-12-01T00:00:00"/>
        <groupItems count="368">
          <s v="&lt;31/07/2023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12/2023"/>
        </groupItems>
      </fieldGroup>
    </cacheField>
    <cacheField name="Meses (MES)" numFmtId="0" databaseField="0">
      <fieldGroup base="18">
        <rangePr groupBy="months" startDate="2023-07-31T00:00:00" endDate="2023-12-01T00:00:00"/>
        <groupItems count="14">
          <s v="&lt;31/07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da" refreshedDate="45279.61205358796" createdVersion="8" refreshedVersion="8" minRefreshableVersion="3" recordCount="74" xr:uid="{9E6337D6-10AE-4A9B-A20A-D846D193F336}">
  <cacheSource type="worksheet">
    <worksheetSource ref="B4:BB78" sheet="BD Análisis"/>
  </cacheSource>
  <cacheFields count="53">
    <cacheField name="Región" numFmtId="0">
      <sharedItems count="3">
        <s v="SURESTE"/>
        <s v="REGIÓN O"/>
        <s v="REGIÓN F"/>
      </sharedItems>
    </cacheField>
    <cacheField name="Sucursal" numFmtId="0">
      <sharedItems count="17">
        <s v="CARDENAS"/>
        <s v="VILLAHERMOSA"/>
        <s v="CHIMALHUACAN 2"/>
        <s v="IXTAPALUCA"/>
        <s v="IZTAPALAPA"/>
        <s v="NEZAHUALCOYOTL"/>
        <s v="NEZAHUALCOYOTL 2"/>
        <s v="TEXCOCO"/>
        <s v="TONALA"/>
        <s v="TONALA 2"/>
        <s v="AMECAMECA"/>
        <s v="CHALCO"/>
        <s v="COATZACOALCOS"/>
        <s v="FORTIN"/>
        <s v="MILPA ALTA"/>
        <s v="ORIZABA"/>
        <s v="TLAHUAC"/>
      </sharedItems>
    </cacheField>
    <cacheField name="ID" numFmtId="0">
      <sharedItems containsString="0" containsBlank="1" containsNumber="1" containsInteger="1" minValue="14019" maxValue="36305"/>
    </cacheField>
    <cacheField name="Nombre del empleado" numFmtId="0">
      <sharedItems/>
    </cacheField>
    <cacheField name="Fecha de Ingreso" numFmtId="0">
      <sharedItems containsSemiMixedTypes="0" containsNonDate="0" containsDate="1" containsString="0" minDate="2020-01-20T00:00:00" maxDate="2023-11-11T00:00:00"/>
    </cacheField>
    <cacheField name="Fecha de Baja" numFmtId="14">
      <sharedItems containsDate="1" containsMixedTypes="1" minDate="1899-12-30T00:00:00" maxDate="2023-12-16T00:00:00"/>
    </cacheField>
    <cacheField name="Etiqueta Activo/Baja" numFmtId="14">
      <sharedItems count="3">
        <s v="ACTIVO"/>
        <s v="BAJA"/>
        <e v="#N/A"/>
      </sharedItems>
    </cacheField>
    <cacheField name="¿Cartera en ceros en mes 5?" numFmtId="14">
      <sharedItems/>
    </cacheField>
    <cacheField name="Antigüedad Primer Mes de Evaluación" numFmtId="0">
      <sharedItems containsSemiMixedTypes="0" containsString="0" containsNumber="1" containsInteger="1" minValue="0" maxValue="42"/>
    </cacheField>
    <cacheField name="# Meses Completos Laborados" numFmtId="0">
      <sharedItems containsSemiMixedTypes="0" containsString="0" containsNumber="1" containsInteger="1" minValue="0" maxValue="47"/>
    </cacheField>
    <cacheField name="Mes 1" numFmtId="168">
      <sharedItems containsMixedTypes="1" containsNumber="1" minValue="27488.06" maxValue="2176958.62"/>
    </cacheField>
    <cacheField name="Mes 2" numFmtId="168">
      <sharedItems containsMixedTypes="1" containsNumber="1" minValue="29880.66" maxValue="2581285.0400000005"/>
    </cacheField>
    <cacheField name="Mes 3" numFmtId="168">
      <sharedItems containsMixedTypes="1" containsNumber="1" minValue="20668.97" maxValue="2300683.11"/>
    </cacheField>
    <cacheField name="Mes 4" numFmtId="168">
      <sharedItems containsMixedTypes="1" containsNumber="1" minValue="107017.94" maxValue="2198186.8200000003"/>
    </cacheField>
    <cacheField name="Mes 5" numFmtId="168">
      <sharedItems containsMixedTypes="1" containsNumber="1" minValue="0" maxValue="2260776.13"/>
    </cacheField>
    <cacheField name="Promedio Cartera" numFmtId="168">
      <sharedItems containsSemiMixedTypes="0" containsString="0" containsNumber="1" minValue="0" maxValue="2352975.59"/>
    </cacheField>
    <cacheField name="Mes para evaluación" numFmtId="0">
      <sharedItems containsSemiMixedTypes="0" containsString="0" containsNumber="1" containsInteger="1" minValue="0" maxValue="5"/>
    </cacheField>
    <cacheField name="Última Cartera para Evaluación" numFmtId="168">
      <sharedItems containsSemiMixedTypes="0" containsString="0" containsNumber="1" minValue="0" maxValue="2300683.11"/>
    </cacheField>
    <cacheField name="CAGR (Ritmo Mensual)" numFmtId="169">
      <sharedItems containsMixedTypes="1" containsNumber="1" minValue="-1" maxValue="5.5197555197555204"/>
    </cacheField>
    <cacheField name="Cartera 0 Mora" numFmtId="168">
      <sharedItems containsSemiMixedTypes="0" containsString="0" containsNumber="1" minValue="0" maxValue="2295178.48"/>
    </cacheField>
    <cacheField name="Quebrantos" numFmtId="167">
      <sharedItems containsSemiMixedTypes="0" containsString="0" containsNumber="1" minValue="0" maxValue="275965.71000000002"/>
    </cacheField>
    <cacheField name="% Cartera Quebrantada" numFmtId="169">
      <sharedItems containsMixedTypes="1" containsNumber="1" minValue="0" maxValue="0.21357758847864741"/>
    </cacheField>
    <cacheField name="% Cartera Quebrantada Anualizada" numFmtId="169">
      <sharedItems containsMixedTypes="1" containsNumber="1" minValue="0" maxValue="1.8241298073872696"/>
    </cacheField>
    <cacheField name="% Calidad Ajustada (1-IMOR)" numFmtId="169">
      <sharedItems containsSemiMixedTypes="0" containsString="0" containsNumber="1" minValue="0" maxValue="1"/>
    </cacheField>
    <cacheField name="Meta Colocación" numFmtId="168">
      <sharedItems containsSemiMixedTypes="0" containsString="0" containsNumber="1" minValue="0" maxValue="4019084.6620499999"/>
    </cacheField>
    <cacheField name="Colocación Real" numFmtId="168">
      <sharedItems containsSemiMixedTypes="0" containsString="0" containsNumber="1" minValue="0" maxValue="4078499.3799999994"/>
    </cacheField>
    <cacheField name="% Alcance Colocación" numFmtId="169">
      <sharedItems containsMixedTypes="1" containsNumber="1" minValue="0" maxValue="11.457159428571432"/>
    </cacheField>
    <cacheField name="Prospectos" numFmtId="168">
      <sharedItems containsSemiMixedTypes="0" containsString="0" containsNumber="1" containsInteger="1" minValue="0" maxValue="302"/>
    </cacheField>
    <cacheField name="Prospectos por Día" numFmtId="167">
      <sharedItems containsSemiMixedTypes="0" containsString="0" containsNumber="1" minValue="0" maxValue="9.8000000000000007"/>
    </cacheField>
    <cacheField name="Créditos por Renovar" numFmtId="167">
      <sharedItems containsSemiMixedTypes="0" containsString="0" containsNumber="1" containsInteger="1" minValue="0" maxValue="511"/>
    </cacheField>
    <cacheField name="Créditos Renovados" numFmtId="167">
      <sharedItems containsSemiMixedTypes="0" containsString="0" containsNumber="1" containsInteger="1" minValue="0" maxValue="279"/>
    </cacheField>
    <cacheField name="% Renovación" numFmtId="169">
      <sharedItems containsSemiMixedTypes="0" containsString="0" containsNumber="1" minValue="0" maxValue="1"/>
    </cacheField>
    <cacheField name="Bolsa Incentivos" numFmtId="167">
      <sharedItems containsSemiMixedTypes="0" containsString="0" containsNumber="1" minValue="2162.5" maxValue="80226.425442680833"/>
    </cacheField>
    <cacheField name="Incentivos Ganados" numFmtId="167">
      <sharedItems containsSemiMixedTypes="0" containsString="0" containsNumber="1" minValue="926.72268800000006" maxValue="49248.074999999997"/>
    </cacheField>
    <cacheField name="% Incentivos Ganados" numFmtId="169">
      <sharedItems containsSemiMixedTypes="0" containsString="0" containsNumber="1" minValue="2.0259270938328893E-2" maxValue="3.9884393063583814"/>
    </cacheField>
    <cacheField name="Rentabilidad Mensual" numFmtId="167">
      <sharedItems containsSemiMixedTypes="0" containsString="0" containsNumber="1" minValue="-6868.0994416666663" maxValue="297693.64400000003"/>
    </cacheField>
    <cacheField name="Etiqueta Antigüedad" numFmtId="164">
      <sharedItems count="7">
        <s v="&lt; 3 Meses"/>
        <s v="3 a 6 Meses"/>
        <s v="1 a 1.5 años"/>
        <s v="6 a 12 Meses"/>
        <s v="Mas de 3 años"/>
        <s v="2 a 2.5 años"/>
        <s v="1.5 a 2 años"/>
      </sharedItems>
    </cacheField>
    <cacheField name="Etiqueta Tamaño Cartera" numFmtId="164">
      <sharedItems count="10">
        <s v="1 Pequeño ≤ 500k"/>
        <s v="3 Mediana ≥ 1MM"/>
        <s v="2 Mediana ≤ 1MM"/>
        <s v="5 Grande ≤ 2MM"/>
        <s v="4 Grande ≤ 1.5MM"/>
        <s v="Pequeño ≤ 500k" u="1"/>
        <s v="Mediana ≥ 1MM" u="1"/>
        <s v="Mediana ≤ 1MM" u="1"/>
        <s v="Grande ≤ 2MM" u="1"/>
        <s v="Grande ≤ 1.5MM" u="1"/>
      </sharedItems>
    </cacheField>
    <cacheField name="Etiqueta Crecimiento" numFmtId="164">
      <sharedItems count="29">
        <s v="NA"/>
        <s v="2 Decrecimiento entre 0.1% y 50%"/>
        <s v="4 Crecimiento Muy Bajo"/>
        <s v="5 Crecimiento Medio"/>
        <s v="8 Crecimiento Exponencial"/>
        <s v="1 Decrecimiento ≥ 50%"/>
        <s v="6 Crecimiento Alto"/>
        <s v="3 0 Crecimiento" u="1"/>
        <s v="C 0 Crecimiento" u="1"/>
        <s v="B Decrecimiento entre 0.1% y 50%" u="1"/>
        <s v="D Crecimiento Muy Bajo" u="1"/>
        <s v="E Crecimiento Medio" u="1"/>
        <s v="H Crecimiento Exponencial" u="1"/>
        <s v="A Decrecimiento ≥ 50%" u="1"/>
        <s v="F Crecimiento Alto" u="1"/>
        <s v="3. 0 Crecimiento" u="1"/>
        <s v="2. Decrecimiento entre 0.1% y 50%" u="1"/>
        <s v="4. Crecimiento Muy Bajo" u="1"/>
        <s v="5. Crecimiento Medio" u="1"/>
        <s v="8. Crecimiento Exponencial" u="1"/>
        <s v="1. Decrecimiento ≥ 50%" u="1"/>
        <s v="6. Crecimiento Alto" u="1"/>
        <s v="0 Crecimiento" u="1"/>
        <s v="Decrecimiento entre 0.1% y 50%" u="1"/>
        <s v="Crecimiento Muy Bajo" u="1"/>
        <s v="Crecimiento Medio" u="1"/>
        <s v="Crecimiento Exponencial" u="1"/>
        <s v="Decrecimiento ≥ 50%" u="1"/>
        <s v="Crecimiento Alto" u="1"/>
      </sharedItems>
    </cacheField>
    <cacheField name="Etiqueta Renovaciones" numFmtId="164">
      <sharedItems/>
    </cacheField>
    <cacheField name="Puntaje Renovaciones" numFmtId="164">
      <sharedItems containsSemiMixedTypes="0" containsString="0" containsNumber="1" containsInteger="1" minValue="30" maxValue="110"/>
    </cacheField>
    <cacheField name="Etiqueta Prospección" numFmtId="164">
      <sharedItems/>
    </cacheField>
    <cacheField name="Puntaje Prospección" numFmtId="164">
      <sharedItems containsSemiMixedTypes="0" containsString="0" containsNumber="1" containsInteger="1" minValue="30" maxValue="100"/>
    </cacheField>
    <cacheField name="Etiqueta Cumplimiento Meta Colocación" numFmtId="164">
      <sharedItems/>
    </cacheField>
    <cacheField name="Puntaje Cumplimiento Meta Colocación" numFmtId="164">
      <sharedItems containsSemiMixedTypes="0" containsString="0" containsNumber="1" containsInteger="1" minValue="0" maxValue="110"/>
    </cacheField>
    <cacheField name="Calificación Ventas" numFmtId="164">
      <sharedItems containsSemiMixedTypes="0" containsString="0" containsNumber="1" containsInteger="1" minValue="18" maxValue="102"/>
    </cacheField>
    <cacheField name="Etiqueta Ventas" numFmtId="164">
      <sharedItems count="8">
        <s v="1 Mal Vendedor"/>
        <s v="2 Medio Vendedor"/>
        <s v="3 Buen Vendedor"/>
        <s v="4 Gran Vendedor"/>
        <s v="Mal Vendedor" u="1"/>
        <s v="Medio Vendedor" u="1"/>
        <s v="Buen Vendedor" u="1"/>
        <s v="Gran Vendedor" u="1"/>
      </sharedItems>
    </cacheField>
    <cacheField name="Etiqueta Calidad" numFmtId="164">
      <sharedItems/>
    </cacheField>
    <cacheField name="Puntaje Calidad" numFmtId="164">
      <sharedItems containsSemiMixedTypes="0" containsString="0" containsNumber="1" containsInteger="1" minValue="30" maxValue="110"/>
    </cacheField>
    <cacheField name="Etiqueta Incentivos" numFmtId="164">
      <sharedItems/>
    </cacheField>
    <cacheField name="Puntaje Incentivos" numFmtId="164">
      <sharedItems containsSemiMixedTypes="0" containsString="0" containsNumber="1" containsInteger="1" minValue="30" maxValue="90"/>
    </cacheField>
    <cacheField name="Calificación Total" numFmtId="1">
      <sharedItems containsSemiMixedTypes="0" containsString="0" containsNumber="1" containsInteger="1" minValue="29" maxValue="101"/>
    </cacheField>
    <cacheField name="Etiqueta Glob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s v="CARDENAS"/>
    <n v="32633"/>
    <s v="BENITO ARTURO TORRUCO LOPEZ"/>
    <d v="2023-06-21T00:00:00"/>
    <n v="40"/>
    <x v="0"/>
    <n v="10719.05"/>
    <n v="147782.72"/>
    <n v="147782.72"/>
    <n v="0"/>
    <m/>
    <n v="152999.4"/>
    <n v="2"/>
    <n v="0"/>
    <n v="0"/>
    <n v="2387.5"/>
    <n v="3737.5"/>
    <x v="0"/>
  </r>
  <r>
    <x v="0"/>
    <s v="VILLAHERMOSA"/>
    <n v="31096"/>
    <s v="YADIRA LIZBETH RODRIGUEZ COLLADO"/>
    <d v="2023-04-25T00:00:00"/>
    <n v="97"/>
    <x v="1"/>
    <n v="1240390.4399999997"/>
    <n v="1318217.7500000005"/>
    <n v="1183712.7100000004"/>
    <n v="2324.0700000000002"/>
    <n v="663750.22500000009"/>
    <n v="343500.24"/>
    <n v="20"/>
    <n v="46"/>
    <n v="17"/>
    <n v="15058.560228121807"/>
    <n v="1725.0000000000005"/>
    <x v="0"/>
  </r>
  <r>
    <x v="0"/>
    <s v="VILLAHERMOSA"/>
    <n v="32491"/>
    <s v="LUIS OMAR DE LA CRUZ JIMENEZ"/>
    <d v="2023-06-14T00:00:00"/>
    <n v="47"/>
    <x v="0"/>
    <n v="443877.33000000007"/>
    <n v="472340.91"/>
    <n v="402486.84"/>
    <n v="0"/>
    <m/>
    <n v="130500.37999999999"/>
    <n v="20"/>
    <n v="47"/>
    <n v="29"/>
    <n v="2812.5"/>
    <n v="2000"/>
    <x v="0"/>
  </r>
  <r>
    <x v="1"/>
    <s v="CHIMALHUACAN 2"/>
    <n v="20314"/>
    <s v="MARIBEL RODRIGUEZ CARRIZOZA"/>
    <d v="2022-03-14T00:00:00"/>
    <n v="504"/>
    <x v="2"/>
    <n v="1240824.7300000002"/>
    <n v="1361066.6299999997"/>
    <n v="1289656.6499999997"/>
    <n v="0"/>
    <n v="1044470.1423000001"/>
    <n v="569000.71999999986"/>
    <n v="1"/>
    <n v="78"/>
    <n v="42"/>
    <n v="25177.806020146585"/>
    <n v="3955"/>
    <x v="0"/>
  </r>
  <r>
    <x v="1"/>
    <s v="CHIMALHUACAN 2"/>
    <n v="20315"/>
    <s v="KARINA TERRAZAS OLVERA"/>
    <d v="2022-03-14T00:00:00"/>
    <n v="504"/>
    <x v="2"/>
    <n v="943731.19000000006"/>
    <n v="880824.51"/>
    <n v="820343.4800000001"/>
    <n v="9805.2099999999991"/>
    <n v="444450.17610000004"/>
    <n v="257500.31000000003"/>
    <n v="22"/>
    <n v="25"/>
    <n v="13"/>
    <n v="6285.4967311977434"/>
    <n v="975"/>
    <x v="0"/>
  </r>
  <r>
    <x v="1"/>
    <s v="CHIMALHUACAN 2"/>
    <n v="30967"/>
    <s v="LIZBETH GUADALUPE MUJICA HERNANDEZ"/>
    <d v="2023-04-20T00:00:00"/>
    <n v="102"/>
    <x v="1"/>
    <n v="2281868.9300000006"/>
    <n v="2126434.3900000006"/>
    <n v="1937994.9300000006"/>
    <n v="3952.3"/>
    <n v="800290.14600000007"/>
    <n v="655001.35000000021"/>
    <n v="6"/>
    <n v="91"/>
    <n v="55"/>
    <n v="23414.699946235174"/>
    <n v="1500"/>
    <x v="0"/>
  </r>
  <r>
    <x v="1"/>
    <s v="IXTAPALUCA"/>
    <n v="25237"/>
    <s v="MARISELA HERNANDEZ MORINCHEL"/>
    <d v="2022-09-20T00:00:00"/>
    <n v="314"/>
    <x v="3"/>
    <n v="1973686.5999999999"/>
    <n v="1655077.1099999999"/>
    <n v="1563638.57"/>
    <n v="9310.14"/>
    <n v="822585.26190000004"/>
    <n v="468000.11"/>
    <n v="11"/>
    <n v="37"/>
    <n v="15"/>
    <n v="5407.3912152310495"/>
    <n v="1820"/>
    <x v="0"/>
  </r>
  <r>
    <x v="1"/>
    <s v="IXTAPALUCA"/>
    <n v="28239"/>
    <s v="BRENDA DANIELA RODRIGUEZ REYES"/>
    <d v="2023-01-17T00:00:00"/>
    <n v="195"/>
    <x v="3"/>
    <n v="364451.29000000004"/>
    <n v="418787.11"/>
    <n v="411847.58999999997"/>
    <n v="0"/>
    <n v="304500"/>
    <n v="181000.08000000002"/>
    <n v="22"/>
    <n v="0"/>
    <n v="0"/>
    <n v="5758.4695575511378"/>
    <n v="1983.75"/>
    <x v="0"/>
  </r>
  <r>
    <x v="1"/>
    <s v="IXTAPALUCA"/>
    <n v="28894"/>
    <s v="ARIAN AGUILAR PLATA"/>
    <d v="2023-02-09T00:00:00"/>
    <n v="172"/>
    <x v="1"/>
    <n v="459510.52"/>
    <n v="716322.08000000007"/>
    <n v="713879.08000000007"/>
    <n v="0"/>
    <n v="533694.71785000002"/>
    <n v="482500.48"/>
    <n v="31"/>
    <n v="44"/>
    <n v="27"/>
    <n v="11153.483921520463"/>
    <n v="7532.5"/>
    <x v="0"/>
  </r>
  <r>
    <x v="1"/>
    <s v="IZTAPALAPA"/>
    <n v="31346"/>
    <s v="LAURA LORENA PEREZ MENDOZA"/>
    <d v="2023-05-08T00:00:00"/>
    <n v="84"/>
    <x v="0"/>
    <n v="491995.22000000003"/>
    <n v="695230.2699999999"/>
    <n v="670180.53999999992"/>
    <n v="0"/>
    <n v="367379.5699"/>
    <n v="397498.66000000003"/>
    <n v="68"/>
    <n v="13"/>
    <n v="12"/>
    <n v="10567.574305410062"/>
    <n v="5175"/>
    <x v="0"/>
  </r>
  <r>
    <x v="1"/>
    <s v="NEZAHUALCOYOTL"/>
    <n v="33385"/>
    <s v="NADINE GUADALUPE URIBE SANTIAGO"/>
    <d v="2023-02-01T00:00:00"/>
    <n v="180"/>
    <x v="3"/>
    <n v="917638.17"/>
    <n v="1188527.68"/>
    <n v="1075874.0699999998"/>
    <n v="6440.6200000000008"/>
    <n v="343000.09750000003"/>
    <n v="512999.37000000011"/>
    <n v="0"/>
    <n v="0"/>
    <n v="0"/>
    <n v="5242.4172185881744"/>
    <n v="3172.5000000000009"/>
    <x v="0"/>
  </r>
  <r>
    <x v="1"/>
    <s v="NEZAHUALCOYOTL 2"/>
    <n v="26898"/>
    <s v="JONNY ROMAN GARCIA VALENTINO"/>
    <d v="2020-01-20T00:00:00"/>
    <n v="1288"/>
    <x v="4"/>
    <n v="613874.71999999986"/>
    <n v="612085.23"/>
    <n v="604479.43000000005"/>
    <n v="3985.73"/>
    <n v="247000.01500000001"/>
    <n v="115999.68999999999"/>
    <n v="0"/>
    <n v="27"/>
    <n v="11"/>
    <n v="3521.4882818233627"/>
    <n v="2645"/>
    <x v="0"/>
  </r>
  <r>
    <x v="1"/>
    <s v="NEZAHUALCOYOTL 2"/>
    <n v="25227"/>
    <s v="DENISSE FUENTES CASTRO"/>
    <d v="2022-09-19T00:00:00"/>
    <n v="315"/>
    <x v="3"/>
    <n v="1306035.08"/>
    <n v="1406302.81"/>
    <n v="1217946.99"/>
    <n v="13072.75"/>
    <n v="470929.97194999992"/>
    <n v="510000.9599999999"/>
    <n v="30"/>
    <n v="30"/>
    <n v="21"/>
    <n v="5947.5"/>
    <n v="1710.0000000000005"/>
    <x v="0"/>
  </r>
  <r>
    <x v="1"/>
    <s v="NEZAHUALCOYOTL 2"/>
    <n v="30049"/>
    <s v="NELLYE SAAVEDRA SALVADOR"/>
    <d v="2023-03-21T00:00:00"/>
    <n v="132"/>
    <x v="1"/>
    <n v="406962.17000000004"/>
    <n v="703234.08"/>
    <n v="703234.08"/>
    <n v="0"/>
    <n v="348270.13089999999"/>
    <n v="479998.0299999998"/>
    <n v="27"/>
    <n v="7"/>
    <n v="7"/>
    <n v="8108.6046670974592"/>
    <n v="9545"/>
    <x v="0"/>
  </r>
  <r>
    <x v="1"/>
    <s v="TEXCOCO"/>
    <n v="21057"/>
    <s v="MARIA IVONNE CRUZ TRUJANO"/>
    <d v="2022-04-25T00:00:00"/>
    <n v="462"/>
    <x v="2"/>
    <n v="1424644.5000000002"/>
    <n v="1424667.6400000001"/>
    <n v="1344054.4300000002"/>
    <n v="12586.720000000001"/>
    <n v="615195.27484999993"/>
    <n v="450000.3800000003"/>
    <n v="0"/>
    <n v="0"/>
    <n v="0"/>
    <n v="9710.5836074248873"/>
    <n v="1592.5"/>
    <x v="0"/>
  </r>
  <r>
    <x v="1"/>
    <s v="TEXCOCO"/>
    <n v="33373"/>
    <s v="ROBERTO MERAZ GUTIERREZ"/>
    <d v="2023-04-17T00:00:00"/>
    <n v="105"/>
    <x v="1"/>
    <n v="441055.81"/>
    <n v="835765.31999999983"/>
    <n v="835765.31999999983"/>
    <n v="0"/>
    <n v="300000"/>
    <n v="627001.28000000026"/>
    <n v="0"/>
    <n v="0"/>
    <n v="0"/>
    <n v="9065.5015912662366"/>
    <n v="17106.25"/>
    <x v="0"/>
  </r>
  <r>
    <x v="1"/>
    <s v="TEXCOCO"/>
    <n v="32596"/>
    <s v="ELIZABETH PEREZ PERALTA"/>
    <d v="2023-06-16T00:00:00"/>
    <n v="45"/>
    <x v="0"/>
    <n v="0"/>
    <n v="102968.23999999999"/>
    <n v="102968.23999999999"/>
    <n v="0"/>
    <m/>
    <n v="105999.37000000001"/>
    <n v="22"/>
    <n v="0"/>
    <n v="0"/>
    <n v="2275"/>
    <n v="2875"/>
    <x v="0"/>
  </r>
  <r>
    <x v="1"/>
    <s v="TONALA"/>
    <n v="30869"/>
    <s v="LAURA PATRICIA CARRERA QUINTERO"/>
    <d v="2023-04-18T00:00:00"/>
    <n v="104"/>
    <x v="1"/>
    <n v="1213599.7599999998"/>
    <n v="1291001.27"/>
    <n v="1286435.58"/>
    <n v="0"/>
    <n v="487500.40499999991"/>
    <n v="550501.13000000035"/>
    <n v="36"/>
    <n v="50"/>
    <n v="36"/>
    <n v="7581.6571661053758"/>
    <n v="6612.5"/>
    <x v="0"/>
  </r>
  <r>
    <x v="1"/>
    <s v="TONALA 2"/>
    <n v="20173"/>
    <s v="EULALIO MARQUEZ ROJAS"/>
    <d v="2022-03-07T00:00:00"/>
    <n v="511"/>
    <x v="2"/>
    <n v="2173006.0999999996"/>
    <n v="2176958.62"/>
    <n v="2176958.62"/>
    <n v="0"/>
    <n v="688889.90094999992"/>
    <n v="979999.82"/>
    <n v="13"/>
    <n v="47"/>
    <n v="40"/>
    <n v="9525"/>
    <n v="5520"/>
    <x v="0"/>
  </r>
  <r>
    <x v="1"/>
    <s v="TONALA 2"/>
    <n v="20612"/>
    <s v="ARMANDO ALEJANDRO TOVAR BRACAMONTES"/>
    <d v="2022-03-28T00:00:00"/>
    <n v="490"/>
    <x v="2"/>
    <n v="2055945.7999999998"/>
    <n v="1977158.1099999999"/>
    <n v="1977158.1099999999"/>
    <n v="0"/>
    <n v="521695.26745000004"/>
    <n v="730500.04999999993"/>
    <n v="23"/>
    <n v="39"/>
    <n v="35"/>
    <n v="8225"/>
    <n v="4600"/>
    <x v="0"/>
  </r>
  <r>
    <x v="2"/>
    <s v="AMECAMECA"/>
    <n v="27539"/>
    <s v="MARIA ISABEL MUÑOZ SANCHEZ"/>
    <d v="2022-12-07T00:00:00"/>
    <n v="236"/>
    <x v="3"/>
    <n v="1299900.6400000001"/>
    <n v="1242782.1599999999"/>
    <n v="1168981.94"/>
    <n v="15672.970000000001"/>
    <n v="882509.92520000006"/>
    <n v="505499.63000000006"/>
    <n v="46"/>
    <n v="17"/>
    <n v="11"/>
    <n v="5193.75"/>
    <n v="1365"/>
    <x v="0"/>
  </r>
  <r>
    <x v="2"/>
    <s v="AMECAMECA"/>
    <n v="32635"/>
    <s v="YESICA MERIC OSNAYA SORIANO"/>
    <d v="2023-06-21T00:00:00"/>
    <n v="40"/>
    <x v="0"/>
    <n v="1419874.75"/>
    <n v="1520242.17"/>
    <n v="1501917.97"/>
    <n v="0"/>
    <n v="80000"/>
    <n v="627000.18000000005"/>
    <n v="30"/>
    <n v="25"/>
    <n v="14"/>
    <n v="6894.8259921886984"/>
    <n v="7187.5"/>
    <x v="0"/>
  </r>
  <r>
    <x v="2"/>
    <s v="CHALCO"/>
    <n v="31219"/>
    <s v="AGUSTIN DAVID ACEVEDO DELGADO"/>
    <d v="2023-05-02T00:00:00"/>
    <n v="90"/>
    <x v="1"/>
    <n v="1057379.1199999996"/>
    <n v="947617.83000000007"/>
    <n v="919070.94000000006"/>
    <n v="0"/>
    <n v="463375.3000000001"/>
    <n v="230001.83000000002"/>
    <n v="0"/>
    <n v="63"/>
    <n v="31"/>
    <n v="7089.6021546831271"/>
    <n v="2000"/>
    <x v="0"/>
  </r>
  <r>
    <x v="2"/>
    <s v="CHALCO"/>
    <n v="31645"/>
    <s v="GILBERTO REYES GONZALEZ"/>
    <d v="2023-05-17T00:00:00"/>
    <n v="75"/>
    <x v="0"/>
    <n v="1172440.4099999999"/>
    <n v="1204512.31"/>
    <n v="948591.35000000021"/>
    <n v="0"/>
    <n v="389815.25244999997"/>
    <n v="316500.05"/>
    <n v="36"/>
    <n v="30"/>
    <n v="15"/>
    <n v="5193.75"/>
    <n v="2000"/>
    <x v="0"/>
  </r>
  <r>
    <x v="2"/>
    <s v="CHALCO"/>
    <n v="32305"/>
    <s v="LETICIA MESINAS ACEVEDO"/>
    <d v="2023-06-06T00:00:00"/>
    <n v="55"/>
    <x v="0"/>
    <n v="1419497.61"/>
    <n v="1718635.0599999996"/>
    <n v="1718635.0599999996"/>
    <n v="0"/>
    <n v="339125.13500000001"/>
    <n v="738000.73000000033"/>
    <n v="26"/>
    <n v="72"/>
    <n v="44"/>
    <n v="7675"/>
    <n v="14950"/>
    <x v="0"/>
  </r>
  <r>
    <x v="2"/>
    <s v="COATZACOALCOS"/>
    <n v="14019"/>
    <s v="ISABEL MONSERRAT RAZO MENDEZ"/>
    <d v="2021-07-08T00:00:00"/>
    <n v="753"/>
    <x v="5"/>
    <n v="1427348.9300000002"/>
    <n v="1288885.8300000003"/>
    <n v="1191595.7100000002"/>
    <n v="17514.23"/>
    <n v="695780.39894999994"/>
    <n v="262499.90999999997"/>
    <n v="17"/>
    <n v="52"/>
    <n v="18"/>
    <n v="10866.535997988485"/>
    <n v="1724.9999999999998"/>
    <x v="0"/>
  </r>
  <r>
    <x v="2"/>
    <s v="COATZACOALCOS"/>
    <n v="26859"/>
    <s v="MONSERRAT DE LA CRUZ MARTINEZ ALVARADO"/>
    <d v="2022-11-16T00:00:00"/>
    <n v="257"/>
    <x v="3"/>
    <n v="744939.28999999992"/>
    <n v="1001774.7200000001"/>
    <n v="909409.50000000012"/>
    <n v="10377.32"/>
    <n v="663349.07610000006"/>
    <n v="450997.4099999998"/>
    <n v="77"/>
    <n v="72"/>
    <n v="26"/>
    <n v="18119.700348583174"/>
    <n v="3225.0000000000009"/>
    <x v="0"/>
  </r>
  <r>
    <x v="2"/>
    <s v="FORTIN"/>
    <n v="17299"/>
    <s v="JULIAN MARTINEZ CORTES"/>
    <d v="2021-11-10T00:00:00"/>
    <n v="628"/>
    <x v="6"/>
    <n v="558548.25"/>
    <n v="519926.24999999994"/>
    <n v="484941.30999999994"/>
    <n v="68187.990000000005"/>
    <n v="640164.79429999995"/>
    <n v="308999.84000000003"/>
    <n v="13"/>
    <n v="27"/>
    <n v="12"/>
    <n v="10173.493892514265"/>
    <n v="780"/>
    <x v="0"/>
  </r>
  <r>
    <x v="2"/>
    <s v="FORTIN"/>
    <n v="29508"/>
    <s v="JESSICA MARIN DURON"/>
    <d v="2023-03-02T00:00:00"/>
    <n v="151"/>
    <x v="1"/>
    <n v="757906.95"/>
    <n v="649191.03000000014"/>
    <n v="649191.03000000014"/>
    <n v="0"/>
    <n v="462515.02804999996"/>
    <n v="137000.01"/>
    <n v="8"/>
    <n v="19"/>
    <n v="10"/>
    <n v="5148.3167274358457"/>
    <n v="1495"/>
    <x v="0"/>
  </r>
  <r>
    <x v="2"/>
    <s v="MILPA ALTA"/>
    <n v="31036"/>
    <s v="JENIFER QUETZALLI REMOLINO"/>
    <d v="2023-04-24T00:00:00"/>
    <n v="98"/>
    <x v="1"/>
    <n v="531961.34"/>
    <n v="654948.19000000006"/>
    <n v="591654.24"/>
    <n v="0"/>
    <n v="300000"/>
    <n v="317000.06000000006"/>
    <n v="21"/>
    <n v="7"/>
    <n v="0"/>
    <n v="4972.3050413548108"/>
    <n v="1275"/>
    <x v="0"/>
  </r>
  <r>
    <x v="2"/>
    <s v="MILPA ALTA"/>
    <n v="31037"/>
    <s v="BRAULIO GUZMAN JIMENEZ"/>
    <d v="2023-04-24T00:00:00"/>
    <n v="98"/>
    <x v="1"/>
    <n v="363074.4"/>
    <n v="558836.07999999996"/>
    <n v="511765.87"/>
    <n v="0"/>
    <n v="407350.13089999999"/>
    <n v="289500.26"/>
    <n v="20"/>
    <n v="7"/>
    <n v="0"/>
    <n v="9189.6112441991881"/>
    <n v="1725.0000000000005"/>
    <x v="0"/>
  </r>
  <r>
    <x v="2"/>
    <s v="ORIZABA"/>
    <n v="25225"/>
    <s v="MARCELO TZITZIHUA TZITZIHUA"/>
    <d v="2022-09-19T00:00:00"/>
    <n v="315"/>
    <x v="3"/>
    <n v="1528241.0199999998"/>
    <n v="1478613.0799999996"/>
    <n v="1289367.2799999998"/>
    <n v="80326.64"/>
    <n v="906534.20699999994"/>
    <n v="496500.05999999982"/>
    <n v="28"/>
    <n v="69"/>
    <n v="35"/>
    <n v="19145.340570760753"/>
    <n v="682.5"/>
    <x v="0"/>
  </r>
  <r>
    <x v="2"/>
    <s v="ORIZABA"/>
    <n v="27027"/>
    <s v="FERNANDO MANUEL VELASCO RIVERA"/>
    <d v="2022-11-22T00:00:00"/>
    <n v="251"/>
    <x v="3"/>
    <n v="1585437.7000000002"/>
    <n v="1571890.0499999996"/>
    <n v="1283339.7099999995"/>
    <n v="51392.759999999995"/>
    <n v="810450.11990000005"/>
    <n v="459501.11999999988"/>
    <n v="19"/>
    <n v="91"/>
    <n v="49"/>
    <n v="16079.240641580183"/>
    <n v="682.5"/>
    <x v="0"/>
  </r>
  <r>
    <x v="2"/>
    <s v="ORIZABA"/>
    <n v="32999"/>
    <s v="ELSA FERNANDEZ REYES"/>
    <d v="2023-07-03T00:00:00"/>
    <n v="28"/>
    <x v="0"/>
    <n v="0"/>
    <n v="33288.660000000003"/>
    <n v="33288.660000000003"/>
    <n v="0"/>
    <m/>
    <n v="35000.03"/>
    <n v="20"/>
    <n v="0"/>
    <n v="0"/>
    <n v="1512.5"/>
    <n v="2000"/>
    <x v="0"/>
  </r>
  <r>
    <x v="2"/>
    <s v="TLAHUAC"/>
    <n v="28375"/>
    <s v="OLIVIA LOPEZ HERNANDEZ"/>
    <d v="2023-01-23T00:00:00"/>
    <n v="189"/>
    <x v="3"/>
    <n v="779708.25000000012"/>
    <n v="720804.60000000009"/>
    <n v="683784.70000000007"/>
    <n v="0"/>
    <n v="432014.84855"/>
    <n v="204999.65000000008"/>
    <n v="7"/>
    <n v="25"/>
    <n v="18"/>
    <n v="6634.9542477863679"/>
    <n v="1120"/>
    <x v="0"/>
  </r>
  <r>
    <x v="2"/>
    <s v="TLAHUAC"/>
    <n v="33376"/>
    <s v="ISAAC VINICIO BACILIO ESPITIA"/>
    <d v="2023-07-17T00:00:00"/>
    <n v="14"/>
    <x v="0"/>
    <n v="299080.36"/>
    <n v="303473.75"/>
    <n v="303473.75"/>
    <n v="0"/>
    <m/>
    <n v="121000.29"/>
    <n v="14"/>
    <n v="2"/>
    <n v="1"/>
    <n v="2812.5"/>
    <n v="2000"/>
    <x v="0"/>
  </r>
  <r>
    <x v="2"/>
    <s v="TLAHUAC"/>
    <n v="33499"/>
    <s v="HECTOR CORONEL VENTURA"/>
    <d v="2023-07-21T00:00:00"/>
    <n v="10"/>
    <x v="0"/>
    <n v="240741.16999999998"/>
    <n v="533654.06999999995"/>
    <n v="533654.06999999995"/>
    <n v="0"/>
    <m/>
    <n v="363500.16999999987"/>
    <n v="20"/>
    <n v="3"/>
    <n v="3"/>
    <n v="4250"/>
    <n v="9200"/>
    <x v="0"/>
  </r>
  <r>
    <x v="0"/>
    <s v="VILLAHERMOSA"/>
    <n v="31096"/>
    <s v="YADIRA LIZBETH RODRIGUEZ COLLADO"/>
    <d v="2023-04-25T00:00:00"/>
    <n v="128"/>
    <x v="1"/>
    <n v="1318217.7500000005"/>
    <n v="1240496.8400000001"/>
    <n v="1074800.8799999999"/>
    <n v="0"/>
    <n v="759995.45739999996"/>
    <n v="299500"/>
    <n v="15"/>
    <n v="53"/>
    <n v="17"/>
    <n v="18420.518201925912"/>
    <n v="2047.5"/>
    <x v="1"/>
  </r>
  <r>
    <x v="1"/>
    <s v="CHIMALHUACAN 2"/>
    <n v="20314"/>
    <s v="MARIBEL RODRIGUEZ CARRIZOZA"/>
    <d v="2022-03-14T00:00:00"/>
    <n v="535"/>
    <x v="2"/>
    <n v="1361066.6299999997"/>
    <n v="1170570.54"/>
    <n v="1072603.6200000001"/>
    <n v="5252.25"/>
    <n v="553360.48544999992"/>
    <n v="200000"/>
    <n v="7"/>
    <n v="35"/>
    <n v="25"/>
    <n v="5733.4064385404126"/>
    <n v="0"/>
    <x v="1"/>
  </r>
  <r>
    <x v="1"/>
    <s v="CHIMALHUACAN 2"/>
    <n v="20315"/>
    <s v="KARINA TERRAZAS OLVERA"/>
    <d v="2022-03-14T00:00:00"/>
    <n v="535"/>
    <x v="2"/>
    <n v="880824.51"/>
    <n v="905327.28999999992"/>
    <n v="858144.94999999984"/>
    <n v="0"/>
    <n v="812555.26260000002"/>
    <n v="368000"/>
    <n v="13"/>
    <n v="46"/>
    <n v="30"/>
    <n v="21360.338323273991"/>
    <n v="1137.5"/>
    <x v="1"/>
  </r>
  <r>
    <x v="1"/>
    <s v="CHIMALHUACAN 2"/>
    <n v="30967"/>
    <s v="LIZBETH GUADALUPE MUJICA HERNANDEZ"/>
    <d v="2023-04-20T00:00:00"/>
    <n v="133"/>
    <x v="1"/>
    <n v="2266065.0700000008"/>
    <n v="2179159.9500000002"/>
    <n v="1964774.1300000001"/>
    <n v="95114.61"/>
    <n v="1167245.2262000004"/>
    <n v="829000"/>
    <n v="28"/>
    <n v="116"/>
    <n v="76"/>
    <n v="23097.346140718215"/>
    <n v="1170"/>
    <x v="1"/>
  </r>
  <r>
    <x v="1"/>
    <s v="CHIMALHUACAN 2"/>
    <n v="33543"/>
    <s v="ANDRES DE JESUS PALOMARES PASTRANA"/>
    <d v="2023-07-21T00:00:00"/>
    <n v="41"/>
    <x v="0"/>
    <n v="490340.45999999996"/>
    <n v="489022.56"/>
    <n v="368645.32"/>
    <n v="80043.260000000009"/>
    <n v="83331.945889698225"/>
    <n v="78500"/>
    <n v="17"/>
    <n v="10"/>
    <n v="3"/>
    <n v="4003.537237996135"/>
    <n v="450"/>
    <x v="1"/>
  </r>
  <r>
    <x v="1"/>
    <s v="CHIMALHUACAN 2"/>
    <n v="33878"/>
    <s v="GUADALUPE CARMONA ANTONIO"/>
    <d v="2023-08-02T00:00:00"/>
    <n v="29"/>
    <x v="0"/>
    <n v="0"/>
    <n v="129111.69"/>
    <n v="129111.69"/>
    <n v="0"/>
    <n v="35000"/>
    <n v="136000"/>
    <n v="31"/>
    <n v="0"/>
    <n v="0"/>
    <n v="2162.5"/>
    <n v="3737.5"/>
    <x v="1"/>
  </r>
  <r>
    <x v="1"/>
    <s v="IXTAPALUCA"/>
    <n v="25237"/>
    <s v="MARISELA HERNANDEZ MORINCHEL"/>
    <d v="2022-09-20T00:00:00"/>
    <n v="345"/>
    <x v="3"/>
    <n v="1655077.1099999999"/>
    <n v="1674124.0600000005"/>
    <n v="1556997.0600000005"/>
    <n v="9077.59"/>
    <n v="1202865.1926499999"/>
    <n v="904000"/>
    <n v="19"/>
    <n v="86"/>
    <n v="34"/>
    <n v="21865.840262943762"/>
    <n v="1560"/>
    <x v="1"/>
  </r>
  <r>
    <x v="1"/>
    <s v="IXTAPALUCA"/>
    <n v="28239"/>
    <s v="BRENDA DANIELA RODRIGUEZ REYES"/>
    <d v="2023-01-17T00:00:00"/>
    <n v="226"/>
    <x v="3"/>
    <n v="418787.11"/>
    <n v="396423.34000000008"/>
    <n v="382007.62000000005"/>
    <n v="0"/>
    <n v="330644.63535"/>
    <n v="139000"/>
    <n v="9"/>
    <n v="28"/>
    <n v="6"/>
    <n v="5465.5790361783065"/>
    <n v="877.5"/>
    <x v="1"/>
  </r>
  <r>
    <x v="1"/>
    <s v="IXTAPALUCA"/>
    <n v="28894"/>
    <s v="ARIAN AGUILAR PLATA"/>
    <d v="2023-02-09T00:00:00"/>
    <n v="203"/>
    <x v="3"/>
    <n v="716322.08000000007"/>
    <n v="694011.52"/>
    <n v="666537.59000000008"/>
    <n v="0"/>
    <n v="396594.99804999999"/>
    <n v="232000"/>
    <n v="4"/>
    <n v="38"/>
    <n v="24"/>
    <n v="4449.5758542826206"/>
    <n v="3870"/>
    <x v="1"/>
  </r>
  <r>
    <x v="1"/>
    <s v="IXTAPALUCA"/>
    <n v="33995"/>
    <s v="MARIA ANGELICA VILLA MARTINEZ"/>
    <d v="2023-08-08T00:00:00"/>
    <n v="23"/>
    <x v="0"/>
    <n v="0"/>
    <n v="99999.8"/>
    <n v="99999.8"/>
    <n v="0"/>
    <n v="35000"/>
    <n v="100000"/>
    <n v="17"/>
    <n v="0"/>
    <n v="0"/>
    <n v="2162.5"/>
    <n v="2875"/>
    <x v="1"/>
  </r>
  <r>
    <x v="1"/>
    <s v="IZTAPALAPA"/>
    <n v="31346"/>
    <s v="LAURA LORENA PéREZ MENDOZA"/>
    <d v="2023-05-08T00:00:00"/>
    <n v="115"/>
    <x v="1"/>
    <n v="599270.66"/>
    <n v="744844.04999999981"/>
    <n v="735195.21"/>
    <n v="0"/>
    <n v="364554.4203"/>
    <n v="479500"/>
    <n v="28"/>
    <n v="7"/>
    <n v="0"/>
    <n v="4786.8812938865094"/>
    <n v="12650"/>
    <x v="1"/>
  </r>
  <r>
    <x v="1"/>
    <s v="IZTAPALAPA"/>
    <n v="33877"/>
    <s v="RODOLFO ALBERTO SORIANO MEJIA"/>
    <d v="2023-08-02T00:00:00"/>
    <n v="29"/>
    <x v="0"/>
    <n v="137646.94"/>
    <n v="393589.62999999995"/>
    <n v="392966.62999999995"/>
    <n v="0"/>
    <n v="35000"/>
    <n v="112000"/>
    <n v="19"/>
    <n v="0"/>
    <n v="0"/>
    <n v="2812.5"/>
    <n v="2587.5"/>
    <x v="1"/>
  </r>
  <r>
    <x v="1"/>
    <s v="NEZAHUALCOYOTL"/>
    <n v="34012"/>
    <s v="JONNY ROMAN GARCIA VALENTINO"/>
    <d v="2020-01-20T00:00:00"/>
    <n v="1319"/>
    <x v="4"/>
    <n v="456446.52"/>
    <n v="858428.65999999992"/>
    <n v="858428.65999999992"/>
    <n v="6954.86"/>
    <n v="448125.34499999997"/>
    <n v="278000"/>
    <n v="7"/>
    <n v="0"/>
    <n v="0"/>
    <n v="12723.870548977318"/>
    <n v="2587.5"/>
    <x v="1"/>
  </r>
  <r>
    <x v="1"/>
    <s v="NEZAHUALCOYOTL"/>
    <n v="33385"/>
    <s v="NADINE GUADALUPE URIBE SANTIAGO"/>
    <d v="2023-02-01T00:00:00"/>
    <n v="211"/>
    <x v="3"/>
    <n v="1325230.6099999999"/>
    <n v="1958828.22"/>
    <n v="1643269.88"/>
    <n v="30049.29"/>
    <n v="611375.28450000007"/>
    <n v="916000"/>
    <n v="7"/>
    <n v="41"/>
    <n v="32"/>
    <n v="11324.513973367517"/>
    <n v="5850"/>
    <x v="1"/>
  </r>
  <r>
    <x v="1"/>
    <s v="NEZAHUALCOYOTL 2"/>
    <n v="26898"/>
    <s v="JONNY ROMAN GARCIA VALENTINO"/>
    <d v="2020-01-20T00:00:00"/>
    <n v="1319"/>
    <x v="4"/>
    <n v="39160.020000000004"/>
    <n v="5443.83"/>
    <n v="0"/>
    <n v="2161.9699999999998"/>
    <n v="448125.34499999997"/>
    <n v="97000"/>
    <n v="2"/>
    <n v="33"/>
    <n v="12"/>
    <n v="6965.9136993182128"/>
    <n v="57.5"/>
    <x v="1"/>
  </r>
  <r>
    <x v="1"/>
    <s v="NEZAHUALCOYOTL 2"/>
    <n v="25227"/>
    <s v="DENISSE FUENTES CASTRO"/>
    <d v="2022-09-19T00:00:00"/>
    <n v="346"/>
    <x v="3"/>
    <n v="1419167.22"/>
    <n v="1599896.2999999998"/>
    <n v="1447571.69"/>
    <n v="170549.7"/>
    <n v="991470.08415000001"/>
    <n v="898000"/>
    <n v="60"/>
    <n v="57"/>
    <n v="36"/>
    <n v="18786.890770494392"/>
    <n v="6607.5000000000018"/>
    <x v="1"/>
  </r>
  <r>
    <x v="1"/>
    <s v="NEZAHUALCOYOTL 2"/>
    <n v="30049"/>
    <s v="NELLYE SAAVEDRA SALVADOR"/>
    <d v="2023-03-21T00:00:00"/>
    <n v="163"/>
    <x v="1"/>
    <n v="687403.42999999982"/>
    <n v="527589.53"/>
    <n v="527589.53"/>
    <n v="0"/>
    <n v="332879.94390000007"/>
    <n v="59000"/>
    <n v="13"/>
    <n v="21"/>
    <n v="20"/>
    <n v="5433.1999755910165"/>
    <n v="2645"/>
    <x v="1"/>
  </r>
  <r>
    <x v="1"/>
    <s v="NEZAHUALCOYOTL 2"/>
    <n v="34226"/>
    <s v="JORGE ALBERTO CONTRERAS SEGUNDO"/>
    <d v="2023-08-16T00:00:00"/>
    <n v="15"/>
    <x v="0"/>
    <n v="575891.45000000007"/>
    <n v="540791.86"/>
    <n v="540791.86"/>
    <n v="0"/>
    <n v="35000"/>
    <n v="24000"/>
    <n v="0"/>
    <n v="4"/>
    <n v="1"/>
    <n v="3462.5"/>
    <n v="2300"/>
    <x v="1"/>
  </r>
  <r>
    <x v="1"/>
    <s v="TEXCOCO"/>
    <n v="21057"/>
    <s v="MARIA IVONNE CRUZ TRUJANO"/>
    <d v="2022-04-25T00:00:00"/>
    <n v="493"/>
    <x v="2"/>
    <n v="500875.08999999997"/>
    <n v="1300046.5"/>
    <n v="1142769.22"/>
    <n v="0"/>
    <n v="638894.89140000008"/>
    <n v="352500"/>
    <n v="6"/>
    <n v="66"/>
    <n v="42"/>
    <n v="4774.0753335679574"/>
    <n v="195"/>
    <x v="1"/>
  </r>
  <r>
    <x v="1"/>
    <s v="TEXCOCO"/>
    <n v="33373"/>
    <s v="ROBERTO MERAZ GUTIERREZ"/>
    <d v="2023-04-17T00:00:00"/>
    <n v="136"/>
    <x v="1"/>
    <n v="1249698.67"/>
    <n v="1128241.7000000002"/>
    <n v="1032166.6500000001"/>
    <n v="0"/>
    <n v="560670.31420000002"/>
    <n v="469000"/>
    <n v="5"/>
    <n v="21"/>
    <n v="17"/>
    <n v="11283.310140120731"/>
    <n v="1590"/>
    <x v="1"/>
  </r>
  <r>
    <x v="1"/>
    <s v="TEXCOCO"/>
    <n v="32596"/>
    <s v="ELIZABETH PEREZ PERALTA"/>
    <d v="2023-06-16T00:00:00"/>
    <n v="76"/>
    <x v="0"/>
    <n v="1162405.6199999999"/>
    <n v="417720.51"/>
    <n v="417720.51"/>
    <n v="0"/>
    <n v="121500"/>
    <n v="247000"/>
    <n v="18"/>
    <n v="4"/>
    <n v="3"/>
    <n v="3848.3071622470707"/>
    <n v="5175"/>
    <x v="1"/>
  </r>
  <r>
    <x v="1"/>
    <s v="TEXCOCO"/>
    <n v="33403"/>
    <s v="ROSARIO EDITH LINAJE GONZALEZ"/>
    <d v="2023-07-19T00:00:00"/>
    <n v="43"/>
    <x v="0"/>
    <n v="36032.74"/>
    <n v="49999.95"/>
    <n v="49999.95"/>
    <n v="0"/>
    <n v="94485.952133194587"/>
    <n v="50000"/>
    <n v="9"/>
    <n v="0"/>
    <n v="0"/>
    <n v="2978.4038204251519"/>
    <n v="1437.5"/>
    <x v="1"/>
  </r>
  <r>
    <x v="1"/>
    <s v="TONALA"/>
    <n v="30869"/>
    <s v="LAURA PATRICIA CARRERA QUINTERO"/>
    <d v="2023-04-18T00:00:00"/>
    <n v="135"/>
    <x v="1"/>
    <n v="1291001.27"/>
    <n v="1283919.5700000005"/>
    <n v="1262263.1800000004"/>
    <n v="0"/>
    <n v="584700.6148000001"/>
    <n v="396500"/>
    <n v="18"/>
    <n v="81"/>
    <n v="60"/>
    <n v="8795.4353237543619"/>
    <n v="5203.75"/>
    <x v="1"/>
  </r>
  <r>
    <x v="1"/>
    <s v="TONALA"/>
    <n v="33967"/>
    <s v="MIRIAM PATRICIA ROSAS AREVALO"/>
    <d v="2023-08-07T00:00:00"/>
    <n v="24"/>
    <x v="0"/>
    <n v="299437.43000000005"/>
    <n v="315967.48"/>
    <n v="315967.48"/>
    <n v="0"/>
    <n v="35000"/>
    <n v="94500"/>
    <n v="16"/>
    <n v="0"/>
    <n v="0"/>
    <n v="2812.5"/>
    <n v="1725"/>
    <x v="1"/>
  </r>
  <r>
    <x v="1"/>
    <s v="TONALA 2"/>
    <n v="20173"/>
    <s v="EULALIO MARQUEZ ROJAS"/>
    <d v="2022-03-07T00:00:00"/>
    <n v="542"/>
    <x v="6"/>
    <n v="2176958.62"/>
    <n v="2581285.0400000005"/>
    <n v="2581285.0400000005"/>
    <n v="0"/>
    <n v="1061939.8035499998"/>
    <n v="1559000"/>
    <n v="13"/>
    <n v="47"/>
    <n v="39"/>
    <n v="13128.744291858764"/>
    <n v="19435"/>
    <x v="1"/>
  </r>
  <r>
    <x v="1"/>
    <s v="TONALA 2"/>
    <n v="20612"/>
    <s v="ARMANDO ALEJANDRO TOVAR BRACAMONTES"/>
    <d v="2022-03-28T00:00:00"/>
    <n v="521"/>
    <x v="2"/>
    <n v="1977158.1099999999"/>
    <n v="1585912.3200000003"/>
    <n v="1585912.3200000003"/>
    <n v="0"/>
    <n v="626155.33485000033"/>
    <n v="514000"/>
    <n v="7"/>
    <n v="42"/>
    <n v="23"/>
    <n v="6493.75"/>
    <n v="3040"/>
    <x v="1"/>
  </r>
  <r>
    <x v="2"/>
    <s v="AMECAMECA"/>
    <n v="27539"/>
    <s v="MARIA ISABEL MUÑOZ SANCHEZ"/>
    <d v="2022-12-07T00:00:00"/>
    <n v="267"/>
    <x v="3"/>
    <n v="1242782.1599999999"/>
    <n v="1209642.7500000002"/>
    <n v="1115673.75"/>
    <n v="13635.470000000001"/>
    <n v="622590.25060000014"/>
    <n v="457000"/>
    <n v="16"/>
    <n v="48"/>
    <n v="29"/>
    <n v="5285.1653760219378"/>
    <n v="975"/>
    <x v="1"/>
  </r>
  <r>
    <x v="2"/>
    <s v="AMECAMECA"/>
    <n v="32635"/>
    <s v="YESICA MERIC OSNAYA SORIANO"/>
    <d v="2023-06-21T00:00:00"/>
    <n v="71"/>
    <x v="0"/>
    <n v="936906.13"/>
    <n v="1386290.6900000002"/>
    <n v="1354806.7800000003"/>
    <n v="0"/>
    <n v="471775.28799999977"/>
    <n v="569000"/>
    <n v="8"/>
    <n v="39"/>
    <n v="21"/>
    <n v="5843.75"/>
    <n v="3150"/>
    <x v="1"/>
  </r>
  <r>
    <x v="2"/>
    <s v="AMECAMECA"/>
    <n v="33645"/>
    <s v="DIANA ELIZABETH GONZALEZ LEON"/>
    <d v="2023-07-25T00:00:00"/>
    <n v="37"/>
    <x v="0"/>
    <n v="536874.1"/>
    <n v="180034.97"/>
    <n v="180034.97"/>
    <n v="0"/>
    <n v="70585.84807492196"/>
    <n v="199000"/>
    <n v="39"/>
    <n v="0"/>
    <n v="0"/>
    <n v="3039.4369704177202"/>
    <n v="5462.5"/>
    <x v="1"/>
  </r>
  <r>
    <x v="2"/>
    <s v="CHALCO"/>
    <n v="32305"/>
    <s v="LETICIA MESINAS ACEVEDO"/>
    <d v="2023-06-06T00:00:00"/>
    <n v="86"/>
    <x v="0"/>
    <n v="1306442.7299999997"/>
    <n v="1601493.2000000002"/>
    <n v="1563772.4000000004"/>
    <n v="0"/>
    <n v="196875.64500000008"/>
    <n v="476500"/>
    <n v="17"/>
    <n v="80"/>
    <n v="47"/>
    <n v="6493.75"/>
    <n v="3600"/>
    <x v="1"/>
  </r>
  <r>
    <x v="2"/>
    <s v="CHALCO"/>
    <n v="34232"/>
    <s v="CARLOS EMANUEL FLORES ACOSTA"/>
    <d v="2023-08-16T00:00:00"/>
    <n v="15"/>
    <x v="0"/>
    <n v="111912.04"/>
    <n v="189999.77000000002"/>
    <n v="189999.77000000002"/>
    <n v="0"/>
    <n v="35000"/>
    <n v="92000"/>
    <n v="25"/>
    <n v="0"/>
    <n v="0"/>
    <n v="2162.5"/>
    <n v="5462.5"/>
    <x v="1"/>
  </r>
  <r>
    <x v="2"/>
    <s v="CHALCO"/>
    <n v="34479"/>
    <s v="JHOVANNY AGUILAR GARCIA"/>
    <d v="2023-08-24T00:00:00"/>
    <n v="7"/>
    <x v="0"/>
    <n v="194844.87"/>
    <n v="71835.66"/>
    <n v="71835.66"/>
    <n v="0"/>
    <n v="35000"/>
    <n v="57000"/>
    <n v="2"/>
    <n v="0"/>
    <n v="0"/>
    <n v="2162.5"/>
    <n v="2012.5"/>
    <x v="1"/>
  </r>
  <r>
    <x v="2"/>
    <s v="COATZACOALCOS"/>
    <n v="14019"/>
    <s v="ISABEL MONSERRAT RAZO MENDEZ"/>
    <d v="2021-07-08T00:00:00"/>
    <n v="784"/>
    <x v="5"/>
    <n v="1209670.1500000001"/>
    <n v="1250844.9700000002"/>
    <n v="1089057.5300000003"/>
    <n v="33390.080000000002"/>
    <n v="600750.53249999997"/>
    <n v="472500"/>
    <n v="26"/>
    <n v="44"/>
    <n v="17"/>
    <n v="10696.785432825331"/>
    <n v="1035"/>
    <x v="1"/>
  </r>
  <r>
    <x v="2"/>
    <s v="COATZACOALCOS"/>
    <n v="26859"/>
    <s v="MONSERRAT DE LA CRUZ MARTINEZ ALVARADO"/>
    <d v="2022-11-16T00:00:00"/>
    <n v="288"/>
    <x v="3"/>
    <n v="899518.58000000007"/>
    <n v="1009050.7000000002"/>
    <n v="822680.57999999984"/>
    <n v="3000"/>
    <n v="357000.0675"/>
    <n v="275500"/>
    <n v="94"/>
    <n v="28"/>
    <n v="8"/>
    <n v="5317.7463833535867"/>
    <n v="862.50000000000023"/>
    <x v="1"/>
  </r>
  <r>
    <x v="2"/>
    <s v="COATZACOALCOS"/>
    <n v="33951"/>
    <s v="JULIO CESAR GONZALEZ ESPINOZA"/>
    <d v="2023-08-07T00:00:00"/>
    <n v="24"/>
    <x v="0"/>
    <n v="162835.17000000001"/>
    <n v="69999.199999999997"/>
    <n v="69999.199999999997"/>
    <n v="0"/>
    <n v="35000"/>
    <n v="70000"/>
    <n v="36"/>
    <n v="0"/>
    <n v="0"/>
    <n v="2162.5"/>
    <n v="2012.5"/>
    <x v="1"/>
  </r>
  <r>
    <x v="2"/>
    <s v="FORTIN"/>
    <n v="17299"/>
    <s v="JULIAN MARTINEZ CORTES"/>
    <d v="2021-11-10T00:00:00"/>
    <n v="659"/>
    <x v="6"/>
    <n v="519926.24999999994"/>
    <n v="825468.8"/>
    <n v="770881.96000000008"/>
    <n v="0"/>
    <n v="748019.8036499999"/>
    <n v="641000"/>
    <n v="38"/>
    <n v="21"/>
    <n v="17"/>
    <n v="22537.272958083042"/>
    <n v="0"/>
    <x v="1"/>
  </r>
  <r>
    <x v="2"/>
    <s v="FORTIN"/>
    <n v="29508"/>
    <s v="JESSICA MARIN DURON"/>
    <d v="2023-03-02T00:00:00"/>
    <n v="182"/>
    <x v="3"/>
    <n v="649191.03000000014"/>
    <n v="809230.59999999974"/>
    <n v="797278.59999999974"/>
    <n v="0"/>
    <n v="499309.97194999998"/>
    <n v="374000"/>
    <n v="19"/>
    <n v="13"/>
    <n v="7"/>
    <n v="11264.734558912958"/>
    <n v="3162.5"/>
    <x v="1"/>
  </r>
  <r>
    <x v="2"/>
    <s v="MILPA ALTA"/>
    <n v="31036"/>
    <s v="JENIFER QUETZALLI REMOLINO"/>
    <d v="2023-04-24T00:00:00"/>
    <n v="129"/>
    <x v="1"/>
    <n v="654948.19000000006"/>
    <n v="530981.46"/>
    <n v="509468.43999999994"/>
    <n v="0"/>
    <n v="437045.05425000004"/>
    <n v="208000"/>
    <n v="16"/>
    <n v="12"/>
    <n v="7"/>
    <n v="7746.2028381703758"/>
    <n v="4120"/>
    <x v="1"/>
  </r>
  <r>
    <x v="2"/>
    <s v="MILPA ALTA"/>
    <n v="31037"/>
    <s v="BRAULIO GUZMAN JIMENEZ"/>
    <d v="2023-04-24T00:00:00"/>
    <n v="129"/>
    <x v="1"/>
    <n v="558836.07999999996"/>
    <n v="485813.00999999995"/>
    <n v="436099.26999999996"/>
    <n v="0"/>
    <n v="408624.82800000004"/>
    <n v="164000"/>
    <n v="8"/>
    <n v="5"/>
    <n v="4"/>
    <n v="7871.1319988027772"/>
    <n v="420.00000000000011"/>
    <x v="1"/>
  </r>
  <r>
    <x v="2"/>
    <s v="ORIZABA"/>
    <n v="25225"/>
    <s v="MARCELO TZITZIHUA TZITZIHUA"/>
    <d v="2022-09-19T00:00:00"/>
    <n v="346"/>
    <x v="3"/>
    <n v="1474241.2899999996"/>
    <n v="1404558.1600000001"/>
    <n v="1142413.2700000003"/>
    <n v="17188.34"/>
    <n v="817690.57064999989"/>
    <n v="423500"/>
    <n v="10"/>
    <n v="66"/>
    <n v="34"/>
    <n v="13940.082828684905"/>
    <n v="585"/>
    <x v="1"/>
  </r>
  <r>
    <x v="2"/>
    <s v="ORIZABA"/>
    <n v="27027"/>
    <s v="FERNANDO MANUEL VELASCO RIVERA"/>
    <d v="2022-11-22T00:00:00"/>
    <n v="282"/>
    <x v="3"/>
    <n v="1569240.0399999996"/>
    <n v="1545810.5099999998"/>
    <n v="1283095.9299999997"/>
    <n v="73324.45"/>
    <n v="878145.92835000064"/>
    <n v="433000"/>
    <n v="4"/>
    <n v="93"/>
    <n v="48"/>
    <n v="13516.452307257905"/>
    <n v="682.5"/>
    <x v="1"/>
  </r>
  <r>
    <x v="2"/>
    <s v="ORIZABA"/>
    <n v="32999"/>
    <s v="ELSA FERNANDEZ REYES"/>
    <d v="2023-07-03T00:00:00"/>
    <n v="59"/>
    <x v="0"/>
    <n v="37660.450000000004"/>
    <n v="29880.66"/>
    <n v="29880.66"/>
    <n v="0"/>
    <n v="121500"/>
    <n v="4000"/>
    <n v="7"/>
    <n v="0"/>
    <n v="0"/>
    <n v="3350.6833810265694"/>
    <n v="575"/>
    <x v="1"/>
  </r>
  <r>
    <x v="2"/>
    <s v="ORIZABA"/>
    <n v="33874"/>
    <s v="JAEL BRAVO REYES"/>
    <d v="2023-08-02T00:00:00"/>
    <n v="29"/>
    <x v="0"/>
    <n v="2650.01"/>
    <n v="105948.41"/>
    <n v="105948.41"/>
    <n v="0"/>
    <n v="35000"/>
    <n v="112000"/>
    <n v="48"/>
    <n v="0"/>
    <n v="0"/>
    <n v="2162.5"/>
    <n v="3737.5"/>
    <x v="1"/>
  </r>
  <r>
    <x v="2"/>
    <s v="TLAHUAC"/>
    <n v="28375"/>
    <s v="OLIVIA LOPEZ HERNANDEZ"/>
    <d v="2023-01-23T00:00:00"/>
    <n v="220"/>
    <x v="3"/>
    <n v="845339.12000000011"/>
    <n v="796736.29999999993"/>
    <n v="722878.28"/>
    <n v="0"/>
    <n v="555665.45455000002"/>
    <n v="424000"/>
    <n v="34"/>
    <n v="32"/>
    <n v="19"/>
    <n v="13247.989418712485"/>
    <n v="862.50000000000023"/>
    <x v="1"/>
  </r>
  <r>
    <x v="2"/>
    <s v="TLAHUAC"/>
    <n v="33376"/>
    <s v="ISAAC VINICIO BACILIO ESPITIA"/>
    <d v="2023-07-17T00:00:00"/>
    <n v="45"/>
    <x v="0"/>
    <n v="178939.23"/>
    <n v="508040.27999999997"/>
    <n v="490994.8"/>
    <n v="0"/>
    <n v="189258.81533428718"/>
    <n v="381000"/>
    <n v="11"/>
    <n v="20"/>
    <n v="15"/>
    <n v="4305.0032928929195"/>
    <n v="5175"/>
    <x v="1"/>
  </r>
  <r>
    <x v="2"/>
    <s v="TLAHUAC"/>
    <n v="33499"/>
    <s v="HECTOR CORONEL VENTURA"/>
    <d v="2023-07-21T00:00:00"/>
    <n v="41"/>
    <x v="0"/>
    <n v="533654.06999999995"/>
    <n v="1143374.9300000002"/>
    <n v="1143374.9300000002"/>
    <n v="0"/>
    <n v="85031.73777315297"/>
    <n v="809500"/>
    <n v="31"/>
    <n v="2"/>
    <n v="1"/>
    <n v="5193.75"/>
    <n v="25443.75"/>
    <x v="1"/>
  </r>
  <r>
    <x v="0"/>
    <s v="VILLAHERMOSA"/>
    <n v="31096"/>
    <s v="YADIRA LIZBETH RODRIGUEZ COLLADO"/>
    <d v="2023-04-25T00:00:00"/>
    <n v="158"/>
    <x v="1"/>
    <n v="1240496.8400000001"/>
    <n v="1044506.0099999999"/>
    <n v="824039.17999999993"/>
    <n v="27937.97"/>
    <n v="664875.64500000025"/>
    <n v="128500"/>
    <n v="1"/>
    <n v="62"/>
    <n v="8"/>
    <n v="17770.518201925912"/>
    <n v="675"/>
    <x v="2"/>
  </r>
  <r>
    <x v="1"/>
    <s v="CHIMALHUACAN 2"/>
    <n v="20314"/>
    <s v="MARIBEL RODRIGUEZ CARRIZOZA"/>
    <d v="2022-03-14T00:00:00"/>
    <n v="565"/>
    <x v="6"/>
    <n v="1170570.54"/>
    <n v="1064137.6600000001"/>
    <n v="974220.06"/>
    <n v="0"/>
    <n v="564135.60739999998"/>
    <n v="274500"/>
    <n v="0"/>
    <n v="54"/>
    <n v="30"/>
    <n v="11463.596691557113"/>
    <n v="0"/>
    <x v="2"/>
  </r>
  <r>
    <x v="1"/>
    <s v="CHIMALHUACAN 2"/>
    <n v="20315"/>
    <s v="KARINA TERRAZAS OLVERA"/>
    <d v="2022-03-14T00:00:00"/>
    <n v="565"/>
    <x v="6"/>
    <n v="905327.28999999992"/>
    <n v="842405.35000000009"/>
    <n v="755546.18"/>
    <n v="14499.54"/>
    <n v="613719.56825000001"/>
    <n v="256500"/>
    <n v="8"/>
    <n v="39"/>
    <n v="7"/>
    <n v="15269.010854329199"/>
    <n v="487.5"/>
    <x v="2"/>
  </r>
  <r>
    <x v="1"/>
    <s v="CHIMALHUACAN 2"/>
    <n v="30967"/>
    <s v="LIZBETH GUADALUPE MUJICA HERNANDEZ"/>
    <d v="2023-04-20T00:00:00"/>
    <n v="163"/>
    <x v="1"/>
    <n v="2179159.9500000002"/>
    <n v="2072482.76"/>
    <n v="1830304.5500000003"/>
    <n v="45491.19"/>
    <n v="581965.22609999997"/>
    <n v="564000"/>
    <n v="6"/>
    <n v="75"/>
    <n v="52"/>
    <n v="9525"/>
    <n v="975"/>
    <x v="2"/>
  </r>
  <r>
    <x v="1"/>
    <s v="CHIMALHUACAN 2"/>
    <n v="33543"/>
    <s v="ANDRES DE JESUS PALOMARES PASTRANA"/>
    <d v="2023-07-21T00:00:00"/>
    <n v="71"/>
    <x v="0"/>
    <n v="489022.56"/>
    <n v="465823.65999999986"/>
    <n v="337395.12999999995"/>
    <n v="12849.640000000001"/>
    <n v="278430.20629999996"/>
    <n v="111500"/>
    <n v="0"/>
    <n v="0"/>
    <n v="0"/>
    <n v="5262.443690769248"/>
    <n v="2000"/>
    <x v="2"/>
  </r>
  <r>
    <x v="1"/>
    <s v="CHIMALHUACAN 2"/>
    <n v="33878"/>
    <s v="GUADALUPE CARMONA ANTONIO"/>
    <d v="2023-08-02T00:00:00"/>
    <n v="59"/>
    <x v="0"/>
    <n v="129111.69"/>
    <n v="212272.25999999998"/>
    <n v="212272.25999999998"/>
    <n v="0"/>
    <n v="121500"/>
    <n v="130000"/>
    <n v="22"/>
    <n v="0"/>
    <n v="0"/>
    <n v="3919.1237161224813"/>
    <n v="3450"/>
    <x v="2"/>
  </r>
  <r>
    <x v="1"/>
    <s v="IXTAPALUCA"/>
    <n v="25237"/>
    <s v="MARISELA HERNANDEZ MORINCHEL"/>
    <d v="2022-09-20T00:00:00"/>
    <n v="375"/>
    <x v="2"/>
    <n v="1674124.0600000005"/>
    <n v="1781623.3099999998"/>
    <n v="1557807.92"/>
    <n v="32300.42"/>
    <n v="1233213.2402499998"/>
    <n v="918000"/>
    <n v="12"/>
    <n v="84"/>
    <n v="64"/>
    <n v="26068.041738319102"/>
    <n v="780.00000000000023"/>
    <x v="2"/>
  </r>
  <r>
    <x v="1"/>
    <s v="IXTAPALUCA"/>
    <n v="28239"/>
    <s v="BRENDA DANIELA RODRIGUEZ REYES"/>
    <d v="2023-01-17T00:00:00"/>
    <n v="256"/>
    <x v="3"/>
    <n v="396423.34000000008"/>
    <n v="500316.26999999996"/>
    <n v="467932.39999999997"/>
    <n v="0"/>
    <n v="345269.57165"/>
    <n v="318000"/>
    <n v="9"/>
    <n v="16"/>
    <n v="13"/>
    <n v="6984.5986956018714"/>
    <n v="2130"/>
    <x v="2"/>
  </r>
  <r>
    <x v="1"/>
    <s v="IXTAPALUCA"/>
    <n v="28894"/>
    <s v="ARIAN AGUILAR PLATA"/>
    <d v="2023-02-09T00:00:00"/>
    <n v="233"/>
    <x v="3"/>
    <n v="694011.52"/>
    <n v="634245.62"/>
    <n v="571013.06999999995"/>
    <n v="0"/>
    <n v="416614.89900000003"/>
    <n v="150000"/>
    <n v="16"/>
    <n v="25"/>
    <n v="16"/>
    <n v="6297.063158107977"/>
    <n v="1065"/>
    <x v="2"/>
  </r>
  <r>
    <x v="1"/>
    <s v="IXTAPALUCA"/>
    <n v="33995"/>
    <s v="MARIA ANGELICA VILLA MARTINEZ"/>
    <d v="2023-08-08T00:00:00"/>
    <n v="53"/>
    <x v="0"/>
    <n v="99999.8"/>
    <n v="200810.02999999997"/>
    <n v="200810.02999999997"/>
    <n v="0"/>
    <n v="121500"/>
    <n v="142000"/>
    <n v="27"/>
    <n v="0"/>
    <n v="0"/>
    <n v="3253.8500816345395"/>
    <n v="3450"/>
    <x v="2"/>
  </r>
  <r>
    <x v="1"/>
    <s v="IZTAPALAPA"/>
    <n v="31346"/>
    <s v="LAURA LORENA PéREZ MENDOZA"/>
    <d v="2023-05-08T00:00:00"/>
    <n v="145"/>
    <x v="1"/>
    <n v="762765.2"/>
    <n v="1074855.1599999999"/>
    <n v="1015171.8600000002"/>
    <n v="0"/>
    <n v="475518.95814999996"/>
    <n v="572000"/>
    <n v="36"/>
    <n v="61"/>
    <n v="42"/>
    <n v="11514.877062150777"/>
    <n v="18007.5"/>
    <x v="2"/>
  </r>
  <r>
    <x v="1"/>
    <s v="IZTAPALAPA"/>
    <n v="33877"/>
    <s v="RODOLFO ALBERTO SORIANO MEJIA"/>
    <d v="2023-08-02T00:00:00"/>
    <n v="59"/>
    <x v="0"/>
    <n v="410462.61999999994"/>
    <n v="287325.49"/>
    <n v="265951.44"/>
    <n v="0"/>
    <n v="121500"/>
    <n v="81000"/>
    <n v="3"/>
    <n v="0"/>
    <n v="0"/>
    <n v="2812.5"/>
    <n v="2000"/>
    <x v="2"/>
  </r>
  <r>
    <x v="1"/>
    <s v="NEZAHUALCOYOTL"/>
    <n v="34012"/>
    <s v="JONNY ROMAN GARCIA VALENTINO"/>
    <d v="2020-01-20T00:00:00"/>
    <n v="1349"/>
    <x v="4"/>
    <n v="1274313.6500000001"/>
    <n v="1485091.73"/>
    <n v="1368427.69"/>
    <n v="0"/>
    <n v="655805.02805000008"/>
    <n v="674000"/>
    <n v="6"/>
    <n v="0"/>
    <n v="0"/>
    <n v="16606.835268328221"/>
    <n v="7025"/>
    <x v="2"/>
  </r>
  <r>
    <x v="1"/>
    <s v="NEZAHUALCOYOTL"/>
    <n v="33385"/>
    <s v="NADINE GUADALUPE URIBE SANTIAGO"/>
    <d v="2023-02-01T00:00:00"/>
    <n v="241"/>
    <x v="3"/>
    <n v="1659826.48"/>
    <n v="1795144.8599999996"/>
    <n v="1518395.77"/>
    <n v="63527.03"/>
    <n v="1124406.0352500002"/>
    <n v="853000"/>
    <n v="0"/>
    <n v="56"/>
    <n v="34"/>
    <n v="21994.263172011237"/>
    <n v="8385"/>
    <x v="2"/>
  </r>
  <r>
    <x v="1"/>
    <s v="NEZAHUALCOYOTL"/>
    <n v="35102"/>
    <s v="ULISES URIEL PARTIDA MENDEZ"/>
    <d v="2023-09-18T00:00:00"/>
    <n v="12"/>
    <x v="0"/>
    <n v="0"/>
    <n v="0"/>
    <n v="0"/>
    <n v="0"/>
    <n v="35000"/>
    <n v="0"/>
    <n v="5"/>
    <n v="0"/>
    <n v="0"/>
    <n v="2162.5"/>
    <n v="2000"/>
    <x v="2"/>
  </r>
  <r>
    <x v="1"/>
    <s v="NEZAHUALCOYOTL 2"/>
    <n v="25227"/>
    <s v="DENISSE FUENTES CASTRO"/>
    <d v="2022-09-19T00:00:00"/>
    <n v="376"/>
    <x v="2"/>
    <n v="1599896.2999999998"/>
    <n v="1090773.07"/>
    <n v="849632.9"/>
    <n v="13290.72"/>
    <n v="415745.03739999997"/>
    <n v="89000"/>
    <n v="21"/>
    <n v="25"/>
    <n v="5"/>
    <n v="5843.75"/>
    <n v="1537.5000000000005"/>
    <x v="2"/>
  </r>
  <r>
    <x v="1"/>
    <s v="NEZAHUALCOYOTL 2"/>
    <n v="30049"/>
    <s v="NELLYE SAAVEDRA SALVADOR"/>
    <d v="2023-03-21T00:00:00"/>
    <n v="193"/>
    <x v="3"/>
    <n v="537514.53"/>
    <n v="499608.65"/>
    <n v="499608.65"/>
    <n v="0"/>
    <n v="384654.59795000002"/>
    <n v="193000"/>
    <n v="6"/>
    <n v="16"/>
    <n v="11"/>
    <n v="6911.1570936676289"/>
    <n v="2645"/>
    <x v="2"/>
  </r>
  <r>
    <x v="1"/>
    <s v="NEZAHUALCOYOTL 2"/>
    <n v="34226"/>
    <s v="JORGE ALBERTO CONTRERAS SEGUNDO"/>
    <d v="2023-08-16T00:00:00"/>
    <n v="45"/>
    <x v="0"/>
    <n v="530866.86"/>
    <n v="533139.66"/>
    <n v="372616.19000000006"/>
    <n v="0"/>
    <n v="187730.42749999999"/>
    <n v="114000"/>
    <n v="20"/>
    <n v="0"/>
    <n v="0"/>
    <n v="3462.5"/>
    <n v="2000"/>
    <x v="2"/>
  </r>
  <r>
    <x v="1"/>
    <s v="NEZAHUALCOYOTL 2"/>
    <n v="34786"/>
    <s v="HUGO ENRIQUE SEVILLANO ONOFRE"/>
    <d v="2023-09-04T00:00:00"/>
    <n v="26"/>
    <x v="0"/>
    <n v="0"/>
    <n v="83866.45"/>
    <n v="83866.45"/>
    <n v="0"/>
    <n v="35000"/>
    <n v="94000"/>
    <n v="22"/>
    <n v="0"/>
    <n v="0"/>
    <n v="2162.5"/>
    <n v="2000"/>
    <x v="2"/>
  </r>
  <r>
    <x v="1"/>
    <s v="TEXCOCO"/>
    <n v="33373"/>
    <s v="ROBERTO MERAZ GUTIERREZ"/>
    <d v="2023-04-17T00:00:00"/>
    <n v="166"/>
    <x v="1"/>
    <n v="1410681.9299999997"/>
    <n v="1400508.2900000003"/>
    <n v="1388104.6100000003"/>
    <n v="0"/>
    <n v="376390.0486000001"/>
    <n v="420500"/>
    <n v="1"/>
    <n v="12"/>
    <n v="9"/>
    <n v="6582.6858310042035"/>
    <n v="2616.25"/>
    <x v="2"/>
  </r>
  <r>
    <x v="1"/>
    <s v="TEXCOCO"/>
    <n v="32596"/>
    <s v="ELIZABETH PEREZ PERALTA"/>
    <d v="2023-06-16T00:00:00"/>
    <n v="106"/>
    <x v="1"/>
    <n v="1328148.5799999998"/>
    <n v="1237666.1099999996"/>
    <n v="1189361.3399999999"/>
    <n v="0"/>
    <n v="318269.55119999999"/>
    <n v="309000"/>
    <n v="19"/>
    <n v="0"/>
    <n v="0"/>
    <n v="10206.69605373756"/>
    <n v="4725"/>
    <x v="2"/>
  </r>
  <r>
    <x v="1"/>
    <s v="TEXCOCO"/>
    <n v="33403"/>
    <s v="ROSARIO EDITH LINAJE GONZALEZ"/>
    <d v="2023-07-19T00:00:00"/>
    <n v="73"/>
    <x v="0"/>
    <n v="136481.84999999998"/>
    <n v="325987.45"/>
    <n v="325987.45"/>
    <n v="0"/>
    <n v="121500"/>
    <n v="232000"/>
    <n v="32"/>
    <n v="0"/>
    <n v="0"/>
    <n v="3962.3138094736837"/>
    <n v="6037.5"/>
    <x v="2"/>
  </r>
  <r>
    <x v="1"/>
    <s v="TONALA"/>
    <n v="30869"/>
    <s v="LAURA PATRICIA CARRERA QUINTERO"/>
    <d v="2023-04-18T00:00:00"/>
    <n v="165"/>
    <x v="1"/>
    <n v="1283919.5700000005"/>
    <n v="1390725.68"/>
    <n v="1381772.8699999999"/>
    <n v="0"/>
    <n v="837540.80939999979"/>
    <n v="610500"/>
    <n v="15"/>
    <n v="94"/>
    <n v="63"/>
    <n v="21523.020441310597"/>
    <n v="9085"/>
    <x v="2"/>
  </r>
  <r>
    <x v="1"/>
    <s v="TONALA"/>
    <n v="33967"/>
    <s v="MIRIAM PATRICIA ROSAS AREVALO"/>
    <d v="2023-08-07T00:00:00"/>
    <n v="54"/>
    <x v="0"/>
    <n v="387715.89999999991"/>
    <n v="423493.14"/>
    <n v="423493.14"/>
    <n v="0"/>
    <n v="160500.2175"/>
    <n v="133500"/>
    <n v="34"/>
    <n v="0"/>
    <n v="0"/>
    <n v="3503.9304671989221"/>
    <n v="2587.5"/>
    <x v="2"/>
  </r>
  <r>
    <x v="1"/>
    <s v="TONALA 2"/>
    <n v="20173"/>
    <s v="EULALIO MARQUEZ ROJAS"/>
    <d v="2022-03-07T00:00:00"/>
    <n v="572"/>
    <x v="6"/>
    <n v="2581285.0400000005"/>
    <n v="2300683.11"/>
    <n v="2295178.48"/>
    <n v="0"/>
    <n v="522120.15145"/>
    <n v="675500"/>
    <n v="6"/>
    <n v="46"/>
    <n v="38"/>
    <n v="8225"/>
    <n v="5635"/>
    <x v="2"/>
  </r>
  <r>
    <x v="1"/>
    <s v="TONALA 2"/>
    <n v="20612"/>
    <s v="ARMANDO ALEJANDRO TOVAR BRACAMONTES"/>
    <d v="2022-03-28T00:00:00"/>
    <n v="551"/>
    <x v="6"/>
    <n v="1585912.3200000003"/>
    <n v="2025186.81"/>
    <n v="1964710.9899999998"/>
    <n v="0"/>
    <n v="354839.91390000004"/>
    <n v="1324000"/>
    <n v="7"/>
    <n v="47"/>
    <n v="41"/>
    <n v="5625"/>
    <n v="3500"/>
    <x v="2"/>
  </r>
  <r>
    <x v="2"/>
    <s v="AMECAMECA"/>
    <n v="27539"/>
    <s v="MARIA ISABEL MUÑOZ SANCHEZ"/>
    <d v="2022-12-07T00:00:00"/>
    <n v="297"/>
    <x v="3"/>
    <n v="1209642.7500000002"/>
    <n v="1051330.49"/>
    <n v="773199.91"/>
    <n v="0"/>
    <n v="624280.15350000001"/>
    <n v="309000"/>
    <n v="9"/>
    <n v="45"/>
    <n v="18"/>
    <n v="9184.1161090667138"/>
    <n v="487.5"/>
    <x v="2"/>
  </r>
  <r>
    <x v="2"/>
    <s v="AMECAMECA"/>
    <n v="33645"/>
    <s v="DIANA ELIZABETH GONZALEZ LEON"/>
    <d v="2023-07-25T00:00:00"/>
    <n v="67"/>
    <x v="0"/>
    <n v="882169.9"/>
    <n v="184924.64"/>
    <n v="184924.64"/>
    <n v="0"/>
    <n v="121500"/>
    <n v="55000"/>
    <n v="19"/>
    <n v="0"/>
    <n v="0"/>
    <n v="3114.2574574874011"/>
    <n v="2000"/>
    <x v="2"/>
  </r>
  <r>
    <x v="2"/>
    <s v="AMECAMECA"/>
    <n v="34963"/>
    <s v="HASLEY RODRIGUEZ GARCIA"/>
    <d v="2023-09-08T00:00:00"/>
    <n v="22"/>
    <x v="0"/>
    <n v="0"/>
    <n v="0"/>
    <n v="0"/>
    <n v="0"/>
    <n v="35000"/>
    <n v="0"/>
    <n v="0"/>
    <n v="0"/>
    <n v="0"/>
    <n v="2162.5"/>
    <n v="2000"/>
    <x v="2"/>
  </r>
  <r>
    <x v="2"/>
    <s v="CHALCO"/>
    <n v="32305"/>
    <s v="LETICIA MESINAS ACEVEDO"/>
    <d v="2023-06-06T00:00:00"/>
    <n v="116"/>
    <x v="1"/>
    <n v="1242300.47"/>
    <n v="1077362.5899999999"/>
    <n v="1048529.1199999999"/>
    <n v="0"/>
    <n v="728251.01250000019"/>
    <n v="328000"/>
    <n v="0"/>
    <n v="80"/>
    <n v="38"/>
    <n v="14519.021231180699"/>
    <n v="2700"/>
    <x v="2"/>
  </r>
  <r>
    <x v="2"/>
    <s v="CHALCO"/>
    <n v="34232"/>
    <s v="CARLOS EMANUEL FLORES ACOSTA"/>
    <d v="2023-08-16T00:00:00"/>
    <n v="45"/>
    <x v="0"/>
    <n v="274843.96000000002"/>
    <n v="641112.62"/>
    <n v="614216.88"/>
    <n v="0"/>
    <n v="106900"/>
    <n v="142000"/>
    <n v="15"/>
    <n v="0"/>
    <n v="0"/>
    <n v="3233.6746116276317"/>
    <n v="2000"/>
    <x v="2"/>
  </r>
  <r>
    <x v="2"/>
    <s v="CHALCO"/>
    <n v="34479"/>
    <s v="JHOVANNY AGUILAR GARCIA"/>
    <d v="2023-08-24T00:00:00"/>
    <n v="37"/>
    <x v="0"/>
    <n v="467536.38"/>
    <n v="539135.69999999995"/>
    <n v="528995.05999999994"/>
    <n v="0"/>
    <n v="71910"/>
    <n v="166000"/>
    <n v="17"/>
    <n v="0"/>
    <n v="0"/>
    <n v="2524.9868367503805"/>
    <n v="2300"/>
    <x v="2"/>
  </r>
  <r>
    <x v="2"/>
    <s v="CHALCO"/>
    <n v="34961"/>
    <s v="EDUARDO ABEL CARBAJAL BALDERAS"/>
    <d v="2023-09-08T00:00:00"/>
    <n v="22"/>
    <x v="0"/>
    <n v="0"/>
    <n v="0"/>
    <n v="0"/>
    <n v="0"/>
    <n v="35000"/>
    <n v="0"/>
    <n v="0"/>
    <n v="0"/>
    <n v="0"/>
    <n v="2162.5"/>
    <n v="2000"/>
    <x v="2"/>
  </r>
  <r>
    <x v="2"/>
    <s v="CHALCO"/>
    <m/>
    <s v="VICTOR MANUEL SANCHEZ PEREZ"/>
    <d v="2023-09-25T00:00:00"/>
    <n v="5"/>
    <x v="0"/>
    <n v="0"/>
    <n v="0"/>
    <n v="0"/>
    <n v="0"/>
    <n v="35000"/>
    <n v="0"/>
    <n v="0"/>
    <n v="0"/>
    <n v="0"/>
    <n v="2162.5"/>
    <n v="2000"/>
    <x v="2"/>
  </r>
  <r>
    <x v="2"/>
    <s v="COATZACOALCOS"/>
    <n v="14019"/>
    <s v="ISABEL MONSERRAT RAZO MENDEZ"/>
    <d v="2021-07-08T00:00:00"/>
    <n v="814"/>
    <x v="5"/>
    <n v="916201.06"/>
    <n v="888577.54"/>
    <n v="652482.48999999987"/>
    <n v="9013.9699999999993"/>
    <n v="827115.58285000001"/>
    <n v="67500"/>
    <n v="12"/>
    <n v="82"/>
    <n v="26"/>
    <n v="2162.5"/>
    <n v="2000"/>
    <x v="2"/>
  </r>
  <r>
    <x v="2"/>
    <s v="COATZACOALCOS"/>
    <n v="26859"/>
    <s v="MONSERRAT DE LA CRUZ MARTINEZ ALVARADO"/>
    <d v="2022-11-16T00:00:00"/>
    <n v="318"/>
    <x v="3"/>
    <n v="925998.67"/>
    <n v="719485.41999999993"/>
    <n v="437180.23"/>
    <n v="4681.07"/>
    <n v="425460.37685"/>
    <n v="8500"/>
    <n v="41"/>
    <n v="24"/>
    <n v="10"/>
    <n v="2162.5"/>
    <n v="2000"/>
    <x v="2"/>
  </r>
  <r>
    <x v="2"/>
    <s v="COATZACOALCOS"/>
    <n v="33951"/>
    <s v="JULIO CESAR GONZALEZ ESPINOZA"/>
    <d v="2023-08-07T00:00:00"/>
    <n v="54"/>
    <x v="0"/>
    <n v="441601.98"/>
    <n v="191521.13"/>
    <n v="191521.13"/>
    <n v="0"/>
    <n v="121500"/>
    <n v="18500"/>
    <n v="15"/>
    <n v="0"/>
    <n v="0"/>
    <n v="2162.5"/>
    <n v="2000"/>
    <x v="2"/>
  </r>
  <r>
    <x v="2"/>
    <s v="FORTIN"/>
    <n v="17299"/>
    <s v="JULIAN MARTINEZ CORTES"/>
    <d v="2021-11-10T00:00:00"/>
    <n v="689"/>
    <x v="6"/>
    <n v="825468.8"/>
    <n v="733878.24000000011"/>
    <n v="679291.40000000014"/>
    <n v="0"/>
    <n v="427520.13644999993"/>
    <n v="163000"/>
    <n v="14"/>
    <n v="31"/>
    <n v="15"/>
    <n v="4112.5"/>
    <n v="0"/>
    <x v="2"/>
  </r>
  <r>
    <x v="2"/>
    <s v="FORTIN"/>
    <n v="29508"/>
    <s v="JESSICA MARIN DURON"/>
    <d v="2023-03-02T00:00:00"/>
    <n v="212"/>
    <x v="3"/>
    <n v="809230.59999999974"/>
    <n v="892166.98"/>
    <n v="732890.07000000007"/>
    <n v="0"/>
    <n v="422465.01870000002"/>
    <n v="407000"/>
    <n v="0"/>
    <n v="13"/>
    <n v="7"/>
    <n v="4543.75"/>
    <n v="1500"/>
    <x v="2"/>
  </r>
  <r>
    <x v="2"/>
    <s v="MILPA ALTA"/>
    <n v="31036"/>
    <s v="JENIFER QUETZALLI REMOLINO"/>
    <d v="2023-04-24T00:00:00"/>
    <n v="159"/>
    <x v="1"/>
    <n v="530981.46"/>
    <n v="560430.12"/>
    <n v="560430.12"/>
    <n v="0"/>
    <n v="610289.91215000011"/>
    <n v="271500"/>
    <n v="19"/>
    <n v="49"/>
    <n v="25"/>
    <n v="13775.116280660142"/>
    <n v="6785"/>
    <x v="2"/>
  </r>
  <r>
    <x v="2"/>
    <s v="MILPA ALTA"/>
    <n v="31037"/>
    <s v="BRAULIO GUZMAN JIMENEZ"/>
    <d v="2023-04-24T00:00:00"/>
    <n v="159"/>
    <x v="1"/>
    <n v="485813.00999999995"/>
    <n v="436167.04000000004"/>
    <n v="364192.37"/>
    <n v="0"/>
    <n v="392924.85790000006"/>
    <n v="126500"/>
    <n v="8"/>
    <n v="15"/>
    <n v="6"/>
    <n v="8152.6225971401673"/>
    <n v="315"/>
    <x v="2"/>
  </r>
  <r>
    <x v="2"/>
    <s v="MILPA ALTA"/>
    <n v="34424"/>
    <s v="CRISTIAN MANUEL TENORIO CORELLA"/>
    <d v="2023-08-21T00:00:00"/>
    <n v="40"/>
    <x v="0"/>
    <n v="0"/>
    <n v="27488.06"/>
    <n v="27488.06"/>
    <n v="0"/>
    <n v="83025"/>
    <n v="35000"/>
    <n v="9"/>
    <n v="0"/>
    <n v="0"/>
    <n v="3345.9732142857147"/>
    <n v="2000"/>
    <x v="2"/>
  </r>
  <r>
    <x v="2"/>
    <s v="MILPA ALTA"/>
    <m/>
    <s v="OSCAR MELENDEZ GONZALEZ"/>
    <d v="2023-09-19T00:00:00"/>
    <n v="11"/>
    <x v="0"/>
    <n v="0"/>
    <n v="0"/>
    <n v="0"/>
    <n v="0"/>
    <n v="35000"/>
    <n v="0"/>
    <n v="0"/>
    <n v="0"/>
    <n v="0"/>
    <n v="2162.5"/>
    <n v="2000"/>
    <x v="2"/>
  </r>
  <r>
    <x v="2"/>
    <s v="ORIZABA"/>
    <n v="25225"/>
    <s v="MARCELO TZITZIHUA TZITZIHUA"/>
    <d v="2022-09-19T00:00:00"/>
    <n v="376"/>
    <x v="2"/>
    <n v="1401241.43"/>
    <n v="1152167.2899999998"/>
    <n v="790451.65999999992"/>
    <n v="54378.92"/>
    <n v="934224.71825000003"/>
    <n v="212500"/>
    <n v="3"/>
    <n v="87"/>
    <n v="21"/>
    <n v="23995.3500029719"/>
    <n v="325"/>
    <x v="2"/>
  </r>
  <r>
    <x v="2"/>
    <s v="ORIZABA"/>
    <n v="27027"/>
    <s v="FERNANDO MANUEL VELASCO RIVERA"/>
    <d v="2022-11-22T00:00:00"/>
    <n v="312"/>
    <x v="3"/>
    <n v="1541353.7099999997"/>
    <n v="1240101.8700000001"/>
    <n v="963610.61999999976"/>
    <n v="63906.170000000006"/>
    <n v="734570.99144999997"/>
    <n v="184000"/>
    <n v="0"/>
    <n v="80"/>
    <n v="32"/>
    <n v="14751.850259299516"/>
    <n v="585"/>
    <x v="2"/>
  </r>
  <r>
    <x v="2"/>
    <s v="ORIZABA"/>
    <n v="32999"/>
    <s v="ELSA FERNANDEZ REYES"/>
    <d v="2023-07-03T00:00:00"/>
    <n v="89"/>
    <x v="0"/>
    <n v="33197.39"/>
    <n v="20668.97"/>
    <n v="20668.97"/>
    <n v="0"/>
    <n v="279000"/>
    <n v="0"/>
    <n v="17"/>
    <n v="0"/>
    <n v="0"/>
    <n v="2162.5"/>
    <n v="2000"/>
    <x v="2"/>
  </r>
  <r>
    <x v="2"/>
    <s v="ORIZABA"/>
    <n v="33874"/>
    <s v="JAEL BRAVO REYES"/>
    <d v="2023-08-02T00:00:00"/>
    <n v="59"/>
    <x v="0"/>
    <n v="110405.20999999999"/>
    <n v="179489.19"/>
    <n v="179489.19"/>
    <n v="0"/>
    <n v="121500"/>
    <n v="110000"/>
    <n v="18"/>
    <n v="0"/>
    <n v="0"/>
    <n v="2162.5"/>
    <n v="2875"/>
    <x v="2"/>
  </r>
  <r>
    <x v="2"/>
    <s v="TLAHUAC"/>
    <n v="28375"/>
    <s v="OLIVIA LOPEZ HERNANDEZ"/>
    <d v="2023-01-23T00:00:00"/>
    <n v="250"/>
    <x v="3"/>
    <n v="1207162.49"/>
    <n v="739415.01"/>
    <n v="651404.42999999993"/>
    <n v="0"/>
    <n v="619749.74600000004"/>
    <n v="312000"/>
    <n v="33"/>
    <n v="63"/>
    <n v="24"/>
    <n v="10838.365689353539"/>
    <n v="540"/>
    <x v="2"/>
  </r>
  <r>
    <x v="2"/>
    <s v="TLAHUAC"/>
    <n v="33376"/>
    <s v="ISAAC VINICIO BACILIO ESPITIA"/>
    <d v="2023-07-17T00:00:00"/>
    <n v="75"/>
    <x v="0"/>
    <n v="97614.09"/>
    <n v="594277.58000000007"/>
    <n v="577232.10000000009"/>
    <n v="0"/>
    <n v="221030.17200000002"/>
    <n v="268000"/>
    <n v="3"/>
    <n v="20"/>
    <n v="16"/>
    <n v="3462.5"/>
    <n v="8000"/>
    <x v="2"/>
  </r>
  <r>
    <x v="2"/>
    <s v="TLAHUAC"/>
    <n v="33499"/>
    <s v="HECTOR CORONEL VENTURA"/>
    <d v="2023-07-21T00:00:00"/>
    <n v="71"/>
    <x v="0"/>
    <n v="1143374.9300000002"/>
    <n v="1114403.3900000001"/>
    <n v="1114403.3900000001"/>
    <n v="0"/>
    <n v="129375"/>
    <n v="305000"/>
    <n v="14"/>
    <n v="13"/>
    <n v="9"/>
    <n v="4543.75"/>
    <n v="3450"/>
    <x v="2"/>
  </r>
  <r>
    <x v="2"/>
    <s v="TLAHUAC"/>
    <n v="34962"/>
    <s v="ANA CRISTINA HERNANDEZ PEREZ"/>
    <d v="2023-09-08T00:00:00"/>
    <n v="22"/>
    <x v="0"/>
    <n v="0"/>
    <n v="56000"/>
    <n v="56000"/>
    <n v="0"/>
    <n v="35000"/>
    <n v="56000"/>
    <n v="6"/>
    <n v="0"/>
    <n v="0"/>
    <n v="2162.5"/>
    <n v="2000"/>
    <x v="2"/>
  </r>
  <r>
    <x v="0"/>
    <s v="VILLAHERMOSA"/>
    <n v="35429"/>
    <s v="MARIA DE JESUS DIAZ LOPEZ"/>
    <d v="2023-10-02T00:00:00"/>
    <n v="29"/>
    <x v="0"/>
    <n v="365848.01"/>
    <n v="458864.25"/>
    <n v="364978.08"/>
    <n v="0"/>
    <n v="35000"/>
    <n v="87999.87"/>
    <n v="2"/>
    <n v="0"/>
    <n v="0"/>
    <n v="2162.5"/>
    <n v="2000"/>
    <x v="3"/>
  </r>
  <r>
    <x v="1"/>
    <s v="CHIMALHUACAN 2"/>
    <n v="20314"/>
    <s v="MARIBEL RODRIGUEZ CARRIZOZA"/>
    <d v="2022-03-14T00:00:00"/>
    <n v="596"/>
    <x v="6"/>
    <n v="1064137.6600000001"/>
    <n v="1238700.4699999997"/>
    <n v="1129795.4099999997"/>
    <n v="15010.15"/>
    <n v="493910.13504999998"/>
    <n v="581642.99000000022"/>
    <n v="5"/>
    <n v="42"/>
    <n v="26"/>
    <n v="11003.90510495659"/>
    <n v="0"/>
    <x v="3"/>
  </r>
  <r>
    <x v="1"/>
    <s v="CHIMALHUACAN 2"/>
    <n v="20315"/>
    <s v="KARINA TERRAZAS OLVERA"/>
    <d v="2022-03-14T00:00:00"/>
    <n v="596"/>
    <x v="6"/>
    <n v="842405.35000000009"/>
    <n v="858344.55000000016"/>
    <n v="776365.67"/>
    <n v="0"/>
    <n v="476115.5675"/>
    <n v="305500.21000000014"/>
    <n v="14"/>
    <n v="42"/>
    <n v="16"/>
    <n v="11051.083469027542"/>
    <n v="487.5"/>
    <x v="3"/>
  </r>
  <r>
    <x v="1"/>
    <s v="CHIMALHUACAN 2"/>
    <n v="30967"/>
    <s v="LIZBETH GUADALUPE MUJICA HERNANDEZ"/>
    <d v="2023-04-20T00:00:00"/>
    <n v="194"/>
    <x v="3"/>
    <n v="2072482.76"/>
    <n v="2001855.1199999999"/>
    <n v="1677368.03"/>
    <n v="0"/>
    <n v="612905.61790000007"/>
    <n v="596539.08000000019"/>
    <n v="9"/>
    <n v="120"/>
    <n v="52"/>
    <n v="6275"/>
    <n v="975"/>
    <x v="3"/>
  </r>
  <r>
    <x v="1"/>
    <s v="CHIMALHUACAN 2"/>
    <n v="33878"/>
    <s v="GUADALUPE CARMONA ANTONIO"/>
    <d v="2023-08-02T00:00:00"/>
    <n v="90"/>
    <x v="1"/>
    <n v="212272.25999999998"/>
    <n v="196949.75"/>
    <n v="196949.75"/>
    <n v="0"/>
    <n v="204000"/>
    <n v="54500.520000000004"/>
    <n v="0"/>
    <n v="0"/>
    <n v="0"/>
    <n v="7171.9620408456813"/>
    <n v="2012.5"/>
    <x v="3"/>
  </r>
  <r>
    <x v="1"/>
    <s v="CHIMALHUACAN 2"/>
    <n v="35609"/>
    <s v="BRENDA BERENICE CASTRO HERNÁNDEZ "/>
    <d v="2023-10-09T00:00:00"/>
    <n v="22"/>
    <x v="0"/>
    <n v="0"/>
    <n v="0"/>
    <n v="0"/>
    <n v="0"/>
    <n v="35000"/>
    <n v="0"/>
    <n v="0"/>
    <n v="0"/>
    <n v="0"/>
    <n v="8662.5"/>
    <s v=""/>
    <x v="3"/>
  </r>
  <r>
    <x v="1"/>
    <s v="IXTAPALUCA"/>
    <n v="28239"/>
    <s v="BRENDA DANIELA RODRIGUEZ REYES"/>
    <d v="2023-01-17T00:00:00"/>
    <n v="287"/>
    <x v="3"/>
    <n v="500316.26999999996"/>
    <n v="395042.07"/>
    <n v="359208.76"/>
    <n v="0"/>
    <n v="408065.53294999985"/>
    <n v="71000.19"/>
    <n v="6"/>
    <n v="26"/>
    <n v="17"/>
    <n v="5519.2737493247387"/>
    <n v="0"/>
    <x v="3"/>
  </r>
  <r>
    <x v="1"/>
    <s v="IXTAPALUCA"/>
    <n v="35971"/>
    <s v="TANIA NAVARRETE SILVA"/>
    <d v="2023-10-23T00:00:00"/>
    <n v="8"/>
    <x v="0"/>
    <n v="0"/>
    <n v="123999.45000000001"/>
    <n v="123999.45000000001"/>
    <n v="0"/>
    <n v="35000"/>
    <n v="123999.45"/>
    <n v="6"/>
    <n v="0"/>
    <n v="0"/>
    <n v="8662.5"/>
    <n v="3737.5"/>
    <x v="3"/>
  </r>
  <r>
    <x v="1"/>
    <s v="IXTAPALUCA"/>
    <n v="35961"/>
    <s v="DULCE YURIKO NISHIKAWA MOLINA"/>
    <d v="2023-10-23T00:00:00"/>
    <n v="8"/>
    <x v="0"/>
    <n v="0"/>
    <n v="0"/>
    <n v="0"/>
    <n v="0"/>
    <n v="35000"/>
    <n v="0"/>
    <n v="0"/>
    <n v="0"/>
    <n v="0"/>
    <n v="3462.5"/>
    <s v=""/>
    <x v="3"/>
  </r>
  <r>
    <x v="1"/>
    <s v="IZTAPALAPA"/>
    <n v="31346"/>
    <s v="LAURA LORENA PéREZ MENDOZA"/>
    <d v="2023-05-08T00:00:00"/>
    <n v="176"/>
    <x v="1"/>
    <n v="1074855.1599999999"/>
    <n v="1311278.8"/>
    <n v="1256139.9400000002"/>
    <n v="0"/>
    <n v="276399.97200000001"/>
    <n v="549998.68999999983"/>
    <n v="35"/>
    <n v="25"/>
    <n v="9"/>
    <n v="4543.75"/>
    <n v="7360"/>
    <x v="3"/>
  </r>
  <r>
    <x v="1"/>
    <s v="NEZAHUALCOYOTL"/>
    <n v="34012"/>
    <s v="JONNY ROMAN GARCIA VALENTINO"/>
    <d v="2020-01-20T00:00:00"/>
    <n v="1380"/>
    <x v="4"/>
    <n v="1485091.73"/>
    <n v="1481288.89"/>
    <n v="1378601.8499999999"/>
    <n v="0"/>
    <n v="1084885.4114000001"/>
    <n v="644000.28"/>
    <n v="3"/>
    <n v="0"/>
    <n v="0"/>
    <n v="18447.063802798621"/>
    <n v="4845"/>
    <x v="3"/>
  </r>
  <r>
    <x v="1"/>
    <s v="NEZAHUALCOYOTL"/>
    <n v="35102"/>
    <s v="ULISES URIEL PARTIDA MENDEZ"/>
    <d v="2022-09-19T00:00:00"/>
    <n v="407"/>
    <x v="2"/>
    <n v="0"/>
    <n v="65991.66"/>
    <n v="65991.66"/>
    <n v="0"/>
    <n v="68954.214360041617"/>
    <n v="73999.710000000006"/>
    <n v="12"/>
    <n v="0"/>
    <n v="0"/>
    <n v="3649.2288538724547"/>
    <n v="1667.5"/>
    <x v="3"/>
  </r>
  <r>
    <x v="1"/>
    <s v="NEZAHUALCOYOTL"/>
    <n v="33385"/>
    <s v="NADINE GUADALUPE URIBE SANTIAGO"/>
    <d v="2023-02-01T00:00:00"/>
    <n v="272"/>
    <x v="3"/>
    <n v="1807599.4199999997"/>
    <n v="1911661.51"/>
    <n v="1623493.82"/>
    <n v="845.78"/>
    <n v="652790.06285000034"/>
    <n v="512500.21000000014"/>
    <n v="0"/>
    <n v="44"/>
    <n v="16"/>
    <n v="4543.75"/>
    <n v="9615"/>
    <x v="3"/>
  </r>
  <r>
    <x v="1"/>
    <s v="NEZAHUALCOYOTL 2"/>
    <n v="30049"/>
    <s v="NELLYE SAAVEDRA SALVADOR"/>
    <d v="2023-03-21T00:00:00"/>
    <n v="224"/>
    <x v="3"/>
    <n v="504757.98"/>
    <n v="655471.85"/>
    <n v="597818.32000000007"/>
    <n v="0"/>
    <n v="509569.28939999989"/>
    <n v="425500.53999999992"/>
    <n v="51"/>
    <n v="27"/>
    <n v="20"/>
    <n v="11752.778622064572"/>
    <n v="690"/>
    <x v="3"/>
  </r>
  <r>
    <x v="1"/>
    <s v="NEZAHUALCOYOTL 2"/>
    <n v="34226"/>
    <s v="JORGE ALBERTO CONTRERAS SEGUNDO"/>
    <d v="2023-08-16T00:00:00"/>
    <n v="76"/>
    <x v="0"/>
    <n v="527990.33000000007"/>
    <n v="533168.67000000004"/>
    <n v="533168.67000000004"/>
    <n v="0"/>
    <n v="188625.17499999999"/>
    <n v="144500.24999999997"/>
    <n v="35"/>
    <n v="0"/>
    <n v="0"/>
    <n v="2162.5"/>
    <n v="2000"/>
    <x v="3"/>
  </r>
  <r>
    <x v="1"/>
    <s v="NEZAHUALCOYOTL 2"/>
    <n v="34786"/>
    <s v="HUGO ENRIQUE SEVILLANO ONOFRE"/>
    <d v="2023-09-04T00:00:00"/>
    <n v="57"/>
    <x v="0"/>
    <n v="83866.45"/>
    <n v="62312.639999999999"/>
    <n v="62312.639999999999"/>
    <n v="0"/>
    <n v="97000"/>
    <n v="0"/>
    <n v="13"/>
    <n v="0"/>
    <n v="0"/>
    <n v="6150.6455484726539"/>
    <n v="2000"/>
    <x v="3"/>
  </r>
  <r>
    <x v="1"/>
    <s v="NEZAHUALCOYOTL 2"/>
    <n v="25227"/>
    <s v="DENISSE FUENTES CASTRO"/>
    <d v="2023-09-18T00:00:00"/>
    <n v="43"/>
    <x v="0"/>
    <n v="1090773.07"/>
    <n v="1399575.2000000004"/>
    <n v="1194708.5600000003"/>
    <n v="0"/>
    <n v="608154.84105000005"/>
    <n v="831535.17999999982"/>
    <n v="7"/>
    <n v="25"/>
    <n v="15"/>
    <n v="16173.440760706768"/>
    <n v="4612.5"/>
    <x v="3"/>
  </r>
  <r>
    <x v="1"/>
    <s v="TEXCOCO"/>
    <n v="33373"/>
    <s v="ROBERTO MERAZ GUTIERREZ"/>
    <d v="2023-04-17T00:00:00"/>
    <n v="197"/>
    <x v="3"/>
    <n v="1400508.2900000003"/>
    <n v="1376339.9999999995"/>
    <n v="1291066.31"/>
    <n v="0"/>
    <n v="485549.82924999995"/>
    <n v="518999.96000000008"/>
    <n v="7"/>
    <n v="20"/>
    <n v="10"/>
    <n v="3106.2504176951011"/>
    <n v="3390"/>
    <x v="3"/>
  </r>
  <r>
    <x v="1"/>
    <s v="TEXCOCO"/>
    <n v="32596"/>
    <s v="ELIZABETH PEREZ PERALTA"/>
    <d v="2023-06-16T00:00:00"/>
    <n v="137"/>
    <x v="1"/>
    <n v="1237666.1099999996"/>
    <n v="1029276.8400000002"/>
    <n v="958143.37999999977"/>
    <n v="0"/>
    <n v="473180.13524999993"/>
    <n v="281874.26"/>
    <n v="9"/>
    <n v="0"/>
    <n v="0"/>
    <n v="3377.0293223283606"/>
    <n v="0"/>
    <x v="3"/>
  </r>
  <r>
    <x v="1"/>
    <s v="TEXCOCO"/>
    <n v="36042"/>
    <s v="YESSICA ADELAIDA DELGADILLO MIRANDA"/>
    <d v="2023-10-24T00:00:00"/>
    <n v="7"/>
    <x v="0"/>
    <n v="0"/>
    <n v="0"/>
    <n v="0"/>
    <n v="0"/>
    <n v="35000"/>
    <n v="0"/>
    <n v="0"/>
    <n v="0"/>
    <n v="0"/>
    <n v="4762.5"/>
    <s v=""/>
    <x v="3"/>
  </r>
  <r>
    <x v="1"/>
    <s v="TONALA"/>
    <n v="30869"/>
    <s v="LAURA PATRICIA CARRERA QUINTERO"/>
    <d v="2023-04-18T00:00:00"/>
    <n v="196"/>
    <x v="3"/>
    <n v="1390725.68"/>
    <n v="1147073.1199999999"/>
    <n v="1129228.75"/>
    <n v="0"/>
    <n v="615819.89484999992"/>
    <n v="241001.0100000001"/>
    <n v="21"/>
    <n v="69"/>
    <n v="29"/>
    <n v="5306.1299235304232"/>
    <n v="2242.5"/>
    <x v="3"/>
  </r>
  <r>
    <x v="1"/>
    <s v="TONALA"/>
    <n v="33967"/>
    <s v="MIRIAM PATRICIA ROSAS AREVALO"/>
    <d v="2023-08-07T00:00:00"/>
    <n v="85"/>
    <x v="0"/>
    <n v="423493.14"/>
    <n v="355936.92000000004"/>
    <n v="355936.92000000004"/>
    <n v="0"/>
    <n v="339500.12599999993"/>
    <n v="93000.12999999999"/>
    <n v="12"/>
    <n v="2"/>
    <n v="0"/>
    <n v="9758.3845542690942"/>
    <n v="2000"/>
    <x v="3"/>
  </r>
  <r>
    <x v="1"/>
    <s v="TONALA 2"/>
    <n v="20612"/>
    <s v="ARMANDO ALEJANDRO TOVAR BRACAMONTES"/>
    <d v="2022-03-28T00:00:00"/>
    <n v="582"/>
    <x v="6"/>
    <n v="2025186.81"/>
    <n v="2198186.8200000003"/>
    <n v="2129521.5599999996"/>
    <n v="0"/>
    <n v="649984.89004999993"/>
    <n v="1036499.2199999997"/>
    <n v="21"/>
    <n v="25"/>
    <n v="23"/>
    <n v="3675"/>
    <n v="8910"/>
    <x v="3"/>
  </r>
  <r>
    <x v="2"/>
    <s v="AMECAMECA"/>
    <n v="27539"/>
    <s v="MARIA ISABEL MUÑOZ SANCHEZ"/>
    <d v="2022-12-07T00:00:00"/>
    <n v="328"/>
    <x v="3"/>
    <n v="1051330.49"/>
    <n v="968250.62"/>
    <n v="749763.19"/>
    <n v="7792.63"/>
    <n v="701994.62589999998"/>
    <n v="274999.71999999997"/>
    <n v="6"/>
    <n v="33"/>
    <n v="22"/>
    <n v="10869.718061712916"/>
    <n v="487.5"/>
    <x v="3"/>
  </r>
  <r>
    <x v="2"/>
    <s v="AMECAMECA"/>
    <n v="34963"/>
    <s v="HASLEY RODRIGUEZ GARCIA"/>
    <d v="2023-09-08T00:00:00"/>
    <n v="53"/>
    <x v="0"/>
    <n v="580055.13"/>
    <n v="776696.58000000007"/>
    <n v="776696.58000000007"/>
    <n v="0"/>
    <n v="97000"/>
    <n v="481000.03000000009"/>
    <n v="1"/>
    <n v="0"/>
    <n v="0"/>
    <n v="8135.5357142857147"/>
    <n v="9343.75"/>
    <x v="3"/>
  </r>
  <r>
    <x v="2"/>
    <s v="AMECAMECA"/>
    <n v="36084"/>
    <s v="ANAHI JIMENEZ RAMOS"/>
    <d v="2023-10-27T00:00:00"/>
    <n v="4"/>
    <x v="0"/>
    <n v="0"/>
    <n v="0"/>
    <n v="0"/>
    <n v="0"/>
    <n v="35000"/>
    <n v="0"/>
    <n v="0"/>
    <n v="0"/>
    <n v="0"/>
    <n v="2162.5"/>
    <n v="2000"/>
    <x v="3"/>
  </r>
  <r>
    <x v="2"/>
    <s v="CHALCO"/>
    <n v="34479"/>
    <s v="JHOVANNY AGUILAR GARCIA"/>
    <d v="2023-08-24T00:00:00"/>
    <n v="68"/>
    <x v="0"/>
    <n v="540844.75"/>
    <n v="629149.35"/>
    <n v="623685.68999999994"/>
    <n v="0"/>
    <n v="331319.97195000004"/>
    <n v="337999.97000000003"/>
    <n v="28"/>
    <n v="0"/>
    <n v="0"/>
    <n v="5061.391395619944"/>
    <n v="5750"/>
    <x v="3"/>
  </r>
  <r>
    <x v="2"/>
    <s v="CHALCO"/>
    <n v="34961"/>
    <s v="EDUARDO ABEL CARBAJAL"/>
    <d v="2023-09-08T00:00:00"/>
    <n v="53"/>
    <x v="0"/>
    <n v="49205.409999999996"/>
    <n v="340230.22"/>
    <n v="340230.22"/>
    <n v="0"/>
    <n v="35000"/>
    <n v="331999.43000000011"/>
    <n v="46"/>
    <n v="0"/>
    <n v="0"/>
    <n v="2162.5"/>
    <n v="8625"/>
    <x v="3"/>
  </r>
  <r>
    <x v="2"/>
    <s v="CHALCO"/>
    <n v="35841"/>
    <s v="RAUL RODRIGUEZ PEREZ"/>
    <d v="2023-10-18T00:00:00"/>
    <n v="13"/>
    <x v="0"/>
    <n v="0"/>
    <n v="0"/>
    <n v="0"/>
    <n v="0"/>
    <n v="35000"/>
    <n v="0"/>
    <n v="0"/>
    <n v="0"/>
    <n v="0"/>
    <n v="2162.5"/>
    <n v="2000"/>
    <x v="3"/>
  </r>
  <r>
    <x v="2"/>
    <s v="COATZACOALCOS"/>
    <n v="26859"/>
    <s v="MONSERRAT DE LA CRUZ MARTINEZ ALVARADO"/>
    <d v="2022-11-16T00:00:00"/>
    <n v="349"/>
    <x v="3"/>
    <n v="719485.41999999993"/>
    <n v="576343.26"/>
    <n v="363449.94"/>
    <n v="82742.149999999994"/>
    <n v="463053.85930000007"/>
    <n v="126499.11"/>
    <n v="49"/>
    <n v="37"/>
    <n v="4"/>
    <n v="10857.211961248246"/>
    <n v="517.5"/>
    <x v="3"/>
  </r>
  <r>
    <x v="2"/>
    <s v="COATZACOALCOS"/>
    <n v="33951"/>
    <s v="JULIO CESAR GONZALEZ ESPINOZA"/>
    <d v="2023-08-07T00:00:00"/>
    <n v="85"/>
    <x v="0"/>
    <n v="363737.76"/>
    <n v="440566.51"/>
    <n v="436179.98000000004"/>
    <n v="0"/>
    <n v="287200.35699999996"/>
    <n v="169499.86"/>
    <n v="23"/>
    <n v="0"/>
    <n v="0"/>
    <n v="7042.5505896143359"/>
    <n v="2000"/>
    <x v="3"/>
  </r>
  <r>
    <x v="2"/>
    <s v="COATZACOALCOS"/>
    <n v="35610"/>
    <s v="JULLIET MONTILLO GANG"/>
    <d v="2023-10-09T00:00:00"/>
    <n v="22"/>
    <x v="0"/>
    <n v="42950.229999999996"/>
    <n v="120712.59"/>
    <n v="120712.59"/>
    <n v="0"/>
    <n v="35000"/>
    <n v="97999.12"/>
    <n v="21"/>
    <n v="0"/>
    <n v="0"/>
    <n v="2162.5"/>
    <n v="2875"/>
    <x v="3"/>
  </r>
  <r>
    <x v="2"/>
    <s v="FORTIN"/>
    <n v="17299"/>
    <s v="JULIAN MARTINEZ CORTES"/>
    <d v="2021-11-10T00:00:00"/>
    <n v="720"/>
    <x v="5"/>
    <n v="733878.24000000011"/>
    <n v="604773.24"/>
    <n v="590866.65"/>
    <n v="34984.94"/>
    <n v="359790.14965000004"/>
    <n v="213149.33999999997"/>
    <n v="3"/>
    <n v="18"/>
    <n v="13"/>
    <n v="3938.2556584237177"/>
    <n v="260"/>
    <x v="3"/>
  </r>
  <r>
    <x v="2"/>
    <s v="FORTIN"/>
    <n v="29508"/>
    <s v="JESSICA MARIN DURON"/>
    <d v="2023-03-02T00:00:00"/>
    <n v="243"/>
    <x v="3"/>
    <n v="892166.98"/>
    <n v="878059.23"/>
    <n v="720046.32"/>
    <n v="0"/>
    <n v="536335.21505"/>
    <n v="238999.95"/>
    <n v="1"/>
    <n v="30"/>
    <n v="17"/>
    <n v="7063.2105148269729"/>
    <n v="1065"/>
    <x v="3"/>
  </r>
  <r>
    <x v="2"/>
    <s v="MILPA ALTA"/>
    <n v="31036"/>
    <s v="JENIFER QUETZALLI REMOLINO"/>
    <d v="2023-04-24T00:00:00"/>
    <n v="190"/>
    <x v="3"/>
    <n v="560430.12"/>
    <n v="717936.73"/>
    <n v="709554.81"/>
    <n v="0"/>
    <n v="353199.97415000002"/>
    <n v="446499.21000000014"/>
    <n v="20"/>
    <n v="27"/>
    <n v="14"/>
    <n v="4025.1021265831278"/>
    <n v="8510"/>
    <x v="3"/>
  </r>
  <r>
    <x v="2"/>
    <s v="MILPA ALTA"/>
    <n v="31037"/>
    <s v="BRAULIO GUZMAN JIMENEZ"/>
    <d v="2023-04-24T00:00:00"/>
    <n v="190"/>
    <x v="3"/>
    <n v="436167.04000000004"/>
    <n v="474371.97999999992"/>
    <n v="373422.04"/>
    <n v="0"/>
    <n v="282509.78265000001"/>
    <n v="237499.25000000006"/>
    <n v="9"/>
    <n v="32"/>
    <n v="13"/>
    <n v="5558.7514108577334"/>
    <n v="315"/>
    <x v="3"/>
  </r>
  <r>
    <x v="2"/>
    <s v="MILPA ALTA"/>
    <n v="35878"/>
    <s v="MARI JOSE TLAPANCO SANTIAGO"/>
    <d v="2023-10-19T00:00:00"/>
    <n v="12"/>
    <x v="0"/>
    <n v="0"/>
    <n v="0"/>
    <n v="0"/>
    <n v="0"/>
    <n v="35000"/>
    <n v="0"/>
    <n v="0"/>
    <n v="0"/>
    <n v="0"/>
    <n v="3462.5"/>
    <s v=""/>
    <x v="3"/>
  </r>
  <r>
    <x v="2"/>
    <s v="ORIZABA"/>
    <n v="25225"/>
    <s v="MARCELO TZITZIHUA TZITZIHUA"/>
    <d v="2022-09-19T00:00:00"/>
    <n v="407"/>
    <x v="2"/>
    <n v="1149245.43"/>
    <n v="1076910.8900000001"/>
    <n v="509560.23"/>
    <n v="33174.18"/>
    <n v="617000.23329999996"/>
    <n v="219000.18"/>
    <n v="22"/>
    <n v="60"/>
    <n v="7"/>
    <n v="7381.6520402632741"/>
    <n v="130"/>
    <x v="3"/>
  </r>
  <r>
    <x v="2"/>
    <s v="ORIZABA"/>
    <n v="27027"/>
    <s v="FERNANDO MANUEL VELASCO RIVERA"/>
    <d v="2022-11-22T00:00:00"/>
    <n v="343"/>
    <x v="3"/>
    <n v="1236672.57"/>
    <n v="1132439.3199999998"/>
    <n v="722358.54999999981"/>
    <n v="26199.53"/>
    <n v="684260.51084999996"/>
    <n v="254000.7099999999"/>
    <n v="0"/>
    <n v="77"/>
    <n v="22"/>
    <n v="11203.69831594063"/>
    <n v="487.5"/>
    <x v="3"/>
  </r>
  <r>
    <x v="2"/>
    <s v="ORIZABA"/>
    <n v="33874"/>
    <s v="JAEL BRAVO REYES"/>
    <d v="2023-08-02T00:00:00"/>
    <n v="90"/>
    <x v="1"/>
    <n v="182918.49"/>
    <n v="424277.02"/>
    <n v="424277.02"/>
    <n v="0"/>
    <n v="204000"/>
    <n v="305999.86000000004"/>
    <n v="33"/>
    <n v="0"/>
    <n v="0"/>
    <n v="4831.9255426235532"/>
    <n v="8625"/>
    <x v="3"/>
  </r>
  <r>
    <x v="2"/>
    <s v="TLAHUAC"/>
    <n v="28375"/>
    <s v="OLIVIA LOPEZ HERNANDEZ"/>
    <d v="2023-01-23T00:00:00"/>
    <n v="281"/>
    <x v="3"/>
    <n v="1302065.29"/>
    <n v="1311201.8799999999"/>
    <n v="1163070.82"/>
    <n v="376"/>
    <n v="423500.19579999999"/>
    <n v="375000.04999999981"/>
    <n v="8"/>
    <n v="50"/>
    <n v="17"/>
    <n v="6588.9200655608229"/>
    <n v="1305"/>
    <x v="3"/>
  </r>
  <r>
    <x v="2"/>
    <s v="TLAHUAC"/>
    <n v="33499"/>
    <s v="HECTOR CORONEL VENTURA"/>
    <d v="2023-07-21T00:00:00"/>
    <n v="102"/>
    <x v="1"/>
    <n v="1114403.3900000001"/>
    <n v="775926.45"/>
    <n v="775926.45"/>
    <n v="0"/>
    <n v="226249.99299999996"/>
    <n v="67500.03"/>
    <n v="28"/>
    <n v="10"/>
    <n v="7"/>
    <n v="5193.75"/>
    <n v="2875"/>
    <x v="3"/>
  </r>
  <r>
    <x v="2"/>
    <s v="TLAHUAC"/>
    <n v="34962"/>
    <s v="ANA CRISTINA HERNANDEZ PEREZ"/>
    <d v="2023-09-08T00:00:00"/>
    <n v="53"/>
    <x v="0"/>
    <n v="56000"/>
    <n v="43665.95"/>
    <n v="43665.95"/>
    <n v="0"/>
    <n v="97000"/>
    <n v="0"/>
    <n v="12"/>
    <n v="0"/>
    <n v="0"/>
    <n v="4467.7029240537377"/>
    <n v="2000"/>
    <x v="3"/>
  </r>
  <r>
    <x v="2"/>
    <s v="TLAHUAC"/>
    <n v="36071"/>
    <s v="MARIO GUILLERMO PEREZ MORALES"/>
    <d v="2023-10-26T00:00:00"/>
    <n v="5"/>
    <x v="0"/>
    <n v="0"/>
    <n v="0"/>
    <n v="0"/>
    <n v="0"/>
    <n v="35000"/>
    <n v="0"/>
    <n v="0"/>
    <n v="0"/>
    <n v="0"/>
    <n v="4112.5"/>
    <s v=""/>
    <x v="3"/>
  </r>
  <r>
    <x v="0"/>
    <s v="VILLAHERMOSA"/>
    <n v="35429"/>
    <s v="MARÍA DE JESÚS DÍAZ LÓPEZ "/>
    <d v="2023-10-02T00:00:00"/>
    <n v="59"/>
    <x v="0"/>
    <n v="458864.25"/>
    <n v="404002.47"/>
    <n v="279609.66000000003"/>
    <n v="0"/>
    <m/>
    <n v="40499.849999999991"/>
    <n v="1"/>
    <n v="0"/>
    <n v="0"/>
    <n v="8591"/>
    <n v="2000"/>
    <x v="4"/>
  </r>
  <r>
    <x v="1"/>
    <s v="CHIMALHUACAN 2"/>
    <n v="20315"/>
    <s v="KARINA TERRAZAS OLVERA"/>
    <d v="2022-03-14T00:00:00"/>
    <n v="626"/>
    <x v="6"/>
    <n v="858344.55000000016"/>
    <n v="934386.79"/>
    <n v="871262.82000000007"/>
    <n v="13734.17"/>
    <n v="534805.70329999994"/>
    <n v="379999.68999999994"/>
    <n v="14"/>
    <n v="44"/>
    <n v="20"/>
    <n v="12944.75"/>
    <n v="2014.9349919999995"/>
    <x v="4"/>
  </r>
  <r>
    <x v="1"/>
    <s v="CHIMALHUACAN 2"/>
    <n v="20314"/>
    <s v="MARIBEL RODRIGUEZ CARRIZOZA"/>
    <d v="2022-03-14T00:00:00"/>
    <n v="626"/>
    <x v="6"/>
    <n v="1238700.4699999997"/>
    <n v="1144337.3899999999"/>
    <n v="1061477.1399999999"/>
    <n v="58965.35"/>
    <n v="518220.33934999997"/>
    <n v="258001.05"/>
    <n v="4"/>
    <n v="53"/>
    <n v="29"/>
    <n v="13854"/>
    <n v="143.69683499999968"/>
    <x v="4"/>
  </r>
  <r>
    <x v="1"/>
    <s v="CHIMALHUACAN 2"/>
    <n v="30967"/>
    <s v="LIZBETH GUADALUPE MUJICA HERNANDEZ"/>
    <d v="2023-04-20T00:00:00"/>
    <n v="224"/>
    <x v="3"/>
    <n v="2001855.1199999999"/>
    <n v="2260776.13"/>
    <n v="2009240.4900000002"/>
    <n v="36823.07"/>
    <n v="706175.45054999995"/>
    <n v="771502.73000000045"/>
    <n v="7"/>
    <n v="109"/>
    <n v="44"/>
    <n v="17677.5"/>
    <n v="0"/>
    <x v="4"/>
  </r>
  <r>
    <x v="1"/>
    <s v="CHIMALHUACAN 2"/>
    <n v="33878"/>
    <s v="GUADALUPE CARMONA ANTONIO"/>
    <d v="2023-08-02T00:00:00"/>
    <n v="120"/>
    <x v="1"/>
    <n v="415467.24999999994"/>
    <n v="455162.30999999994"/>
    <n v="455162.30999999994"/>
    <n v="0"/>
    <n v="204000"/>
    <n v="190999.92"/>
    <n v="4"/>
    <n v="0"/>
    <n v="0"/>
    <n v="17669.449999999997"/>
    <n v="4137.1125000000002"/>
    <x v="4"/>
  </r>
  <r>
    <x v="1"/>
    <s v="CHIMALHUACAN 2"/>
    <n v="35609"/>
    <s v="BRENDA BERENICE CASTRO HERNÁNDEZ "/>
    <d v="2023-10-09T00:00:00"/>
    <n v="52"/>
    <x v="0"/>
    <n v="0"/>
    <n v="62737.320000000007"/>
    <n v="62737.320000000007"/>
    <n v="0"/>
    <m/>
    <n v="63500.26999999999"/>
    <n v="8"/>
    <n v="0"/>
    <n v="0"/>
    <n v="16127.65"/>
    <n v="2000"/>
    <x v="4"/>
  </r>
  <r>
    <x v="1"/>
    <s v="IXTAPALUCA"/>
    <n v="28239"/>
    <s v="BRENDA DANIELA RODRIGUEZ REYES"/>
    <d v="2023-01-17T00:00:00"/>
    <n v="317"/>
    <x v="3"/>
    <n v="1002090.0100000001"/>
    <n v="796323.99"/>
    <n v="787562.79"/>
    <n v="5394.52"/>
    <n v="335859.97125"/>
    <n v="267500.13"/>
    <n v="15"/>
    <n v="18"/>
    <n v="10"/>
    <n v="12515.55"/>
    <n v="3851.68"/>
    <x v="4"/>
  </r>
  <r>
    <x v="1"/>
    <s v="IXTAPALUCA"/>
    <n v="35961"/>
    <s v="DULCE YURIKO NISHIKAWA MOLINA"/>
    <d v="2023-10-23T00:00:00"/>
    <n v="38"/>
    <x v="0"/>
    <n v="130965.55"/>
    <n v="279141.53999999998"/>
    <n v="279141.53999999998"/>
    <n v="0"/>
    <n v="59610"/>
    <n v="223000.13999999998"/>
    <n v="5"/>
    <n v="0"/>
    <n v="0"/>
    <n v="7506.2150000000001"/>
    <n v="2218.4"/>
    <x v="4"/>
  </r>
  <r>
    <x v="1"/>
    <s v="IXTAPALUCA"/>
    <n v="35971"/>
    <s v="TANIA NAVARRETE SILVA"/>
    <d v="2023-10-23T00:00:00"/>
    <n v="38"/>
    <x v="0"/>
    <n v="520990.77"/>
    <n v="522667.75999999995"/>
    <n v="467797.97000000003"/>
    <n v="0"/>
    <n v="126440"/>
    <n v="213499.74"/>
    <n v="18"/>
    <n v="0"/>
    <n v="0"/>
    <n v="7937.6"/>
    <n v="2000"/>
    <x v="4"/>
  </r>
  <r>
    <x v="1"/>
    <s v="IZTAPALAPA"/>
    <n v="31346"/>
    <s v="LAURA LORENA PEREZ MENDOZA"/>
    <d v="2023-05-08T00:00:00"/>
    <n v="206"/>
    <x v="3"/>
    <n v="1319549.2000000002"/>
    <n v="1262447.9299999995"/>
    <n v="1152814.8299999996"/>
    <n v="9648.84"/>
    <m/>
    <n v="313999.86999999988"/>
    <n v="16"/>
    <n v="58"/>
    <n v="21"/>
    <n v="16081"/>
    <n v="2081.5028500000008"/>
    <x v="4"/>
  </r>
  <r>
    <x v="1"/>
    <s v="IZTAPALAPA"/>
    <n v="36153"/>
    <s v="JUAN MANUEL HERNANDEZ HERNANDEZ"/>
    <d v="2023-11-01T00:00:00"/>
    <n v="29"/>
    <x v="0"/>
    <n v="0"/>
    <n v="84999.09"/>
    <n v="84999.09"/>
    <n v="0"/>
    <n v="41440"/>
    <n v="84999.09"/>
    <n v="15"/>
    <n v="0"/>
    <n v="0"/>
    <n v="6816.9699999999993"/>
    <n v="2000"/>
    <x v="4"/>
  </r>
  <r>
    <x v="1"/>
    <s v="IZTAPALAPA"/>
    <n v="36305"/>
    <s v="JUAN ANTONIO POZOS VALVERDE"/>
    <d v="2023-11-10T00:00:00"/>
    <n v="20"/>
    <x v="0"/>
    <n v="0"/>
    <n v="134148"/>
    <n v="134148"/>
    <n v="0"/>
    <m/>
    <n v="135999.38"/>
    <n v="12"/>
    <n v="0"/>
    <n v="0"/>
    <n v="9327.65"/>
    <n v="2000"/>
    <x v="4"/>
  </r>
  <r>
    <x v="1"/>
    <s v="NEZAHUALCOYOTL"/>
    <n v="34012"/>
    <s v="JONNY ROMAN GARCIA VALENTINO"/>
    <d v="2020-01-20T00:00:00"/>
    <n v="1410"/>
    <x v="4"/>
    <n v="1765376.25"/>
    <n v="1947662.8499999996"/>
    <n v="1827719.6299999997"/>
    <n v="0"/>
    <n v="586259.97794999997"/>
    <n v="818499.80999999994"/>
    <n v="0"/>
    <n v="0"/>
    <n v="0"/>
    <n v="14341.5"/>
    <n v="3631.2847425"/>
    <x v="4"/>
  </r>
  <r>
    <x v="1"/>
    <s v="NEZAHUALCOYOTL"/>
    <n v="33385"/>
    <s v="NADINE GUADALUPE URIBE SANTIAGO"/>
    <d v="2023-02-01T00:00:00"/>
    <n v="302"/>
    <x v="3"/>
    <n v="1627574.1500000001"/>
    <n v="1799860.9000000001"/>
    <n v="1647078.1500000001"/>
    <n v="118809.76"/>
    <n v="973930.27449999982"/>
    <n v="815499.47"/>
    <n v="9"/>
    <n v="67"/>
    <n v="43"/>
    <n v="17516.5"/>
    <n v="0"/>
    <x v="4"/>
  </r>
  <r>
    <x v="1"/>
    <s v="NEZAHUALCOYOTL"/>
    <n v="35102"/>
    <s v="ULISES URIEL PARTIDA MENDEZ"/>
    <d v="2023-09-18T00:00:00"/>
    <n v="73"/>
    <x v="0"/>
    <n v="65991.66"/>
    <n v="128614.11"/>
    <n v="128614.11"/>
    <n v="0"/>
    <n v="97000"/>
    <n v="76999.520000000019"/>
    <n v="8"/>
    <n v="0"/>
    <n v="0"/>
    <n v="7806.2"/>
    <n v="2000"/>
    <x v="4"/>
  </r>
  <r>
    <x v="1"/>
    <s v="NEZAHUALCOYOTL"/>
    <n v="36251"/>
    <s v="ANA LIZBETH MORA RAMIREZ"/>
    <d v="2023-11-08T00:00:00"/>
    <n v="22"/>
    <x v="0"/>
    <n v="0"/>
    <n v="79999.839999999997"/>
    <n v="79999.839999999997"/>
    <n v="0"/>
    <m/>
    <n v="79999.839999999997"/>
    <n v="23"/>
    <n v="0"/>
    <n v="0"/>
    <n v="9327.65"/>
    <n v="2000"/>
    <x v="4"/>
  </r>
  <r>
    <x v="1"/>
    <s v="NEZAHUALCOYOTL 2"/>
    <n v="25227"/>
    <s v="DENISSE FUENTES CASTRO"/>
    <d v="2022-09-19T00:00:00"/>
    <n v="437"/>
    <x v="2"/>
    <n v="1399575.2000000004"/>
    <n v="1334367.3899999999"/>
    <n v="1084596.52"/>
    <n v="15837.4"/>
    <n v="574215.37804999982"/>
    <n v="500500.26"/>
    <n v="16"/>
    <n v="56"/>
    <n v="43"/>
    <n v="13432"/>
    <n v="0"/>
    <x v="4"/>
  </r>
  <r>
    <x v="1"/>
    <s v="NEZAHUALCOYOTL 2"/>
    <n v="30049"/>
    <s v="NELLYE SAAVEDRA SALVADOR"/>
    <d v="2023-03-21T00:00:00"/>
    <n v="254"/>
    <x v="3"/>
    <n v="672758.6"/>
    <n v="845608.16999999993"/>
    <n v="787954.6399999999"/>
    <n v="0"/>
    <n v="486019.33614999999"/>
    <n v="452000.23999999987"/>
    <n v="1"/>
    <n v="30"/>
    <n v="17"/>
    <n v="17465"/>
    <n v="775.12139199999979"/>
    <x v="4"/>
  </r>
  <r>
    <x v="1"/>
    <s v="NEZAHUALCOYOTL 2"/>
    <n v="34226"/>
    <s v="JORGE ALBERTO CONTRERAS SEGUNDO"/>
    <d v="2023-08-16T00:00:00"/>
    <n v="106"/>
    <x v="1"/>
    <n v="515881.92"/>
    <n v="641885.73"/>
    <n v="612326.6"/>
    <n v="0"/>
    <n v="358500.46799999999"/>
    <n v="253501.21999999986"/>
    <n v="24"/>
    <n v="1"/>
    <n v="0"/>
    <n v="11036.5"/>
    <n v="2303.8173999999999"/>
    <x v="4"/>
  </r>
  <r>
    <x v="1"/>
    <s v="TEXCOCO"/>
    <n v="33373"/>
    <s v="ROBERTO MERAZ GUTIERREZ"/>
    <d v="2023-04-17T00:00:00"/>
    <n v="227"/>
    <x v="3"/>
    <n v="1376339.9999999995"/>
    <n v="1433027.89"/>
    <n v="1282297.7500000002"/>
    <n v="0"/>
    <n v="486295.16940000001"/>
    <n v="445500.71"/>
    <n v="7"/>
    <n v="39"/>
    <n v="11"/>
    <n v="19226.5"/>
    <n v="0"/>
    <x v="4"/>
  </r>
  <r>
    <x v="1"/>
    <s v="TEXCOCO"/>
    <n v="32596"/>
    <s v="ELIZABETH PEREZ PERALTA"/>
    <d v="2023-06-16T00:00:00"/>
    <n v="167"/>
    <x v="1"/>
    <n v="1029276.8400000002"/>
    <n v="1153428.69"/>
    <n v="1029927.5"/>
    <n v="0"/>
    <n v="864449.86210000003"/>
    <n v="493499.8600000001"/>
    <n v="6"/>
    <n v="21"/>
    <n v="5"/>
    <n v="15885.750000000002"/>
    <n v="0"/>
    <x v="4"/>
  </r>
  <r>
    <x v="1"/>
    <s v="TEXCOCO"/>
    <n v="36042"/>
    <s v="YESSICA ADELAIDA DELGADILLO MIRANDA"/>
    <d v="2023-10-24T00:00:00"/>
    <n v="37"/>
    <x v="0"/>
    <n v="218996.48000000001"/>
    <n v="249323.05"/>
    <n v="232910.99"/>
    <n v="0"/>
    <n v="59240"/>
    <n v="117999.66000000002"/>
    <n v="8"/>
    <n v="0"/>
    <n v="0"/>
    <n v="6567.2"/>
    <n v="2000"/>
    <x v="4"/>
  </r>
  <r>
    <x v="1"/>
    <s v="TONALA"/>
    <n v="30869"/>
    <s v="LAURA PATRICIA CARRERA QUINTERO"/>
    <d v="2023-04-18T00:00:00"/>
    <n v="226"/>
    <x v="3"/>
    <n v="1147073.1199999999"/>
    <n v="1045160.5999999996"/>
    <n v="1015272.0599999996"/>
    <n v="0"/>
    <n v="574200.26985000004"/>
    <n v="342501.2800000002"/>
    <n v="0"/>
    <n v="76"/>
    <n v="32"/>
    <n v="14287.25"/>
    <n v="2769"/>
    <x v="4"/>
  </r>
  <r>
    <x v="1"/>
    <s v="TONALA 2"/>
    <n v="20612"/>
    <s v="ARMANDO ALEJANDRO TOVAR BRACAMONTES"/>
    <d v="2022-03-28T00:00:00"/>
    <n v="612"/>
    <x v="6"/>
    <n v="2198186.8200000003"/>
    <n v="1876712.0399999998"/>
    <n v="1808046.7799999998"/>
    <n v="0"/>
    <n v="507624.84789999994"/>
    <n v="473500.10999999993"/>
    <n v="2"/>
    <n v="36"/>
    <n v="33"/>
    <n v="14246"/>
    <n v="5747.1750000000002"/>
    <x v="4"/>
  </r>
  <r>
    <x v="1"/>
    <s v="TONALA 2"/>
    <n v="36216"/>
    <s v="MIRIAM PATRICIA ROSAS AREVALO"/>
    <d v="2023-08-07T00:00:00"/>
    <n v="115"/>
    <x v="1"/>
    <n v="0"/>
    <n v="107017.94"/>
    <n v="107017.94"/>
    <n v="0"/>
    <n v="309300.228"/>
    <n v="113000.13999999998"/>
    <n v="11"/>
    <n v="0"/>
    <n v="0"/>
    <n v="11641.449999999999"/>
    <n v="1839.9999999999998"/>
    <x v="4"/>
  </r>
  <r>
    <x v="2"/>
    <s v="AMECAMECA"/>
    <n v="27539"/>
    <s v="MARIA ISABEL MUÑOZ SANCHEZ"/>
    <d v="2022-12-07T00:00:00"/>
    <n v="358"/>
    <x v="3"/>
    <n v="968250.62"/>
    <n v="1128795.2699999998"/>
    <n v="1109040.42"/>
    <n v="21361.33"/>
    <n v="639489.82960000006"/>
    <n v="478501.20999999967"/>
    <n v="19"/>
    <n v="58"/>
    <n v="29"/>
    <n v="15990.074999999999"/>
    <n v="6559.7846250000002"/>
    <x v="4"/>
  </r>
  <r>
    <x v="2"/>
    <s v="AMECAMECA"/>
    <n v="34963"/>
    <s v="HASLEY RODRIGUEZ GARCIA"/>
    <d v="2023-09-08T00:00:00"/>
    <n v="83"/>
    <x v="0"/>
    <n v="776696.58000000007"/>
    <n v="668166.29"/>
    <n v="624447.63"/>
    <n v="0"/>
    <n v="356990.11219999997"/>
    <n v="188499.91"/>
    <n v="15"/>
    <n v="0"/>
    <n v="0"/>
    <n v="10405"/>
    <n v="537.18182499999978"/>
    <x v="4"/>
  </r>
  <r>
    <x v="2"/>
    <s v="AMECAMECA"/>
    <n v="36084"/>
    <s v="ANAHI JIMENEZ RAMOS"/>
    <d v="2023-10-27T00:00:00"/>
    <n v="34"/>
    <x v="0"/>
    <n v="272135.33999999997"/>
    <n v="373973.50999999995"/>
    <n v="370570.63999999996"/>
    <n v="0"/>
    <n v="50250"/>
    <n v="167000"/>
    <n v="8"/>
    <n v="0"/>
    <n v="0"/>
    <n v="7495.1249999999991"/>
    <n v="2190.4625000000001"/>
    <x v="4"/>
  </r>
  <r>
    <x v="2"/>
    <s v="CHALCO"/>
    <n v="34961"/>
    <s v="EDUARDO ABEL CARBAJAL BALDERAS"/>
    <d v="2023-09-08T00:00:00"/>
    <n v="83"/>
    <x v="0"/>
    <n v="781614.94000000018"/>
    <n v="932970.56000000017"/>
    <n v="932970.56000000017"/>
    <n v="0"/>
    <m/>
    <n v="401000.58000000013"/>
    <n v="6"/>
    <n v="0"/>
    <n v="0"/>
    <n v="10902.65"/>
    <n v="3908.6374999999998"/>
    <x v="4"/>
  </r>
  <r>
    <x v="2"/>
    <s v="CHALCO"/>
    <n v="35841"/>
    <s v="RAUL RODRIGUEZ PEREZ"/>
    <d v="2023-10-18T00:00:00"/>
    <n v="43"/>
    <x v="0"/>
    <n v="776138.55"/>
    <n v="878181.5199999999"/>
    <n v="878181.5199999999"/>
    <n v="0"/>
    <n v="77760"/>
    <n v="400500.18999999989"/>
    <n v="21"/>
    <n v="0"/>
    <n v="0"/>
    <n v="8973.07"/>
    <n v="5056.9750000000004"/>
    <x v="4"/>
  </r>
  <r>
    <x v="2"/>
    <s v="CHALCO"/>
    <n v="36252"/>
    <s v="PAOLA GRISELL ROMERO SANCHEZ"/>
    <d v="2023-11-08T00:00:00"/>
    <n v="22"/>
    <x v="0"/>
    <n v="905529.27999999991"/>
    <n v="989465.56000000017"/>
    <n v="989465.56000000017"/>
    <n v="0"/>
    <m/>
    <n v="312500.77"/>
    <n v="9"/>
    <n v="0"/>
    <n v="0"/>
    <n v="10987.65"/>
    <n v="3749.3199999999997"/>
    <x v="4"/>
  </r>
  <r>
    <x v="2"/>
    <s v="COATZACOALCOS"/>
    <n v="2376"/>
    <s v="ISABEL MONSERRAT RAZO MENDEZ"/>
    <d v="2021-07-08T00:00:00"/>
    <n v="875"/>
    <x v="5"/>
    <n v="0"/>
    <n v="0"/>
    <n v="0"/>
    <n v="0"/>
    <m/>
    <n v="0"/>
    <n v="0"/>
    <n v="0"/>
    <n v="0"/>
    <n v="8111"/>
    <n v="500"/>
    <x v="4"/>
  </r>
  <r>
    <x v="2"/>
    <s v="COATZACOALCOS"/>
    <n v="26859"/>
    <s v="MONSERRAT DE LA CRUZ MARTINEZ ALVARADO"/>
    <d v="2022-11-16T00:00:00"/>
    <n v="379"/>
    <x v="2"/>
    <n v="576343.26"/>
    <n v="871219.1100000001"/>
    <n v="699396.86"/>
    <n v="1942"/>
    <n v="602717.68119999999"/>
    <n v="492998.38999999996"/>
    <n v="41"/>
    <n v="56"/>
    <n v="18"/>
    <n v="19433.5"/>
    <n v="0"/>
    <x v="4"/>
  </r>
  <r>
    <x v="2"/>
    <s v="COATZACOALCOS"/>
    <n v="33951"/>
    <s v="JULIO CESAR GONZALEZ ESPINOZA"/>
    <d v="2023-08-07T00:00:00"/>
    <n v="115"/>
    <x v="1"/>
    <n v="440566.51"/>
    <n v="344716.83"/>
    <n v="316486.40999999997"/>
    <n v="0"/>
    <n v="291600.25199999998"/>
    <n v="108499.58"/>
    <n v="2"/>
    <n v="0"/>
    <n v="0"/>
    <n v="10641"/>
    <n v="125.16650000000016"/>
    <x v="4"/>
  </r>
  <r>
    <x v="2"/>
    <s v="COATZACOALCOS"/>
    <n v="35610"/>
    <s v="JULLIET MONTILLO GANG"/>
    <d v="2023-10-09T00:00:00"/>
    <n v="52"/>
    <x v="0"/>
    <n v="120712.59"/>
    <n v="186659.94999999998"/>
    <n v="186659.94999999998"/>
    <n v="0"/>
    <n v="98125"/>
    <n v="105999.51000000001"/>
    <n v="37"/>
    <n v="0"/>
    <n v="0"/>
    <n v="7615.8749999999991"/>
    <n v="2000"/>
    <x v="4"/>
  </r>
  <r>
    <x v="2"/>
    <s v="FORTIN"/>
    <n v="17299"/>
    <s v="JULIAN MARTINEZ CORTES"/>
    <d v="2021-11-10T00:00:00"/>
    <n v="750"/>
    <x v="5"/>
    <n v="604773.24"/>
    <n v="596836.19000000006"/>
    <n v="525160.30000000005"/>
    <n v="0"/>
    <n v="340954.71224999998"/>
    <n v="245999.90999999997"/>
    <n v="10"/>
    <n v="23"/>
    <n v="5"/>
    <n v="10573"/>
    <n v="0"/>
    <x v="4"/>
  </r>
  <r>
    <x v="2"/>
    <s v="FORTIN"/>
    <n v="29508"/>
    <s v="JESSICA MARIN DURON"/>
    <d v="2023-03-02T00:00:00"/>
    <n v="273"/>
    <x v="3"/>
    <n v="878059.23"/>
    <n v="717913.44"/>
    <n v="595792.72"/>
    <n v="0"/>
    <n v="219300.024"/>
    <n v="151000.03000000003"/>
    <n v="0"/>
    <n v="1"/>
    <n v="0"/>
    <n v="10033.5"/>
    <n v="0"/>
    <x v="4"/>
  </r>
  <r>
    <x v="2"/>
    <s v="MILPA ALTA"/>
    <n v="31037"/>
    <s v="BRAULIO GUZMAN JIMENEZ"/>
    <d v="2023-04-24T00:00:00"/>
    <n v="220"/>
    <x v="3"/>
    <n v="474371.97999999992"/>
    <n v="546731.31000000006"/>
    <n v="493925.99"/>
    <n v="0"/>
    <n v="495224.9084500001"/>
    <n v="239500.13000000009"/>
    <n v="2"/>
    <n v="27"/>
    <n v="20"/>
    <n v="10529.5"/>
    <n v="0"/>
    <x v="4"/>
  </r>
  <r>
    <x v="2"/>
    <s v="MILPA ALTA"/>
    <n v="31036"/>
    <s v="JENIFER QUETZALLI AVILA REMOLINO"/>
    <d v="2023-04-24T00:00:00"/>
    <n v="220"/>
    <x v="3"/>
    <n v="717936.73"/>
    <n v="577314.51"/>
    <n v="552347.63"/>
    <n v="0"/>
    <m/>
    <n v="125500.05999999995"/>
    <n v="6"/>
    <n v="24"/>
    <n v="19"/>
    <n v="8951"/>
    <n v="926.72268800000006"/>
    <x v="4"/>
  </r>
  <r>
    <x v="2"/>
    <s v="MILPA ALTA"/>
    <n v="35878"/>
    <s v="MARI JOSE TLAPANCO SANTIAGO"/>
    <d v="2023-10-19T00:00:00"/>
    <n v="42"/>
    <x v="0"/>
    <n v="101846.49"/>
    <n v="192565.06999999998"/>
    <n v="192565.06999999998"/>
    <n v="0"/>
    <n v="77290"/>
    <n v="126000.13"/>
    <n v="17"/>
    <n v="0"/>
    <n v="0"/>
    <n v="7182.49"/>
    <n v="2194.25"/>
    <x v="4"/>
  </r>
  <r>
    <x v="2"/>
    <s v="ORIZABA"/>
    <n v="25225"/>
    <s v="MARCELO TZITZIHUA TZITZIHUA"/>
    <d v="2022-09-19T00:00:00"/>
    <n v="437"/>
    <x v="2"/>
    <n v="1076910.8900000001"/>
    <n v="977349.49000000011"/>
    <n v="638575.75000000012"/>
    <n v="75052.290000000008"/>
    <n v="743634.9328500001"/>
    <n v="156000.40999999995"/>
    <n v="0"/>
    <n v="72"/>
    <n v="14"/>
    <n v="15764"/>
    <n v="0"/>
    <x v="4"/>
  </r>
  <r>
    <x v="2"/>
    <s v="ORIZABA"/>
    <n v="27027"/>
    <s v="FERNANDO MANUEL VELASCO RIVERA"/>
    <d v="2022-11-22T00:00:00"/>
    <n v="373"/>
    <x v="2"/>
    <n v="1130578.3199999998"/>
    <n v="1157538.5099999998"/>
    <n v="878670.43"/>
    <n v="61142.799999999996"/>
    <n v="587940.63434999995"/>
    <n v="243501.64999999991"/>
    <n v="0"/>
    <n v="58"/>
    <n v="20"/>
    <n v="17156.5"/>
    <n v="0"/>
    <x v="4"/>
  </r>
  <r>
    <x v="2"/>
    <s v="ORIZABA"/>
    <n v="33874"/>
    <s v="JAEL BRAVO REYES"/>
    <d v="2023-08-02T00:00:00"/>
    <n v="120"/>
    <x v="1"/>
    <n v="427045.88"/>
    <n v="444308.31000000006"/>
    <n v="437056.76"/>
    <n v="0"/>
    <n v="250399.90649999998"/>
    <n v="162499.90999999995"/>
    <n v="14"/>
    <n v="6"/>
    <n v="6"/>
    <n v="10690"/>
    <n v="3203.9829999999997"/>
    <x v="4"/>
  </r>
  <r>
    <x v="2"/>
    <s v="TLAHUAC"/>
    <n v="28375"/>
    <s v="OLIVIA  LOPEZ HERNANDEZ"/>
    <d v="2023-01-23T00:00:00"/>
    <n v="311"/>
    <x v="3"/>
    <n v="1311201.8799999999"/>
    <n v="1468639.49"/>
    <n v="1362376.8399999996"/>
    <n v="14849.21"/>
    <m/>
    <n v="645001.05000000005"/>
    <n v="5"/>
    <n v="21"/>
    <n v="16"/>
    <n v="16131"/>
    <n v="1418.5065049999996"/>
    <x v="4"/>
  </r>
  <r>
    <x v="2"/>
    <s v="TLAHUAC"/>
    <n v="33499"/>
    <s v="HECTOR CORONEL VENTURA"/>
    <d v="2023-07-21T00:00:00"/>
    <n v="132"/>
    <x v="1"/>
    <n v="775926.45"/>
    <n v="1487694.53"/>
    <n v="1487694.53"/>
    <n v="0"/>
    <n v="550520.15364999988"/>
    <n v="1381001.0000000002"/>
    <n v="5"/>
    <n v="20"/>
    <n v="16"/>
    <n v="13635.449999999999"/>
    <n v="8279.3249999999989"/>
    <x v="4"/>
  </r>
  <r>
    <x v="2"/>
    <s v="TLAHUAC"/>
    <n v="36071"/>
    <s v="MARIO GUILLERMO PEREZ MORALES"/>
    <d v="2023-10-26T00:00:00"/>
    <n v="35"/>
    <x v="0"/>
    <n v="0"/>
    <n v="256000.39"/>
    <n v="256000.39"/>
    <n v="0"/>
    <n v="50250"/>
    <n v="256000.38999999998"/>
    <n v="30"/>
    <n v="0"/>
    <n v="0"/>
    <n v="7495.1249999999991"/>
    <n v="3679.9999999999995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x v="0"/>
    <n v="32633"/>
    <s v="BENITO ARTURO TORRUCO LOPEZ"/>
    <d v="2023-06-21T00:00:00"/>
    <d v="1899-12-30T00:00:00"/>
    <x v="0"/>
    <s v="NO"/>
    <n v="1"/>
    <n v="1"/>
    <n v="147782.72"/>
    <s v=""/>
    <s v=""/>
    <s v=""/>
    <s v=""/>
    <n v="147782.72"/>
    <n v="1"/>
    <n v="147782.72"/>
    <s v="NA"/>
    <n v="147782.72"/>
    <n v="0"/>
    <n v="0"/>
    <n v="0"/>
    <n v="1"/>
    <n v="0"/>
    <n v="152999.4"/>
    <s v="NA"/>
    <n v="2"/>
    <n v="0.05"/>
    <n v="0"/>
    <n v="0"/>
    <n v="0"/>
    <n v="2387.5"/>
    <n v="3737.5"/>
    <n v="1.5654450261780104"/>
    <n v="2235.0064000000002"/>
    <x v="0"/>
    <x v="0"/>
    <x v="0"/>
    <s v="1 Bajo Extremo"/>
    <n v="30"/>
    <s v="1 Bajo Extremo"/>
    <n v="30"/>
    <s v="NA"/>
    <n v="0"/>
    <n v="18"/>
    <x v="0"/>
    <s v="7 Sobresaliente"/>
    <n v="110"/>
    <s v="5 Sobresaliente"/>
    <n v="90"/>
    <n v="62"/>
    <s v="Antiguedad: &lt; 3 Meses|Tamaño Cartera: 1 Pequeño ≤ 500k|1 Mal Vendedor|Calidad Cartera: 7 Sobresaliente|Alcance Incentivos: 5 Sobresaliente"/>
  </r>
  <r>
    <x v="0"/>
    <x v="1"/>
    <n v="31096"/>
    <s v="YADIRA LIZBETH RODRIGUEZ COLLADO"/>
    <d v="2023-04-25T00:00:00"/>
    <d v="2023-10-15T00:00:00"/>
    <x v="1"/>
    <s v="NO"/>
    <n v="3"/>
    <n v="5"/>
    <n v="1318217.7500000005"/>
    <n v="1240496.8400000001"/>
    <n v="1044506.0099999999"/>
    <s v=""/>
    <s v=""/>
    <n v="1201073.5333333334"/>
    <n v="3"/>
    <n v="1044506.0099999999"/>
    <n v="-0.10985266896283996"/>
    <n v="824039.17999999993"/>
    <n v="30262.04"/>
    <n v="2.519582620059399E-2"/>
    <n v="0.10078330480237596"/>
    <n v="0.76671350623048384"/>
    <n v="2088621.3274000003"/>
    <n v="771500.24"/>
    <n v="0.36938253472705579"/>
    <n v="36"/>
    <n v="0.37113402061855671"/>
    <n v="161"/>
    <n v="42"/>
    <n v="0.2608695652173913"/>
    <n v="51249.596631973633"/>
    <n v="4447.5"/>
    <n v="8.678117082438247E-2"/>
    <n v="70631.574833333332"/>
    <x v="1"/>
    <x v="1"/>
    <x v="1"/>
    <s v="1 Bajo Extremo"/>
    <n v="30"/>
    <s v="1 Bajo Extremo"/>
    <n v="30"/>
    <s v="2 Bajo"/>
    <n v="30"/>
    <n v="30"/>
    <x v="0"/>
    <s v="2 Bajo"/>
    <n v="50"/>
    <s v="1 Bajo"/>
    <n v="30"/>
    <n v="38"/>
    <s v="Antiguedad: 3 a 6 Meses|Tamaño Cartera: 3 Mediana ≥ 1MM|1 Mal Vendedor|Calidad Cartera: 2 Bajo|Alcance Incentivos: 1 Bajo"/>
  </r>
  <r>
    <x v="0"/>
    <x v="1"/>
    <n v="32491"/>
    <s v="LUIS OMAR DE LA CRUZ JIMENEZ"/>
    <d v="2023-06-14T00:00:00"/>
    <d v="2023-08-11T00:00:00"/>
    <x v="1"/>
    <s v="NO"/>
    <n v="1"/>
    <n v="1"/>
    <n v="472340.91"/>
    <s v=""/>
    <s v=""/>
    <s v=""/>
    <s v=""/>
    <n v="472340.91"/>
    <n v="1"/>
    <n v="472340.91"/>
    <s v="NA"/>
    <n v="402486.84"/>
    <n v="0"/>
    <n v="0"/>
    <n v="0"/>
    <n v="0.85211090438895087"/>
    <n v="0"/>
    <n v="130500.37999999999"/>
    <s v="NA"/>
    <n v="20"/>
    <n v="0.42553191489361702"/>
    <n v="47"/>
    <n v="29"/>
    <n v="0.61702127659574468"/>
    <n v="2812.5"/>
    <n v="2000"/>
    <n v="0.71111111111111114"/>
    <n v="19159.602325"/>
    <x v="0"/>
    <x v="0"/>
    <x v="0"/>
    <s v="3 Medio Bajo"/>
    <n v="70"/>
    <s v="1 Bajo Extremo"/>
    <n v="30"/>
    <s v="NA"/>
    <n v="0"/>
    <n v="34"/>
    <x v="0"/>
    <s v="3 Medio Bajo"/>
    <n v="70"/>
    <s v="3 Medio Alto"/>
    <n v="70"/>
    <n v="52"/>
    <s v="Antiguedad: &lt; 3 Meses|Tamaño Cartera: 1 Pequeño ≤ 500k|1 Mal Vendedor|Calidad Cartera: 3 Medio Bajo|Alcance Incentivos: 3 Medio Alto"/>
  </r>
  <r>
    <x v="1"/>
    <x v="2"/>
    <n v="20314"/>
    <s v="MARIBEL RODRIGUEZ CARRIZOZA"/>
    <d v="2022-03-14T00:00:00"/>
    <d v="2023-12-08T00:00:00"/>
    <x v="1"/>
    <s v="NO"/>
    <n v="16"/>
    <n v="20"/>
    <n v="1361066.6299999997"/>
    <n v="1170570.54"/>
    <n v="1064137.6600000001"/>
    <n v="1238700.4699999997"/>
    <n v="1144337.3899999999"/>
    <n v="1195762.5379999999"/>
    <n v="5"/>
    <n v="1144337.3899999999"/>
    <n v="-4.2434092194255646E-2"/>
    <n v="1061477.1399999999"/>
    <n v="79227.75"/>
    <n v="6.625709326244171E-2"/>
    <n v="0.1590170238298601"/>
    <n v="0.8675280990761145"/>
    <n v="3174096.7095500003"/>
    <n v="1883144.76"/>
    <n v="0.59328525004739951"/>
    <n v="17"/>
    <n v="3.3730158730158728E-2"/>
    <n v="262"/>
    <n v="152"/>
    <n v="0.58015267175572516"/>
    <n v="67232.714255200699"/>
    <n v="4098.6968349999997"/>
    <n v="6.0962834542753128E-2"/>
    <n v="75421.63530200001"/>
    <x v="2"/>
    <x v="1"/>
    <x v="1"/>
    <s v="3 Medio Bajo"/>
    <n v="70"/>
    <s v="1 Bajo Extremo"/>
    <n v="30"/>
    <s v="3 Medio Bajo"/>
    <n v="50"/>
    <n v="54"/>
    <x v="0"/>
    <s v="3 Medio Bajo"/>
    <n v="70"/>
    <s v="1 Bajo"/>
    <n v="30"/>
    <n v="58"/>
    <s v="Antiguedad: 1 a 1.5 años|Tamaño Cartera: 3 Mediana ≥ 1MM|1 Mal Vendedor|Calidad Cartera: 3 Medio Bajo|Alcance Incentivos: 1 Bajo"/>
  </r>
  <r>
    <x v="1"/>
    <x v="2"/>
    <n v="20315"/>
    <s v="KARINA TERRAZAS OLVERA"/>
    <d v="2022-03-14T00:00:00"/>
    <d v="1899-12-30T00:00:00"/>
    <x v="0"/>
    <s v="NO"/>
    <n v="16"/>
    <n v="20"/>
    <n v="880824.51"/>
    <n v="905327.28999999992"/>
    <n v="842405.35000000009"/>
    <n v="858344.55000000016"/>
    <n v="934386.79"/>
    <n v="884257.69800000009"/>
    <n v="5"/>
    <n v="934386.79"/>
    <n v="1.486745284947788E-2"/>
    <n v="871262.82000000007"/>
    <n v="38038.92"/>
    <n v="4.3017912183332778E-2"/>
    <n v="0.10324298923999867"/>
    <n v="0.89596851568229319"/>
    <n v="2881646.2777500004"/>
    <n v="1567500.2100000002"/>
    <n v="0.54395996555965564"/>
    <n v="71"/>
    <n v="0.14087301587301587"/>
    <n v="196"/>
    <n v="86"/>
    <n v="0.43877551020408162"/>
    <n v="66910.679377828477"/>
    <n v="5102.4349919999995"/>
    <n v="7.6257408226088674E-2"/>
    <n v="49473.08863340001"/>
    <x v="2"/>
    <x v="2"/>
    <x v="2"/>
    <s v="2 Bajo"/>
    <n v="50"/>
    <s v="1 Bajo Extremo"/>
    <n v="30"/>
    <s v="3 Medio Bajo"/>
    <n v="50"/>
    <n v="46"/>
    <x v="0"/>
    <s v="3 Medio Bajo"/>
    <n v="70"/>
    <s v="1 Bajo"/>
    <n v="30"/>
    <n v="54"/>
    <s v="Antiguedad: 1 a 1.5 años|Tamaño Cartera: 2 Mediana ≤ 1MM|1 Mal Vendedor|Calidad Cartera: 3 Medio Bajo|Alcance Incentivos: 1 Bajo"/>
  </r>
  <r>
    <x v="1"/>
    <x v="2"/>
    <n v="30967"/>
    <s v="LIZBETH GUADALUPE MUJICA HERNANDEZ"/>
    <d v="2023-04-20T00:00:00"/>
    <d v="2023-03-29T00:00:00"/>
    <x v="1"/>
    <s v="NO"/>
    <n v="3"/>
    <n v="7"/>
    <n v="2126434.3900000006"/>
    <n v="2179159.9500000002"/>
    <n v="2072482.76"/>
    <n v="2001855.1199999999"/>
    <n v="2260776.13"/>
    <n v="2128141.6700000004"/>
    <n v="5"/>
    <n v="2260776.13"/>
    <n v="1.543327998536137E-2"/>
    <n v="2009240.4900000002"/>
    <n v="181381.17"/>
    <n v="8.5229838105655806E-2"/>
    <n v="0.20455161145357395"/>
    <n v="0.82273180765219356"/>
    <n v="3868581.6667500008"/>
    <n v="3416043.1600000006"/>
    <n v="0.88302211359798477"/>
    <n v="56"/>
    <n v="0.5490196078431373"/>
    <n v="511"/>
    <n v="279"/>
    <n v="0.54598825831702547"/>
    <n v="79989.546086953385"/>
    <n v="4620"/>
    <n v="5.7757547404729437E-2"/>
    <n v="149568.38002500002"/>
    <x v="1"/>
    <x v="3"/>
    <x v="2"/>
    <s v="3 Medio Bajo"/>
    <n v="70"/>
    <s v="1 Bajo Extremo"/>
    <n v="30"/>
    <s v="5 Alto"/>
    <n v="80"/>
    <n v="66"/>
    <x v="1"/>
    <s v="2 Bajo"/>
    <n v="50"/>
    <s v="1 Bajo"/>
    <n v="30"/>
    <n v="56"/>
    <s v="Antiguedad: 3 a 6 Meses|Tamaño Cartera: 5 Grande ≤ 2MM|2 Medio Vendedor|Calidad Cartera: 2 Bajo|Alcance Incentivos: 1 Bajo"/>
  </r>
  <r>
    <x v="1"/>
    <x v="3"/>
    <n v="25237"/>
    <s v="MARISELA HERNANDEZ MORINCHEL"/>
    <d v="2022-09-20T00:00:00"/>
    <d v="1899-12-30T00:00:00"/>
    <x v="0"/>
    <s v="NO"/>
    <n v="10"/>
    <n v="12"/>
    <n v="1655077.1099999999"/>
    <n v="1674124.0600000005"/>
    <n v="1781623.3099999998"/>
    <s v=""/>
    <s v=""/>
    <n v="1703608.1600000001"/>
    <n v="3"/>
    <n v="1781623.3099999998"/>
    <n v="3.752561333091986E-2"/>
    <n v="1557807.92"/>
    <n v="50688.149999999994"/>
    <n v="2.975340878855616E-2"/>
    <n v="0.11901363515422464"/>
    <n v="0.85018729293981499"/>
    <n v="3258663.6947999997"/>
    <n v="2290000.11"/>
    <n v="0.702742082177507"/>
    <n v="42"/>
    <n v="0.13375796178343949"/>
    <n v="207"/>
    <n v="113"/>
    <n v="0.54589371980676327"/>
    <n v="53341.273216493915"/>
    <n v="4160"/>
    <n v="7.7988389649343168E-2"/>
    <n v="106240.18586666668"/>
    <x v="3"/>
    <x v="4"/>
    <x v="2"/>
    <s v="3 Medio Bajo"/>
    <n v="70"/>
    <s v="1 Bajo Extremo"/>
    <n v="30"/>
    <s v="4 Medio Alto"/>
    <n v="70"/>
    <n v="62"/>
    <x v="1"/>
    <s v="3 Medio Bajo"/>
    <n v="70"/>
    <s v="1 Bajo"/>
    <n v="30"/>
    <n v="62"/>
    <s v="Antiguedad: 6 a 12 Meses|Tamaño Cartera: 4 Grande ≤ 1.5MM|2 Medio Vendedor|Calidad Cartera: 3 Medio Bajo|Alcance Incentivos: 1 Bajo"/>
  </r>
  <r>
    <x v="1"/>
    <x v="3"/>
    <n v="28239"/>
    <s v="BRENDA DANIELA RODRIGUEZ REYES"/>
    <d v="2023-01-17T00:00:00"/>
    <d v="1899-12-30T00:00:00"/>
    <x v="0"/>
    <s v="NO"/>
    <n v="6"/>
    <n v="10"/>
    <n v="418787.11"/>
    <n v="396423.34000000008"/>
    <n v="500316.26999999996"/>
    <n v="395042.07"/>
    <n v="796323.99"/>
    <n v="501378.55600000004"/>
    <n v="5"/>
    <n v="796323.99"/>
    <n v="0.17428664945403094"/>
    <n v="787562.79"/>
    <n v="5394.52"/>
    <n v="1.0759375197530386E-2"/>
    <n v="2.5822500474072928E-2"/>
    <n v="0.98234327906436891"/>
    <n v="1724339.7111999998"/>
    <n v="976500.4"/>
    <n v="0.56630395603453065"/>
    <n v="61"/>
    <n v="0.31282051282051282"/>
    <n v="88"/>
    <n v="46"/>
    <n v="0.52272727272727271"/>
    <n v="36243.471038656047"/>
    <n v="8842.93"/>
    <n v="0.24398684084558109"/>
    <n v="21676.756969999995"/>
    <x v="3"/>
    <x v="2"/>
    <x v="3"/>
    <s v="3 Medio Bajo"/>
    <n v="70"/>
    <s v="1 Bajo Extremo"/>
    <n v="30"/>
    <s v="3 Medio Bajo"/>
    <n v="50"/>
    <n v="54"/>
    <x v="0"/>
    <s v="5 Alto"/>
    <n v="90"/>
    <s v="1 Bajo"/>
    <n v="30"/>
    <n v="66"/>
    <s v="Antiguedad: 6 a 12 Meses|Tamaño Cartera: 2 Mediana ≤ 1MM|1 Mal Vendedor|Calidad Cartera: 5 Alto|Alcance Incentivos: 1 Bajo"/>
  </r>
  <r>
    <x v="1"/>
    <x v="3"/>
    <n v="28894"/>
    <s v="ARIAN AGUILAR PLATA"/>
    <d v="2023-02-09T00:00:00"/>
    <d v="1899-12-30T00:00:00"/>
    <x v="0"/>
    <s v="NO"/>
    <n v="5"/>
    <n v="7"/>
    <n v="716322.08000000007"/>
    <n v="694011.52"/>
    <n v="634245.62"/>
    <s v=""/>
    <s v=""/>
    <n v="681526.40666666673"/>
    <n v="3"/>
    <n v="634245.62"/>
    <n v="-5.9032617677045263E-2"/>
    <n v="571013.06999999995"/>
    <n v="0"/>
    <n v="0"/>
    <n v="0"/>
    <n v="0.90030274075838312"/>
    <n v="1346904.6148999999"/>
    <n v="864500.48"/>
    <n v="0.64184239213122329"/>
    <n v="51"/>
    <n v="0.29651162790697677"/>
    <n v="107"/>
    <n v="67"/>
    <n v="0.62616822429906538"/>
    <n v="21900.122933911061"/>
    <n v="12467.5"/>
    <n v="0.5692890417840899"/>
    <n v="33343.601716666664"/>
    <x v="1"/>
    <x v="2"/>
    <x v="1"/>
    <s v="3 Medio Bajo"/>
    <n v="70"/>
    <s v="1 Bajo Extremo"/>
    <n v="30"/>
    <s v="3 Medio Bajo"/>
    <n v="50"/>
    <n v="54"/>
    <x v="0"/>
    <s v="4 Medio Alto"/>
    <n v="80"/>
    <s v="2 Medio"/>
    <n v="50"/>
    <n v="64"/>
    <s v="Antiguedad: 3 a 6 Meses|Tamaño Cartera: 2 Mediana ≤ 1MM|1 Mal Vendedor|Calidad Cartera: 4 Medio Alto|Alcance Incentivos: 2 Medio"/>
  </r>
  <r>
    <x v="1"/>
    <x v="4"/>
    <n v="31346"/>
    <s v="LAURA LORENA PEREZ MENDOZA"/>
    <d v="2023-05-08T00:00:00"/>
    <d v="1899-12-30T00:00:00"/>
    <x v="0"/>
    <s v="NO"/>
    <n v="2"/>
    <n v="6"/>
    <n v="695230.2699999999"/>
    <n v="744844.04999999981"/>
    <n v="1074855.1599999999"/>
    <n v="1311278.8"/>
    <n v="1262447.9299999995"/>
    <n v="1017731.2419999999"/>
    <n v="5"/>
    <n v="1262447.9299999995"/>
    <n v="0.16083688847489142"/>
    <n v="1152814.8299999996"/>
    <n v="9648.84"/>
    <n v="9.480734796976982E-3"/>
    <n v="2.275376351274476E-2"/>
    <n v="0.90623202352758125"/>
    <n v="1483852.92035"/>
    <n v="2312997.2199999997"/>
    <n v="1.5587779545255924"/>
    <n v="183"/>
    <n v="2.1785714285714284"/>
    <n v="164"/>
    <n v="84"/>
    <n v="0.51219512195121952"/>
    <n v="47494.082661447348"/>
    <n v="45274.002850000004"/>
    <n v="0.95325565445125515"/>
    <n v="59504.114984999993"/>
    <x v="0"/>
    <x v="1"/>
    <x v="3"/>
    <s v="3 Medio Bajo"/>
    <n v="70"/>
    <s v="3 Medio Bajo"/>
    <n v="70"/>
    <s v="7 Sobresaliente"/>
    <n v="110"/>
    <n v="86"/>
    <x v="2"/>
    <s v="4 Medio Alto"/>
    <n v="80"/>
    <s v="5 Sobresaliente"/>
    <n v="90"/>
    <n v="84"/>
    <s v="Antiguedad: &lt; 3 Meses|Tamaño Cartera: 3 Mediana ≥ 1MM|3 Buen Vendedor|Calidad Cartera: 4 Medio Alto|Alcance Incentivos: 5 Sobresaliente"/>
  </r>
  <r>
    <x v="1"/>
    <x v="5"/>
    <n v="33385"/>
    <s v="NADINE GUADALUPE URIBE SANTIAGO"/>
    <d v="2023-02-01T00:00:00"/>
    <d v="1899-12-30T00:00:00"/>
    <x v="0"/>
    <s v="NO"/>
    <n v="6"/>
    <n v="10"/>
    <n v="1188527.68"/>
    <n v="1958828.22"/>
    <n v="1795144.8599999996"/>
    <n v="1911661.51"/>
    <n v="1799860.9000000001"/>
    <n v="1730804.6340000001"/>
    <n v="5"/>
    <n v="1799860.9000000001"/>
    <n v="0.10932144954350531"/>
    <n v="1647078.1500000001"/>
    <n v="219672.47999999998"/>
    <n v="0.12691928117405304"/>
    <n v="0.30460627481772728"/>
    <n v="0.81557362027856162"/>
    <n v="3705501.7546000006"/>
    <n v="3609999.05"/>
    <n v="0.97422678197859602"/>
    <n v="16"/>
    <n v="8.8888888888888892E-2"/>
    <n v="208"/>
    <n v="125"/>
    <n v="0.60096153846153844"/>
    <n v="60621.444363966933"/>
    <n v="27022.5"/>
    <n v="0.4457581023269388"/>
    <n v="138860.26245500002"/>
    <x v="3"/>
    <x v="4"/>
    <x v="3"/>
    <s v="3 Medio Bajo"/>
    <n v="70"/>
    <s v="1 Bajo Extremo"/>
    <n v="30"/>
    <s v="6 Muy Alto"/>
    <n v="100"/>
    <n v="74"/>
    <x v="1"/>
    <s v="2 Bajo"/>
    <n v="50"/>
    <s v="2 Medio"/>
    <n v="50"/>
    <n v="62"/>
    <s v="Antiguedad: 6 a 12 Meses|Tamaño Cartera: 4 Grande ≤ 1.5MM|2 Medio Vendedor|Calidad Cartera: 2 Bajo|Alcance Incentivos: 2 Medio"/>
  </r>
  <r>
    <x v="1"/>
    <x v="6"/>
    <n v="26898"/>
    <s v="JONNY ROMAN GARCIA VALENTINO"/>
    <d v="2020-01-20T00:00:00"/>
    <d v="1899-12-30T00:00:00"/>
    <x v="0"/>
    <s v="NO"/>
    <n v="42"/>
    <n v="47"/>
    <n v="612085.23"/>
    <n v="858428.65999999992"/>
    <n v="1485091.73"/>
    <s v=""/>
    <n v="1481288.89"/>
    <n v="1109223.6274999999"/>
    <n v="4"/>
    <n v="1947662.8499999996"/>
    <n v="0.47084630416908069"/>
    <n v="1827719.6299999997"/>
    <n v="13102.56"/>
    <n v="1.1812370089457007E-2"/>
    <n v="3.5437110268371021E-2"/>
    <n v="0.93214599802635234"/>
    <n v="3470201.1224000007"/>
    <n v="2627499.7799999998"/>
    <n v="0.75716066225660539"/>
    <n v="18"/>
    <n v="1.3975155279503106E-2"/>
    <n v="60"/>
    <n v="23"/>
    <n v="0.38333333333333336"/>
    <n v="72606.671601245733"/>
    <n v="20791.2847425"/>
    <n v="0.28635501785132483"/>
    <n v="62253.819766874993"/>
    <x v="4"/>
    <x v="1"/>
    <x v="4"/>
    <s v="2 Bajo"/>
    <n v="50"/>
    <s v="1 Bajo Extremo"/>
    <n v="30"/>
    <s v="4 Medio Alto"/>
    <n v="70"/>
    <n v="54"/>
    <x v="0"/>
    <s v="4 Medio Alto"/>
    <n v="80"/>
    <s v="1 Bajo"/>
    <n v="30"/>
    <n v="62"/>
    <s v="Antiguedad: Mas de 3 años|Tamaño Cartera: 3 Mediana ≥ 1MM|1 Mal Vendedor|Calidad Cartera: 4 Medio Alto|Alcance Incentivos: 1 Bajo"/>
  </r>
  <r>
    <x v="1"/>
    <x v="6"/>
    <n v="25227"/>
    <s v="DENISSE FUENTES CASTRO"/>
    <d v="2022-09-19T00:00:00"/>
    <d v="1899-12-30T00:00:00"/>
    <x v="0"/>
    <s v="NO"/>
    <n v="1"/>
    <n v="14"/>
    <n v="1399575.2000000004"/>
    <s v=""/>
    <s v=""/>
    <s v=""/>
    <s v=""/>
    <n v="1399575.2000000004"/>
    <n v="1"/>
    <n v="1334367.3899999999"/>
    <s v="NA"/>
    <n v="1084596.52"/>
    <n v="212750.57"/>
    <n v="0.15201081728227248"/>
    <n v="1.8241298073872696"/>
    <n v="0.70104319647352553"/>
    <n v="3060515.3125999998"/>
    <n v="2829036.3999999994"/>
    <n v="0.9243660335084708"/>
    <n v="134"/>
    <n v="0.42539682539682538"/>
    <n v="193"/>
    <n v="120"/>
    <n v="0.62176165803108807"/>
    <n v="60183.581531201162"/>
    <n v="14467.500000000002"/>
    <n v="0.24038948217961356"/>
    <n v="297693.64400000003"/>
    <x v="3"/>
    <x v="1"/>
    <x v="0"/>
    <s v="3 Medio Bajo"/>
    <n v="70"/>
    <s v="1 Bajo Extremo"/>
    <n v="30"/>
    <s v="6 Muy Alto"/>
    <n v="100"/>
    <n v="74"/>
    <x v="1"/>
    <s v="1 Bajo Extremo"/>
    <n v="30"/>
    <s v="1 Bajo"/>
    <n v="30"/>
    <n v="52"/>
    <s v="Antiguedad: 6 a 12 Meses|Tamaño Cartera: 3 Mediana ≥ 1MM|2 Medio Vendedor|Calidad Cartera: 1 Bajo Extremo|Alcance Incentivos: 1 Bajo"/>
  </r>
  <r>
    <x v="1"/>
    <x v="6"/>
    <n v="30049"/>
    <s v="NELLYE SAAVEDRA SALVADOR"/>
    <d v="2023-03-21T00:00:00"/>
    <d v="1899-12-30T00:00:00"/>
    <x v="0"/>
    <s v="NO"/>
    <n v="4"/>
    <n v="8"/>
    <n v="703234.08"/>
    <n v="527589.53"/>
    <n v="499608.65"/>
    <n v="655471.85"/>
    <n v="845608.16999999993"/>
    <n v="646302.45600000001"/>
    <n v="5"/>
    <n v="845608.16999999993"/>
    <n v="4.717029776435222E-2"/>
    <n v="787954.6399999999"/>
    <n v="0"/>
    <n v="0"/>
    <n v="0"/>
    <n v="0.93182004142651553"/>
    <n v="2061393.2982999999"/>
    <n v="1609498.8099999996"/>
    <n v="0.78078201346988418"/>
    <n v="98"/>
    <n v="0.74242424242424243"/>
    <n v="101"/>
    <n v="75"/>
    <n v="0.74257425742574257"/>
    <n v="49670.740358420677"/>
    <n v="16300.121391999999"/>
    <n v="0.32816344742154907"/>
    <n v="30422.415498400009"/>
    <x v="1"/>
    <x v="2"/>
    <x v="2"/>
    <s v="4 Medio Alto"/>
    <n v="80"/>
    <s v="1 Bajo Extremo"/>
    <n v="30"/>
    <s v="4 Medio Alto"/>
    <n v="70"/>
    <n v="66"/>
    <x v="1"/>
    <s v="4 Medio Alto"/>
    <n v="80"/>
    <s v="1 Bajo"/>
    <n v="30"/>
    <n v="68"/>
    <s v="Antiguedad: 3 a 6 Meses|Tamaño Cartera: 2 Mediana ≤ 1MM|2 Medio Vendedor|Calidad Cartera: 4 Medio Alto|Alcance Incentivos: 1 Bajo"/>
  </r>
  <r>
    <x v="1"/>
    <x v="7"/>
    <n v="21057"/>
    <s v="MARIA IVONNE CRUZ TRUJANO"/>
    <d v="2022-04-25T00:00:00"/>
    <d v="1899-12-30T00:00:00"/>
    <x v="0"/>
    <s v="NO"/>
    <n v="15"/>
    <n v="16"/>
    <n v="1424667.6400000001"/>
    <n v="1300046.5"/>
    <s v=""/>
    <s v=""/>
    <s v=""/>
    <n v="1362357.07"/>
    <n v="2"/>
    <n v="1300046.5"/>
    <n v="-8.7473833546187763E-2"/>
    <n v="1142769.22"/>
    <n v="12586.720000000001"/>
    <n v="9.2389288220892044E-3"/>
    <n v="5.543357293253523E-2"/>
    <n v="0.87059294446319124"/>
    <n v="1254090.16625"/>
    <n v="802500.38000000035"/>
    <n v="0.63990644500438876"/>
    <n v="6"/>
    <n v="1.2987012987012988E-2"/>
    <n v="66"/>
    <n v="42"/>
    <n v="0.63636363636363635"/>
    <n v="14484.658940992846"/>
    <n v="1787.5"/>
    <n v="0.12340642657047446"/>
    <n v="75522.641525000014"/>
    <x v="2"/>
    <x v="1"/>
    <x v="1"/>
    <s v="3 Medio Bajo"/>
    <n v="70"/>
    <s v="1 Bajo Extremo"/>
    <n v="30"/>
    <s v="3 Medio Bajo"/>
    <n v="50"/>
    <n v="54"/>
    <x v="0"/>
    <s v="3 Medio Bajo"/>
    <n v="70"/>
    <s v="1 Bajo"/>
    <n v="30"/>
    <n v="58"/>
    <s v="Antiguedad: 1 a 1.5 años|Tamaño Cartera: 3 Mediana ≥ 1MM|1 Mal Vendedor|Calidad Cartera: 3 Medio Bajo|Alcance Incentivos: 1 Bajo"/>
  </r>
  <r>
    <x v="1"/>
    <x v="7"/>
    <n v="33373"/>
    <s v="ROBERTO MERAZ GUTIERREZ"/>
    <d v="2023-04-17T00:00:00"/>
    <d v="1899-12-30T00:00:00"/>
    <x v="0"/>
    <s v="NO"/>
    <n v="3"/>
    <n v="7"/>
    <n v="835765.31999999983"/>
    <n v="1128241.7000000002"/>
    <n v="1400508.2900000003"/>
    <n v="1376339.9999999995"/>
    <n v="1433027.89"/>
    <n v="1234776.6400000001"/>
    <n v="5"/>
    <n v="1433027.89"/>
    <n v="0.14430705147456679"/>
    <n v="1282297.7500000002"/>
    <n v="0"/>
    <n v="0"/>
    <n v="0"/>
    <n v="0.89481702271684349"/>
    <n v="2208905.3614500002"/>
    <n v="2481001.9500000002"/>
    <n v="1.1231816415943627"/>
    <n v="20"/>
    <n v="0.19047619047619047"/>
    <n v="92"/>
    <n v="47"/>
    <n v="0.51086956521739135"/>
    <n v="49264.247980086271"/>
    <n v="24702.5"/>
    <n v="0.50142854124121228"/>
    <n v="65940.156800000026"/>
    <x v="1"/>
    <x v="1"/>
    <x v="3"/>
    <s v="3 Medio Bajo"/>
    <n v="70"/>
    <s v="1 Bajo Extremo"/>
    <n v="30"/>
    <s v="7 Sobresaliente"/>
    <n v="110"/>
    <n v="78"/>
    <x v="1"/>
    <s v="3 Medio Bajo"/>
    <n v="70"/>
    <s v="2 Medio"/>
    <n v="50"/>
    <n v="72"/>
    <s v="Antiguedad: 3 a 6 Meses|Tamaño Cartera: 3 Mediana ≥ 1MM|2 Medio Vendedor|Calidad Cartera: 3 Medio Bajo|Alcance Incentivos: 2 Medio"/>
  </r>
  <r>
    <x v="1"/>
    <x v="7"/>
    <n v="32596"/>
    <s v="ELIZABETH PEREZ PERALTA"/>
    <d v="2023-06-16T00:00:00"/>
    <d v="1899-12-30T00:00:00"/>
    <x v="0"/>
    <s v="NO"/>
    <n v="1"/>
    <n v="5"/>
    <n v="102968.23999999999"/>
    <n v="417720.51"/>
    <n v="1237666.1099999996"/>
    <n v="1029276.8400000002"/>
    <n v="1153428.69"/>
    <n v="788212.07799999998"/>
    <n v="5"/>
    <n v="1153428.69"/>
    <n v="0.82945556293720424"/>
    <n v="1029927.5"/>
    <n v="0"/>
    <n v="0"/>
    <n v="0"/>
    <n v="0.89292689607018538"/>
    <n v="1777399.5485499999"/>
    <n v="1437373.4900000002"/>
    <n v="0.80869464109665579"/>
    <n v="74"/>
    <n v="1.6444444444444444"/>
    <n v="25"/>
    <n v="8"/>
    <n v="0.32"/>
    <n v="35592.782538312989"/>
    <n v="12775"/>
    <n v="0.35892108143690821"/>
    <n v="37877.194485"/>
    <x v="0"/>
    <x v="2"/>
    <x v="4"/>
    <s v="2 Bajo"/>
    <n v="50"/>
    <s v="2 Bajo"/>
    <n v="50"/>
    <s v="4 Medio Alto"/>
    <n v="70"/>
    <n v="58"/>
    <x v="0"/>
    <s v="3 Medio Bajo"/>
    <n v="70"/>
    <s v="1 Bajo"/>
    <n v="30"/>
    <n v="60"/>
    <s v="Antiguedad: &lt; 3 Meses|Tamaño Cartera: 2 Mediana ≤ 1MM|1 Mal Vendedor|Calidad Cartera: 3 Medio Bajo|Alcance Incentivos: 1 Bajo"/>
  </r>
  <r>
    <x v="1"/>
    <x v="8"/>
    <n v="30869"/>
    <s v="LAURA PATRICIA CARRERA QUINTERO"/>
    <d v="2023-04-18T00:00:00"/>
    <d v="1899-12-30T00:00:00"/>
    <x v="0"/>
    <s v="NO"/>
    <n v="3"/>
    <n v="7"/>
    <n v="1291001.27"/>
    <n v="1283919.5700000005"/>
    <n v="1390725.68"/>
    <n v="1147073.1199999999"/>
    <n v="1045160.5999999996"/>
    <n v="1231576.048"/>
    <n v="5"/>
    <n v="1045160.5999999996"/>
    <n v="-5.1441565703506775E-2"/>
    <n v="1015272.0599999996"/>
    <n v="0"/>
    <n v="0"/>
    <n v="0"/>
    <n v="0.97140292123526273"/>
    <n v="3099761.9938999992"/>
    <n v="2141003.4200000004"/>
    <n v="0.69069929375650985"/>
    <n v="90"/>
    <n v="0.86538461538461542"/>
    <n v="370"/>
    <n v="220"/>
    <n v="0.59459459459459463"/>
    <n v="57493.492854700758"/>
    <n v="25912.75"/>
    <n v="0.45070752729334884"/>
    <n v="65998.172759999987"/>
    <x v="1"/>
    <x v="1"/>
    <x v="1"/>
    <s v="3 Medio Bajo"/>
    <n v="70"/>
    <s v="1 Bajo Extremo"/>
    <n v="30"/>
    <s v="3 Medio Bajo"/>
    <n v="50"/>
    <n v="54"/>
    <x v="0"/>
    <s v="5 Alto"/>
    <n v="90"/>
    <s v="2 Medio"/>
    <n v="50"/>
    <n v="68"/>
    <s v="Antiguedad: 3 a 6 Meses|Tamaño Cartera: 3 Mediana ≥ 1MM|1 Mal Vendedor|Calidad Cartera: 5 Alto|Alcance Incentivos: 2 Medio"/>
  </r>
  <r>
    <x v="1"/>
    <x v="9"/>
    <n v="20173"/>
    <s v="EULALIO MARQUEZ ROJAS"/>
    <d v="2022-03-07T00:00:00"/>
    <d v="1899-12-30T00:00:00"/>
    <x v="0"/>
    <s v="NO"/>
    <n v="17"/>
    <n v="19"/>
    <n v="2176958.62"/>
    <n v="2581285.0400000005"/>
    <n v="2300683.11"/>
    <s v=""/>
    <s v=""/>
    <n v="2352975.59"/>
    <n v="3"/>
    <n v="2300683.11"/>
    <n v="2.8024145360091568E-2"/>
    <n v="2295178.48"/>
    <n v="0"/>
    <n v="0"/>
    <n v="0"/>
    <n v="0.99760739322331105"/>
    <n v="2272949.8559499998"/>
    <n v="3214499.82"/>
    <n v="1.4142414147788012"/>
    <n v="32"/>
    <n v="6.262230919765166E-2"/>
    <n v="140"/>
    <n v="117"/>
    <n v="0.83571428571428574"/>
    <n v="30878.744291858762"/>
    <n v="30590"/>
    <n v="0.99064909216742691"/>
    <n v="135492.76309166668"/>
    <x v="2"/>
    <x v="3"/>
    <x v="2"/>
    <s v="5 Alto"/>
    <n v="90"/>
    <s v="1 Bajo Extremo"/>
    <n v="30"/>
    <s v="7 Sobresaliente"/>
    <n v="110"/>
    <n v="86"/>
    <x v="2"/>
    <s v="6 Muy Alto"/>
    <n v="100"/>
    <s v="5 Sobresaliente"/>
    <n v="90"/>
    <n v="92"/>
    <s v="Antiguedad: 1 a 1.5 años|Tamaño Cartera: 5 Grande ≤ 2MM|3 Buen Vendedor|Calidad Cartera: 6 Muy Alto|Alcance Incentivos: 5 Sobresaliente"/>
  </r>
  <r>
    <x v="1"/>
    <x v="9"/>
    <n v="20612"/>
    <s v="ARMANDO ALEJANDRO TOVAR BRACAMONTES"/>
    <d v="2022-03-28T00:00:00"/>
    <d v="1899-12-30T00:00:00"/>
    <x v="0"/>
    <s v="NO"/>
    <n v="16"/>
    <n v="20"/>
    <n v="1977158.1099999999"/>
    <n v="1585912.3200000003"/>
    <n v="2025186.81"/>
    <n v="2198186.8200000003"/>
    <n v="1876712.0399999998"/>
    <n v="1932631.22"/>
    <n v="5"/>
    <n v="1876712.0399999998"/>
    <n v="-1.2950211181022353E-2"/>
    <n v="1808046.7799999998"/>
    <n v="0"/>
    <n v="0"/>
    <n v="0"/>
    <n v="0.96341193612207021"/>
    <n v="2660300.2541500004"/>
    <n v="4078499.3799999994"/>
    <n v="1.5330973914082233"/>
    <n v="60"/>
    <n v="0.12244897959183673"/>
    <n v="189"/>
    <n v="155"/>
    <n v="0.82010582010582012"/>
    <n v="38264.75"/>
    <n v="25797.174999999999"/>
    <n v="0.67417597135745033"/>
    <n v="106285.73015"/>
    <x v="2"/>
    <x v="4"/>
    <x v="1"/>
    <s v="5 Alto"/>
    <n v="90"/>
    <s v="1 Bajo Extremo"/>
    <n v="30"/>
    <s v="7 Sobresaliente"/>
    <n v="110"/>
    <n v="86"/>
    <x v="2"/>
    <s v="5 Alto"/>
    <n v="90"/>
    <s v="3 Medio Alto"/>
    <n v="70"/>
    <n v="86"/>
    <s v="Antiguedad: 1 a 1.5 años|Tamaño Cartera: 4 Grande ≤ 1.5MM|3 Buen Vendedor|Calidad Cartera: 5 Alto|Alcance Incentivos: 3 Medio Alto"/>
  </r>
  <r>
    <x v="2"/>
    <x v="10"/>
    <n v="27539"/>
    <s v="MARIA ISABEL MUÑOZ SANCHEZ"/>
    <d v="2022-12-07T00:00:00"/>
    <d v="1899-12-30T00:00:00"/>
    <x v="0"/>
    <s v="NO"/>
    <n v="7"/>
    <n v="11"/>
    <n v="1242782.1599999999"/>
    <n v="1209642.7500000002"/>
    <n v="1051330.49"/>
    <n v="968250.62"/>
    <n v="1128795.2699999998"/>
    <n v="1120160.2579999999"/>
    <n v="5"/>
    <n v="1128795.2699999998"/>
    <n v="-2.376349685110879E-2"/>
    <n v="1109040.42"/>
    <n v="58462.400000000001"/>
    <n v="5.2191103534044506E-2"/>
    <n v="0.12525864848170681"/>
    <n v="0.93411939802418809"/>
    <n v="3470864.7848000005"/>
    <n v="2025000.5599999998"/>
    <n v="0.58342824787301106"/>
    <n v="96"/>
    <n v="0.40677966101694918"/>
    <n v="201"/>
    <n v="109"/>
    <n v="0.54228855721393032"/>
    <n v="46522.824546801567"/>
    <n v="9874.7846250000002"/>
    <n v="0.2122567733407083"/>
    <n v="68076.651759999993"/>
    <x v="3"/>
    <x v="1"/>
    <x v="1"/>
    <s v="3 Medio Bajo"/>
    <n v="70"/>
    <s v="1 Bajo Extremo"/>
    <n v="30"/>
    <s v="3 Medio Bajo"/>
    <n v="50"/>
    <n v="54"/>
    <x v="0"/>
    <s v="4 Medio Alto"/>
    <n v="80"/>
    <s v="1 Bajo"/>
    <n v="30"/>
    <n v="62"/>
    <s v="Antiguedad: 6 a 12 Meses|Tamaño Cartera: 3 Mediana ≥ 1MM|1 Mal Vendedor|Calidad Cartera: 4 Medio Alto|Alcance Incentivos: 1 Bajo"/>
  </r>
  <r>
    <x v="2"/>
    <x v="10"/>
    <n v="32635"/>
    <s v="YESICA MERIC OSNAYA SORIANO"/>
    <d v="2023-06-21T00:00:00"/>
    <d v="1899-12-30T00:00:00"/>
    <x v="0"/>
    <s v="NO"/>
    <n v="1"/>
    <n v="2"/>
    <n v="1520242.17"/>
    <n v="1386290.6900000002"/>
    <s v=""/>
    <s v=""/>
    <s v=""/>
    <n v="1453266.4300000002"/>
    <n v="2"/>
    <n v="1386290.6900000002"/>
    <n v="-8.8111935481963166E-2"/>
    <n v="1354806.7800000003"/>
    <n v="0"/>
    <n v="0"/>
    <n v="0"/>
    <n v="0.97728909944565823"/>
    <n v="551775.28799999971"/>
    <n v="1196000.1800000002"/>
    <n v="2.1675493738313283"/>
    <n v="38"/>
    <n v="0.95"/>
    <n v="64"/>
    <n v="35"/>
    <n v="0.546875"/>
    <n v="12738.575992188698"/>
    <n v="10337.5"/>
    <n v="0.81151142846256608"/>
    <n v="78731.569725000008"/>
    <x v="0"/>
    <x v="1"/>
    <x v="1"/>
    <s v="3 Medio Bajo"/>
    <n v="70"/>
    <s v="1 Bajo Extremo"/>
    <n v="30"/>
    <s v="7 Sobresaliente"/>
    <n v="110"/>
    <n v="78"/>
    <x v="1"/>
    <s v="5 Alto"/>
    <n v="90"/>
    <s v="4 Alto"/>
    <n v="80"/>
    <n v="83"/>
    <s v="Antiguedad: &lt; 3 Meses|Tamaño Cartera: 3 Mediana ≥ 1MM|2 Medio Vendedor|Calidad Cartera: 5 Alto|Alcance Incentivos: 4 Alto"/>
  </r>
  <r>
    <x v="2"/>
    <x v="11"/>
    <n v="31219"/>
    <s v="AGUSTIN DAVID ACEVEDO DELGADO"/>
    <d v="2023-05-02T00:00:00"/>
    <d v="2023-08-16T00:00:00"/>
    <x v="1"/>
    <s v="NO"/>
    <n v="3"/>
    <n v="3"/>
    <n v="947617.83000000007"/>
    <s v=""/>
    <s v=""/>
    <s v=""/>
    <s v=""/>
    <n v="947617.83000000007"/>
    <n v="1"/>
    <n v="947617.83000000007"/>
    <s v="NA"/>
    <n v="919070.94000000006"/>
    <n v="0"/>
    <n v="0"/>
    <n v="0"/>
    <n v="0.96987510249780762"/>
    <n v="463375.3000000001"/>
    <n v="230001.83000000002"/>
    <n v="0.49636186909401508"/>
    <n v="0"/>
    <n v="0"/>
    <n v="63"/>
    <n v="31"/>
    <n v="0.49206349206349204"/>
    <n v="7089.6021546831271"/>
    <n v="2000"/>
    <n v="0.28210327693478182"/>
    <n v="46488.025225000005"/>
    <x v="1"/>
    <x v="2"/>
    <x v="0"/>
    <s v="2 Bajo"/>
    <n v="50"/>
    <s v="1 Bajo Extremo"/>
    <n v="30"/>
    <s v="2 Bajo"/>
    <n v="30"/>
    <n v="38"/>
    <x v="0"/>
    <s v="5 Alto"/>
    <n v="90"/>
    <s v="1 Bajo"/>
    <n v="30"/>
    <n v="58"/>
    <s v="Antiguedad: 3 a 6 Meses|Tamaño Cartera: 2 Mediana ≤ 1MM|1 Mal Vendedor|Calidad Cartera: 5 Alto|Alcance Incentivos: 1 Bajo"/>
  </r>
  <r>
    <x v="2"/>
    <x v="11"/>
    <n v="31645"/>
    <s v="GILBERTO REYES GONZALEZ"/>
    <d v="2023-05-17T00:00:00"/>
    <d v="1899-12-30T00:00:00"/>
    <x v="0"/>
    <s v="NO"/>
    <n v="2"/>
    <n v="2"/>
    <n v="1204512.31"/>
    <s v=""/>
    <s v=""/>
    <s v=""/>
    <s v=""/>
    <n v="1204512.31"/>
    <n v="1"/>
    <n v="1204512.31"/>
    <s v="NA"/>
    <n v="948591.35000000021"/>
    <n v="0"/>
    <n v="0"/>
    <n v="0"/>
    <n v="0.78753146989423473"/>
    <n v="389815.25244999997"/>
    <n v="316500.05"/>
    <n v="0.81192320723929645"/>
    <n v="36"/>
    <n v="0.48"/>
    <n v="30"/>
    <n v="15"/>
    <n v="0.5"/>
    <n v="5193.75"/>
    <n v="2000"/>
    <n v="0.38507821901323708"/>
    <n v="61259.45782500002"/>
    <x v="0"/>
    <x v="1"/>
    <x v="0"/>
    <s v="2 Bajo"/>
    <n v="50"/>
    <s v="1 Bajo Extremo"/>
    <n v="30"/>
    <s v="5 Alto"/>
    <n v="80"/>
    <n v="58"/>
    <x v="0"/>
    <s v="2 Bajo"/>
    <n v="50"/>
    <s v="1 Bajo"/>
    <n v="30"/>
    <n v="52"/>
    <s v="Antiguedad: &lt; 3 Meses|Tamaño Cartera: 3 Mediana ≥ 1MM|1 Mal Vendedor|Calidad Cartera: 2 Bajo|Alcance Incentivos: 1 Bajo"/>
  </r>
  <r>
    <x v="2"/>
    <x v="11"/>
    <n v="32305"/>
    <s v="LETICIA MESINAS ACEVEDO"/>
    <d v="2023-06-06T00:00:00"/>
    <d v="2023-10-21T00:00:00"/>
    <x v="1"/>
    <s v="NO"/>
    <n v="1"/>
    <n v="3"/>
    <n v="1718635.0599999996"/>
    <n v="1601493.2000000002"/>
    <n v="1077362.5899999999"/>
    <s v=""/>
    <s v=""/>
    <n v="1465830.2833333332"/>
    <n v="3"/>
    <n v="1077362.5899999999"/>
    <n v="-0.20824810403618932"/>
    <n v="1048529.1199999999"/>
    <n v="0"/>
    <n v="0"/>
    <n v="0"/>
    <n v="0.9732369860735558"/>
    <n v="1264251.7925000002"/>
    <n v="1542500.7300000004"/>
    <n v="1.2200898105509312"/>
    <n v="43"/>
    <n v="0.78181818181818186"/>
    <n v="232"/>
    <n v="129"/>
    <n v="0.55603448275862066"/>
    <n v="28687.771231180697"/>
    <n v="21250"/>
    <n v="0.74073373733904446"/>
    <n v="81368.574624999994"/>
    <x v="0"/>
    <x v="1"/>
    <x v="1"/>
    <s v="3 Medio Bajo"/>
    <n v="70"/>
    <s v="1 Bajo Extremo"/>
    <n v="30"/>
    <s v="7 Sobresaliente"/>
    <n v="110"/>
    <n v="78"/>
    <x v="1"/>
    <s v="5 Alto"/>
    <n v="90"/>
    <s v="3 Medio Alto"/>
    <n v="70"/>
    <n v="82"/>
    <s v="Antiguedad: &lt; 3 Meses|Tamaño Cartera: 3 Mediana ≥ 1MM|2 Medio Vendedor|Calidad Cartera: 5 Alto|Alcance Incentivos: 3 Medio Alto"/>
  </r>
  <r>
    <x v="2"/>
    <x v="12"/>
    <n v="14019"/>
    <s v="ISABEL MONSERRAT RAZO MENDEZ"/>
    <d v="2021-07-08T00:00:00"/>
    <d v="1899-12-30T00:00:00"/>
    <x v="0"/>
    <s v="SI"/>
    <n v="25"/>
    <n v="29"/>
    <n v="1288885.8300000003"/>
    <n v="1250844.9700000002"/>
    <n v="888577.54"/>
    <s v=""/>
    <n v="0"/>
    <n v="857077.0850000002"/>
    <n v="4"/>
    <n v="0"/>
    <n v="-1"/>
    <n v="0"/>
    <n v="59918.28"/>
    <n v="6.9910024487470676E-2"/>
    <n v="0.20973007346241201"/>
    <n v="0"/>
    <n v="2123646.5142999999"/>
    <n v="802499.90999999992"/>
    <n v="0.37788770616776651"/>
    <n v="55"/>
    <n v="7.3041168658698544E-2"/>
    <n v="178"/>
    <n v="61"/>
    <n v="0.34269662921348315"/>
    <n v="31836.821430813816"/>
    <n v="5260"/>
    <n v="0.16521749859453677"/>
    <n v="55576.502387500012"/>
    <x v="5"/>
    <x v="2"/>
    <x v="5"/>
    <s v="2 Bajo"/>
    <n v="50"/>
    <s v="1 Bajo Extremo"/>
    <n v="30"/>
    <s v="2 Bajo"/>
    <n v="30"/>
    <n v="38"/>
    <x v="0"/>
    <s v="1 Bajo Extremo"/>
    <n v="30"/>
    <s v="1 Bajo"/>
    <n v="30"/>
    <n v="34"/>
    <s v="Antiguedad: 2 a 2.5 años|Tamaño Cartera: 2 Mediana ≤ 1MM|1 Mal Vendedor|Calidad Cartera: 1 Bajo Extremo|Alcance Incentivos: 1 Bajo"/>
  </r>
  <r>
    <x v="2"/>
    <x v="12"/>
    <n v="26859"/>
    <s v="MONSERRAT DE LA CRUZ MARTINEZ ALVARADO"/>
    <d v="2022-11-16T00:00:00"/>
    <d v="1899-12-30T00:00:00"/>
    <x v="0"/>
    <s v="NO"/>
    <n v="8"/>
    <n v="12"/>
    <n v="1001774.7200000001"/>
    <n v="1009050.7000000002"/>
    <n v="719485.41999999993"/>
    <n v="576343.26"/>
    <n v="871219.1100000001"/>
    <n v="835574.64200000023"/>
    <n v="5"/>
    <n v="871219.1100000001"/>
    <n v="-3.4306448766242004E-2"/>
    <n v="699396.86"/>
    <n v="102742.54"/>
    <n v="0.12296033751584334"/>
    <n v="0.29510481003802402"/>
    <n v="0.71809486543951695"/>
    <n v="2511581.0609500003"/>
    <n v="1354494.9099999997"/>
    <n v="0.53929969892656571"/>
    <n v="302"/>
    <n v="1.1750972762645915"/>
    <n v="217"/>
    <n v="66"/>
    <n v="0.30414746543778803"/>
    <n v="55890.658693185003"/>
    <n v="6605.0000000000009"/>
    <n v="0.11817717225804279"/>
    <n v="59915.049915000018"/>
    <x v="3"/>
    <x v="2"/>
    <x v="1"/>
    <s v="1 Bajo Extremo"/>
    <n v="30"/>
    <s v="2 Bajo"/>
    <n v="50"/>
    <s v="3 Medio Bajo"/>
    <n v="50"/>
    <n v="42"/>
    <x v="0"/>
    <s v="2 Bajo"/>
    <n v="50"/>
    <s v="1 Bajo"/>
    <n v="30"/>
    <n v="44"/>
    <s v="Antiguedad: 6 a 12 Meses|Tamaño Cartera: 2 Mediana ≤ 1MM|1 Mal Vendedor|Calidad Cartera: 2 Bajo|Alcance Incentivos: 1 Bajo"/>
  </r>
  <r>
    <x v="2"/>
    <x v="13"/>
    <n v="17299"/>
    <s v="JULIAN MARTINEZ CORTES"/>
    <d v="2021-11-10T00:00:00"/>
    <d v="1899-12-30T00:00:00"/>
    <x v="0"/>
    <s v="NO"/>
    <n v="20"/>
    <n v="25"/>
    <n v="519926.24999999994"/>
    <n v="825468.8"/>
    <n v="733878.24000000011"/>
    <s v=""/>
    <n v="604773.24"/>
    <n v="671011.63250000007"/>
    <n v="4"/>
    <n v="596836.19000000006"/>
    <n v="4.7058953648106527E-2"/>
    <n v="525160.30000000005"/>
    <n v="103172.93000000001"/>
    <n v="0.15375728974415356"/>
    <n v="0.46127186923246066"/>
    <n v="0.7502192257152307"/>
    <n v="2516449.5962999994"/>
    <n v="1572149.09"/>
    <n v="0.6247488891935572"/>
    <n v="78"/>
    <n v="0.12420382165605096"/>
    <n v="120"/>
    <n v="62"/>
    <n v="0.51666666666666672"/>
    <n v="51334.522509021022"/>
    <n v="1040"/>
    <n v="2.0259270938328893E-2"/>
    <n v="54636.401368749997"/>
    <x v="6"/>
    <x v="2"/>
    <x v="2"/>
    <s v="3 Medio Bajo"/>
    <n v="70"/>
    <s v="1 Bajo Extremo"/>
    <n v="30"/>
    <s v="3 Medio Bajo"/>
    <n v="50"/>
    <n v="54"/>
    <x v="0"/>
    <s v="2 Bajo"/>
    <n v="50"/>
    <s v="1 Bajo"/>
    <n v="30"/>
    <n v="50"/>
    <s v="Antiguedad: 1.5 a 2 años|Tamaño Cartera: 2 Mediana ≤ 1MM|1 Mal Vendedor|Calidad Cartera: 2 Bajo|Alcance Incentivos: 1 Bajo"/>
  </r>
  <r>
    <x v="2"/>
    <x v="13"/>
    <n v="29508"/>
    <s v="JESSICA MARIN DURON"/>
    <d v="2023-03-02T00:00:00"/>
    <d v="1899-12-30T00:00:00"/>
    <x v="0"/>
    <s v="NO"/>
    <n v="5"/>
    <n v="9"/>
    <n v="649191.03000000014"/>
    <n v="809230.59999999974"/>
    <n v="892166.98"/>
    <n v="878059.23"/>
    <n v="717913.44"/>
    <n v="789312.25599999994"/>
    <n v="5"/>
    <n v="717913.44"/>
    <n v="2.5474565868752963E-2"/>
    <n v="595792.72"/>
    <n v="0"/>
    <n v="0"/>
    <n v="0"/>
    <n v="0.82989492437974144"/>
    <n v="2139925.2577499999"/>
    <n v="1307999.99"/>
    <n v="0.61123629681126423"/>
    <n v="28"/>
    <n v="0.18543046357615894"/>
    <n v="76"/>
    <n v="41"/>
    <n v="0.53947368421052633"/>
    <n v="38053.511801175773"/>
    <n v="7222.5"/>
    <n v="0.18979851420117394"/>
    <n v="36829.954720000002"/>
    <x v="1"/>
    <x v="2"/>
    <x v="2"/>
    <s v="3 Medio Bajo"/>
    <n v="70"/>
    <s v="1 Bajo Extremo"/>
    <n v="30"/>
    <s v="3 Medio Bajo"/>
    <n v="50"/>
    <n v="54"/>
    <x v="0"/>
    <s v="2 Bajo"/>
    <n v="50"/>
    <s v="1 Bajo"/>
    <n v="30"/>
    <n v="50"/>
    <s v="Antiguedad: 3 a 6 Meses|Tamaño Cartera: 2 Mediana ≤ 1MM|1 Mal Vendedor|Calidad Cartera: 2 Bajo|Alcance Incentivos: 1 Bajo"/>
  </r>
  <r>
    <x v="2"/>
    <x v="14"/>
    <n v="31036"/>
    <s v="JENIFER QUETZALLI REMOLINO"/>
    <d v="2023-04-24T00:00:00"/>
    <d v="1899-12-30T00:00:00"/>
    <x v="0"/>
    <s v="NO"/>
    <n v="3"/>
    <n v="6"/>
    <n v="654948.19000000006"/>
    <n v="530981.46"/>
    <n v="560430.12"/>
    <n v="717936.73"/>
    <s v=""/>
    <n v="616074.125"/>
    <n v="4"/>
    <n v="717936.73"/>
    <n v="3.1081691776654319E-2"/>
    <n v="709554.81"/>
    <n v="0"/>
    <n v="0"/>
    <n v="0"/>
    <n v="0.98832498791362866"/>
    <n v="1700534.9405500004"/>
    <n v="1242999.2700000003"/>
    <n v="0.73094603372158862"/>
    <n v="76"/>
    <n v="0.77551020408163263"/>
    <n v="95"/>
    <n v="46"/>
    <n v="0.48421052631578948"/>
    <n v="30518.726286768455"/>
    <n v="20690"/>
    <n v="0.67794441372116676"/>
    <n v="30596.762187500004"/>
    <x v="1"/>
    <x v="2"/>
    <x v="2"/>
    <s v="2 Bajo"/>
    <n v="50"/>
    <s v="1 Bajo Extremo"/>
    <n v="30"/>
    <s v="4 Medio Alto"/>
    <n v="70"/>
    <n v="54"/>
    <x v="0"/>
    <s v="5 Alto"/>
    <n v="90"/>
    <s v="3 Medio Alto"/>
    <n v="70"/>
    <n v="70"/>
    <s v="Antiguedad: 3 a 6 Meses|Tamaño Cartera: 2 Mediana ≤ 1MM|1 Mal Vendedor|Calidad Cartera: 5 Alto|Alcance Incentivos: 3 Medio Alto"/>
  </r>
  <r>
    <x v="2"/>
    <x v="14"/>
    <n v="31037"/>
    <s v="BRAULIO GUZMAN JIMENEZ"/>
    <d v="2023-04-24T00:00:00"/>
    <d v="1899-12-30T00:00:00"/>
    <x v="0"/>
    <s v="NO"/>
    <n v="3"/>
    <n v="7"/>
    <n v="558836.07999999996"/>
    <n v="485813.00999999995"/>
    <n v="436167.04000000004"/>
    <n v="474371.97999999992"/>
    <n v="546731.31000000006"/>
    <n v="500383.88399999996"/>
    <n v="5"/>
    <n v="546731.31000000006"/>
    <n v="-5.4597205211307509E-3"/>
    <n v="493925.99"/>
    <n v="0"/>
    <n v="0"/>
    <n v="0"/>
    <n v="0.90341632345877532"/>
    <n v="1986634.5079000001"/>
    <n v="1056999.6400000001"/>
    <n v="0.53205541119756172"/>
    <n v="47"/>
    <n v="0.47959183673469385"/>
    <n v="86"/>
    <n v="43"/>
    <n v="0.5"/>
    <n v="41301.617250999872"/>
    <n v="2775.0000000000005"/>
    <n v="6.718865227808532E-2"/>
    <n v="19327.073329999996"/>
    <x v="1"/>
    <x v="2"/>
    <x v="1"/>
    <s v="2 Bajo"/>
    <n v="50"/>
    <s v="1 Bajo Extremo"/>
    <n v="30"/>
    <s v="3 Medio Bajo"/>
    <n v="50"/>
    <n v="46"/>
    <x v="0"/>
    <s v="4 Medio Alto"/>
    <n v="80"/>
    <s v="1 Bajo"/>
    <n v="30"/>
    <n v="58"/>
    <s v="Antiguedad: 3 a 6 Meses|Tamaño Cartera: 2 Mediana ≤ 1MM|1 Mal Vendedor|Calidad Cartera: 4 Medio Alto|Alcance Incentivos: 1 Bajo"/>
  </r>
  <r>
    <x v="2"/>
    <x v="15"/>
    <n v="25225"/>
    <s v="MARCELO TZITZIHUA TZITZIHUA"/>
    <d v="2022-09-19T00:00:00"/>
    <d v="1899-12-30T00:00:00"/>
    <x v="0"/>
    <s v="NO"/>
    <n v="10"/>
    <n v="14"/>
    <n v="1478613.0799999996"/>
    <n v="1404558.1600000001"/>
    <n v="1152167.2899999998"/>
    <n v="1076910.8900000001"/>
    <n v="977349.49000000011"/>
    <n v="1217919.7820000001"/>
    <n v="5"/>
    <n v="977349.49000000011"/>
    <n v="-9.8327474336457499E-2"/>
    <n v="638575.75000000012"/>
    <n v="260120.37"/>
    <n v="0.21357758847864741"/>
    <n v="0.51258621234875379"/>
    <n v="0.51603337636037461"/>
    <n v="4019084.6620499999"/>
    <n v="1507500.6499999997"/>
    <n v="0.37508556717764546"/>
    <n v="63"/>
    <n v="0.2"/>
    <n v="354"/>
    <n v="111"/>
    <n v="0.3135593220338983"/>
    <n v="80226.425442680833"/>
    <n v="1722.5"/>
    <n v="2.1470481708432469E-2"/>
    <n v="112398.96146500001"/>
    <x v="3"/>
    <x v="1"/>
    <x v="1"/>
    <s v="2 Bajo"/>
    <n v="50"/>
    <s v="1 Bajo Extremo"/>
    <n v="30"/>
    <s v="2 Bajo"/>
    <n v="30"/>
    <n v="38"/>
    <x v="0"/>
    <s v="1 Bajo Extremo"/>
    <n v="30"/>
    <s v="1 Bajo"/>
    <n v="30"/>
    <n v="34"/>
    <s v="Antiguedad: 6 a 12 Meses|Tamaño Cartera: 3 Mediana ≥ 1MM|1 Mal Vendedor|Calidad Cartera: 1 Bajo Extremo|Alcance Incentivos: 1 Bajo"/>
  </r>
  <r>
    <x v="2"/>
    <x v="15"/>
    <n v="27027"/>
    <s v="FERNANDO MANUEL VELASCO RIVERA"/>
    <d v="2022-11-22T00:00:00"/>
    <d v="1899-12-30T00:00:00"/>
    <x v="0"/>
    <s v="NO"/>
    <n v="8"/>
    <n v="12"/>
    <n v="1571890.0499999996"/>
    <n v="1545810.5099999998"/>
    <n v="1240101.8700000001"/>
    <n v="1132439.3199999998"/>
    <n v="1157538.5099999998"/>
    <n v="1329556.0519999999"/>
    <n v="5"/>
    <n v="1157538.5099999998"/>
    <n v="-7.3643142313285725E-2"/>
    <n v="878670.43"/>
    <n v="275965.71000000002"/>
    <n v="0.20756229839642748"/>
    <n v="0.498149516151426"/>
    <n v="0.61295280316649503"/>
    <n v="3695368.1849000007"/>
    <n v="1574003.4799999997"/>
    <n v="0.42593955493574004"/>
    <n v="23"/>
    <n v="9.1633466135458169E-2"/>
    <n v="399"/>
    <n v="171"/>
    <n v="0.42857142857142855"/>
    <n v="72707.741524078243"/>
    <n v="2437.5"/>
    <n v="3.3524628174467309E-2"/>
    <n v="122130.11499"/>
    <x v="3"/>
    <x v="1"/>
    <x v="1"/>
    <s v="2 Bajo"/>
    <n v="50"/>
    <s v="1 Bajo Extremo"/>
    <n v="30"/>
    <s v="2 Bajo"/>
    <n v="30"/>
    <n v="38"/>
    <x v="0"/>
    <s v="1 Bajo Extremo"/>
    <n v="30"/>
    <s v="1 Bajo"/>
    <n v="30"/>
    <n v="34"/>
    <s v="Antiguedad: 6 a 12 Meses|Tamaño Cartera: 3 Mediana ≥ 1MM|1 Mal Vendedor|Calidad Cartera: 1 Bajo Extremo|Alcance Incentivos: 1 Bajo"/>
  </r>
  <r>
    <x v="2"/>
    <x v="15"/>
    <n v="32999"/>
    <s v="ELSA FERNANDEZ REYES"/>
    <d v="2023-07-03T00:00:00"/>
    <d v="2023-10-30T00:00:00"/>
    <x v="1"/>
    <s v="NO"/>
    <n v="0"/>
    <n v="2"/>
    <n v="33288.660000000003"/>
    <n v="29880.66"/>
    <n v="20668.97"/>
    <s v=""/>
    <s v=""/>
    <n v="27946.096666666668"/>
    <n v="3"/>
    <n v="20668.97"/>
    <n v="-0.21202713763042591"/>
    <n v="20668.97"/>
    <n v="0"/>
    <n v="0"/>
    <n v="0"/>
    <n v="1"/>
    <n v="400500"/>
    <n v="39000.03"/>
    <n v="9.7378352059925094E-2"/>
    <n v="44"/>
    <n v="1.5714285714285714"/>
    <n v="0"/>
    <n v="0"/>
    <n v="0"/>
    <n v="7025.6833810265689"/>
    <n v="4575"/>
    <n v="0.65118220561364337"/>
    <n v="-6868.0994416666663"/>
    <x v="0"/>
    <x v="0"/>
    <x v="1"/>
    <s v="1 Bajo Extremo"/>
    <n v="30"/>
    <s v="2 Bajo"/>
    <n v="50"/>
    <s v="1 Bajo Extremo"/>
    <n v="0"/>
    <n v="22"/>
    <x v="0"/>
    <s v="7 Sobresaliente"/>
    <n v="110"/>
    <s v="3 Medio Alto"/>
    <n v="70"/>
    <n v="62"/>
    <s v="Antiguedad: &lt; 3 Meses|Tamaño Cartera: 1 Pequeño ≤ 500k|1 Mal Vendedor|Calidad Cartera: 7 Sobresaliente|Alcance Incentivos: 3 Medio Alto"/>
  </r>
  <r>
    <x v="2"/>
    <x v="16"/>
    <n v="28375"/>
    <s v="OLIVIA LOPEZ HERNANDEZ"/>
    <d v="2023-01-23T00:00:00"/>
    <d v="2023-12-15T00:00:00"/>
    <x v="1"/>
    <s v="NO"/>
    <n v="6"/>
    <n v="9"/>
    <n v="720804.60000000009"/>
    <n v="796736.29999999993"/>
    <n v="739415.01"/>
    <n v="1311201.8799999999"/>
    <s v=""/>
    <n v="892039.44750000001"/>
    <n v="4"/>
    <n v="1311201.8799999999"/>
    <n v="0.22072359191443303"/>
    <n v="1163070.82"/>
    <n v="376"/>
    <n v="4.2150602314030514E-4"/>
    <n v="1.2645180694209155E-3"/>
    <n v="0.88677221363324621"/>
    <n v="2030930.2448999998"/>
    <n v="1315999.7"/>
    <n v="0.64797877884023436"/>
    <n v="82"/>
    <n v="0.43386243386243384"/>
    <n v="170"/>
    <n v="78"/>
    <n v="0.45882352941176469"/>
    <n v="37310.229421413213"/>
    <n v="3827.5"/>
    <n v="0.10258580714605063"/>
    <n v="42343.143231249996"/>
    <x v="3"/>
    <x v="2"/>
    <x v="6"/>
    <s v="2 Bajo"/>
    <n v="50"/>
    <s v="1 Bajo Extremo"/>
    <n v="30"/>
    <s v="3 Medio Bajo"/>
    <n v="50"/>
    <n v="46"/>
    <x v="0"/>
    <s v="3 Medio Bajo"/>
    <n v="70"/>
    <s v="1 Bajo"/>
    <n v="30"/>
    <n v="54"/>
    <s v="Antiguedad: 6 a 12 Meses|Tamaño Cartera: 2 Mediana ≤ 1MM|1 Mal Vendedor|Calidad Cartera: 3 Medio Bajo|Alcance Incentivos: 1 Bajo"/>
  </r>
  <r>
    <x v="2"/>
    <x v="16"/>
    <n v="33376"/>
    <s v="ISAAC VINICIO BACILIO ESPITIA"/>
    <d v="2023-07-17T00:00:00"/>
    <d v="1899-12-30T00:00:00"/>
    <x v="0"/>
    <s v="NO"/>
    <n v="0"/>
    <n v="2"/>
    <n v="303473.75"/>
    <n v="508040.27999999997"/>
    <n v="594277.58000000007"/>
    <s v=""/>
    <s v=""/>
    <n v="468597.20333333337"/>
    <n v="3"/>
    <n v="594277.58000000007"/>
    <n v="0.3993749888362097"/>
    <n v="577232.10000000009"/>
    <n v="0"/>
    <n v="0"/>
    <n v="0"/>
    <n v="0.97131730932874838"/>
    <n v="410288.9873342872"/>
    <n v="770000.29"/>
    <n v="1.8767266823387447"/>
    <n v="28"/>
    <n v="2"/>
    <n v="42"/>
    <n v="32"/>
    <n v="0.76190476190476186"/>
    <n v="10580.003292892919"/>
    <n v="15175"/>
    <n v="1.4343095724926431"/>
    <n v="22002.672525000002"/>
    <x v="0"/>
    <x v="0"/>
    <x v="4"/>
    <s v="4 Medio Alto"/>
    <n v="80"/>
    <s v="3 Medio Bajo"/>
    <n v="70"/>
    <s v="7 Sobresaliente"/>
    <n v="110"/>
    <n v="90"/>
    <x v="3"/>
    <s v="5 Alto"/>
    <n v="90"/>
    <s v="5 Sobresaliente"/>
    <n v="90"/>
    <n v="90"/>
    <s v="Antiguedad: &lt; 3 Meses|Tamaño Cartera: 1 Pequeño ≤ 500k|4 Gran Vendedor|Calidad Cartera: 5 Alto|Alcance Incentivos: 5 Sobresaliente"/>
  </r>
  <r>
    <x v="2"/>
    <x v="16"/>
    <n v="33499"/>
    <s v="HECTOR CORONEL VENTURA"/>
    <d v="2023-07-21T00:00:00"/>
    <d v="1899-12-30T00:00:00"/>
    <x v="0"/>
    <s v="NO"/>
    <n v="0"/>
    <n v="4"/>
    <n v="533654.06999999995"/>
    <n v="1143374.9300000002"/>
    <n v="1114403.3900000001"/>
    <n v="775926.45"/>
    <n v="1487694.53"/>
    <n v="1011010.674"/>
    <n v="5"/>
    <n v="1487694.53"/>
    <n v="0.29215164572101338"/>
    <n v="1487694.53"/>
    <n v="0"/>
    <n v="0"/>
    <n v="0"/>
    <n v="1"/>
    <n v="991176.88442315278"/>
    <n v="2926501.2"/>
    <n v="2.952551906719628"/>
    <n v="98"/>
    <n v="9.8000000000000007"/>
    <n v="48"/>
    <n v="36"/>
    <n v="0.75"/>
    <n v="32816.699999999997"/>
    <n v="49248.074999999997"/>
    <n v="1.5007016244777811"/>
    <n v="57982.728755000004"/>
    <x v="0"/>
    <x v="1"/>
    <x v="6"/>
    <s v="4 Medio Alto"/>
    <n v="80"/>
    <s v="6 Muy Alto"/>
    <n v="100"/>
    <s v="7 Sobresaliente"/>
    <n v="110"/>
    <n v="96"/>
    <x v="3"/>
    <s v="7 Sobresaliente"/>
    <n v="110"/>
    <s v="5 Sobresaliente"/>
    <n v="90"/>
    <n v="101"/>
    <s v="Antiguedad: &lt; 3 Meses|Tamaño Cartera: 3 Mediana ≥ 1MM|4 Gran Vendedor|Calidad Cartera: 7 Sobresaliente|Alcance Incentivos: 5 Sobresaliente"/>
  </r>
  <r>
    <x v="1"/>
    <x v="2"/>
    <n v="33543"/>
    <s v="ANDRES DE JESUS PALOMARES PASTRANA"/>
    <d v="2023-07-21T00:00:00"/>
    <d v="2023-10-04T00:00:00"/>
    <x v="1"/>
    <s v="NO"/>
    <n v="1"/>
    <n v="2"/>
    <n v="489022.56"/>
    <n v="465823.65999999986"/>
    <s v=""/>
    <s v=""/>
    <s v=""/>
    <n v="477423.10999999993"/>
    <n v="2"/>
    <n v="465823.65999999986"/>
    <n v="-4.7439324680644823E-2"/>
    <n v="337395.12999999995"/>
    <n v="92892.900000000009"/>
    <n v="0.19457143580669989"/>
    <n v="1.1674286148401993"/>
    <n v="0.60387529948995966"/>
    <n v="361762.15218969819"/>
    <n v="190000"/>
    <n v="0.52520695946205342"/>
    <n v="17"/>
    <n v="0.41463414634146339"/>
    <n v="10"/>
    <n v="3"/>
    <n v="0.3"/>
    <n v="9265.9809287653825"/>
    <n v="2450"/>
    <n v="0.26440805553508112"/>
    <n v="65123.278825000001"/>
    <x v="0"/>
    <x v="0"/>
    <x v="1"/>
    <s v="1 Bajo Extremo"/>
    <n v="30"/>
    <s v="1 Bajo Extremo"/>
    <n v="30"/>
    <s v="3 Medio Bajo"/>
    <n v="50"/>
    <n v="38"/>
    <x v="0"/>
    <s v="1 Bajo Extremo"/>
    <n v="30"/>
    <s v="1 Bajo"/>
    <n v="30"/>
    <n v="34"/>
    <s v="Antiguedad: &lt; 3 Meses|Tamaño Cartera: 1 Pequeño ≤ 500k|1 Mal Vendedor|Calidad Cartera: 1 Bajo Extremo|Alcance Incentivos: 1 Bajo"/>
  </r>
  <r>
    <x v="1"/>
    <x v="2"/>
    <n v="33878"/>
    <s v="GUADALUPE CARMONA ANTONIO"/>
    <d v="2023-08-02T00:00:00"/>
    <d v="1899-12-30T00:00:00"/>
    <x v="0"/>
    <s v="NO"/>
    <n v="0"/>
    <n v="4"/>
    <n v="129111.69"/>
    <n v="212272.25999999998"/>
    <s v=""/>
    <n v="196949.75"/>
    <n v="455162.30999999994"/>
    <n v="248374.00249999997"/>
    <n v="4"/>
    <n v="455162.30999999994"/>
    <n v="0.52194950015810226"/>
    <n v="455162.30999999994"/>
    <n v="0"/>
    <n v="0"/>
    <n v="0"/>
    <n v="1"/>
    <n v="564500"/>
    <n v="511500.44000000006"/>
    <n v="0.90611238263950411"/>
    <n v="57"/>
    <n v="1.9655172413793103"/>
    <n v="0"/>
    <n v="0"/>
    <n v="0"/>
    <n v="30923.035756968158"/>
    <n v="13337.112499999999"/>
    <n v="0.43130023212532204"/>
    <n v="7615.7832687500004"/>
    <x v="0"/>
    <x v="0"/>
    <x v="4"/>
    <s v="1 Bajo Extremo"/>
    <n v="30"/>
    <s v="2 Bajo"/>
    <n v="50"/>
    <s v="5 Alto"/>
    <n v="80"/>
    <n v="54"/>
    <x v="0"/>
    <s v="7 Sobresaliente"/>
    <n v="110"/>
    <s v="2 Medio"/>
    <n v="50"/>
    <n v="76"/>
    <s v="Antiguedad: &lt; 3 Meses|Tamaño Cartera: 1 Pequeño ≤ 500k|1 Mal Vendedor|Calidad Cartera: 7 Sobresaliente|Alcance Incentivos: 2 Medio"/>
  </r>
  <r>
    <x v="1"/>
    <x v="3"/>
    <n v="33995"/>
    <s v="MARIA ANGELICA VILLA MARTINEZ"/>
    <d v="2023-08-08T00:00:00"/>
    <d v="2023-10-23T00:00:00"/>
    <x v="1"/>
    <s v="NO"/>
    <n v="0"/>
    <n v="1"/>
    <n v="99999.8"/>
    <n v="200810.02999999997"/>
    <s v=""/>
    <s v=""/>
    <s v=""/>
    <n v="150404.91499999998"/>
    <n v="2"/>
    <n v="200810.02999999997"/>
    <n v="1.0081043162086321"/>
    <n v="200810.02999999997"/>
    <n v="0"/>
    <n v="0"/>
    <n v="0"/>
    <n v="1"/>
    <n v="156500"/>
    <n v="242000"/>
    <n v="1.5463258785942493"/>
    <n v="44"/>
    <n v="1.9130434782608696"/>
    <n v="0"/>
    <n v="0"/>
    <n v="0"/>
    <n v="5416.3500816345395"/>
    <n v="6325"/>
    <n v="1.1677605591718416"/>
    <n v="1810.7826124999992"/>
    <x v="0"/>
    <x v="0"/>
    <x v="4"/>
    <s v="1 Bajo Extremo"/>
    <n v="30"/>
    <s v="2 Bajo"/>
    <n v="50"/>
    <s v="7 Sobresaliente"/>
    <n v="110"/>
    <n v="66"/>
    <x v="1"/>
    <s v="7 Sobresaliente"/>
    <n v="110"/>
    <s v="5 Sobresaliente"/>
    <n v="90"/>
    <n v="86"/>
    <s v="Antiguedad: &lt; 3 Meses|Tamaño Cartera: 1 Pequeño ≤ 500k|2 Medio Vendedor|Calidad Cartera: 7 Sobresaliente|Alcance Incentivos: 5 Sobresaliente"/>
  </r>
  <r>
    <x v="1"/>
    <x v="4"/>
    <n v="33877"/>
    <s v="RODOLFO ALBERTO SORIANO MEJIA"/>
    <d v="2023-08-02T00:00:00"/>
    <d v="2023-10-05T00:00:00"/>
    <x v="1"/>
    <s v="NO"/>
    <n v="0"/>
    <n v="1"/>
    <n v="393589.62999999995"/>
    <n v="287325.49"/>
    <s v=""/>
    <s v=""/>
    <s v=""/>
    <n v="340457.55999999994"/>
    <n v="2"/>
    <n v="287325.49"/>
    <n v="-0.26998714371615928"/>
    <n v="265951.44"/>
    <n v="0"/>
    <n v="0"/>
    <n v="0"/>
    <n v="0.92561032437463175"/>
    <n v="156500"/>
    <n v="193000"/>
    <n v="1.2332268370607029"/>
    <n v="22"/>
    <n v="0.75862068965517238"/>
    <n v="0"/>
    <n v="0"/>
    <n v="0"/>
    <n v="5625"/>
    <n v="4587.5"/>
    <n v="0.81555555555555559"/>
    <n v="11870.059699999998"/>
    <x v="0"/>
    <x v="0"/>
    <x v="1"/>
    <s v="1 Bajo Extremo"/>
    <n v="30"/>
    <s v="1 Bajo Extremo"/>
    <n v="30"/>
    <s v="7 Sobresaliente"/>
    <n v="110"/>
    <n v="62"/>
    <x v="1"/>
    <s v="4 Medio Alto"/>
    <n v="80"/>
    <s v="4 Alto"/>
    <n v="80"/>
    <n v="71"/>
    <s v="Antiguedad: &lt; 3 Meses|Tamaño Cartera: 1 Pequeño ≤ 500k|2 Medio Vendedor|Calidad Cartera: 4 Medio Alto|Alcance Incentivos: 4 Alto"/>
  </r>
  <r>
    <x v="1"/>
    <x v="6"/>
    <n v="34226"/>
    <s v="JORGE ALBERTO CONTRERAS SEGUNDO"/>
    <d v="2023-08-16T00:00:00"/>
    <d v="1899-12-30T00:00:00"/>
    <x v="0"/>
    <s v="NO"/>
    <n v="0"/>
    <n v="3"/>
    <n v="540791.86"/>
    <n v="533139.66"/>
    <n v="533168.67000000004"/>
    <n v="641885.73"/>
    <s v=""/>
    <n v="562246.48"/>
    <n v="4"/>
    <n v="641885.73"/>
    <n v="5.8788441581403506E-2"/>
    <n v="612326.6"/>
    <n v="0"/>
    <n v="0"/>
    <n v="0"/>
    <n v="0.95394954488238892"/>
    <n v="769856.07049999991"/>
    <n v="536001.46999999986"/>
    <n v="0.69623594661256871"/>
    <n v="79"/>
    <n v="5.2666666666666666"/>
    <n v="5"/>
    <n v="1"/>
    <n v="0.2"/>
    <n v="20124"/>
    <n v="8603.8173999999999"/>
    <n v="0.4275401212482608"/>
    <n v="24480.126949999998"/>
    <x v="0"/>
    <x v="2"/>
    <x v="2"/>
    <s v="1 Bajo Extremo"/>
    <n v="30"/>
    <s v="4 Medio Alto"/>
    <n v="80"/>
    <s v="3 Medio Bajo"/>
    <n v="50"/>
    <n v="48"/>
    <x v="0"/>
    <s v="5 Alto"/>
    <n v="90"/>
    <s v="2 Medio"/>
    <n v="50"/>
    <n v="65"/>
    <s v="Antiguedad: &lt; 3 Meses|Tamaño Cartera: 2 Mediana ≤ 1MM|1 Mal Vendedor|Calidad Cartera: 5 Alto|Alcance Incentivos: 2 Medio"/>
  </r>
  <r>
    <x v="1"/>
    <x v="7"/>
    <n v="33403"/>
    <s v="ROSARIO EDITH LINAJE GONZALEZ"/>
    <d v="2023-07-19T00:00:00"/>
    <d v="2023-10-18T00:00:00"/>
    <x v="1"/>
    <s v="NO"/>
    <n v="1"/>
    <n v="2"/>
    <n v="49999.95"/>
    <n v="325987.45"/>
    <s v=""/>
    <s v=""/>
    <s v=""/>
    <n v="187993.7"/>
    <n v="2"/>
    <n v="325987.45"/>
    <n v="5.5197555197555204"/>
    <n v="325987.45"/>
    <n v="0"/>
    <n v="0"/>
    <n v="0"/>
    <n v="1"/>
    <n v="215985.9521331946"/>
    <n v="282000"/>
    <n v="1.3056404697380306"/>
    <n v="41"/>
    <n v="0.95348837209302328"/>
    <n v="0"/>
    <n v="0"/>
    <n v="0"/>
    <n v="6940.7176298988361"/>
    <n v="7475"/>
    <n v="1.0769779723928852"/>
    <n v="4547.1377499999999"/>
    <x v="0"/>
    <x v="0"/>
    <x v="4"/>
    <s v="1 Bajo Extremo"/>
    <n v="30"/>
    <s v="1 Bajo Extremo"/>
    <n v="30"/>
    <s v="7 Sobresaliente"/>
    <n v="110"/>
    <n v="62"/>
    <x v="1"/>
    <s v="7 Sobresaliente"/>
    <n v="110"/>
    <s v="5 Sobresaliente"/>
    <n v="90"/>
    <n v="84"/>
    <s v="Antiguedad: &lt; 3 Meses|Tamaño Cartera: 1 Pequeño ≤ 500k|2 Medio Vendedor|Calidad Cartera: 7 Sobresaliente|Alcance Incentivos: 5 Sobresaliente"/>
  </r>
  <r>
    <x v="1"/>
    <x v="8"/>
    <n v="33967"/>
    <s v="MIRIAM PATRICIA ROSAS AREVALO"/>
    <d v="2023-08-07T00:00:00"/>
    <d v="1899-12-30T00:00:00"/>
    <x v="0"/>
    <s v="NO"/>
    <n v="0"/>
    <n v="3"/>
    <n v="315967.48"/>
    <n v="423493.14"/>
    <n v="355936.92000000004"/>
    <n v="107017.94"/>
    <s v=""/>
    <n v="300603.87"/>
    <n v="4"/>
    <n v="107017.94"/>
    <n v="-0.30293801263288245"/>
    <n v="107017.94"/>
    <n v="0"/>
    <n v="0"/>
    <n v="0"/>
    <n v="1"/>
    <n v="844300.57149999996"/>
    <n v="434000.27"/>
    <n v="0.51403526735620597"/>
    <n v="73"/>
    <n v="3.0416666666666665"/>
    <n v="2"/>
    <n v="0"/>
    <n v="0"/>
    <n v="27716.265021468018"/>
    <n v="8152.5"/>
    <n v="0.29414136405772451"/>
    <n v="9322.8475249999974"/>
    <x v="0"/>
    <x v="0"/>
    <x v="1"/>
    <s v="1 Bajo Extremo"/>
    <n v="30"/>
    <s v="3 Medio Bajo"/>
    <n v="70"/>
    <s v="3 Medio Bajo"/>
    <n v="50"/>
    <n v="46"/>
    <x v="0"/>
    <s v="7 Sobresaliente"/>
    <n v="110"/>
    <s v="1 Bajo"/>
    <n v="30"/>
    <n v="70"/>
    <s v="Antiguedad: &lt; 3 Meses|Tamaño Cartera: 1 Pequeño ≤ 500k|1 Mal Vendedor|Calidad Cartera: 7 Sobresaliente|Alcance Incentivos: 1 Bajo"/>
  </r>
  <r>
    <x v="2"/>
    <x v="10"/>
    <n v="33645"/>
    <s v="DIANA ELIZABETH GONZALEZ LEON"/>
    <d v="2023-07-25T00:00:00"/>
    <d v="2023-10-18T00:00:00"/>
    <x v="1"/>
    <s v="NO"/>
    <n v="1"/>
    <n v="2"/>
    <n v="180034.97"/>
    <n v="184924.64"/>
    <s v=""/>
    <s v=""/>
    <s v=""/>
    <n v="182479.80499999999"/>
    <n v="2"/>
    <n v="184924.64"/>
    <n v="2.7159556834986054E-2"/>
    <n v="184924.64"/>
    <n v="0"/>
    <n v="0"/>
    <n v="0"/>
    <n v="1"/>
    <n v="192085.84807492196"/>
    <n v="254000"/>
    <n v="1.3223254213966289"/>
    <n v="58"/>
    <n v="1.5675675675675675"/>
    <n v="0"/>
    <n v="0"/>
    <n v="0"/>
    <n v="6153.6944279051213"/>
    <n v="7462.5"/>
    <n v="1.2126861493414176"/>
    <n v="4223.8387874999989"/>
    <x v="0"/>
    <x v="0"/>
    <x v="2"/>
    <s v="1 Bajo Extremo"/>
    <n v="30"/>
    <s v="2 Bajo"/>
    <n v="50"/>
    <s v="7 Sobresaliente"/>
    <n v="110"/>
    <n v="66"/>
    <x v="1"/>
    <s v="7 Sobresaliente"/>
    <n v="110"/>
    <s v="5 Sobresaliente"/>
    <n v="90"/>
    <n v="86"/>
    <s v="Antiguedad: &lt; 3 Meses|Tamaño Cartera: 1 Pequeño ≤ 500k|2 Medio Vendedor|Calidad Cartera: 7 Sobresaliente|Alcance Incentivos: 5 Sobresaliente"/>
  </r>
  <r>
    <x v="2"/>
    <x v="11"/>
    <n v="34232"/>
    <s v="CARLOS EMANUEL FLORES ACOSTA"/>
    <d v="2023-08-16T00:00:00"/>
    <d v="2023-11-03T00:00:00"/>
    <x v="1"/>
    <s v="NO"/>
    <n v="0"/>
    <n v="1"/>
    <n v="189999.77000000002"/>
    <n v="641112.62"/>
    <s v=""/>
    <s v=""/>
    <s v=""/>
    <n v="415556.19500000001"/>
    <n v="2"/>
    <n v="641112.62"/>
    <n v="2.374281032024407"/>
    <n v="614216.88"/>
    <n v="0"/>
    <n v="0"/>
    <n v="0"/>
    <n v="0.95804833790356525"/>
    <n v="141900"/>
    <n v="234000"/>
    <n v="1.6490486257928119"/>
    <n v="40"/>
    <n v="2.6666666666666665"/>
    <n v="0"/>
    <n v="0"/>
    <n v="0"/>
    <n v="5396.1746116276317"/>
    <n v="7462.5"/>
    <n v="1.3829241151536993"/>
    <n v="17625.731212500003"/>
    <x v="0"/>
    <x v="0"/>
    <x v="4"/>
    <s v="1 Bajo Extremo"/>
    <n v="30"/>
    <s v="3 Medio Bajo"/>
    <n v="70"/>
    <s v="7 Sobresaliente"/>
    <n v="110"/>
    <n v="70"/>
    <x v="1"/>
    <s v="5 Alto"/>
    <n v="90"/>
    <s v="5 Sobresaliente"/>
    <n v="90"/>
    <n v="80"/>
    <s v="Antiguedad: &lt; 3 Meses|Tamaño Cartera: 1 Pequeño ≤ 500k|2 Medio Vendedor|Calidad Cartera: 5 Alto|Alcance Incentivos: 5 Sobresaliente"/>
  </r>
  <r>
    <x v="2"/>
    <x v="11"/>
    <n v="34479"/>
    <s v="JHOVANNY AGUILAR GARCIA"/>
    <d v="2023-08-24T00:00:00"/>
    <d v="1899-12-30T00:00:00"/>
    <x v="0"/>
    <s v="NO"/>
    <n v="0"/>
    <n v="2"/>
    <n v="71835.66"/>
    <n v="539135.69999999995"/>
    <n v="629149.35"/>
    <s v=""/>
    <s v=""/>
    <n v="413373.57"/>
    <n v="3"/>
    <n v="629149.35"/>
    <n v="1.9594215572101294"/>
    <n v="623685.68999999994"/>
    <n v="0"/>
    <n v="0"/>
    <n v="0"/>
    <n v="0.99131579806925008"/>
    <n v="438229.97195000004"/>
    <n v="560999.97"/>
    <n v="1.2801497065655003"/>
    <n v="47"/>
    <n v="6.7142857142857144"/>
    <n v="0"/>
    <n v="0"/>
    <n v="0"/>
    <n v="9748.8782323703235"/>
    <n v="10062.5"/>
    <n v="1.0321700364036062"/>
    <n v="17123.146941666666"/>
    <x v="0"/>
    <x v="0"/>
    <x v="4"/>
    <s v="1 Bajo Extremo"/>
    <n v="30"/>
    <s v="5 Alto"/>
    <n v="90"/>
    <s v="7 Sobresaliente"/>
    <n v="110"/>
    <n v="74"/>
    <x v="1"/>
    <s v="6 Muy Alto"/>
    <n v="100"/>
    <s v="5 Sobresaliente"/>
    <n v="90"/>
    <n v="86"/>
    <s v="Antiguedad: &lt; 3 Meses|Tamaño Cartera: 1 Pequeño ≤ 500k|2 Medio Vendedor|Calidad Cartera: 6 Muy Alto|Alcance Incentivos: 5 Sobresaliente"/>
  </r>
  <r>
    <x v="2"/>
    <x v="12"/>
    <n v="33951"/>
    <s v="JULIO CESAR GONZALEZ ESPINOZA"/>
    <d v="2023-08-07T00:00:00"/>
    <d v="2023-12-04T00:00:00"/>
    <x v="1"/>
    <s v="NO"/>
    <n v="0"/>
    <n v="3"/>
    <n v="69999.199999999997"/>
    <n v="191521.13"/>
    <n v="440566.51"/>
    <n v="344716.83"/>
    <s v=""/>
    <n v="261700.91750000004"/>
    <n v="4"/>
    <n v="344716.83"/>
    <n v="0.70133487126020899"/>
    <n v="316486.40999999997"/>
    <n v="0"/>
    <n v="0"/>
    <n v="0"/>
    <n v="0.91810547805281206"/>
    <n v="735300.60899999994"/>
    <n v="366499.44"/>
    <n v="0.49843483809762495"/>
    <n v="76"/>
    <n v="3.1666666666666665"/>
    <n v="0"/>
    <n v="0"/>
    <n v="0"/>
    <n v="22008.550589614337"/>
    <n v="6137.6665000000003"/>
    <n v="0.27887645190484817"/>
    <n v="6582.2193812500027"/>
    <x v="0"/>
    <x v="0"/>
    <x v="4"/>
    <s v="1 Bajo Extremo"/>
    <n v="30"/>
    <s v="3 Medio Bajo"/>
    <n v="70"/>
    <s v="2 Bajo"/>
    <n v="30"/>
    <n v="38"/>
    <x v="0"/>
    <s v="4 Medio Alto"/>
    <n v="80"/>
    <s v="1 Bajo"/>
    <n v="30"/>
    <n v="54"/>
    <s v="Antiguedad: &lt; 3 Meses|Tamaño Cartera: 1 Pequeño ≤ 500k|1 Mal Vendedor|Calidad Cartera: 4 Medio Alto|Alcance Incentivos: 1 Bajo"/>
  </r>
  <r>
    <x v="2"/>
    <x v="15"/>
    <n v="33874"/>
    <s v="JAEL BRAVO REYES"/>
    <d v="2023-08-02T00:00:00"/>
    <d v="1899-12-30T00:00:00"/>
    <x v="0"/>
    <s v="NO"/>
    <n v="0"/>
    <n v="4"/>
    <n v="105948.41"/>
    <n v="179489.19"/>
    <s v=""/>
    <n v="424277.02"/>
    <n v="444308.31000000006"/>
    <n v="288505.73250000004"/>
    <n v="4"/>
    <n v="444308.31000000006"/>
    <n v="0.61261240955108187"/>
    <n v="437056.76"/>
    <n v="0"/>
    <n v="0"/>
    <n v="0"/>
    <n v="0.98367901334098373"/>
    <n v="610899.90650000004"/>
    <n v="690499.77"/>
    <n v="1.1302993545310027"/>
    <n v="113"/>
    <n v="3.896551724137931"/>
    <n v="6"/>
    <n v="6"/>
    <n v="1"/>
    <n v="19846.925542623554"/>
    <n v="18441.483"/>
    <n v="0.92918588122854573"/>
    <n v="11199.450368750002"/>
    <x v="0"/>
    <x v="0"/>
    <x v="4"/>
    <s v="7 Sobresaliente"/>
    <n v="110"/>
    <s v="3 Medio Bajo"/>
    <n v="70"/>
    <s v="7 Sobresaliente"/>
    <n v="110"/>
    <n v="102"/>
    <x v="3"/>
    <s v="5 Alto"/>
    <n v="90"/>
    <s v="4 Alto"/>
    <n v="80"/>
    <n v="95"/>
    <s v="Antiguedad: &lt; 3 Meses|Tamaño Cartera: 1 Pequeño ≤ 500k|4 Gran Vendedor|Calidad Cartera: 5 Alto|Alcance Incentivos: 4 Alto"/>
  </r>
  <r>
    <x v="1"/>
    <x v="5"/>
    <n v="35102"/>
    <s v="ULISES URIEL PARTIDA MENDEZ"/>
    <d v="2023-09-18T00:00:00"/>
    <d v="1899-12-30T00:00:00"/>
    <x v="0"/>
    <s v="NO"/>
    <n v="0"/>
    <n v="2"/>
    <s v=""/>
    <n v="65991.66"/>
    <n v="128614.11"/>
    <s v=""/>
    <s v=""/>
    <n v="97302.885000000009"/>
    <n v="2"/>
    <n v="128614.11"/>
    <s v="NA"/>
    <n v="128614.11"/>
    <n v="0"/>
    <n v="0"/>
    <n v="0"/>
    <n v="1"/>
    <n v="200954.2143600416"/>
    <n v="150999.23000000004"/>
    <n v="0.75141111362541901"/>
    <n v="25"/>
    <n v="2.0833333333333335"/>
    <n v="0"/>
    <n v="0"/>
    <n v="0"/>
    <n v="13617.928853872454"/>
    <n v="5667.5"/>
    <n v="0.4161792928142935"/>
    <n v="-1571.3341124999988"/>
    <x v="0"/>
    <x v="0"/>
    <x v="0"/>
    <s v="1 Bajo Extremo"/>
    <n v="30"/>
    <s v="3 Medio Bajo"/>
    <n v="70"/>
    <s v="4 Medio Alto"/>
    <n v="70"/>
    <n v="54"/>
    <x v="0"/>
    <s v="7 Sobresaliente"/>
    <n v="110"/>
    <s v="2 Medio"/>
    <n v="50"/>
    <n v="76"/>
    <s v="Antiguedad: &lt; 3 Meses|Tamaño Cartera: 1 Pequeño ≤ 500k|1 Mal Vendedor|Calidad Cartera: 7 Sobresaliente|Alcance Incentivos: 2 Medio"/>
  </r>
  <r>
    <x v="1"/>
    <x v="6"/>
    <n v="34786"/>
    <s v="HUGO ENRIQUE SEVILLANO ONOFRE"/>
    <d v="2023-09-04T00:00:00"/>
    <d v="2023-11-24T00:00:00"/>
    <x v="1"/>
    <s v="NO"/>
    <n v="0"/>
    <n v="1"/>
    <n v="83866.45"/>
    <n v="62312.639999999999"/>
    <s v=""/>
    <s v=""/>
    <s v=""/>
    <n v="73089.544999999998"/>
    <n v="2"/>
    <n v="62312.639999999999"/>
    <n v="-0.25700157810423596"/>
    <n v="62312.639999999999"/>
    <n v="0"/>
    <n v="0"/>
    <n v="0"/>
    <n v="1"/>
    <n v="132000"/>
    <n v="94000"/>
    <n v="0.71212121212121215"/>
    <n v="35"/>
    <n v="1.3461538461538463"/>
    <n v="0"/>
    <n v="0"/>
    <n v="0"/>
    <n v="8313.1455484726539"/>
    <n v="4000"/>
    <n v="0.48116564021123226"/>
    <n v="-3797.3511624999992"/>
    <x v="0"/>
    <x v="0"/>
    <x v="1"/>
    <s v="1 Bajo Extremo"/>
    <n v="30"/>
    <s v="2 Bajo"/>
    <n v="50"/>
    <s v="4 Medio Alto"/>
    <n v="70"/>
    <n v="50"/>
    <x v="0"/>
    <s v="7 Sobresaliente"/>
    <n v="110"/>
    <s v="2 Medio"/>
    <n v="50"/>
    <n v="74"/>
    <s v="Antiguedad: &lt; 3 Meses|Tamaño Cartera: 1 Pequeño ≤ 500k|1 Mal Vendedor|Calidad Cartera: 7 Sobresaliente|Alcance Incentivos: 2 Medio"/>
  </r>
  <r>
    <x v="2"/>
    <x v="10"/>
    <n v="34963"/>
    <s v="HASLEY RODRIGUEZ GARCIA"/>
    <d v="2023-09-08T00:00:00"/>
    <d v="1899-12-30T00:00:00"/>
    <x v="0"/>
    <s v="NO"/>
    <n v="0"/>
    <n v="2"/>
    <s v=""/>
    <n v="776696.58000000007"/>
    <n v="668166.29"/>
    <s v=""/>
    <s v=""/>
    <n v="722431.43500000006"/>
    <n v="2"/>
    <n v="668166.29"/>
    <s v="NA"/>
    <n v="624447.63"/>
    <n v="0"/>
    <n v="0"/>
    <n v="0"/>
    <n v="0.93456919234880886"/>
    <n v="488990.11219999997"/>
    <n v="669499.94000000006"/>
    <n v="1.3691482164902558"/>
    <n v="16"/>
    <n v="0.72727272727272729"/>
    <n v="0"/>
    <n v="0"/>
    <n v="0"/>
    <n v="20703.035714285714"/>
    <n v="11880.931825"/>
    <n v="0.573873898927866"/>
    <n v="37480.273425000007"/>
    <x v="0"/>
    <x v="2"/>
    <x v="0"/>
    <s v="1 Bajo Extremo"/>
    <n v="30"/>
    <s v="1 Bajo Extremo"/>
    <n v="30"/>
    <s v="7 Sobresaliente"/>
    <n v="110"/>
    <n v="62"/>
    <x v="1"/>
    <s v="4 Medio Alto"/>
    <n v="80"/>
    <s v="2 Medio"/>
    <n v="50"/>
    <n v="68"/>
    <s v="Antiguedad: &lt; 3 Meses|Tamaño Cartera: 2 Mediana ≤ 1MM|2 Medio Vendedor|Calidad Cartera: 4 Medio Alto|Alcance Incentivos: 2 Medio"/>
  </r>
  <r>
    <x v="2"/>
    <x v="11"/>
    <n v="34961"/>
    <s v="EDUARDO ABEL CARBAJAL BALDERAS"/>
    <d v="2023-09-08T00:00:00"/>
    <d v="1899-12-30T00:00:00"/>
    <x v="0"/>
    <s v="NO"/>
    <n v="0"/>
    <n v="2"/>
    <s v=""/>
    <s v=""/>
    <n v="932970.56000000017"/>
    <s v=""/>
    <s v=""/>
    <n v="932970.56000000017"/>
    <n v="1"/>
    <n v="932970.56000000017"/>
    <s v="NA"/>
    <n v="932970.56000000017"/>
    <n v="0"/>
    <n v="0"/>
    <n v="0"/>
    <n v="1"/>
    <n v="35000"/>
    <n v="401000.58000000013"/>
    <n v="11.457159428571432"/>
    <n v="6"/>
    <n v="0.27272727272727271"/>
    <n v="0"/>
    <n v="0"/>
    <n v="0"/>
    <n v="13065.15"/>
    <n v="5908.6374999999998"/>
    <n v="0.45224413803132762"/>
    <n v="49554.444700000007"/>
    <x v="0"/>
    <x v="2"/>
    <x v="0"/>
    <s v="1 Bajo Extremo"/>
    <n v="30"/>
    <s v="1 Bajo Extremo"/>
    <n v="30"/>
    <s v="7 Sobresaliente"/>
    <n v="110"/>
    <n v="62"/>
    <x v="1"/>
    <s v="7 Sobresaliente"/>
    <n v="110"/>
    <s v="2 Medio"/>
    <n v="50"/>
    <n v="80"/>
    <s v="Antiguedad: &lt; 3 Meses|Tamaño Cartera: 2 Mediana ≤ 1MM|2 Medio Vendedor|Calidad Cartera: 7 Sobresaliente|Alcance Incentivos: 2 Medio"/>
  </r>
  <r>
    <x v="2"/>
    <x v="11"/>
    <m/>
    <s v="VICTOR MANUEL SANCHEZ PEREZ"/>
    <d v="2023-09-25T00:00:00"/>
    <d v="2023-10-18T00:00:00"/>
    <x v="1"/>
    <s v="NO"/>
    <n v="0"/>
    <n v="0"/>
    <s v=""/>
    <s v=""/>
    <s v=""/>
    <s v=""/>
    <s v=""/>
    <n v="0"/>
    <n v="0"/>
    <n v="0"/>
    <s v="NA"/>
    <n v="0"/>
    <n v="0"/>
    <e v="#DIV/0!"/>
    <e v="#DIV/0!"/>
    <n v="0"/>
    <n v="35000"/>
    <n v="0"/>
    <n v="0"/>
    <n v="0"/>
    <n v="0"/>
    <n v="0"/>
    <n v="0"/>
    <n v="0"/>
    <n v="2162.5"/>
    <n v="2000"/>
    <n v="0.92485549132947975"/>
    <n v="0"/>
    <x v="0"/>
    <x v="0"/>
    <x v="0"/>
    <s v="1 Bajo Extremo"/>
    <n v="30"/>
    <s v="1 Bajo Extremo"/>
    <n v="30"/>
    <s v="1 Bajo Extremo"/>
    <n v="0"/>
    <n v="18"/>
    <x v="0"/>
    <s v="1 Bajo Extremo"/>
    <n v="30"/>
    <s v="4 Alto"/>
    <n v="80"/>
    <n v="29"/>
    <s v="Antiguedad: &lt; 3 Meses|Tamaño Cartera: 1 Pequeño ≤ 500k|1 Mal Vendedor|Calidad Cartera: 1 Bajo Extremo|Alcance Incentivos: 4 Alto"/>
  </r>
  <r>
    <x v="2"/>
    <x v="14"/>
    <n v="34424"/>
    <s v="CRISTIAN MANUEL TENORIO CORELLA"/>
    <d v="2023-08-21T00:00:00"/>
    <d v="2023-10-19T00:00:00"/>
    <x v="1"/>
    <s v="NO"/>
    <n v="1"/>
    <n v="1"/>
    <n v="27488.06"/>
    <s v=""/>
    <s v=""/>
    <s v=""/>
    <s v=""/>
    <n v="27488.06"/>
    <n v="1"/>
    <n v="27488.06"/>
    <s v="NA"/>
    <n v="27488.06"/>
    <n v="0"/>
    <n v="0"/>
    <n v="0"/>
    <n v="1"/>
    <n v="83025"/>
    <n v="35000"/>
    <n v="0.42155977115326709"/>
    <n v="9"/>
    <n v="0.22500000000000001"/>
    <n v="0"/>
    <n v="0"/>
    <n v="0"/>
    <n v="3345.9732142857147"/>
    <n v="2000"/>
    <n v="0.59773341623326537"/>
    <n v="-6419.4365500000004"/>
    <x v="0"/>
    <x v="0"/>
    <x v="0"/>
    <s v="1 Bajo Extremo"/>
    <n v="30"/>
    <s v="1 Bajo Extremo"/>
    <n v="30"/>
    <s v="2 Bajo"/>
    <n v="30"/>
    <n v="30"/>
    <x v="0"/>
    <s v="7 Sobresaliente"/>
    <n v="110"/>
    <s v="2 Medio"/>
    <n v="50"/>
    <n v="64"/>
    <s v="Antiguedad: &lt; 3 Meses|Tamaño Cartera: 1 Pequeño ≤ 500k|1 Mal Vendedor|Calidad Cartera: 7 Sobresaliente|Alcance Incentivos: 2 Medio"/>
  </r>
  <r>
    <x v="2"/>
    <x v="14"/>
    <m/>
    <s v="OSCAR MELENDEZ GONZALEZ"/>
    <d v="2023-09-19T00:00:00"/>
    <d v="2023-10-31T00:00:00"/>
    <x v="1"/>
    <s v="NO"/>
    <n v="0"/>
    <n v="0"/>
    <s v=""/>
    <s v=""/>
    <s v=""/>
    <s v=""/>
    <s v=""/>
    <n v="0"/>
    <n v="0"/>
    <n v="0"/>
    <s v="NA"/>
    <n v="0"/>
    <n v="0"/>
    <e v="#DIV/0!"/>
    <e v="#DIV/0!"/>
    <n v="0"/>
    <n v="35000"/>
    <n v="0"/>
    <n v="0"/>
    <n v="0"/>
    <n v="0"/>
    <n v="0"/>
    <n v="0"/>
    <n v="0"/>
    <n v="2162.5"/>
    <n v="2000"/>
    <n v="0.92485549132947975"/>
    <n v="0"/>
    <x v="0"/>
    <x v="0"/>
    <x v="0"/>
    <s v="1 Bajo Extremo"/>
    <n v="30"/>
    <s v="1 Bajo Extremo"/>
    <n v="30"/>
    <s v="1 Bajo Extremo"/>
    <n v="0"/>
    <n v="18"/>
    <x v="0"/>
    <s v="1 Bajo Extremo"/>
    <n v="30"/>
    <s v="4 Alto"/>
    <n v="80"/>
    <n v="29"/>
    <s v="Antiguedad: &lt; 3 Meses|Tamaño Cartera: 1 Pequeño ≤ 500k|1 Mal Vendedor|Calidad Cartera: 1 Bajo Extremo|Alcance Incentivos: 4 Alto"/>
  </r>
  <r>
    <x v="2"/>
    <x v="16"/>
    <n v="34962"/>
    <s v="ANA CRISTINA HERNANDEZ PEREZ"/>
    <d v="2023-09-08T00:00:00"/>
    <d v="2023-11-14T00:00:00"/>
    <x v="1"/>
    <s v="NO"/>
    <n v="0"/>
    <n v="1"/>
    <n v="56000"/>
    <n v="43665.95"/>
    <s v=""/>
    <s v=""/>
    <s v=""/>
    <n v="49832.974999999999"/>
    <n v="2"/>
    <n v="43665.95"/>
    <n v="-0.22025089285714294"/>
    <n v="43665.95"/>
    <n v="0"/>
    <n v="0"/>
    <n v="0"/>
    <n v="1"/>
    <n v="132000"/>
    <n v="56000"/>
    <n v="0.42424242424242425"/>
    <n v="18"/>
    <n v="0.81818181818181823"/>
    <n v="0"/>
    <n v="0"/>
    <n v="0"/>
    <n v="6630.2029240537377"/>
    <n v="4000"/>
    <n v="0.60329978521296612"/>
    <n v="-5134.6039375"/>
    <x v="0"/>
    <x v="0"/>
    <x v="1"/>
    <s v="1 Bajo Extremo"/>
    <n v="30"/>
    <s v="1 Bajo Extremo"/>
    <n v="30"/>
    <s v="2 Bajo"/>
    <n v="30"/>
    <n v="30"/>
    <x v="0"/>
    <s v="7 Sobresaliente"/>
    <n v="110"/>
    <s v="3 Medio Alto"/>
    <n v="70"/>
    <n v="66"/>
    <s v="Antiguedad: &lt; 3 Meses|Tamaño Cartera: 1 Pequeño ≤ 500k|1 Mal Vendedor|Calidad Cartera: 7 Sobresaliente|Alcance Incentivos: 3 Medio Alto"/>
  </r>
  <r>
    <x v="0"/>
    <x v="1"/>
    <n v="35429"/>
    <s v="MARIA DE JESUS DIAZ LOPEZ"/>
    <d v="2023-10-02T00:00:00"/>
    <d v="1899-12-30T00:00:00"/>
    <x v="0"/>
    <s v="NO"/>
    <n v="0"/>
    <n v="0"/>
    <n v="458864.25"/>
    <s v=""/>
    <s v=""/>
    <s v=""/>
    <s v=""/>
    <n v="458864.25"/>
    <n v="1"/>
    <n v="458864.25"/>
    <s v="NA"/>
    <n v="364978.08"/>
    <n v="0"/>
    <n v="0"/>
    <n v="0"/>
    <n v="0.79539445489597416"/>
    <n v="35000"/>
    <n v="87999.87"/>
    <n v="2.5142819999999997"/>
    <n v="2"/>
    <n v="6.8965517241379309E-2"/>
    <n v="0"/>
    <n v="0"/>
    <n v="0"/>
    <n v="2162.5"/>
    <n v="2000"/>
    <n v="0.92485549132947975"/>
    <n v="18384.694375000003"/>
    <x v="0"/>
    <x v="0"/>
    <x v="0"/>
    <s v="1 Bajo Extremo"/>
    <n v="30"/>
    <s v="1 Bajo Extremo"/>
    <n v="30"/>
    <s v="7 Sobresaliente"/>
    <n v="110"/>
    <n v="62"/>
    <x v="1"/>
    <s v="2 Bajo"/>
    <n v="50"/>
    <s v="4 Alto"/>
    <n v="80"/>
    <n v="59"/>
    <s v="Antiguedad: &lt; 3 Meses|Tamaño Cartera: 1 Pequeño ≤ 500k|2 Medio Vendedor|Calidad Cartera: 2 Bajo|Alcance Incentivos: 4 Alto"/>
  </r>
  <r>
    <x v="1"/>
    <x v="2"/>
    <n v="35609"/>
    <s v="BRENDA BERENICE CASTRO HERNÁNDEZ "/>
    <d v="2023-10-09T00:00:00"/>
    <e v="#N/A"/>
    <x v="2"/>
    <s v="NO"/>
    <n v="0"/>
    <n v="1"/>
    <s v=""/>
    <n v="62737.320000000007"/>
    <s v=""/>
    <s v=""/>
    <s v=""/>
    <n v="62737.320000000007"/>
    <n v="1"/>
    <n v="62737.320000000007"/>
    <s v="NA"/>
    <n v="62737.320000000007"/>
    <n v="0"/>
    <n v="0"/>
    <n v="0"/>
    <n v="1"/>
    <n v="35000"/>
    <n v="63500.26999999999"/>
    <n v="1.8142934285714283"/>
    <n v="8"/>
    <n v="0.36363636363636365"/>
    <n v="0"/>
    <n v="0"/>
    <n v="0"/>
    <n v="24790.15"/>
    <n v="2000"/>
    <n v="8.0677204454188453E-2"/>
    <n v="-4392.6040999999996"/>
    <x v="0"/>
    <x v="0"/>
    <x v="0"/>
    <s v="1 Bajo Extremo"/>
    <n v="30"/>
    <s v="1 Bajo Extremo"/>
    <n v="30"/>
    <s v="7 Sobresaliente"/>
    <n v="110"/>
    <n v="62"/>
    <x v="1"/>
    <s v="7 Sobresaliente"/>
    <n v="110"/>
    <s v="1 Bajo"/>
    <n v="30"/>
    <n v="78"/>
    <s v="Antiguedad: &lt; 3 Meses|Tamaño Cartera: 1 Pequeño ≤ 500k|2 Medio Vendedor|Calidad Cartera: 7 Sobresaliente|Alcance Incentivos: 1 Bajo"/>
  </r>
  <r>
    <x v="1"/>
    <x v="3"/>
    <n v="35971"/>
    <s v="TANIA NAVARRETE SILVA"/>
    <d v="2023-10-23T00:00:00"/>
    <d v="1899-12-30T00:00:00"/>
    <x v="0"/>
    <s v="NO"/>
    <n v="0"/>
    <n v="1"/>
    <n v="123999.45000000001"/>
    <n v="522667.75999999995"/>
    <s v=""/>
    <s v=""/>
    <s v=""/>
    <n v="323333.60499999998"/>
    <n v="2"/>
    <n v="522667.75999999995"/>
    <n v="3.2150812765701779"/>
    <n v="467797.97000000003"/>
    <n v="0"/>
    <n v="0"/>
    <n v="0"/>
    <n v="0.89501975404031053"/>
    <n v="161440"/>
    <n v="337499.19"/>
    <n v="2.0905549430128842"/>
    <n v="24"/>
    <n v="3"/>
    <n v="0"/>
    <n v="0"/>
    <n v="0"/>
    <n v="16600.099999999999"/>
    <n v="5737.5"/>
    <n v="0.34563044800934939"/>
    <n v="11460.4322875"/>
    <x v="0"/>
    <x v="0"/>
    <x v="4"/>
    <s v="1 Bajo Extremo"/>
    <n v="30"/>
    <s v="3 Medio Bajo"/>
    <n v="70"/>
    <s v="7 Sobresaliente"/>
    <n v="110"/>
    <n v="70"/>
    <x v="1"/>
    <s v="3 Medio Bajo"/>
    <n v="70"/>
    <s v="1 Bajo"/>
    <n v="30"/>
    <n v="66"/>
    <s v="Antiguedad: &lt; 3 Meses|Tamaño Cartera: 1 Pequeño ≤ 500k|2 Medio Vendedor|Calidad Cartera: 3 Medio Bajo|Alcance Incentivos: 1 Bajo"/>
  </r>
  <r>
    <x v="1"/>
    <x v="3"/>
    <n v="35961"/>
    <s v="DULCE YURIKO NISHIKAWA MOLINA"/>
    <d v="2023-10-23T00:00:00"/>
    <d v="2023-12-09T00:00:00"/>
    <x v="1"/>
    <s v="NO"/>
    <n v="0"/>
    <n v="1"/>
    <s v=""/>
    <n v="279141.53999999998"/>
    <s v=""/>
    <s v=""/>
    <s v=""/>
    <n v="279141.53999999998"/>
    <n v="1"/>
    <n v="279141.53999999998"/>
    <s v="NA"/>
    <n v="279141.53999999998"/>
    <n v="0"/>
    <n v="0"/>
    <n v="0"/>
    <n v="1"/>
    <n v="94610"/>
    <n v="223000.13999999998"/>
    <n v="2.3570461896205472"/>
    <n v="5"/>
    <n v="0.625"/>
    <n v="0"/>
    <n v="0"/>
    <n v="0"/>
    <n v="10968.715"/>
    <n v="2218.4"/>
    <n v="0.20224793879684175"/>
    <n v="8269.0385499999957"/>
    <x v="0"/>
    <x v="0"/>
    <x v="0"/>
    <s v="1 Bajo Extremo"/>
    <n v="30"/>
    <s v="1 Bajo Extremo"/>
    <n v="30"/>
    <s v="7 Sobresaliente"/>
    <n v="110"/>
    <n v="62"/>
    <x v="1"/>
    <s v="7 Sobresaliente"/>
    <n v="110"/>
    <s v="1 Bajo"/>
    <n v="30"/>
    <n v="78"/>
    <s v="Antiguedad: &lt; 3 Meses|Tamaño Cartera: 1 Pequeño ≤ 500k|2 Medio Vendedor|Calidad Cartera: 7 Sobresaliente|Alcance Incentivos: 1 Bajo"/>
  </r>
  <r>
    <x v="1"/>
    <x v="7"/>
    <n v="36042"/>
    <s v="YESSICA ADELAIDA DELGADILLO MIRANDA"/>
    <d v="2023-10-24T00:00:00"/>
    <d v="1899-12-30T00:00:00"/>
    <x v="0"/>
    <s v="NO"/>
    <n v="0"/>
    <n v="1"/>
    <s v=""/>
    <n v="249323.05"/>
    <s v=""/>
    <s v=""/>
    <s v=""/>
    <n v="249323.05"/>
    <n v="1"/>
    <n v="249323.05"/>
    <s v="NA"/>
    <n v="232910.99"/>
    <n v="0"/>
    <n v="0"/>
    <n v="0"/>
    <n v="0.93417351504403623"/>
    <n v="94240"/>
    <n v="117999.66000000002"/>
    <n v="1.2521186332767404"/>
    <n v="8"/>
    <n v="1.1428571428571428"/>
    <n v="0"/>
    <n v="0"/>
    <n v="0"/>
    <n v="11329.7"/>
    <n v="2000"/>
    <n v="0.17652718077265947"/>
    <n v="6336.0753750000003"/>
    <x v="0"/>
    <x v="0"/>
    <x v="0"/>
    <s v="1 Bajo Extremo"/>
    <n v="30"/>
    <s v="2 Bajo"/>
    <n v="50"/>
    <s v="7 Sobresaliente"/>
    <n v="110"/>
    <n v="66"/>
    <x v="1"/>
    <s v="4 Medio Alto"/>
    <n v="80"/>
    <s v="1 Bajo"/>
    <n v="30"/>
    <n v="68"/>
    <s v="Antiguedad: &lt; 3 Meses|Tamaño Cartera: 1 Pequeño ≤ 500k|2 Medio Vendedor|Calidad Cartera: 4 Medio Alto|Alcance Incentivos: 1 Bajo"/>
  </r>
  <r>
    <x v="2"/>
    <x v="10"/>
    <n v="36084"/>
    <s v="ANAHI JIMENEZ RAMOS"/>
    <d v="2023-10-27T00:00:00"/>
    <d v="2023-12-07T00:00:00"/>
    <x v="1"/>
    <s v="NO"/>
    <n v="0"/>
    <n v="1"/>
    <s v=""/>
    <n v="373973.50999999995"/>
    <s v=""/>
    <s v=""/>
    <s v=""/>
    <n v="373973.50999999995"/>
    <n v="1"/>
    <n v="373973.50999999995"/>
    <s v="NA"/>
    <n v="370570.63999999996"/>
    <n v="0"/>
    <n v="0"/>
    <n v="0"/>
    <n v="0.99090077262424281"/>
    <n v="85250"/>
    <n v="167000"/>
    <n v="1.9589442815249267"/>
    <n v="8"/>
    <n v="2"/>
    <n v="0"/>
    <n v="0"/>
    <n v="0"/>
    <n v="9657.625"/>
    <n v="4190.4624999999996"/>
    <n v="0.43390196865171299"/>
    <n v="15693.939324999998"/>
    <x v="0"/>
    <x v="0"/>
    <x v="0"/>
    <s v="1 Bajo Extremo"/>
    <n v="30"/>
    <s v="3 Medio Bajo"/>
    <n v="70"/>
    <s v="7 Sobresaliente"/>
    <n v="110"/>
    <n v="70"/>
    <x v="1"/>
    <s v="6 Muy Alto"/>
    <n v="100"/>
    <s v="2 Medio"/>
    <n v="50"/>
    <n v="80"/>
    <s v="Antiguedad: &lt; 3 Meses|Tamaño Cartera: 1 Pequeño ≤ 500k|2 Medio Vendedor|Calidad Cartera: 6 Muy Alto|Alcance Incentivos: 2 Medio"/>
  </r>
  <r>
    <x v="2"/>
    <x v="11"/>
    <n v="34961"/>
    <s v="EDUARDO ABEL CARBAJAL"/>
    <d v="2023-09-08T00:00:00"/>
    <d v="1899-12-30T00:00:00"/>
    <x v="0"/>
    <s v="NO"/>
    <n v="1"/>
    <n v="1"/>
    <n v="340230.22"/>
    <s v=""/>
    <s v=""/>
    <s v=""/>
    <s v=""/>
    <n v="340230.22"/>
    <n v="1"/>
    <n v="340230.22"/>
    <s v="NA"/>
    <n v="340230.22"/>
    <n v="0"/>
    <n v="0"/>
    <n v="0"/>
    <n v="1"/>
    <n v="35000"/>
    <n v="331999.43000000011"/>
    <n v="9.4856980000000028"/>
    <n v="46"/>
    <n v="0.86792452830188682"/>
    <n v="0"/>
    <n v="0"/>
    <n v="0"/>
    <n v="2162.5"/>
    <n v="8625"/>
    <n v="3.9884393063583814"/>
    <n v="18188.237649999999"/>
    <x v="0"/>
    <x v="0"/>
    <x v="0"/>
    <s v="1 Bajo Extremo"/>
    <n v="30"/>
    <s v="1 Bajo Extremo"/>
    <n v="30"/>
    <s v="7 Sobresaliente"/>
    <n v="110"/>
    <n v="62"/>
    <x v="1"/>
    <s v="7 Sobresaliente"/>
    <n v="110"/>
    <s v="5 Sobresaliente"/>
    <n v="90"/>
    <n v="84"/>
    <s v="Antiguedad: &lt; 3 Meses|Tamaño Cartera: 1 Pequeño ≤ 500k|2 Medio Vendedor|Calidad Cartera: 7 Sobresaliente|Alcance Incentivos: 5 Sobresaliente"/>
  </r>
  <r>
    <x v="2"/>
    <x v="11"/>
    <n v="35841"/>
    <s v="RAUL RODRIGUEZ PEREZ"/>
    <d v="2023-10-18T00:00:00"/>
    <d v="1899-12-30T00:00:00"/>
    <x v="0"/>
    <s v="NO"/>
    <n v="0"/>
    <n v="1"/>
    <s v=""/>
    <n v="878181.5199999999"/>
    <s v=""/>
    <s v=""/>
    <s v=""/>
    <n v="878181.5199999999"/>
    <n v="1"/>
    <n v="878181.5199999999"/>
    <s v="NA"/>
    <n v="878181.5199999999"/>
    <n v="0"/>
    <n v="0"/>
    <n v="0"/>
    <n v="1"/>
    <n v="112760"/>
    <n v="400500.18999999989"/>
    <n v="3.5517931003902081"/>
    <n v="21"/>
    <n v="1.6153846153846154"/>
    <n v="0"/>
    <n v="0"/>
    <n v="0"/>
    <n v="11135.57"/>
    <n v="7056.9750000000004"/>
    <n v="0.63373271417628385"/>
    <n v="47552.412399999994"/>
    <x v="0"/>
    <x v="2"/>
    <x v="0"/>
    <s v="1 Bajo Extremo"/>
    <n v="30"/>
    <s v="2 Bajo"/>
    <n v="50"/>
    <s v="7 Sobresaliente"/>
    <n v="110"/>
    <n v="66"/>
    <x v="1"/>
    <s v="7 Sobresaliente"/>
    <n v="110"/>
    <s v="3 Medio Alto"/>
    <n v="70"/>
    <n v="84"/>
    <s v="Antiguedad: &lt; 3 Meses|Tamaño Cartera: 2 Mediana ≤ 1MM|2 Medio Vendedor|Calidad Cartera: 7 Sobresaliente|Alcance Incentivos: 3 Medio Alto"/>
  </r>
  <r>
    <x v="2"/>
    <x v="12"/>
    <n v="35610"/>
    <s v="JULLIET MONTILLO GANG"/>
    <d v="2023-10-09T00:00:00"/>
    <d v="1899-12-30T00:00:00"/>
    <x v="0"/>
    <s v="NO"/>
    <n v="0"/>
    <n v="1"/>
    <n v="120712.59"/>
    <n v="186659.94999999998"/>
    <s v=""/>
    <s v=""/>
    <s v=""/>
    <n v="153686.26999999999"/>
    <n v="2"/>
    <n v="186659.94999999998"/>
    <n v="0.54631716542574371"/>
    <n v="186659.94999999998"/>
    <n v="0"/>
    <n v="0"/>
    <n v="0"/>
    <n v="1"/>
    <n v="133125"/>
    <n v="203998.63"/>
    <n v="1.532384075117371"/>
    <n v="58"/>
    <n v="2.6363636363636362"/>
    <n v="0"/>
    <n v="0"/>
    <n v="0"/>
    <n v="9778.375"/>
    <n v="4875"/>
    <n v="0.49854909430247868"/>
    <n v="1274.4605249999986"/>
    <x v="0"/>
    <x v="0"/>
    <x v="4"/>
    <s v="1 Bajo Extremo"/>
    <n v="30"/>
    <s v="3 Medio Bajo"/>
    <n v="70"/>
    <s v="7 Sobresaliente"/>
    <n v="110"/>
    <n v="70"/>
    <x v="1"/>
    <s v="7 Sobresaliente"/>
    <n v="110"/>
    <s v="2 Medio"/>
    <n v="50"/>
    <n v="84"/>
    <s v="Antiguedad: &lt; 3 Meses|Tamaño Cartera: 1 Pequeño ≤ 500k|2 Medio Vendedor|Calidad Cartera: 7 Sobresaliente|Alcance Incentivos: 2 Medio"/>
  </r>
  <r>
    <x v="2"/>
    <x v="14"/>
    <n v="35878"/>
    <s v="MARI JOSE TLAPANCO SANTIAGO"/>
    <d v="2023-10-19T00:00:00"/>
    <d v="1899-12-30T00:00:00"/>
    <x v="0"/>
    <s v="NO"/>
    <n v="0"/>
    <n v="1"/>
    <s v=""/>
    <n v="192565.06999999998"/>
    <s v=""/>
    <s v=""/>
    <s v=""/>
    <n v="192565.06999999998"/>
    <n v="1"/>
    <n v="192565.06999999998"/>
    <s v="NA"/>
    <n v="192565.06999999998"/>
    <n v="0"/>
    <n v="0"/>
    <n v="0"/>
    <n v="1"/>
    <n v="112290"/>
    <n v="126000.13"/>
    <n v="1.1220957342595066"/>
    <n v="17"/>
    <n v="1.4166666666666667"/>
    <n v="0"/>
    <n v="0"/>
    <n v="0"/>
    <n v="10644.99"/>
    <n v="2194.25"/>
    <n v="0.20612983196790227"/>
    <n v="3266.7415249999995"/>
    <x v="0"/>
    <x v="0"/>
    <x v="0"/>
    <s v="1 Bajo Extremo"/>
    <n v="30"/>
    <s v="2 Bajo"/>
    <n v="50"/>
    <s v="7 Sobresaliente"/>
    <n v="110"/>
    <n v="66"/>
    <x v="1"/>
    <s v="7 Sobresaliente"/>
    <n v="110"/>
    <s v="1 Bajo"/>
    <n v="30"/>
    <n v="80"/>
    <s v="Antiguedad: &lt; 3 Meses|Tamaño Cartera: 1 Pequeño ≤ 500k|2 Medio Vendedor|Calidad Cartera: 7 Sobresaliente|Alcance Incentivos: 1 Bajo"/>
  </r>
  <r>
    <x v="2"/>
    <x v="16"/>
    <n v="36071"/>
    <s v="MARIO GUILLERMO PEREZ MORALES"/>
    <d v="2023-10-26T00:00:00"/>
    <d v="1899-12-30T00:00:00"/>
    <x v="0"/>
    <s v="NO"/>
    <n v="0"/>
    <n v="1"/>
    <s v=""/>
    <n v="256000.39"/>
    <s v=""/>
    <s v=""/>
    <s v=""/>
    <n v="256000.39"/>
    <n v="1"/>
    <n v="256000.39"/>
    <s v="NA"/>
    <n v="256000.39"/>
    <n v="0"/>
    <n v="0"/>
    <n v="0"/>
    <n v="1"/>
    <n v="85250"/>
    <n v="256000.38999999998"/>
    <n v="3.0029371260997064"/>
    <n v="30"/>
    <n v="6"/>
    <n v="0"/>
    <n v="0"/>
    <n v="0"/>
    <n v="11607.625"/>
    <n v="3679.9999999999995"/>
    <n v="0.31703298478370895"/>
    <n v="8400.0224249999992"/>
    <x v="0"/>
    <x v="0"/>
    <x v="0"/>
    <s v="1 Bajo Extremo"/>
    <n v="30"/>
    <s v="5 Alto"/>
    <n v="90"/>
    <s v="7 Sobresaliente"/>
    <n v="110"/>
    <n v="74"/>
    <x v="1"/>
    <s v="7 Sobresaliente"/>
    <n v="110"/>
    <s v="1 Bajo"/>
    <n v="30"/>
    <n v="84"/>
    <s v="Antiguedad: &lt; 3 Meses|Tamaño Cartera: 1 Pequeño ≤ 500k|2 Medio Vendedor|Calidad Cartera: 7 Sobresaliente|Alcance Incentivos: 1 Bajo"/>
  </r>
  <r>
    <x v="1"/>
    <x v="4"/>
    <n v="36153"/>
    <s v="JUAN MANUEL HERNANDEZ HERNANDEZ"/>
    <d v="2023-11-01T00:00:00"/>
    <d v="1899-12-30T00:00:00"/>
    <x v="0"/>
    <s v="NO"/>
    <n v="0"/>
    <n v="0"/>
    <n v="84999.09"/>
    <s v=""/>
    <s v=""/>
    <s v=""/>
    <s v=""/>
    <n v="84999.09"/>
    <n v="1"/>
    <n v="84999.09"/>
    <s v="NA"/>
    <n v="84999.09"/>
    <n v="0"/>
    <n v="0"/>
    <n v="0"/>
    <n v="1"/>
    <n v="41440"/>
    <n v="84999.09"/>
    <n v="2.0511363416988417"/>
    <n v="15"/>
    <n v="0.51724137931034486"/>
    <n v="0"/>
    <n v="0"/>
    <n v="0"/>
    <n v="6816.9699999999993"/>
    <n v="2000"/>
    <n v="0.29338547771223877"/>
    <n v="-3112.5523250000006"/>
    <x v="0"/>
    <x v="0"/>
    <x v="0"/>
    <s v="1 Bajo Extremo"/>
    <n v="30"/>
    <s v="1 Bajo Extremo"/>
    <n v="30"/>
    <s v="7 Sobresaliente"/>
    <n v="110"/>
    <n v="62"/>
    <x v="1"/>
    <s v="7 Sobresaliente"/>
    <n v="110"/>
    <s v="1 Bajo"/>
    <n v="30"/>
    <n v="78"/>
    <s v="Antiguedad: &lt; 3 Meses|Tamaño Cartera: 1 Pequeño ≤ 500k|2 Medio Vendedor|Calidad Cartera: 7 Sobresaliente|Alcance Incentivos: 1 Bajo"/>
  </r>
  <r>
    <x v="1"/>
    <x v="4"/>
    <n v="36305"/>
    <s v="JUAN ANTONIO POZOS VALVERDE"/>
    <d v="2023-11-10T00:00:00"/>
    <d v="1899-12-30T00:00:00"/>
    <x v="0"/>
    <s v="NO"/>
    <n v="0"/>
    <n v="0"/>
    <n v="134148"/>
    <s v=""/>
    <s v=""/>
    <s v=""/>
    <s v=""/>
    <n v="134148"/>
    <n v="1"/>
    <n v="134148"/>
    <s v="NA"/>
    <n v="134148"/>
    <n v="0"/>
    <n v="0"/>
    <n v="0"/>
    <n v="1"/>
    <n v="0"/>
    <n v="135999.38"/>
    <s v="NA"/>
    <n v="12"/>
    <n v="0.6"/>
    <n v="0"/>
    <n v="0"/>
    <n v="0"/>
    <n v="9327.65"/>
    <n v="2000"/>
    <n v="0.21441627848386249"/>
    <n v="-286.49000000000069"/>
    <x v="0"/>
    <x v="0"/>
    <x v="0"/>
    <s v="1 Bajo Extremo"/>
    <n v="30"/>
    <s v="1 Bajo Extremo"/>
    <n v="30"/>
    <s v="NA"/>
    <n v="0"/>
    <n v="18"/>
    <x v="0"/>
    <s v="7 Sobresaliente"/>
    <n v="110"/>
    <s v="1 Bajo"/>
    <n v="30"/>
    <n v="56"/>
    <s v="Antiguedad: &lt; 3 Meses|Tamaño Cartera: 1 Pequeño ≤ 500k|1 Mal Vendedor|Calidad Cartera: 7 Sobresaliente|Alcance Incentivos: 1 Bajo"/>
  </r>
  <r>
    <x v="1"/>
    <x v="5"/>
    <n v="36251"/>
    <s v="ANA LIZBETH MORA RAMIREZ"/>
    <d v="2023-11-08T00:00:00"/>
    <d v="1899-12-30T00:00:00"/>
    <x v="0"/>
    <s v="NO"/>
    <n v="0"/>
    <n v="0"/>
    <n v="79999.839999999997"/>
    <s v=""/>
    <s v=""/>
    <s v=""/>
    <s v=""/>
    <n v="79999.839999999997"/>
    <n v="1"/>
    <n v="79999.839999999997"/>
    <s v="NA"/>
    <n v="79999.839999999997"/>
    <n v="0"/>
    <n v="0"/>
    <n v="0"/>
    <n v="1"/>
    <n v="0"/>
    <n v="79999.839999999997"/>
    <s v="NA"/>
    <n v="23"/>
    <n v="1.0454545454545454"/>
    <n v="0"/>
    <n v="0"/>
    <n v="0"/>
    <n v="9327.65"/>
    <n v="2000"/>
    <n v="0.21441627848386249"/>
    <n v="-3400.0091999999995"/>
    <x v="0"/>
    <x v="0"/>
    <x v="0"/>
    <s v="1 Bajo Extremo"/>
    <n v="30"/>
    <s v="2 Bajo"/>
    <n v="50"/>
    <s v="NA"/>
    <n v="0"/>
    <n v="22"/>
    <x v="0"/>
    <s v="7 Sobresaliente"/>
    <n v="110"/>
    <s v="1 Bajo"/>
    <n v="30"/>
    <n v="58"/>
    <s v="Antiguedad: &lt; 3 Meses|Tamaño Cartera: 1 Pequeño ≤ 500k|1 Mal Vendedor|Calidad Cartera: 7 Sobresaliente|Alcance Incentivos: 1 Bajo"/>
  </r>
  <r>
    <x v="2"/>
    <x v="11"/>
    <n v="36252"/>
    <s v="PAOLA GRISELL ROMERO SANCHEZ"/>
    <d v="2023-11-08T00:00:00"/>
    <d v="1899-12-30T00:00:00"/>
    <x v="0"/>
    <s v="NO"/>
    <n v="0"/>
    <n v="0"/>
    <n v="989465.56000000017"/>
    <s v=""/>
    <s v=""/>
    <s v=""/>
    <s v=""/>
    <n v="989465.56000000017"/>
    <n v="1"/>
    <n v="989465.56000000017"/>
    <s v="NA"/>
    <n v="989465.56000000017"/>
    <n v="0"/>
    <n v="0"/>
    <n v="0"/>
    <n v="1"/>
    <n v="0"/>
    <n v="312500.77"/>
    <s v="NA"/>
    <n v="9"/>
    <n v="0.40909090909090912"/>
    <n v="0"/>
    <n v="0"/>
    <n v="0"/>
    <n v="10987.65"/>
    <n v="3749.3199999999997"/>
    <n v="0.34123038138273426"/>
    <n v="50643.589700000011"/>
    <x v="0"/>
    <x v="2"/>
    <x v="0"/>
    <s v="1 Bajo Extremo"/>
    <n v="30"/>
    <s v="1 Bajo Extremo"/>
    <n v="30"/>
    <s v="NA"/>
    <n v="0"/>
    <n v="18"/>
    <x v="0"/>
    <s v="7 Sobresaliente"/>
    <n v="110"/>
    <s v="1 Bajo"/>
    <n v="30"/>
    <n v="56"/>
    <s v="Antiguedad: &lt; 3 Meses|Tamaño Cartera: 2 Mediana ≤ 1MM|1 Mal Vendedor|Calidad Cartera: 7 Sobresaliente|Alcance Incentivos: 1 Bajo"/>
  </r>
  <r>
    <x v="2"/>
    <x v="14"/>
    <n v="31036"/>
    <s v="JENIFER QUETZALLI AVILA REMOLINO"/>
    <d v="2023-04-24T00:00:00"/>
    <d v="1899-12-30T00:00:00"/>
    <x v="0"/>
    <s v="NO"/>
    <n v="7"/>
    <n v="7"/>
    <n v="577314.51"/>
    <s v=""/>
    <s v=""/>
    <s v=""/>
    <s v=""/>
    <n v="577314.51"/>
    <n v="1"/>
    <n v="577314.51"/>
    <s v="NA"/>
    <n v="552347.63"/>
    <n v="0"/>
    <n v="0"/>
    <n v="0"/>
    <n v="0.95675341678143511"/>
    <n v="0"/>
    <n v="125500.05999999995"/>
    <s v="NA"/>
    <n v="6"/>
    <n v="2.7272727272727271E-2"/>
    <n v="24"/>
    <n v="19"/>
    <n v="0.79166666666666663"/>
    <n v="8951"/>
    <n v="926.72268800000006"/>
    <n v="0.10353286649536365"/>
    <n v="24122.307013000005"/>
    <x v="3"/>
    <x v="2"/>
    <x v="0"/>
    <s v="4 Medio Alto"/>
    <n v="80"/>
    <s v="1 Bajo Extremo"/>
    <n v="30"/>
    <s v="NA"/>
    <n v="0"/>
    <n v="38"/>
    <x v="0"/>
    <s v="5 Alto"/>
    <n v="90"/>
    <s v="1 Bajo"/>
    <n v="30"/>
    <n v="58"/>
    <s v="Antiguedad: 6 a 12 Meses|Tamaño Cartera: 2 Mediana ≤ 1MM|1 Mal Vendedor|Calidad Cartera: 5 Alto|Alcance Incentivos: 1 Bajo"/>
  </r>
  <r>
    <x v="2"/>
    <x v="16"/>
    <n v="28375"/>
    <s v="OLIVIA  LOPEZ HERNANDEZ"/>
    <d v="2023-01-23T00:00:00"/>
    <e v="#N/A"/>
    <x v="2"/>
    <s v="NO"/>
    <n v="10"/>
    <n v="10"/>
    <n v="1468639.49"/>
    <s v=""/>
    <s v=""/>
    <s v=""/>
    <s v=""/>
    <n v="1468639.49"/>
    <n v="1"/>
    <n v="1468639.49"/>
    <s v="NA"/>
    <n v="1362376.8399999996"/>
    <n v="14849.21"/>
    <n v="1.0110861175331734E-2"/>
    <n v="0.12133033410398081"/>
    <n v="0.91836010614708397"/>
    <n v="0"/>
    <n v="645001.05000000005"/>
    <s v="NA"/>
    <n v="5"/>
    <n v="1.607717041800643E-2"/>
    <n v="21"/>
    <n v="16"/>
    <n v="0.76190476190476186"/>
    <n v="16131"/>
    <n v="1418.5065049999996"/>
    <n v="8.7936675035645631E-2"/>
    <n v="90714.487180000011"/>
    <x v="3"/>
    <x v="1"/>
    <x v="0"/>
    <s v="4 Medio Alto"/>
    <n v="80"/>
    <s v="1 Bajo Extremo"/>
    <n v="30"/>
    <s v="NA"/>
    <n v="0"/>
    <n v="38"/>
    <x v="0"/>
    <s v="4 Medio Alto"/>
    <n v="80"/>
    <s v="1 Bajo"/>
    <n v="30"/>
    <n v="54"/>
    <s v="Antiguedad: 6 a 12 Meses|Tamaño Cartera: 3 Mediana ≥ 1MM|1 Mal Vendedor|Calidad Cartera: 4 Medio Alto|Alcance Incentivos: 1 Baj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0C9A0-6C96-46B0-8C88-E5D07AC67E83}" name="TablaDinámica7" cacheId="1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multipleFieldFilters="0">
  <location ref="Z5:AG11" firstHeaderRow="1" firstDataRow="2" firstDataCol="1" rowPageCount="3" colPageCount="1"/>
  <pivotFields count="53">
    <pivotField axis="axisPage" compact="0" outline="0" subtotalTop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>
      <items count="8">
        <item x="0"/>
        <item x="2"/>
        <item x="6"/>
        <item x="5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sortType="ascending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sortType="ascending">
      <items count="30">
        <item m="1" x="22"/>
        <item x="5"/>
        <item m="1" x="20"/>
        <item x="1"/>
        <item m="1" x="16"/>
        <item m="1" x="7"/>
        <item m="1" x="15"/>
        <item x="2"/>
        <item m="1" x="17"/>
        <item x="3"/>
        <item m="1" x="18"/>
        <item x="6"/>
        <item m="1" x="21"/>
        <item x="4"/>
        <item m="1" x="19"/>
        <item m="1" x="13"/>
        <item m="1" x="9"/>
        <item m="1" x="8"/>
        <item m="1" x="28"/>
        <item m="1" x="26"/>
        <item m="1" x="25"/>
        <item m="1" x="24"/>
        <item m="1" x="10"/>
        <item m="1" x="27"/>
        <item m="1" x="23"/>
        <item m="1" x="11"/>
        <item m="1" x="14"/>
        <item m="1" x="12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ascending">
      <items count="9">
        <item x="0"/>
        <item x="1"/>
        <item x="2"/>
        <item x="3"/>
        <item m="1" x="6"/>
        <item m="1" x="7"/>
        <item m="1" x="4"/>
        <item m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6"/>
  </rowFields>
  <rowItems count="5">
    <i>
      <x/>
    </i>
    <i>
      <x v="1"/>
    </i>
    <i>
      <x v="2"/>
    </i>
    <i>
      <x v="3"/>
    </i>
    <i t="grand">
      <x/>
    </i>
  </rowItems>
  <colFields count="1">
    <field x="38"/>
  </colFields>
  <colItems count="7">
    <i>
      <x v="1"/>
    </i>
    <i>
      <x v="3"/>
    </i>
    <i>
      <x v="7"/>
    </i>
    <i>
      <x v="9"/>
    </i>
    <i>
      <x v="11"/>
    </i>
    <i>
      <x v="13"/>
    </i>
    <i t="grand">
      <x/>
    </i>
  </colItems>
  <pageFields count="3">
    <pageField fld="6" hier="-1"/>
    <pageField fld="36" hier="-1"/>
    <pageField fld="0" hier="-1"/>
  </pageFields>
  <dataFields count="1">
    <dataField name="Cuenta de Nombre del empleado" fld="3" subtotal="count" showDataAs="percentOfTotal" baseField="36" baseItem="0" numFmtId="10"/>
  </dataFields>
  <formats count="12">
    <format dxfId="60">
      <pivotArea outline="0" collapsedLevelsAreSubtotals="1" fieldPosition="0"/>
    </format>
    <format dxfId="59">
      <pivotArea outline="0" collapsedLevelsAreSubtotals="1" fieldPosition="0"/>
    </format>
    <format dxfId="58">
      <pivotArea field="37" dataOnly="0" labelOnly="1" grandCol="1" outline="0">
        <references count="1">
          <reference field="4294967294" count="1" selected="0">
            <x v="0"/>
          </reference>
        </references>
      </pivotArea>
    </format>
    <format dxfId="57">
      <pivotArea field="37" dataOnly="0" labelOnly="1" grandCol="1" outline="0">
        <references count="1">
          <reference field="4294967294" count="1" selected="0">
            <x v="0"/>
          </reference>
        </references>
      </pivotArea>
    </format>
    <format dxfId="56">
      <pivotArea field="37" dataOnly="0" labelOnly="1" grandCol="1" outline="0">
        <references count="1">
          <reference field="4294967294" count="1" selected="0">
            <x v="0"/>
          </reference>
        </references>
      </pivotArea>
    </format>
    <format dxfId="55">
      <pivotArea outline="0" fieldPosition="0">
        <references count="1">
          <reference field="4294967294" count="1">
            <x v="0"/>
          </reference>
        </references>
      </pivotArea>
    </format>
    <format dxfId="54">
      <pivotArea dataOnly="0" labelOnly="1" outline="0" fieldPosition="0">
        <references count="1">
          <reference field="38" count="0"/>
        </references>
      </pivotArea>
    </format>
    <format dxfId="53">
      <pivotArea dataOnly="0" labelOnly="1" grandCol="1" outline="0" fieldPosition="0"/>
    </format>
    <format dxfId="52">
      <pivotArea dataOnly="0" labelOnly="1" outline="0" fieldPosition="0">
        <references count="1">
          <reference field="38" count="0"/>
        </references>
      </pivotArea>
    </format>
    <format dxfId="51">
      <pivotArea dataOnly="0" labelOnly="1" grandCol="1" outline="0" fieldPosition="0"/>
    </format>
    <format dxfId="50">
      <pivotArea dataOnly="0" labelOnly="1" outline="0" fieldPosition="0">
        <references count="1">
          <reference field="38" count="0"/>
        </references>
      </pivotArea>
    </format>
    <format dxfId="49">
      <pivotArea dataOnly="0" labelOnly="1" grandCol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01D99-9A62-451D-B14B-9F13E41FED65}" name="TablaDinámica5" cacheId="1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multipleFieldFilters="0">
  <location ref="Q5:W13" firstHeaderRow="1" firstDataRow="2" firstDataCol="1" rowPageCount="3" colPageCount="1"/>
  <pivotFields count="53">
    <pivotField axis="axisPage" compact="0" outline="0" subtotalTop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>
      <items count="8">
        <item x="0"/>
        <item x="2"/>
        <item x="6"/>
        <item x="5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sortType="ascending">
      <items count="11">
        <item x="0"/>
        <item x="2"/>
        <item x="1"/>
        <item x="4"/>
        <item x="3"/>
        <item m="1" x="9"/>
        <item m="1" x="8"/>
        <item m="1" x="7"/>
        <item m="1" x="6"/>
        <item m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ascending">
      <items count="30">
        <item m="1" x="22"/>
        <item x="5"/>
        <item m="1" x="20"/>
        <item x="1"/>
        <item m="1" x="16"/>
        <item m="1" x="7"/>
        <item m="1" x="15"/>
        <item x="2"/>
        <item m="1" x="17"/>
        <item x="3"/>
        <item m="1" x="18"/>
        <item x="6"/>
        <item m="1" x="21"/>
        <item x="4"/>
        <item m="1" x="19"/>
        <item m="1" x="13"/>
        <item m="1" x="9"/>
        <item m="1" x="8"/>
        <item m="1" x="28"/>
        <item m="1" x="26"/>
        <item m="1" x="25"/>
        <item m="1" x="24"/>
        <item m="1" x="10"/>
        <item m="1" x="27"/>
        <item m="1" x="23"/>
        <item m="1" x="11"/>
        <item m="1" x="14"/>
        <item m="1" x="12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8"/>
  </rowFields>
  <rowItems count="7">
    <i>
      <x v="1"/>
    </i>
    <i>
      <x v="3"/>
    </i>
    <i>
      <x v="7"/>
    </i>
    <i>
      <x v="9"/>
    </i>
    <i>
      <x v="11"/>
    </i>
    <i>
      <x v="13"/>
    </i>
    <i t="grand">
      <x/>
    </i>
  </rowItems>
  <colFields count="1">
    <field x="3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6" hier="-1"/>
    <pageField fld="36" hier="-1"/>
    <pageField fld="0" hier="-1"/>
  </pageFields>
  <dataFields count="1">
    <dataField name="Cuenta de Nombre del empleado" fld="3" subtotal="count" showDataAs="percentOfTotal" baseField="36" baseItem="0" numFmtId="10"/>
  </dataFields>
  <formats count="18">
    <format dxfId="78">
      <pivotArea outline="0" collapsedLevelsAreSubtotals="1" fieldPosition="0"/>
    </format>
    <format dxfId="77">
      <pivotArea outline="0" collapsedLevelsAreSubtotals="1" fieldPosition="0"/>
    </format>
    <format dxfId="76">
      <pivotArea dataOnly="0" labelOnly="1" outline="0" fieldPosition="0">
        <references count="2">
          <reference field="4294967294" count="1">
            <x v="0"/>
          </reference>
          <reference field="37" count="1" selected="0">
            <x v="5"/>
          </reference>
        </references>
      </pivotArea>
    </format>
    <format dxfId="75">
      <pivotArea dataOnly="0" labelOnly="1" outline="0" fieldPosition="0">
        <references count="2">
          <reference field="4294967294" count="1">
            <x v="0"/>
          </reference>
          <reference field="37" count="1" selected="0">
            <x v="6"/>
          </reference>
        </references>
      </pivotArea>
    </format>
    <format dxfId="74">
      <pivotArea dataOnly="0" labelOnly="1" outline="0" fieldPosition="0">
        <references count="2">
          <reference field="4294967294" count="1">
            <x v="0"/>
          </reference>
          <reference field="37" count="1" selected="0">
            <x v="7"/>
          </reference>
        </references>
      </pivotArea>
    </format>
    <format dxfId="73">
      <pivotArea dataOnly="0" labelOnly="1" outline="0" fieldPosition="0">
        <references count="2">
          <reference field="4294967294" count="1">
            <x v="0"/>
          </reference>
          <reference field="37" count="1" selected="0">
            <x v="8"/>
          </reference>
        </references>
      </pivotArea>
    </format>
    <format dxfId="72">
      <pivotArea dataOnly="0" labelOnly="1" outline="0" fieldPosition="0">
        <references count="2">
          <reference field="4294967294" count="1">
            <x v="0"/>
          </reference>
          <reference field="37" count="1" selected="0">
            <x v="9"/>
          </reference>
        </references>
      </pivotArea>
    </format>
    <format dxfId="71">
      <pivotArea dataOnly="0" labelOnly="1" outline="0" fieldPosition="0">
        <references count="1">
          <reference field="37" count="0"/>
        </references>
      </pivotArea>
    </format>
    <format dxfId="70">
      <pivotArea field="3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9">
      <pivotArea dataOnly="0" labelOnly="1" outline="0" fieldPosition="0">
        <references count="1">
          <reference field="37" count="0"/>
        </references>
      </pivotArea>
    </format>
    <format dxfId="68">
      <pivotArea field="3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7">
      <pivotArea dataOnly="0" labelOnly="1" outline="0" fieldPosition="0">
        <references count="1">
          <reference field="37" count="0"/>
        </references>
      </pivotArea>
    </format>
    <format dxfId="66">
      <pivotArea field="3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5">
      <pivotArea dataOnly="0" labelOnly="1" outline="0" fieldPosition="0">
        <references count="2">
          <reference field="4294967294" count="1">
            <x v="0"/>
          </reference>
          <reference field="37" count="1" selected="0">
            <x v="5"/>
          </reference>
        </references>
      </pivotArea>
    </format>
    <format dxfId="64">
      <pivotArea dataOnly="0" labelOnly="1" outline="0" fieldPosition="0">
        <references count="2">
          <reference field="4294967294" count="1">
            <x v="0"/>
          </reference>
          <reference field="37" count="1" selected="0">
            <x v="6"/>
          </reference>
        </references>
      </pivotArea>
    </format>
    <format dxfId="63">
      <pivotArea dataOnly="0" labelOnly="1" outline="0" fieldPosition="0">
        <references count="2">
          <reference field="4294967294" count="1">
            <x v="0"/>
          </reference>
          <reference field="37" count="1" selected="0">
            <x v="7"/>
          </reference>
        </references>
      </pivotArea>
    </format>
    <format dxfId="62">
      <pivotArea dataOnly="0" labelOnly="1" outline="0" fieldPosition="0">
        <references count="2">
          <reference field="4294967294" count="1">
            <x v="0"/>
          </reference>
          <reference field="37" count="1" selected="0">
            <x v="8"/>
          </reference>
        </references>
      </pivotArea>
    </format>
    <format dxfId="6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E1AA0-4403-459B-9B5B-2FE64F0446C2}" name="TablaDinámica4" cacheId="1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multipleFieldFilters="0">
  <location ref="A4:N23" firstHeaderRow="1" firstDataRow="3" firstDataCol="2" rowPageCount="2" colPageCount="1"/>
  <pivotFields count="53">
    <pivotField axis="axisRow" compact="0" outline="0" subtotalTop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>
      <items count="8">
        <item x="0"/>
        <item x="2"/>
        <item x="6"/>
        <item x="5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sortType="ascending">
      <items count="11">
        <item x="0"/>
        <item x="2"/>
        <item x="1"/>
        <item x="4"/>
        <item x="3"/>
        <item m="1" x="9"/>
        <item m="1" x="8"/>
        <item m="1" x="7"/>
        <item m="1" x="6"/>
        <item m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ascending">
      <items count="30">
        <item m="1" x="22"/>
        <item x="5"/>
        <item m="1" x="20"/>
        <item x="1"/>
        <item m="1" x="16"/>
        <item m="1" x="7"/>
        <item m="1" x="15"/>
        <item x="2"/>
        <item m="1" x="17"/>
        <item x="3"/>
        <item m="1" x="18"/>
        <item x="6"/>
        <item m="1" x="21"/>
        <item x="4"/>
        <item m="1" x="19"/>
        <item m="1" x="13"/>
        <item m="1" x="9"/>
        <item m="1" x="8"/>
        <item m="1" x="28"/>
        <item m="1" x="26"/>
        <item m="1" x="25"/>
        <item m="1" x="24"/>
        <item m="1" x="10"/>
        <item m="1" x="27"/>
        <item m="1" x="23"/>
        <item m="1" x="11"/>
        <item m="1" x="14"/>
        <item m="1" x="1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8"/>
  </rowFields>
  <rowItems count="17">
    <i>
      <x/>
      <x v="1"/>
    </i>
    <i r="1">
      <x v="3"/>
    </i>
    <i r="1">
      <x v="7"/>
    </i>
    <i r="1">
      <x v="11"/>
    </i>
    <i r="1">
      <x v="13"/>
    </i>
    <i r="1">
      <x v="28"/>
    </i>
    <i t="default">
      <x/>
    </i>
    <i>
      <x v="1"/>
      <x v="3"/>
    </i>
    <i r="1">
      <x v="7"/>
    </i>
    <i r="1">
      <x v="9"/>
    </i>
    <i r="1">
      <x v="13"/>
    </i>
    <i r="1">
      <x v="28"/>
    </i>
    <i t="default">
      <x v="1"/>
    </i>
    <i>
      <x v="2"/>
      <x v="3"/>
    </i>
    <i r="1">
      <x v="28"/>
    </i>
    <i t="default">
      <x v="2"/>
    </i>
    <i t="grand">
      <x/>
    </i>
  </rowItems>
  <colFields count="2">
    <field x="37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pageFields count="2">
    <pageField fld="36" hier="-1"/>
    <pageField fld="6" hier="-1"/>
  </pageFields>
  <dataFields count="2">
    <dataField name="Cuenta de Nombre del empleado" fld="3" subtotal="count" baseField="0" baseItem="0"/>
    <dataField name="Promedio de Calificación Total" fld="51" subtotal="average" baseField="0" baseItem="0" numFmtId="1"/>
  </dataFields>
  <formats count="20">
    <format dxfId="98">
      <pivotArea outline="0" collapsedLevelsAreSubtotals="1" fieldPosition="0"/>
    </format>
    <format dxfId="97">
      <pivotArea outline="0" collapsedLevelsAreSubtotals="1" fieldPosition="0"/>
    </format>
    <format dxfId="96">
      <pivotArea dataOnly="0" labelOnly="1" outline="0" fieldPosition="0">
        <references count="2">
          <reference field="4294967294" count="2">
            <x v="0"/>
            <x v="1"/>
          </reference>
          <reference field="37" count="1" selected="0">
            <x v="5"/>
          </reference>
        </references>
      </pivotArea>
    </format>
    <format dxfId="95">
      <pivotArea dataOnly="0" labelOnly="1" outline="0" fieldPosition="0">
        <references count="2">
          <reference field="4294967294" count="2">
            <x v="0"/>
            <x v="1"/>
          </reference>
          <reference field="37" count="1" selected="0">
            <x v="6"/>
          </reference>
        </references>
      </pivotArea>
    </format>
    <format dxfId="94">
      <pivotArea dataOnly="0" labelOnly="1" outline="0" fieldPosition="0">
        <references count="2">
          <reference field="4294967294" count="2">
            <x v="0"/>
            <x v="1"/>
          </reference>
          <reference field="37" count="1" selected="0">
            <x v="7"/>
          </reference>
        </references>
      </pivotArea>
    </format>
    <format dxfId="93">
      <pivotArea dataOnly="0" labelOnly="1" outline="0" fieldPosition="0">
        <references count="2">
          <reference field="4294967294" count="2">
            <x v="0"/>
            <x v="1"/>
          </reference>
          <reference field="37" count="1" selected="0">
            <x v="8"/>
          </reference>
        </references>
      </pivotArea>
    </format>
    <format dxfId="92">
      <pivotArea dataOnly="0" labelOnly="1" outline="0" fieldPosition="0">
        <references count="2">
          <reference field="4294967294" count="2">
            <x v="0"/>
            <x v="1"/>
          </reference>
          <reference field="37" count="1" selected="0">
            <x v="9"/>
          </reference>
        </references>
      </pivotArea>
    </format>
    <format dxfId="91">
      <pivotArea dataOnly="0" labelOnly="1" outline="0" fieldPosition="0">
        <references count="1">
          <reference field="37" count="0"/>
        </references>
      </pivotArea>
    </format>
    <format dxfId="90">
      <pivotArea field="3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9">
      <pivotArea field="3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8">
      <pivotArea dataOnly="0" labelOnly="1" outline="0" fieldPosition="0">
        <references count="1">
          <reference field="37" count="0"/>
        </references>
      </pivotArea>
    </format>
    <format dxfId="87">
      <pivotArea field="3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6">
      <pivotArea field="3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5">
      <pivotArea dataOnly="0" labelOnly="1" outline="0" fieldPosition="0">
        <references count="1">
          <reference field="37" count="0"/>
        </references>
      </pivotArea>
    </format>
    <format dxfId="84">
      <pivotArea field="37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3">
      <pivotArea field="37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2">
      <pivotArea dataOnly="0" labelOnly="1" outline="0" fieldPosition="0">
        <references count="2">
          <reference field="4294967294" count="2">
            <x v="0"/>
            <x v="1"/>
          </reference>
          <reference field="37" count="1" selected="0">
            <x v="5"/>
          </reference>
        </references>
      </pivotArea>
    </format>
    <format dxfId="81">
      <pivotArea dataOnly="0" labelOnly="1" outline="0" fieldPosition="0">
        <references count="2">
          <reference field="4294967294" count="2">
            <x v="0"/>
            <x v="1"/>
          </reference>
          <reference field="37" count="1" selected="0">
            <x v="6"/>
          </reference>
        </references>
      </pivotArea>
    </format>
    <format dxfId="80">
      <pivotArea dataOnly="0" labelOnly="1" outline="0" fieldPosition="0">
        <references count="2">
          <reference field="4294967294" count="2">
            <x v="0"/>
            <x v="1"/>
          </reference>
          <reference field="37" count="1" selected="0">
            <x v="7"/>
          </reference>
        </references>
      </pivotArea>
    </format>
    <format dxfId="79">
      <pivotArea dataOnly="0" labelOnly="1" outline="0" fieldPosition="0">
        <references count="2">
          <reference field="4294967294" count="2">
            <x v="0"/>
            <x v="1"/>
          </reference>
          <reference field="37" count="1" selected="0">
            <x v="8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BAD84-F400-497B-80F7-DFC5BEEE0BD8}" name="TablaDinámica8" cacheId="1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multipleFieldFilters="0">
  <location ref="A6:K27" firstHeaderRow="0" firstDataRow="1" firstDataCol="2" rowPageCount="4" colPageCount="1"/>
  <pivotFields count="53">
    <pivotField axis="axisRow" compact="0" outline="0" showAll="0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18">
        <item x="10"/>
        <item x="0"/>
        <item x="11"/>
        <item x="2"/>
        <item x="12"/>
        <item x="13"/>
        <item x="3"/>
        <item x="4"/>
        <item x="14"/>
        <item x="5"/>
        <item x="6"/>
        <item x="15"/>
        <item x="7"/>
        <item x="16"/>
        <item x="8"/>
        <item x="9"/>
        <item x="1"/>
        <item t="default"/>
      </items>
      <autoSortScope>
        <pivotArea dataOnly="0" outline="0" fieldPosition="0">
          <references count="1">
            <reference field="4294967294" count="1" selected="0">
              <x v="8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8">
        <item x="0"/>
        <item x="2"/>
        <item x="6"/>
        <item x="5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11">
        <item x="0"/>
        <item x="2"/>
        <item x="1"/>
        <item x="4"/>
        <item x="3"/>
        <item m="1" x="9"/>
        <item m="1" x="8"/>
        <item m="1" x="7"/>
        <item m="1" x="6"/>
        <item m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0">
        <item m="1" x="22"/>
        <item x="5"/>
        <item m="1" x="20"/>
        <item x="1"/>
        <item m="1" x="16"/>
        <item m="1" x="7"/>
        <item m="1" x="15"/>
        <item x="2"/>
        <item m="1" x="17"/>
        <item x="3"/>
        <item m="1" x="18"/>
        <item x="6"/>
        <item m="1" x="21"/>
        <item x="4"/>
        <item m="1" x="19"/>
        <item m="1" x="13"/>
        <item m="1" x="9"/>
        <item m="1" x="8"/>
        <item m="1" x="28"/>
        <item m="1" x="26"/>
        <item m="1" x="25"/>
        <item m="1" x="24"/>
        <item m="1" x="10"/>
        <item m="1" x="27"/>
        <item m="1" x="23"/>
        <item m="1" x="11"/>
        <item m="1" x="14"/>
        <item m="1" x="1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1">
    <i>
      <x/>
      <x/>
    </i>
    <i r="1">
      <x v="13"/>
    </i>
    <i r="1">
      <x v="2"/>
    </i>
    <i r="1">
      <x v="8"/>
    </i>
    <i r="1">
      <x v="11"/>
    </i>
    <i r="1">
      <x v="4"/>
    </i>
    <i r="1">
      <x v="5"/>
    </i>
    <i t="default">
      <x/>
    </i>
    <i>
      <x v="1"/>
      <x v="15"/>
    </i>
    <i r="1">
      <x v="7"/>
    </i>
    <i r="1">
      <x v="6"/>
    </i>
    <i r="1">
      <x v="14"/>
    </i>
    <i r="1">
      <x v="12"/>
    </i>
    <i r="1">
      <x v="9"/>
    </i>
    <i r="1">
      <x v="10"/>
    </i>
    <i r="1">
      <x v="3"/>
    </i>
    <i t="default">
      <x v="1"/>
    </i>
    <i>
      <x v="2"/>
      <x v="1"/>
    </i>
    <i r="1">
      <x v="16"/>
    </i>
    <i t="default">
      <x v="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4">
    <pageField fld="6" hier="-1"/>
    <pageField fld="36" hier="-1"/>
    <pageField fld="37" hier="-1"/>
    <pageField fld="38" hier="-1"/>
  </pageFields>
  <dataFields count="9">
    <dataField name="Cuenta de Nombre del empleado" fld="3" subtotal="count" baseField="0" baseItem="0"/>
    <dataField name="Promedio de Promedio Cartera" fld="15" subtotal="average" baseField="1" baseItem="13" numFmtId="3"/>
    <dataField name="Promedio de Puntaje Renovaciones" fld="40" subtotal="average" baseField="1" baseItem="0"/>
    <dataField name="Promedio de Puntaje Prospección" fld="42" subtotal="average" baseField="1" baseItem="0"/>
    <dataField name="Promedio de Puntaje Cumplimiento Meta Colocación" fld="44" subtotal="average" baseField="1" baseItem="0"/>
    <dataField name="Promedio de Calificación Ventas" fld="45" subtotal="average" baseField="1" baseItem="0"/>
    <dataField name="Promedio de Puntaje Calidad" fld="48" subtotal="average" baseField="1" baseItem="0"/>
    <dataField name="Promedio de Puntaje Incentivos" fld="50" subtotal="average" baseField="1" baseItem="0"/>
    <dataField name="Promedio de Calificación Total" fld="51" subtotal="average" baseField="1" baseItem="0"/>
  </dataFields>
  <formats count="27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0" type="button" dataOnly="0" labelOnly="1" outline="0" axis="axisRow" fieldPosition="0"/>
    </format>
    <format dxfId="45">
      <pivotArea field="1" type="button" dataOnly="0" labelOnly="1" outline="0" axis="axisRow" fieldPosition="1"/>
    </format>
    <format dxfId="44">
      <pivotArea dataOnly="0" labelOnly="1" outline="0" fieldPosition="0">
        <references count="1">
          <reference field="0" count="0"/>
        </references>
      </pivotArea>
    </format>
    <format dxfId="43">
      <pivotArea dataOnly="0" labelOnly="1" outline="0" fieldPosition="0">
        <references count="1">
          <reference field="0" count="0" defaultSubtotal="1"/>
        </references>
      </pivotArea>
    </format>
    <format dxfId="42">
      <pivotArea dataOnly="0" labelOnly="1" grandRow="1" outline="0" fieldPosition="0"/>
    </format>
    <format dxfId="41">
      <pivotArea dataOnly="0" labelOnly="1" outline="0" fieldPosition="0">
        <references count="2">
          <reference field="0" count="1" selected="0">
            <x v="0"/>
          </reference>
          <reference field="1" count="7">
            <x v="0"/>
            <x v="2"/>
            <x v="4"/>
            <x v="5"/>
            <x v="8"/>
            <x v="11"/>
            <x v="13"/>
          </reference>
        </references>
      </pivotArea>
    </format>
    <format dxfId="40">
      <pivotArea dataOnly="0" labelOnly="1" outline="0" fieldPosition="0">
        <references count="2">
          <reference field="0" count="1" selected="0">
            <x v="1"/>
          </reference>
          <reference field="1" count="8">
            <x v="3"/>
            <x v="6"/>
            <x v="7"/>
            <x v="9"/>
            <x v="10"/>
            <x v="12"/>
            <x v="14"/>
            <x v="15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2"/>
          </reference>
          <reference field="1" count="2">
            <x v="1"/>
            <x v="16"/>
          </reference>
        </references>
      </pivotArea>
    </format>
    <format dxfId="38">
      <pivotArea dataOnly="0" labelOnly="1" outline="0" fieldPosition="0">
        <references count="1">
          <reference field="4294967294" count="8">
            <x v="0"/>
            <x v="2"/>
            <x v="3"/>
            <x v="4"/>
            <x v="5"/>
            <x v="6"/>
            <x v="7"/>
            <x v="8"/>
          </reference>
        </references>
      </pivotArea>
    </format>
    <format dxfId="37">
      <pivotArea field="0" type="button" dataOnly="0" labelOnly="1" outline="0" axis="axisRow" fieldPosition="0"/>
    </format>
    <format dxfId="36">
      <pivotArea field="1" type="button" dataOnly="0" labelOnly="1" outline="0" axis="axisRow" fieldPosition="1"/>
    </format>
    <format dxfId="35">
      <pivotArea dataOnly="0" labelOnly="1" outline="0" fieldPosition="0">
        <references count="1">
          <reference field="4294967294" count="8">
            <x v="0"/>
            <x v="2"/>
            <x v="3"/>
            <x v="4"/>
            <x v="5"/>
            <x v="6"/>
            <x v="7"/>
            <x v="8"/>
          </reference>
        </references>
      </pivotArea>
    </format>
    <format dxfId="34">
      <pivotArea field="0" type="button" dataOnly="0" labelOnly="1" outline="0" axis="axisRow" fieldPosition="0"/>
    </format>
    <format dxfId="33">
      <pivotArea field="1" type="button" dataOnly="0" labelOnly="1" outline="0" axis="axisRow" fieldPosition="1"/>
    </format>
    <format dxfId="32">
      <pivotArea dataOnly="0" labelOnly="1" outline="0" fieldPosition="0">
        <references count="1">
          <reference field="4294967294" count="8">
            <x v="0"/>
            <x v="2"/>
            <x v="3"/>
            <x v="4"/>
            <x v="5"/>
            <x v="6"/>
            <x v="7"/>
            <x v="8"/>
          </reference>
        </references>
      </pivotArea>
    </format>
    <format dxfId="31">
      <pivotArea field="0" type="button" dataOnly="0" labelOnly="1" outline="0" axis="axisRow" fieldPosition="0"/>
    </format>
    <format dxfId="30">
      <pivotArea field="1" type="button" dataOnly="0" labelOnly="1" outline="0" axis="axisRow" fieldPosition="1"/>
    </format>
    <format dxfId="29">
      <pivotArea dataOnly="0" labelOnly="1" outline="0" fieldPosition="0">
        <references count="1">
          <reference field="4294967294" count="8">
            <x v="0"/>
            <x v="2"/>
            <x v="3"/>
            <x v="4"/>
            <x v="5"/>
            <x v="6"/>
            <x v="7"/>
            <x v="8"/>
          </reference>
        </references>
      </pivotArea>
    </format>
    <format dxfId="28">
      <pivotArea outline="0" collapsedLevelsAreSubtotals="1" fieldPosition="0"/>
    </format>
    <format dxfId="27">
      <pivotArea outline="0" collapsedLevelsAreSubtotals="1" fieldPosition="0"/>
    </format>
    <format dxfId="26">
      <pivotArea outline="0" collapsedLevelsAreSubtotals="1" fieldPosition="0"/>
    </format>
    <format dxfId="25">
      <pivotArea outline="0" fieldPosition="0">
        <references count="1">
          <reference field="4294967294" count="1" selected="0">
            <x v="1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31475-D6A3-4078-A81E-7C4E1DF0144B}" name="TablaDiná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I3:O22" firstHeaderRow="1" firstDataRow="2" firstDataCol="1"/>
  <pivotFields count="21">
    <pivotField axis="axisRow" showAll="0" defaultSubtotal="0">
      <items count="3">
        <item x="2"/>
        <item x="1"/>
        <item x="0"/>
      </items>
    </pivotField>
    <pivotField showAll="0" defaultSubtotal="0"/>
    <pivotField showAll="0" defaultSubtotal="0"/>
    <pivotField dataField="1" showAll="0" defaultSubtotal="0"/>
    <pivotField showAll="0" defaultSubtotal="0"/>
    <pivotField numFmtId="43" showAll="0" defaultSubtotal="0"/>
    <pivotField axis="axisRow" showAll="0" defaultSubtotal="0">
      <items count="7">
        <item x="0"/>
        <item x="1"/>
        <item x="3"/>
        <item x="2"/>
        <item x="6"/>
        <item x="5"/>
        <item x="4"/>
      </items>
    </pivotField>
    <pivotField showAll="0" defaultSubtotal="0"/>
    <pivotField numFmtId="6" showAll="0" defaultSubtotal="0"/>
    <pivotField showAll="0" defaultSubtotal="0"/>
    <pivotField numFmtId="3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0"/>
    <field x="6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>
      <x v="2"/>
    </i>
    <i r="1">
      <x/>
    </i>
    <i r="1">
      <x v="1"/>
    </i>
    <i t="grand">
      <x/>
    </i>
  </rowItems>
  <colFields count="1">
    <field x="20"/>
  </colFields>
  <colItems count="6">
    <i>
      <x v="7"/>
    </i>
    <i>
      <x v="8"/>
    </i>
    <i>
      <x v="9"/>
    </i>
    <i>
      <x v="10"/>
    </i>
    <i>
      <x v="11"/>
    </i>
    <i t="grand">
      <x/>
    </i>
  </colItems>
  <dataFields count="1">
    <dataField name="Cuenta de NOMBRE DEL EMPLEADO" fld="3" subtotal="count" baseField="6" baseItem="2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11">
    <format dxfId="10">
      <pivotArea outline="0" collapsedLevelsAreSubtotals="1" fieldPosition="0"/>
    </format>
    <format dxfId="9">
      <pivotArea field="20" type="button" dataOnly="0" labelOnly="1" outline="0" axis="axisCol" fieldPosition="0"/>
    </format>
    <format dxfId="8">
      <pivotArea type="topRight" dataOnly="0" labelOnly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grandCol="1" outline="0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20" count="5">
            <x v="7"/>
            <x v="8"/>
            <x v="9"/>
            <x v="10"/>
            <x v="11"/>
          </reference>
        </references>
      </pivotArea>
    </format>
    <format dxfId="3">
      <pivotArea dataOnly="0" labelOnly="1" grandCol="1" outline="0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20" count="5">
            <x v="7"/>
            <x v="8"/>
            <x v="9"/>
            <x v="10"/>
            <x v="11"/>
          </reference>
        </references>
      </pivotArea>
    </format>
    <format dxfId="0">
      <pivotArea dataOnly="0" labelOnly="1" grandCol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3F2A8-2AC5-4AD4-BDA0-B9408F5CAFED}" name="TablaDiná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G22" firstHeaderRow="1" firstDataRow="2" firstDataCol="1"/>
  <pivotFields count="21"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  <pivotField showAll="0"/>
    <pivotField numFmtId="43" showAll="0"/>
    <pivotField axis="axisRow" showAll="0">
      <items count="8">
        <item x="0"/>
        <item x="1"/>
        <item x="3"/>
        <item x="2"/>
        <item x="6"/>
        <item x="5"/>
        <item x="4"/>
        <item t="default"/>
      </items>
    </pivotField>
    <pivotField showAll="0"/>
    <pivotField numFmtId="6"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6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>
      <x v="2"/>
    </i>
    <i r="1">
      <x/>
    </i>
    <i r="1">
      <x v="1"/>
    </i>
    <i t="grand">
      <x/>
    </i>
  </rowItems>
  <colFields count="1">
    <field x="20"/>
  </colFields>
  <colItems count="6">
    <i>
      <x v="7"/>
    </i>
    <i>
      <x v="8"/>
    </i>
    <i>
      <x v="9"/>
    </i>
    <i>
      <x v="10"/>
    </i>
    <i>
      <x v="11"/>
    </i>
    <i t="grand">
      <x/>
    </i>
  </colItems>
  <dataFields count="1">
    <dataField name="Cuenta de NOMBRE DEL EMPLEADO" fld="3" subtotal="count" baseField="6" baseItem="2"/>
  </dataFields>
  <formats count="11">
    <format dxfId="21">
      <pivotArea outline="0" collapsedLevelsAreSubtotals="1" fieldPosition="0"/>
    </format>
    <format dxfId="20">
      <pivotArea field="20" type="button" dataOnly="0" labelOnly="1" outline="0" axis="axisCol" fieldPosition="0"/>
    </format>
    <format dxfId="19">
      <pivotArea type="topRight" dataOnly="0" labelOnly="1" outline="0" fieldPosition="0"/>
    </format>
    <format dxfId="18">
      <pivotArea dataOnly="0" labelOnly="1" grandCol="1" outline="0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20" count="5">
            <x v="7"/>
            <x v="8"/>
            <x v="9"/>
            <x v="10"/>
            <x v="11"/>
          </reference>
        </references>
      </pivotArea>
    </format>
    <format dxfId="15">
      <pivotArea dataOnly="0" labelOnly="1" grandCol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20" count="5">
            <x v="7"/>
            <x v="8"/>
            <x v="9"/>
            <x v="10"/>
            <x v="11"/>
          </reference>
        </references>
      </pivotArea>
    </format>
    <format dxfId="12">
      <pivotArea dataOnly="0" labelOnly="1" grandCol="1" outline="0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277"/>
  <sheetViews>
    <sheetView tabSelected="1" workbookViewId="0">
      <selection activeCell="B3" sqref="B3"/>
    </sheetView>
  </sheetViews>
  <sheetFormatPr baseColWidth="10" defaultColWidth="11.44140625" defaultRowHeight="14.4" x14ac:dyDescent="0.3"/>
  <cols>
    <col min="1" max="1" width="37.109375" style="1" bestFit="1" customWidth="1"/>
    <col min="2" max="2" width="9" style="1" customWidth="1"/>
    <col min="3" max="3" width="10.5546875" style="36" bestFit="1" customWidth="1"/>
    <col min="4" max="4" width="10.109375" style="1" bestFit="1" customWidth="1"/>
    <col min="5" max="5" width="16.44140625" style="1" bestFit="1" customWidth="1"/>
    <col min="6" max="6" width="7.109375" style="1" bestFit="1" customWidth="1"/>
    <col min="7" max="7" width="37.109375" style="1" bestFit="1" customWidth="1"/>
    <col min="8" max="8" width="13" style="1" bestFit="1" customWidth="1"/>
    <col min="9" max="13" width="13" style="1" customWidth="1"/>
    <col min="14" max="15" width="11.44140625" style="1"/>
    <col min="16" max="16" width="12.88671875" style="1" bestFit="1" customWidth="1"/>
    <col min="17" max="19" width="12.88671875" style="1" customWidth="1"/>
    <col min="20" max="21" width="13.44140625" style="1" bestFit="1" customWidth="1"/>
    <col min="22" max="22" width="15.5546875" style="1" bestFit="1" customWidth="1"/>
    <col min="23" max="23" width="15.44140625" style="1" bestFit="1" customWidth="1"/>
    <col min="24" max="24" width="15.6640625" style="1" bestFit="1" customWidth="1"/>
    <col min="25" max="25" width="13.6640625" style="1" bestFit="1" customWidth="1"/>
    <col min="26" max="26" width="13.44140625" style="1" bestFit="1" customWidth="1"/>
    <col min="27" max="28" width="11.5546875" customWidth="1"/>
    <col min="29" max="16384" width="11.44140625" style="1"/>
  </cols>
  <sheetData>
    <row r="2" spans="1:26" ht="20.399999999999999" x14ac:dyDescent="0.3">
      <c r="A2" s="11" t="s">
        <v>71</v>
      </c>
      <c r="B2" s="11" t="s">
        <v>8</v>
      </c>
      <c r="C2" s="11" t="s">
        <v>59</v>
      </c>
      <c r="D2" s="11" t="s">
        <v>28</v>
      </c>
      <c r="E2" s="11" t="s">
        <v>0</v>
      </c>
      <c r="F2" s="11" t="s">
        <v>1</v>
      </c>
      <c r="G2" s="11" t="s">
        <v>2</v>
      </c>
      <c r="H2" s="11" t="s">
        <v>3</v>
      </c>
      <c r="I2" s="11" t="s">
        <v>36</v>
      </c>
      <c r="J2" s="11" t="s">
        <v>60</v>
      </c>
      <c r="K2" s="11" t="s">
        <v>45</v>
      </c>
      <c r="L2" s="11" t="s">
        <v>70</v>
      </c>
      <c r="M2" s="11" t="s">
        <v>77</v>
      </c>
      <c r="N2" s="11" t="s">
        <v>61</v>
      </c>
      <c r="O2" s="11" t="s">
        <v>62</v>
      </c>
      <c r="P2" s="11" t="s">
        <v>4</v>
      </c>
      <c r="Q2" s="11" t="s">
        <v>63</v>
      </c>
      <c r="R2" s="11" t="s">
        <v>34</v>
      </c>
      <c r="S2" s="11" t="s">
        <v>64</v>
      </c>
      <c r="T2" s="11" t="s">
        <v>31</v>
      </c>
      <c r="U2" s="11" t="s">
        <v>32</v>
      </c>
      <c r="V2" s="11" t="s">
        <v>33</v>
      </c>
      <c r="W2" s="11" t="s">
        <v>5</v>
      </c>
      <c r="X2" s="11" t="s">
        <v>6</v>
      </c>
      <c r="Y2" s="11" t="s">
        <v>27</v>
      </c>
      <c r="Z2" s="11" t="s">
        <v>7</v>
      </c>
    </row>
    <row r="3" spans="1:26" x14ac:dyDescent="0.3">
      <c r="A3" s="19" t="str">
        <f t="shared" ref="A3:A50" si="0">G3&amp;"|"&amp;J3</f>
        <v>CARLOS HUMBERTO SANCHEZ MORALES|7</v>
      </c>
      <c r="B3" s="83">
        <v>45169</v>
      </c>
      <c r="C3" s="37" t="str">
        <f t="shared" ref="C3:C50" si="1">MONTH(B3)&amp;"|"&amp;YEAR(B3)</f>
        <v>8|2023</v>
      </c>
      <c r="D3" s="1" t="s">
        <v>199</v>
      </c>
      <c r="E3" s="1" t="s">
        <v>14</v>
      </c>
      <c r="F3" s="1">
        <v>2556</v>
      </c>
      <c r="G3" s="1" t="s">
        <v>188</v>
      </c>
      <c r="H3" s="83">
        <v>44935</v>
      </c>
      <c r="I3" s="26">
        <f t="shared" ref="I3:I50" si="2">B3-H3</f>
        <v>234</v>
      </c>
      <c r="J3" s="41">
        <f t="shared" ref="J3:J46" si="3">ROUNDDOWN(I3/30,0)</f>
        <v>7</v>
      </c>
      <c r="K3" s="26" t="str">
        <f>VLOOKUP(I3,Etiquetas!B:C,2)</f>
        <v>6 a 12 Meses</v>
      </c>
      <c r="L3" s="38">
        <f t="shared" ref="L3:L50" si="4">_xlfn.MINIFS(J:J,G:G,G3)</f>
        <v>7</v>
      </c>
      <c r="M3" s="38">
        <f t="shared" ref="M3:M50" si="5">_xlfn.MAXIFS(J:J,G:G,G3)</f>
        <v>9</v>
      </c>
      <c r="N3" s="4">
        <v>1557932.42</v>
      </c>
      <c r="O3" s="4">
        <v>2448151.5100000002</v>
      </c>
      <c r="P3" s="4">
        <v>2357248.0099999998</v>
      </c>
      <c r="Q3" s="39">
        <f t="shared" ref="Q3:Q50" si="6">IFERROR(P3/O3,0)</f>
        <v>0.96286851543759211</v>
      </c>
      <c r="R3" s="84"/>
      <c r="S3" s="40">
        <f t="shared" ref="S3:S50" si="7">IFERROR(R3/O3,0)</f>
        <v>0</v>
      </c>
      <c r="T3" s="4">
        <v>829956.00765744015</v>
      </c>
      <c r="U3" s="4">
        <v>1614500</v>
      </c>
      <c r="V3" s="1">
        <v>76</v>
      </c>
      <c r="W3" s="1">
        <v>62</v>
      </c>
      <c r="X3" s="1">
        <v>35</v>
      </c>
      <c r="Y3" s="14">
        <v>17025.235038537525</v>
      </c>
      <c r="Z3" s="4">
        <v>21375</v>
      </c>
    </row>
    <row r="4" spans="1:26" x14ac:dyDescent="0.3">
      <c r="A4" s="19" t="str">
        <f t="shared" si="0"/>
        <v>CESAR ISAID GONZALEZ TELLEZ|14</v>
      </c>
      <c r="B4" s="83">
        <v>45169</v>
      </c>
      <c r="C4" s="37" t="str">
        <f t="shared" si="1"/>
        <v>8|2023</v>
      </c>
      <c r="D4" s="1" t="s">
        <v>199</v>
      </c>
      <c r="E4" s="1" t="s">
        <v>11</v>
      </c>
      <c r="F4" s="1">
        <v>2490</v>
      </c>
      <c r="G4" s="1" t="s">
        <v>191</v>
      </c>
      <c r="H4" s="83">
        <v>44733</v>
      </c>
      <c r="I4" s="26">
        <f t="shared" si="2"/>
        <v>436</v>
      </c>
      <c r="J4" s="41">
        <f t="shared" si="3"/>
        <v>14</v>
      </c>
      <c r="K4" s="26" t="str">
        <f>VLOOKUP(I4,Etiquetas!B:C,2)</f>
        <v>1 a 1.5 años</v>
      </c>
      <c r="L4" s="38">
        <f t="shared" si="4"/>
        <v>14</v>
      </c>
      <c r="M4" s="38">
        <f t="shared" si="5"/>
        <v>16</v>
      </c>
      <c r="N4" s="4">
        <v>2844652.1099999989</v>
      </c>
      <c r="O4" s="4">
        <v>2894951.8599999989</v>
      </c>
      <c r="P4" s="4">
        <v>2705542.0699999994</v>
      </c>
      <c r="Q4" s="39">
        <f t="shared" si="6"/>
        <v>0.93457238698262857</v>
      </c>
      <c r="R4" s="84"/>
      <c r="S4" s="40">
        <f t="shared" si="7"/>
        <v>0</v>
      </c>
      <c r="T4" s="4">
        <v>1930104.8260499998</v>
      </c>
      <c r="U4" s="4">
        <v>1375000</v>
      </c>
      <c r="V4" s="1">
        <v>49</v>
      </c>
      <c r="W4" s="1">
        <v>153</v>
      </c>
      <c r="X4" s="1">
        <v>64</v>
      </c>
      <c r="Y4" s="14">
        <v>37060.034953407012</v>
      </c>
      <c r="Z4" s="4">
        <v>1950</v>
      </c>
    </row>
    <row r="5" spans="1:26" x14ac:dyDescent="0.3">
      <c r="A5" s="19" t="str">
        <f t="shared" si="0"/>
        <v>DANIEL ARROYO VELAZQUEZ|6</v>
      </c>
      <c r="B5" s="83">
        <v>45169</v>
      </c>
      <c r="C5" s="37" t="str">
        <f t="shared" si="1"/>
        <v>8|2023</v>
      </c>
      <c r="D5" s="1" t="s">
        <v>199</v>
      </c>
      <c r="E5" s="1" t="s">
        <v>12</v>
      </c>
      <c r="F5" s="1">
        <v>2579</v>
      </c>
      <c r="G5" s="1" t="s">
        <v>182</v>
      </c>
      <c r="H5" s="83">
        <v>44987</v>
      </c>
      <c r="I5" s="26">
        <f t="shared" si="2"/>
        <v>182</v>
      </c>
      <c r="J5" s="41">
        <f t="shared" si="3"/>
        <v>6</v>
      </c>
      <c r="K5" s="26" t="str">
        <f>VLOOKUP(I5,Etiquetas!B:C,2)</f>
        <v>6 a 12 Meses</v>
      </c>
      <c r="L5" s="38">
        <f t="shared" si="4"/>
        <v>6</v>
      </c>
      <c r="M5" s="38">
        <f t="shared" si="5"/>
        <v>8</v>
      </c>
      <c r="N5" s="4">
        <v>1213784.27</v>
      </c>
      <c r="O5" s="4">
        <v>1127158.6300000004</v>
      </c>
      <c r="P5" s="4">
        <v>945567.71</v>
      </c>
      <c r="Q5" s="39">
        <f t="shared" si="6"/>
        <v>0.83889497434802029</v>
      </c>
      <c r="R5" s="84"/>
      <c r="S5" s="40">
        <f t="shared" si="7"/>
        <v>0</v>
      </c>
      <c r="T5" s="4">
        <v>845669.88225000002</v>
      </c>
      <c r="U5" s="4">
        <v>372000</v>
      </c>
      <c r="V5" s="1">
        <v>29</v>
      </c>
      <c r="W5" s="1">
        <v>17</v>
      </c>
      <c r="X5" s="1">
        <v>11</v>
      </c>
      <c r="Y5" s="14">
        <v>27334.669673946308</v>
      </c>
      <c r="Z5" s="4">
        <v>1050</v>
      </c>
    </row>
    <row r="6" spans="1:26" x14ac:dyDescent="0.3">
      <c r="A6" s="19" t="str">
        <f t="shared" si="0"/>
        <v>DUCISE LOPEZ AGUDO|7</v>
      </c>
      <c r="B6" s="83">
        <v>45169</v>
      </c>
      <c r="C6" s="37" t="str">
        <f t="shared" si="1"/>
        <v>8|2023</v>
      </c>
      <c r="D6" s="1" t="s">
        <v>200</v>
      </c>
      <c r="E6" s="1" t="s">
        <v>19</v>
      </c>
      <c r="F6" s="1">
        <v>2563</v>
      </c>
      <c r="G6" s="1" t="s">
        <v>183</v>
      </c>
      <c r="H6" s="83">
        <v>44945</v>
      </c>
      <c r="I6" s="26">
        <f t="shared" si="2"/>
        <v>224</v>
      </c>
      <c r="J6" s="41">
        <f t="shared" si="3"/>
        <v>7</v>
      </c>
      <c r="K6" s="26" t="str">
        <f>VLOOKUP(I6,Etiquetas!B:C,2)</f>
        <v>6 a 12 Meses</v>
      </c>
      <c r="L6" s="38">
        <f t="shared" si="4"/>
        <v>7</v>
      </c>
      <c r="M6" s="38">
        <f t="shared" si="5"/>
        <v>9</v>
      </c>
      <c r="N6" s="4">
        <v>998344.48</v>
      </c>
      <c r="O6" s="4">
        <v>1306513.2</v>
      </c>
      <c r="P6" s="4">
        <v>1280617.56</v>
      </c>
      <c r="Q6" s="39">
        <f t="shared" si="6"/>
        <v>0.98017958027519358</v>
      </c>
      <c r="R6" s="84"/>
      <c r="S6" s="40">
        <f t="shared" si="7"/>
        <v>0</v>
      </c>
      <c r="T6" s="4">
        <v>422178.92465</v>
      </c>
      <c r="U6" s="4">
        <v>678000</v>
      </c>
      <c r="V6" s="1">
        <v>47</v>
      </c>
      <c r="W6" s="1">
        <v>24</v>
      </c>
      <c r="X6" s="1">
        <v>12</v>
      </c>
      <c r="Y6" s="14">
        <v>7787.1552191151459</v>
      </c>
      <c r="Z6" s="4">
        <v>15525</v>
      </c>
    </row>
    <row r="7" spans="1:26" x14ac:dyDescent="0.3">
      <c r="A7" s="19" t="str">
        <f t="shared" si="0"/>
        <v>ERIC ANTONIO MARINERO SANCHEZ|22</v>
      </c>
      <c r="B7" s="83">
        <v>45169</v>
      </c>
      <c r="C7" s="37" t="str">
        <f t="shared" si="1"/>
        <v>8|2023</v>
      </c>
      <c r="D7" s="1" t="s">
        <v>200</v>
      </c>
      <c r="E7" s="1" t="s">
        <v>18</v>
      </c>
      <c r="F7" s="1">
        <v>2404</v>
      </c>
      <c r="G7" s="1" t="s">
        <v>189</v>
      </c>
      <c r="H7" s="83">
        <v>44505</v>
      </c>
      <c r="I7" s="26">
        <f t="shared" si="2"/>
        <v>664</v>
      </c>
      <c r="J7" s="41">
        <f t="shared" si="3"/>
        <v>22</v>
      </c>
      <c r="K7" s="26" t="str">
        <f>VLOOKUP(I7,Etiquetas!B:C,2)</f>
        <v>1.5 a 2 años</v>
      </c>
      <c r="L7" s="38">
        <f t="shared" si="4"/>
        <v>22</v>
      </c>
      <c r="M7" s="38">
        <f t="shared" si="5"/>
        <v>24</v>
      </c>
      <c r="N7" s="4">
        <v>1282030.1100000001</v>
      </c>
      <c r="O7" s="4">
        <v>1646339.4</v>
      </c>
      <c r="P7" s="4">
        <v>1568160.5599999998</v>
      </c>
      <c r="Q7" s="39">
        <f t="shared" si="6"/>
        <v>0.95251353396511063</v>
      </c>
      <c r="R7" s="84"/>
      <c r="S7" s="40">
        <f t="shared" si="7"/>
        <v>0</v>
      </c>
      <c r="T7" s="4">
        <v>1275379.8690999998</v>
      </c>
      <c r="U7" s="4">
        <v>1015000</v>
      </c>
      <c r="V7" s="1">
        <v>57</v>
      </c>
      <c r="W7" s="1">
        <v>39</v>
      </c>
      <c r="X7" s="1">
        <v>24</v>
      </c>
      <c r="Y7" s="14">
        <v>41863.619632536022</v>
      </c>
      <c r="Z7" s="4">
        <v>325</v>
      </c>
    </row>
    <row r="8" spans="1:26" x14ac:dyDescent="0.3">
      <c r="A8" s="19" t="str">
        <f t="shared" si="0"/>
        <v>GENARO BERNALDEZ MALDONADO|28</v>
      </c>
      <c r="B8" s="83">
        <v>45169</v>
      </c>
      <c r="C8" s="37" t="str">
        <f t="shared" si="1"/>
        <v>8|2023</v>
      </c>
      <c r="D8" s="1" t="s">
        <v>200</v>
      </c>
      <c r="E8" s="1" t="s">
        <v>20</v>
      </c>
      <c r="F8" s="1">
        <v>2347</v>
      </c>
      <c r="G8" s="1" t="s">
        <v>184</v>
      </c>
      <c r="H8" s="83">
        <v>44312</v>
      </c>
      <c r="I8" s="26">
        <f t="shared" si="2"/>
        <v>857</v>
      </c>
      <c r="J8" s="41">
        <f t="shared" si="3"/>
        <v>28</v>
      </c>
      <c r="K8" s="26" t="str">
        <f>VLOOKUP(I8,Etiquetas!B:C,2)</f>
        <v>2 a 2.5 años</v>
      </c>
      <c r="L8" s="38">
        <f t="shared" si="4"/>
        <v>28</v>
      </c>
      <c r="M8" s="38">
        <f t="shared" si="5"/>
        <v>30</v>
      </c>
      <c r="N8" s="4">
        <v>3957416.6999999997</v>
      </c>
      <c r="O8" s="4">
        <v>3621131.3899999997</v>
      </c>
      <c r="P8" s="4">
        <v>3081366.1999999993</v>
      </c>
      <c r="Q8" s="39">
        <f t="shared" si="6"/>
        <v>0.85094018088087087</v>
      </c>
      <c r="R8" s="84"/>
      <c r="S8" s="40">
        <f t="shared" si="7"/>
        <v>0</v>
      </c>
      <c r="T8" s="4">
        <v>1612046</v>
      </c>
      <c r="U8" s="4">
        <v>1254000</v>
      </c>
      <c r="V8" s="1">
        <v>14</v>
      </c>
      <c r="W8" s="1">
        <v>74</v>
      </c>
      <c r="X8" s="1">
        <v>64</v>
      </c>
      <c r="Y8" s="14">
        <v>8225</v>
      </c>
      <c r="Z8" s="4">
        <v>1350</v>
      </c>
    </row>
    <row r="9" spans="1:26" x14ac:dyDescent="0.3">
      <c r="A9" s="19" t="str">
        <f t="shared" si="0"/>
        <v>JAZMIN MARINES REYES|46</v>
      </c>
      <c r="B9" s="83">
        <v>45169</v>
      </c>
      <c r="C9" s="37" t="str">
        <f t="shared" si="1"/>
        <v>8|2023</v>
      </c>
      <c r="D9" s="1" t="s">
        <v>199</v>
      </c>
      <c r="E9" s="1" t="s">
        <v>10</v>
      </c>
      <c r="F9" s="1">
        <v>2089</v>
      </c>
      <c r="G9" s="1" t="s">
        <v>186</v>
      </c>
      <c r="H9" s="83">
        <v>43764</v>
      </c>
      <c r="I9" s="26">
        <f t="shared" si="2"/>
        <v>1405</v>
      </c>
      <c r="J9" s="41">
        <f t="shared" si="3"/>
        <v>46</v>
      </c>
      <c r="K9" s="26" t="str">
        <f>VLOOKUP(I9,Etiquetas!B:C,2)</f>
        <v>Mas de 3 años</v>
      </c>
      <c r="L9" s="38">
        <f t="shared" si="4"/>
        <v>46</v>
      </c>
      <c r="M9" s="38">
        <f t="shared" si="5"/>
        <v>48</v>
      </c>
      <c r="N9" s="4">
        <v>4722629.5100000016</v>
      </c>
      <c r="O9" s="4">
        <v>4377684.8500000006</v>
      </c>
      <c r="P9" s="4">
        <v>3811649.16</v>
      </c>
      <c r="Q9" s="39">
        <f t="shared" si="6"/>
        <v>0.8706997626839218</v>
      </c>
      <c r="R9" s="84"/>
      <c r="S9" s="40">
        <f t="shared" si="7"/>
        <v>0</v>
      </c>
      <c r="T9" s="4">
        <v>1514500</v>
      </c>
      <c r="U9" s="4">
        <v>1405500</v>
      </c>
      <c r="V9" s="1">
        <v>44</v>
      </c>
      <c r="W9" s="1">
        <v>226</v>
      </c>
      <c r="X9" s="1">
        <v>129</v>
      </c>
      <c r="Y9" s="14">
        <v>8225</v>
      </c>
      <c r="Z9" s="4">
        <v>0</v>
      </c>
    </row>
    <row r="10" spans="1:26" x14ac:dyDescent="0.3">
      <c r="A10" s="19" t="str">
        <f t="shared" si="0"/>
        <v>JOSE GILBERTO LOPEZ GALLEGOS|1</v>
      </c>
      <c r="B10" s="83">
        <v>45169</v>
      </c>
      <c r="C10" s="37" t="str">
        <f t="shared" si="1"/>
        <v>8|2023</v>
      </c>
      <c r="D10" s="1" t="s">
        <v>23</v>
      </c>
      <c r="E10" s="1" t="s">
        <v>26</v>
      </c>
      <c r="F10" s="1">
        <v>2630</v>
      </c>
      <c r="G10" s="1" t="s">
        <v>190</v>
      </c>
      <c r="H10" s="83">
        <v>45131</v>
      </c>
      <c r="I10" s="26">
        <f t="shared" si="2"/>
        <v>38</v>
      </c>
      <c r="J10" s="41">
        <f t="shared" si="3"/>
        <v>1</v>
      </c>
      <c r="K10" s="26" t="str">
        <f>VLOOKUP(I10,Etiquetas!B:C,2)</f>
        <v>&lt; 3 Meses</v>
      </c>
      <c r="L10" s="38">
        <f t="shared" si="4"/>
        <v>1</v>
      </c>
      <c r="M10" s="38">
        <f t="shared" si="5"/>
        <v>3</v>
      </c>
      <c r="N10" s="4">
        <v>1457142.56</v>
      </c>
      <c r="O10" s="4">
        <v>1269951.3200000005</v>
      </c>
      <c r="P10" s="4">
        <v>716417.60000000021</v>
      </c>
      <c r="Q10" s="39">
        <f t="shared" si="6"/>
        <v>0.56412996995821851</v>
      </c>
      <c r="R10" s="84"/>
      <c r="S10" s="40">
        <f t="shared" si="7"/>
        <v>0</v>
      </c>
      <c r="T10" s="4">
        <v>100000</v>
      </c>
      <c r="U10" s="4">
        <v>153500</v>
      </c>
      <c r="V10" s="1">
        <v>6</v>
      </c>
      <c r="W10" s="1">
        <v>84</v>
      </c>
      <c r="X10" s="1">
        <v>16</v>
      </c>
      <c r="Y10" s="14">
        <v>8225</v>
      </c>
      <c r="Z10" s="4">
        <v>1150</v>
      </c>
    </row>
    <row r="11" spans="1:26" x14ac:dyDescent="0.3">
      <c r="A11" s="19" t="str">
        <f t="shared" si="0"/>
        <v>JOSUE JONATHAN HUERTA BELTRAN |9</v>
      </c>
      <c r="B11" s="83">
        <v>45169</v>
      </c>
      <c r="C11" s="37" t="str">
        <f t="shared" si="1"/>
        <v>8|2023</v>
      </c>
      <c r="D11" s="1" t="s">
        <v>200</v>
      </c>
      <c r="E11" s="1" t="s">
        <v>17</v>
      </c>
      <c r="F11" s="1">
        <v>2540</v>
      </c>
      <c r="G11" s="1" t="s">
        <v>196</v>
      </c>
      <c r="H11" s="83">
        <v>44875</v>
      </c>
      <c r="I11" s="26">
        <f t="shared" si="2"/>
        <v>294</v>
      </c>
      <c r="J11" s="41">
        <f t="shared" si="3"/>
        <v>9</v>
      </c>
      <c r="K11" s="26" t="str">
        <f>VLOOKUP(I11,Etiquetas!B:C,2)</f>
        <v>6 a 12 Meses</v>
      </c>
      <c r="L11" s="38">
        <f t="shared" si="4"/>
        <v>9</v>
      </c>
      <c r="M11" s="38">
        <f t="shared" si="5"/>
        <v>11</v>
      </c>
      <c r="N11" s="4">
        <v>5263341.2499999991</v>
      </c>
      <c r="O11" s="4">
        <v>4948310.82</v>
      </c>
      <c r="P11" s="4">
        <v>4393279.71</v>
      </c>
      <c r="Q11" s="39">
        <f t="shared" si="6"/>
        <v>0.8878342266300886</v>
      </c>
      <c r="R11" s="84"/>
      <c r="S11" s="40">
        <f t="shared" si="7"/>
        <v>0</v>
      </c>
      <c r="T11" s="4">
        <v>3008802.5539396987</v>
      </c>
      <c r="U11" s="4">
        <v>1617500</v>
      </c>
      <c r="V11" s="1">
        <v>96</v>
      </c>
      <c r="W11" s="1">
        <v>254</v>
      </c>
      <c r="X11" s="1">
        <v>142</v>
      </c>
      <c r="Y11" s="14">
        <v>49968.41615430206</v>
      </c>
      <c r="Z11" s="4">
        <v>0</v>
      </c>
    </row>
    <row r="12" spans="1:26" x14ac:dyDescent="0.3">
      <c r="A12" s="19" t="str">
        <f t="shared" si="0"/>
        <v>LAURA PATRICIA ROMAY JERONIMO|16</v>
      </c>
      <c r="B12" s="83">
        <v>45169</v>
      </c>
      <c r="C12" s="37" t="str">
        <f t="shared" si="1"/>
        <v>8|2023</v>
      </c>
      <c r="D12" s="1" t="s">
        <v>23</v>
      </c>
      <c r="E12" s="1" t="s">
        <v>24</v>
      </c>
      <c r="F12" s="1">
        <v>2465</v>
      </c>
      <c r="G12" s="1" t="s">
        <v>195</v>
      </c>
      <c r="H12" s="83">
        <v>44683</v>
      </c>
      <c r="I12" s="26">
        <f t="shared" si="2"/>
        <v>486</v>
      </c>
      <c r="J12" s="41">
        <f t="shared" si="3"/>
        <v>16</v>
      </c>
      <c r="K12" s="26" t="str">
        <f>VLOOKUP(I12,Etiquetas!B:C,2)</f>
        <v>1 a 1.5 años</v>
      </c>
      <c r="L12" s="38">
        <f t="shared" si="4"/>
        <v>16</v>
      </c>
      <c r="M12" s="38">
        <f t="shared" si="5"/>
        <v>18</v>
      </c>
      <c r="N12" s="4">
        <v>2290660.5499999993</v>
      </c>
      <c r="O12" s="4">
        <v>2329894.8699999996</v>
      </c>
      <c r="P12" s="4">
        <v>1981737.3100000003</v>
      </c>
      <c r="Q12" s="39">
        <f t="shared" si="6"/>
        <v>0.85056941217266191</v>
      </c>
      <c r="R12" s="84"/>
      <c r="S12" s="40">
        <f t="shared" si="7"/>
        <v>0</v>
      </c>
      <c r="T12" s="4">
        <v>400000</v>
      </c>
      <c r="U12" s="4">
        <v>818000</v>
      </c>
      <c r="V12" s="1">
        <v>165</v>
      </c>
      <c r="W12" s="1">
        <v>72</v>
      </c>
      <c r="X12" s="1">
        <v>25</v>
      </c>
      <c r="Y12" s="14">
        <v>8225</v>
      </c>
      <c r="Z12" s="4">
        <v>1725.0000000000005</v>
      </c>
    </row>
    <row r="13" spans="1:26" x14ac:dyDescent="0.3">
      <c r="A13" s="19" t="str">
        <f t="shared" si="0"/>
        <v>LUIS ANGEL CADENA MENDOZA|14</v>
      </c>
      <c r="B13" s="83">
        <v>45169</v>
      </c>
      <c r="C13" s="37" t="str">
        <f t="shared" si="1"/>
        <v>8|2023</v>
      </c>
      <c r="D13" s="1" t="s">
        <v>199</v>
      </c>
      <c r="E13" s="1" t="s">
        <v>9</v>
      </c>
      <c r="F13" s="1">
        <v>2499</v>
      </c>
      <c r="G13" s="1" t="s">
        <v>192</v>
      </c>
      <c r="H13" s="83">
        <v>44748</v>
      </c>
      <c r="I13" s="26">
        <f t="shared" si="2"/>
        <v>421</v>
      </c>
      <c r="J13" s="41">
        <f t="shared" si="3"/>
        <v>14</v>
      </c>
      <c r="K13" s="26" t="str">
        <f>VLOOKUP(I13,Etiquetas!B:C,2)</f>
        <v>1 a 1.5 años</v>
      </c>
      <c r="L13" s="38">
        <f t="shared" si="4"/>
        <v>14</v>
      </c>
      <c r="M13" s="38">
        <f t="shared" si="5"/>
        <v>16</v>
      </c>
      <c r="N13" s="4">
        <v>2828824.060000001</v>
      </c>
      <c r="O13" s="4">
        <v>2775968.4100000006</v>
      </c>
      <c r="P13" s="4">
        <v>2650515.5000000005</v>
      </c>
      <c r="Q13" s="39">
        <f t="shared" si="6"/>
        <v>0.95480751526275465</v>
      </c>
      <c r="R13" s="84"/>
      <c r="S13" s="40">
        <f t="shared" si="7"/>
        <v>0</v>
      </c>
      <c r="T13" s="4">
        <v>1376251</v>
      </c>
      <c r="U13" s="4">
        <v>1225000</v>
      </c>
      <c r="V13" s="1">
        <v>66</v>
      </c>
      <c r="W13" s="1">
        <v>87</v>
      </c>
      <c r="X13" s="1">
        <v>50</v>
      </c>
      <c r="Y13" s="14">
        <v>8225</v>
      </c>
      <c r="Z13" s="4">
        <v>2600</v>
      </c>
    </row>
    <row r="14" spans="1:26" x14ac:dyDescent="0.3">
      <c r="A14" s="19" t="str">
        <f t="shared" si="0"/>
        <v>MARCO ANTONIO DORANTES JAVIER|31</v>
      </c>
      <c r="B14" s="83">
        <v>45169</v>
      </c>
      <c r="C14" s="37" t="str">
        <f t="shared" si="1"/>
        <v>8|2023</v>
      </c>
      <c r="D14" s="1" t="s">
        <v>23</v>
      </c>
      <c r="E14" s="1" t="s">
        <v>25</v>
      </c>
      <c r="F14" s="1">
        <v>2279</v>
      </c>
      <c r="G14" s="1" t="s">
        <v>193</v>
      </c>
      <c r="H14" s="83">
        <v>44210</v>
      </c>
      <c r="I14" s="26">
        <f t="shared" si="2"/>
        <v>959</v>
      </c>
      <c r="J14" s="41">
        <f t="shared" si="3"/>
        <v>31</v>
      </c>
      <c r="K14" s="26" t="str">
        <f>VLOOKUP(I14,Etiquetas!B:C,2)</f>
        <v>Mas de 3 años</v>
      </c>
      <c r="L14" s="38">
        <f t="shared" si="4"/>
        <v>31</v>
      </c>
      <c r="M14" s="38">
        <f t="shared" si="5"/>
        <v>33</v>
      </c>
      <c r="N14" s="4">
        <v>1957062.8099999994</v>
      </c>
      <c r="O14" s="4">
        <v>1837551.5899999999</v>
      </c>
      <c r="P14" s="4">
        <v>1461959.82</v>
      </c>
      <c r="Q14" s="39">
        <f t="shared" si="6"/>
        <v>0.79560205436191334</v>
      </c>
      <c r="R14" s="84"/>
      <c r="S14" s="40">
        <f t="shared" si="7"/>
        <v>0</v>
      </c>
      <c r="T14" s="4">
        <v>100000</v>
      </c>
      <c r="U14" s="4">
        <v>402500</v>
      </c>
      <c r="V14" s="1">
        <v>15</v>
      </c>
      <c r="W14" s="1">
        <v>93</v>
      </c>
      <c r="X14" s="1">
        <v>41</v>
      </c>
      <c r="Y14" s="14">
        <v>8225</v>
      </c>
      <c r="Z14" s="4">
        <v>0</v>
      </c>
    </row>
    <row r="15" spans="1:26" x14ac:dyDescent="0.3">
      <c r="A15" s="19" t="str">
        <f t="shared" si="0"/>
        <v>MARIA DE LOS ANGELES PONCE PAEZ |6</v>
      </c>
      <c r="B15" s="83">
        <v>45169</v>
      </c>
      <c r="C15" s="37" t="str">
        <f t="shared" si="1"/>
        <v>8|2023</v>
      </c>
      <c r="D15" s="1" t="s">
        <v>199</v>
      </c>
      <c r="E15" s="1" t="s">
        <v>13</v>
      </c>
      <c r="F15" s="1">
        <v>2580</v>
      </c>
      <c r="G15" s="1" t="s">
        <v>197</v>
      </c>
      <c r="H15" s="83">
        <v>44988</v>
      </c>
      <c r="I15" s="26">
        <f t="shared" si="2"/>
        <v>181</v>
      </c>
      <c r="J15" s="41">
        <f t="shared" si="3"/>
        <v>6</v>
      </c>
      <c r="K15" s="26" t="str">
        <f>VLOOKUP(I15,Etiquetas!B:C,2)</f>
        <v>6 a 12 Meses</v>
      </c>
      <c r="L15" s="38">
        <f t="shared" si="4"/>
        <v>6</v>
      </c>
      <c r="M15" s="38">
        <f t="shared" si="5"/>
        <v>8</v>
      </c>
      <c r="N15" s="4">
        <v>3402593.32</v>
      </c>
      <c r="O15" s="4">
        <v>3431639.5700000003</v>
      </c>
      <c r="P15" s="4">
        <v>3126624.23</v>
      </c>
      <c r="Q15" s="39">
        <f t="shared" si="6"/>
        <v>0.91111673187752629</v>
      </c>
      <c r="R15" s="84"/>
      <c r="S15" s="40">
        <f t="shared" si="7"/>
        <v>0</v>
      </c>
      <c r="T15" s="4">
        <v>1520821.4311331946</v>
      </c>
      <c r="U15" s="4">
        <v>1191500</v>
      </c>
      <c r="V15" s="1">
        <v>38</v>
      </c>
      <c r="W15" s="1">
        <v>135</v>
      </c>
      <c r="X15" s="1">
        <v>94</v>
      </c>
      <c r="Y15" s="14">
        <v>6816.4852345317504</v>
      </c>
      <c r="Z15" s="4">
        <v>975</v>
      </c>
    </row>
    <row r="16" spans="1:26" x14ac:dyDescent="0.3">
      <c r="A16" s="19" t="str">
        <f t="shared" si="0"/>
        <v>MIGUEL AGUSTIN CHAVEZ HUITRON|3</v>
      </c>
      <c r="B16" s="83">
        <v>45169</v>
      </c>
      <c r="C16" s="37" t="str">
        <f t="shared" si="1"/>
        <v>8|2023</v>
      </c>
      <c r="D16" s="1" t="s">
        <v>201</v>
      </c>
      <c r="E16" s="1" t="s">
        <v>15</v>
      </c>
      <c r="F16" s="1">
        <v>2605</v>
      </c>
      <c r="G16" s="1" t="s">
        <v>185</v>
      </c>
      <c r="H16" s="83">
        <v>45055</v>
      </c>
      <c r="I16" s="26">
        <f t="shared" si="2"/>
        <v>114</v>
      </c>
      <c r="J16" s="41">
        <f t="shared" si="3"/>
        <v>3</v>
      </c>
      <c r="K16" s="26" t="str">
        <f>VLOOKUP(I16,Etiquetas!B:C,2)</f>
        <v>3 a 6 Meses</v>
      </c>
      <c r="L16" s="38">
        <f t="shared" si="4"/>
        <v>3</v>
      </c>
      <c r="M16" s="38">
        <f t="shared" si="5"/>
        <v>5</v>
      </c>
      <c r="N16" s="4">
        <v>2109801.8900000006</v>
      </c>
      <c r="O16" s="4">
        <v>1963666.4900000005</v>
      </c>
      <c r="P16" s="4">
        <v>1764853.4800000004</v>
      </c>
      <c r="Q16" s="39">
        <f t="shared" si="6"/>
        <v>0.89875418712268196</v>
      </c>
      <c r="R16" s="84"/>
      <c r="S16" s="40">
        <f t="shared" si="7"/>
        <v>0</v>
      </c>
      <c r="T16" s="4">
        <v>862969</v>
      </c>
      <c r="U16" s="4">
        <v>582500</v>
      </c>
      <c r="V16" s="1">
        <v>34</v>
      </c>
      <c r="W16" s="1">
        <v>123</v>
      </c>
      <c r="X16" s="1">
        <v>84</v>
      </c>
      <c r="Y16" s="14">
        <v>8755.8080069843345</v>
      </c>
      <c r="Z16" s="4">
        <v>1000</v>
      </c>
    </row>
    <row r="17" spans="1:26" x14ac:dyDescent="0.3">
      <c r="A17" s="19" t="str">
        <f t="shared" si="0"/>
        <v>PATRICIA GARCIA HERNANDEZ |4</v>
      </c>
      <c r="B17" s="83">
        <v>45169</v>
      </c>
      <c r="C17" s="37" t="str">
        <f t="shared" si="1"/>
        <v>8|2023</v>
      </c>
      <c r="D17" s="1" t="s">
        <v>200</v>
      </c>
      <c r="E17" s="1" t="s">
        <v>21</v>
      </c>
      <c r="F17" s="1">
        <v>2600</v>
      </c>
      <c r="G17" s="1" t="s">
        <v>198</v>
      </c>
      <c r="H17" s="83">
        <v>45041</v>
      </c>
      <c r="I17" s="26">
        <f t="shared" si="2"/>
        <v>128</v>
      </c>
      <c r="J17" s="41">
        <f t="shared" si="3"/>
        <v>4</v>
      </c>
      <c r="K17" s="26" t="str">
        <f>VLOOKUP(I17,Etiquetas!B:C,2)</f>
        <v>3 a 6 Meses</v>
      </c>
      <c r="L17" s="38">
        <f t="shared" si="4"/>
        <v>4</v>
      </c>
      <c r="M17" s="38">
        <f t="shared" si="5"/>
        <v>6</v>
      </c>
      <c r="N17" s="4">
        <v>2878639.38</v>
      </c>
      <c r="O17" s="4">
        <v>2703449.3799999994</v>
      </c>
      <c r="P17" s="4">
        <v>2515953.08</v>
      </c>
      <c r="Q17" s="39">
        <f t="shared" si="6"/>
        <v>0.93064552960114999</v>
      </c>
      <c r="R17" s="84"/>
      <c r="S17" s="40">
        <f t="shared" si="7"/>
        <v>0</v>
      </c>
      <c r="T17" s="4">
        <v>1936100.4104500001</v>
      </c>
      <c r="U17" s="4">
        <v>1078000</v>
      </c>
      <c r="V17" s="1">
        <v>75</v>
      </c>
      <c r="W17" s="1">
        <v>115</v>
      </c>
      <c r="X17" s="1">
        <v>69</v>
      </c>
      <c r="Y17" s="14">
        <v>43173.600814176687</v>
      </c>
      <c r="Z17" s="4">
        <v>0</v>
      </c>
    </row>
    <row r="18" spans="1:26" x14ac:dyDescent="0.3">
      <c r="A18" s="19" t="str">
        <f t="shared" si="0"/>
        <v>CARLOS HUMBERTO SANCHEZ MORALES|8</v>
      </c>
      <c r="B18" s="83">
        <v>45199</v>
      </c>
      <c r="C18" s="37" t="str">
        <f t="shared" si="1"/>
        <v>9|2023</v>
      </c>
      <c r="D18" s="1" t="s">
        <v>199</v>
      </c>
      <c r="E18" s="1" t="s">
        <v>14</v>
      </c>
      <c r="F18" s="1">
        <v>2556</v>
      </c>
      <c r="G18" s="1" t="s">
        <v>188</v>
      </c>
      <c r="H18" s="83">
        <v>44935</v>
      </c>
      <c r="I18" s="26">
        <f t="shared" si="2"/>
        <v>264</v>
      </c>
      <c r="J18" s="41">
        <f t="shared" si="3"/>
        <v>8</v>
      </c>
      <c r="K18" s="26" t="str">
        <f>VLOOKUP(I18,Etiquetas!B:C,2)</f>
        <v>6 a 12 Meses</v>
      </c>
      <c r="L18" s="38">
        <f t="shared" si="4"/>
        <v>7</v>
      </c>
      <c r="M18" s="38">
        <f t="shared" si="5"/>
        <v>9</v>
      </c>
      <c r="N18" s="4">
        <v>2448151.5100000002</v>
      </c>
      <c r="O18" s="4">
        <v>2504095.98</v>
      </c>
      <c r="P18" s="4">
        <v>2399039.92</v>
      </c>
      <c r="Q18" s="39">
        <f t="shared" si="6"/>
        <v>0.95804631258582984</v>
      </c>
      <c r="R18" s="84"/>
      <c r="S18" s="40">
        <f t="shared" si="7"/>
        <v>0</v>
      </c>
      <c r="T18" s="4">
        <v>1070988</v>
      </c>
      <c r="U18" s="4">
        <v>941000</v>
      </c>
      <c r="V18" s="1">
        <v>56</v>
      </c>
      <c r="W18" s="1">
        <v>96</v>
      </c>
      <c r="X18" s="1">
        <v>49</v>
      </c>
      <c r="Y18" s="14">
        <v>8067.9908218772634</v>
      </c>
      <c r="Z18" s="4">
        <v>14400</v>
      </c>
    </row>
    <row r="19" spans="1:26" x14ac:dyDescent="0.3">
      <c r="A19" s="19" t="str">
        <f t="shared" si="0"/>
        <v>CESAR ISAID GONZALEZ TELLEZ|15</v>
      </c>
      <c r="B19" s="83">
        <v>45199</v>
      </c>
      <c r="C19" s="37" t="str">
        <f t="shared" si="1"/>
        <v>9|2023</v>
      </c>
      <c r="D19" s="1" t="s">
        <v>199</v>
      </c>
      <c r="E19" s="1" t="s">
        <v>11</v>
      </c>
      <c r="F19" s="1">
        <v>2490</v>
      </c>
      <c r="G19" s="1" t="s">
        <v>191</v>
      </c>
      <c r="H19" s="83">
        <v>44733</v>
      </c>
      <c r="I19" s="26">
        <f t="shared" si="2"/>
        <v>466</v>
      </c>
      <c r="J19" s="41">
        <f t="shared" si="3"/>
        <v>15</v>
      </c>
      <c r="K19" s="26" t="str">
        <f>VLOOKUP(I19,Etiquetas!B:C,2)</f>
        <v>1 a 1.5 años</v>
      </c>
      <c r="L19" s="38">
        <f t="shared" si="4"/>
        <v>14</v>
      </c>
      <c r="M19" s="38">
        <f t="shared" si="5"/>
        <v>16</v>
      </c>
      <c r="N19" s="4">
        <v>2894951.8599999989</v>
      </c>
      <c r="O19" s="4">
        <v>3116995.2299999995</v>
      </c>
      <c r="P19" s="4">
        <v>2797563.4200000009</v>
      </c>
      <c r="Q19" s="39">
        <f t="shared" si="6"/>
        <v>0.89751931381685213</v>
      </c>
      <c r="R19" s="84"/>
      <c r="S19" s="40">
        <f t="shared" si="7"/>
        <v>0</v>
      </c>
      <c r="T19" s="4">
        <v>1962595</v>
      </c>
      <c r="U19" s="4">
        <v>1528000</v>
      </c>
      <c r="V19" s="1">
        <v>64</v>
      </c>
      <c r="W19" s="1">
        <v>125</v>
      </c>
      <c r="X19" s="1">
        <v>93</v>
      </c>
      <c r="Y19" s="14">
        <v>39907.996797561485</v>
      </c>
      <c r="Z19" s="4">
        <v>1425</v>
      </c>
    </row>
    <row r="20" spans="1:26" x14ac:dyDescent="0.3">
      <c r="A20" s="19" t="str">
        <f t="shared" si="0"/>
        <v>DANIEL ARROYO VELAZQUEZ|7</v>
      </c>
      <c r="B20" s="83">
        <v>45199</v>
      </c>
      <c r="C20" s="37" t="str">
        <f t="shared" si="1"/>
        <v>9|2023</v>
      </c>
      <c r="D20" s="1" t="s">
        <v>199</v>
      </c>
      <c r="E20" s="1" t="s">
        <v>12</v>
      </c>
      <c r="F20" s="1">
        <v>2579</v>
      </c>
      <c r="G20" s="1" t="s">
        <v>182</v>
      </c>
      <c r="H20" s="83">
        <v>44987</v>
      </c>
      <c r="I20" s="26">
        <f t="shared" si="2"/>
        <v>212</v>
      </c>
      <c r="J20" s="41">
        <f t="shared" si="3"/>
        <v>7</v>
      </c>
      <c r="K20" s="26" t="str">
        <f>VLOOKUP(I20,Etiquetas!B:C,2)</f>
        <v>6 a 12 Meses</v>
      </c>
      <c r="L20" s="38">
        <f t="shared" si="4"/>
        <v>6</v>
      </c>
      <c r="M20" s="38">
        <f t="shared" si="5"/>
        <v>8</v>
      </c>
      <c r="N20" s="4">
        <v>1127158.6300000004</v>
      </c>
      <c r="O20" s="4">
        <v>1087379.1700000004</v>
      </c>
      <c r="P20" s="4">
        <v>952110.54999999993</v>
      </c>
      <c r="Q20" s="39">
        <f t="shared" si="6"/>
        <v>0.87560124036586018</v>
      </c>
      <c r="R20" s="84"/>
      <c r="S20" s="40">
        <f t="shared" si="7"/>
        <v>0</v>
      </c>
      <c r="T20" s="4">
        <v>1091495</v>
      </c>
      <c r="U20" s="4">
        <v>433000</v>
      </c>
      <c r="V20" s="1">
        <v>36</v>
      </c>
      <c r="W20" s="1">
        <v>64</v>
      </c>
      <c r="X20" s="1">
        <v>31</v>
      </c>
      <c r="Y20" s="14">
        <v>38810.007927189297</v>
      </c>
      <c r="Z20" s="4">
        <v>1050</v>
      </c>
    </row>
    <row r="21" spans="1:26" x14ac:dyDescent="0.3">
      <c r="A21" s="19" t="str">
        <f t="shared" si="0"/>
        <v>DUCISE LOPEZ AGUDO|8</v>
      </c>
      <c r="B21" s="83">
        <v>45199</v>
      </c>
      <c r="C21" s="37" t="str">
        <f t="shared" si="1"/>
        <v>9|2023</v>
      </c>
      <c r="D21" s="1" t="s">
        <v>200</v>
      </c>
      <c r="E21" s="1" t="s">
        <v>19</v>
      </c>
      <c r="F21" s="1">
        <v>2563</v>
      </c>
      <c r="G21" s="1" t="s">
        <v>183</v>
      </c>
      <c r="H21" s="83">
        <v>44945</v>
      </c>
      <c r="I21" s="26">
        <f t="shared" si="2"/>
        <v>254</v>
      </c>
      <c r="J21" s="41">
        <f t="shared" si="3"/>
        <v>8</v>
      </c>
      <c r="K21" s="26" t="str">
        <f>VLOOKUP(I21,Etiquetas!B:C,2)</f>
        <v>6 a 12 Meses</v>
      </c>
      <c r="L21" s="38">
        <f t="shared" si="4"/>
        <v>7</v>
      </c>
      <c r="M21" s="38">
        <f t="shared" si="5"/>
        <v>9</v>
      </c>
      <c r="N21" s="4">
        <v>1306513.2</v>
      </c>
      <c r="O21" s="4">
        <v>1459619.3099999998</v>
      </c>
      <c r="P21" s="4">
        <v>1354094.99</v>
      </c>
      <c r="Q21" s="39">
        <f t="shared" si="6"/>
        <v>0.92770421761548227</v>
      </c>
      <c r="R21" s="84"/>
      <c r="S21" s="40">
        <f t="shared" si="7"/>
        <v>0</v>
      </c>
      <c r="T21" s="4">
        <v>668755</v>
      </c>
      <c r="U21" s="4">
        <v>657000</v>
      </c>
      <c r="V21" s="1">
        <v>39</v>
      </c>
      <c r="W21" s="1">
        <v>79</v>
      </c>
      <c r="X21" s="1">
        <v>49</v>
      </c>
      <c r="Y21" s="14">
        <v>17680.6592531268</v>
      </c>
      <c r="Z21" s="4">
        <v>7750</v>
      </c>
    </row>
    <row r="22" spans="1:26" x14ac:dyDescent="0.3">
      <c r="A22" s="19" t="str">
        <f t="shared" si="0"/>
        <v>ERIC ANTONIO MARINERO SANCHEZ|23</v>
      </c>
      <c r="B22" s="83">
        <v>45199</v>
      </c>
      <c r="C22" s="37" t="str">
        <f t="shared" si="1"/>
        <v>9|2023</v>
      </c>
      <c r="D22" s="1" t="s">
        <v>200</v>
      </c>
      <c r="E22" s="1" t="s">
        <v>18</v>
      </c>
      <c r="F22" s="1">
        <v>2404</v>
      </c>
      <c r="G22" s="1" t="s">
        <v>189</v>
      </c>
      <c r="H22" s="83">
        <v>44505</v>
      </c>
      <c r="I22" s="26">
        <f t="shared" si="2"/>
        <v>694</v>
      </c>
      <c r="J22" s="41">
        <f t="shared" si="3"/>
        <v>23</v>
      </c>
      <c r="K22" s="26" t="str">
        <f>VLOOKUP(I22,Etiquetas!B:C,2)</f>
        <v>1.5 a 2 años</v>
      </c>
      <c r="L22" s="38">
        <f t="shared" si="4"/>
        <v>22</v>
      </c>
      <c r="M22" s="38">
        <f t="shared" si="5"/>
        <v>24</v>
      </c>
      <c r="N22" s="4">
        <v>1646339.4</v>
      </c>
      <c r="O22" s="4">
        <v>1637685.22</v>
      </c>
      <c r="P22" s="4">
        <v>1412181.47</v>
      </c>
      <c r="Q22" s="39">
        <f t="shared" si="6"/>
        <v>0.86230336132605512</v>
      </c>
      <c r="R22" s="84"/>
      <c r="S22" s="40">
        <f t="shared" si="7"/>
        <v>0</v>
      </c>
      <c r="T22" s="4">
        <v>1274555</v>
      </c>
      <c r="U22" s="4">
        <v>570000</v>
      </c>
      <c r="V22" s="1">
        <v>14</v>
      </c>
      <c r="W22" s="1">
        <v>58</v>
      </c>
      <c r="X22" s="1">
        <v>33</v>
      </c>
      <c r="Y22" s="14">
        <v>25761.674534587513</v>
      </c>
      <c r="Z22" s="4">
        <v>0</v>
      </c>
    </row>
    <row r="23" spans="1:26" x14ac:dyDescent="0.3">
      <c r="A23" s="19" t="str">
        <f t="shared" si="0"/>
        <v>GENARO BERNALDEZ MALDONADO|29</v>
      </c>
      <c r="B23" s="83">
        <v>45199</v>
      </c>
      <c r="C23" s="37" t="str">
        <f t="shared" si="1"/>
        <v>9|2023</v>
      </c>
      <c r="D23" s="1" t="s">
        <v>200</v>
      </c>
      <c r="E23" s="1" t="s">
        <v>20</v>
      </c>
      <c r="F23" s="1">
        <v>2347</v>
      </c>
      <c r="G23" s="1" t="s">
        <v>184</v>
      </c>
      <c r="H23" s="83">
        <v>44312</v>
      </c>
      <c r="I23" s="26">
        <f t="shared" si="2"/>
        <v>887</v>
      </c>
      <c r="J23" s="41">
        <f t="shared" si="3"/>
        <v>29</v>
      </c>
      <c r="K23" s="26" t="str">
        <f>VLOOKUP(I23,Etiquetas!B:C,2)</f>
        <v>2 a 2.5 años</v>
      </c>
      <c r="L23" s="38">
        <f t="shared" si="4"/>
        <v>28</v>
      </c>
      <c r="M23" s="38">
        <f t="shared" si="5"/>
        <v>30</v>
      </c>
      <c r="N23" s="4">
        <v>3621131.3899999997</v>
      </c>
      <c r="O23" s="4">
        <v>3588821.3699999996</v>
      </c>
      <c r="P23" s="4">
        <v>3033583.2199999997</v>
      </c>
      <c r="Q23" s="39">
        <f t="shared" si="6"/>
        <v>0.84528676889816889</v>
      </c>
      <c r="R23" s="84"/>
      <c r="S23" s="40">
        <f t="shared" si="7"/>
        <v>0</v>
      </c>
      <c r="T23" s="4">
        <v>1919200</v>
      </c>
      <c r="U23" s="4">
        <v>1531500</v>
      </c>
      <c r="V23" s="1">
        <v>11</v>
      </c>
      <c r="W23" s="1">
        <v>117</v>
      </c>
      <c r="X23" s="1">
        <v>64</v>
      </c>
      <c r="Y23" s="14">
        <v>30008.438853450472</v>
      </c>
      <c r="Z23" s="4">
        <v>1200</v>
      </c>
    </row>
    <row r="24" spans="1:26" x14ac:dyDescent="0.3">
      <c r="A24" s="19" t="str">
        <f t="shared" si="0"/>
        <v>JAZMIN MARINES REYES|47</v>
      </c>
      <c r="B24" s="83">
        <v>45199</v>
      </c>
      <c r="C24" s="37" t="str">
        <f t="shared" si="1"/>
        <v>9|2023</v>
      </c>
      <c r="D24" s="1" t="s">
        <v>199</v>
      </c>
      <c r="E24" s="1" t="s">
        <v>10</v>
      </c>
      <c r="F24" s="1">
        <v>2089</v>
      </c>
      <c r="G24" s="1" t="s">
        <v>186</v>
      </c>
      <c r="H24" s="83">
        <v>43764</v>
      </c>
      <c r="I24" s="26">
        <f t="shared" si="2"/>
        <v>1435</v>
      </c>
      <c r="J24" s="41">
        <f t="shared" si="3"/>
        <v>47</v>
      </c>
      <c r="K24" s="26" t="str">
        <f>VLOOKUP(I24,Etiquetas!B:C,2)</f>
        <v>Mas de 3 años</v>
      </c>
      <c r="L24" s="38">
        <f t="shared" si="4"/>
        <v>46</v>
      </c>
      <c r="M24" s="38">
        <f t="shared" si="5"/>
        <v>48</v>
      </c>
      <c r="N24" s="4">
        <v>4377684.8500000006</v>
      </c>
      <c r="O24" s="4">
        <v>3929131.7999999989</v>
      </c>
      <c r="P24" s="4">
        <v>3245728.6799999988</v>
      </c>
      <c r="Q24" s="39">
        <f t="shared" si="6"/>
        <v>0.82606765189195219</v>
      </c>
      <c r="R24" s="84"/>
      <c r="S24" s="40">
        <f t="shared" si="7"/>
        <v>0</v>
      </c>
      <c r="T24" s="4">
        <v>1616251</v>
      </c>
      <c r="U24" s="4">
        <v>832500</v>
      </c>
      <c r="V24" s="1">
        <v>51</v>
      </c>
      <c r="W24" s="1">
        <v>196</v>
      </c>
      <c r="X24" s="1">
        <v>106</v>
      </c>
      <c r="Y24" s="14">
        <v>18225.135145364144</v>
      </c>
      <c r="Z24" s="4">
        <v>0</v>
      </c>
    </row>
    <row r="25" spans="1:26" x14ac:dyDescent="0.3">
      <c r="A25" s="19" t="str">
        <f t="shared" si="0"/>
        <v>JOSE GILBERTO LOPEZ GALLEGOS|2</v>
      </c>
      <c r="B25" s="83">
        <v>45199</v>
      </c>
      <c r="C25" s="37" t="str">
        <f t="shared" si="1"/>
        <v>9|2023</v>
      </c>
      <c r="D25" s="1" t="s">
        <v>23</v>
      </c>
      <c r="E25" s="1" t="s">
        <v>26</v>
      </c>
      <c r="F25" s="1">
        <v>2630</v>
      </c>
      <c r="G25" s="1" t="s">
        <v>190</v>
      </c>
      <c r="H25" s="83">
        <v>45131</v>
      </c>
      <c r="I25" s="26">
        <f t="shared" si="2"/>
        <v>68</v>
      </c>
      <c r="J25" s="41">
        <f t="shared" si="3"/>
        <v>2</v>
      </c>
      <c r="K25" s="26" t="str">
        <f>VLOOKUP(I25,Etiquetas!B:C,2)</f>
        <v>&lt; 3 Meses</v>
      </c>
      <c r="L25" s="38">
        <f t="shared" si="4"/>
        <v>1</v>
      </c>
      <c r="M25" s="38">
        <f t="shared" si="5"/>
        <v>3</v>
      </c>
      <c r="N25" s="4">
        <v>1269951.3200000005</v>
      </c>
      <c r="O25" s="4">
        <v>1019098.6300000001</v>
      </c>
      <c r="P25" s="4">
        <v>555791.32000000007</v>
      </c>
      <c r="Q25" s="39">
        <f t="shared" si="6"/>
        <v>0.54537539708006477</v>
      </c>
      <c r="R25" s="84"/>
      <c r="S25" s="40">
        <f t="shared" si="7"/>
        <v>0</v>
      </c>
      <c r="T25" s="4">
        <v>686970.89804999996</v>
      </c>
      <c r="U25" s="4">
        <v>68500</v>
      </c>
      <c r="V25" s="1">
        <v>2</v>
      </c>
      <c r="W25" s="1">
        <v>71</v>
      </c>
      <c r="X25" s="1">
        <v>4</v>
      </c>
      <c r="Y25" s="14">
        <v>21504.648507667196</v>
      </c>
      <c r="Z25" s="4">
        <v>0</v>
      </c>
    </row>
    <row r="26" spans="1:26" x14ac:dyDescent="0.3">
      <c r="A26" s="19" t="str">
        <f t="shared" si="0"/>
        <v>JOSUE JONATHAN HUERTA BELTRAN |10</v>
      </c>
      <c r="B26" s="83">
        <v>45199</v>
      </c>
      <c r="C26" s="37" t="str">
        <f t="shared" si="1"/>
        <v>9|2023</v>
      </c>
      <c r="D26" s="1" t="s">
        <v>200</v>
      </c>
      <c r="E26" s="1" t="s">
        <v>17</v>
      </c>
      <c r="F26" s="1">
        <v>2540</v>
      </c>
      <c r="G26" s="1" t="s">
        <v>196</v>
      </c>
      <c r="H26" s="83">
        <v>44875</v>
      </c>
      <c r="I26" s="26">
        <f t="shared" si="2"/>
        <v>324</v>
      </c>
      <c r="J26" s="41">
        <f t="shared" si="3"/>
        <v>10</v>
      </c>
      <c r="K26" s="26" t="str">
        <f>VLOOKUP(I26,Etiquetas!B:C,2)</f>
        <v>6 a 12 Meses</v>
      </c>
      <c r="L26" s="38">
        <f t="shared" si="4"/>
        <v>9</v>
      </c>
      <c r="M26" s="38">
        <f t="shared" si="5"/>
        <v>11</v>
      </c>
      <c r="N26" s="4">
        <v>4948310.82</v>
      </c>
      <c r="O26" s="4">
        <v>4732240.4800000004</v>
      </c>
      <c r="P26" s="4">
        <v>4109738.1799999988</v>
      </c>
      <c r="Q26" s="39">
        <f t="shared" si="6"/>
        <v>0.86845505788835109</v>
      </c>
      <c r="R26" s="84"/>
      <c r="S26" s="40">
        <f t="shared" si="7"/>
        <v>0</v>
      </c>
      <c r="T26" s="4">
        <v>2710450</v>
      </c>
      <c r="U26" s="4">
        <v>1336500</v>
      </c>
      <c r="V26" s="1">
        <v>36</v>
      </c>
      <c r="W26" s="1">
        <v>214</v>
      </c>
      <c r="X26" s="1">
        <v>104</v>
      </c>
      <c r="Y26" s="14">
        <v>57929.823052824635</v>
      </c>
      <c r="Z26" s="4">
        <v>0</v>
      </c>
    </row>
    <row r="27" spans="1:26" x14ac:dyDescent="0.3">
      <c r="A27" s="19" t="str">
        <f t="shared" si="0"/>
        <v>LAURA PATRICIA ROMAY JERONIMO|17</v>
      </c>
      <c r="B27" s="83">
        <v>45199</v>
      </c>
      <c r="C27" s="37" t="str">
        <f t="shared" si="1"/>
        <v>9|2023</v>
      </c>
      <c r="D27" s="1" t="s">
        <v>23</v>
      </c>
      <c r="E27" s="1" t="s">
        <v>24</v>
      </c>
      <c r="F27" s="1">
        <v>2465</v>
      </c>
      <c r="G27" s="1" t="s">
        <v>195</v>
      </c>
      <c r="H27" s="83">
        <v>44683</v>
      </c>
      <c r="I27" s="26">
        <f t="shared" si="2"/>
        <v>516</v>
      </c>
      <c r="J27" s="41">
        <f t="shared" si="3"/>
        <v>17</v>
      </c>
      <c r="K27" s="26" t="str">
        <f>VLOOKUP(I27,Etiquetas!B:C,2)</f>
        <v>1 a 1.5 años</v>
      </c>
      <c r="L27" s="38">
        <f t="shared" si="4"/>
        <v>16</v>
      </c>
      <c r="M27" s="38">
        <f t="shared" si="5"/>
        <v>18</v>
      </c>
      <c r="N27" s="4">
        <v>2329894.8699999996</v>
      </c>
      <c r="O27" s="4">
        <v>1799584.0900000003</v>
      </c>
      <c r="P27" s="4">
        <v>1281183.8500000001</v>
      </c>
      <c r="Q27" s="39">
        <f t="shared" si="6"/>
        <v>0.71193330565619739</v>
      </c>
      <c r="R27" s="84"/>
      <c r="S27" s="40">
        <f t="shared" si="7"/>
        <v>0</v>
      </c>
      <c r="T27" s="4">
        <v>1374075.9597</v>
      </c>
      <c r="U27" s="4">
        <v>94500</v>
      </c>
      <c r="V27" s="1">
        <v>68</v>
      </c>
      <c r="W27" s="1">
        <v>107</v>
      </c>
      <c r="X27" s="1">
        <v>36</v>
      </c>
      <c r="Y27" s="14">
        <v>38449.309876481406</v>
      </c>
      <c r="Z27" s="4">
        <v>0</v>
      </c>
    </row>
    <row r="28" spans="1:26" x14ac:dyDescent="0.3">
      <c r="A28" s="19" t="str">
        <f t="shared" si="0"/>
        <v>LUIS ALBERTO CHAVEZ OCAÑA|32</v>
      </c>
      <c r="B28" s="83">
        <v>45199</v>
      </c>
      <c r="C28" s="37" t="str">
        <f t="shared" si="1"/>
        <v>9|2023</v>
      </c>
      <c r="D28" s="1" t="s">
        <v>201</v>
      </c>
      <c r="E28" s="1" t="s">
        <v>16</v>
      </c>
      <c r="F28" s="1">
        <v>2619</v>
      </c>
      <c r="G28" s="1" t="s">
        <v>187</v>
      </c>
      <c r="H28" s="83">
        <v>44210</v>
      </c>
      <c r="I28" s="26">
        <f t="shared" si="2"/>
        <v>989</v>
      </c>
      <c r="J28" s="41">
        <f t="shared" si="3"/>
        <v>32</v>
      </c>
      <c r="K28" s="26" t="str">
        <f>VLOOKUP(I28,Etiquetas!B:C,2)</f>
        <v>Mas de 3 años</v>
      </c>
      <c r="L28" s="38">
        <f t="shared" si="4"/>
        <v>32</v>
      </c>
      <c r="M28" s="38">
        <f t="shared" si="5"/>
        <v>34</v>
      </c>
      <c r="N28" s="4">
        <v>4167197.3599999989</v>
      </c>
      <c r="O28" s="4">
        <v>4325869.92</v>
      </c>
      <c r="P28" s="4">
        <v>4259889.47</v>
      </c>
      <c r="Q28" s="39">
        <f t="shared" si="6"/>
        <v>0.98474747248063343</v>
      </c>
      <c r="R28" s="84"/>
      <c r="S28" s="40">
        <f t="shared" si="7"/>
        <v>0</v>
      </c>
      <c r="T28" s="4">
        <v>1893400</v>
      </c>
      <c r="U28" s="4">
        <v>1999500</v>
      </c>
      <c r="V28" s="1">
        <v>13</v>
      </c>
      <c r="W28" s="1">
        <v>93</v>
      </c>
      <c r="X28" s="1">
        <v>79</v>
      </c>
      <c r="Y28" s="14">
        <v>6919.5989073845622</v>
      </c>
      <c r="Z28" s="4">
        <v>7475</v>
      </c>
    </row>
    <row r="29" spans="1:26" x14ac:dyDescent="0.3">
      <c r="A29" s="19" t="str">
        <f t="shared" si="0"/>
        <v>LUIS ANGEL CADENA MENDOZA|15</v>
      </c>
      <c r="B29" s="83">
        <v>45199</v>
      </c>
      <c r="C29" s="37" t="str">
        <f t="shared" si="1"/>
        <v>9|2023</v>
      </c>
      <c r="D29" s="1" t="s">
        <v>199</v>
      </c>
      <c r="E29" s="1" t="s">
        <v>9</v>
      </c>
      <c r="F29" s="1">
        <v>2499</v>
      </c>
      <c r="G29" s="1" t="s">
        <v>192</v>
      </c>
      <c r="H29" s="83">
        <v>44748</v>
      </c>
      <c r="I29" s="26">
        <f t="shared" si="2"/>
        <v>451</v>
      </c>
      <c r="J29" s="41">
        <f t="shared" si="3"/>
        <v>15</v>
      </c>
      <c r="K29" s="26" t="str">
        <f>VLOOKUP(I29,Etiquetas!B:C,2)</f>
        <v>1 a 1.5 años</v>
      </c>
      <c r="L29" s="38">
        <f t="shared" si="4"/>
        <v>14</v>
      </c>
      <c r="M29" s="38">
        <f t="shared" si="5"/>
        <v>16</v>
      </c>
      <c r="N29" s="4">
        <v>2775968.4100000006</v>
      </c>
      <c r="O29" s="4">
        <v>2511484.75</v>
      </c>
      <c r="P29" s="4">
        <v>2202459.63</v>
      </c>
      <c r="Q29" s="39">
        <f t="shared" si="6"/>
        <v>0.87695520747239253</v>
      </c>
      <c r="R29" s="84"/>
      <c r="S29" s="40">
        <f t="shared" si="7"/>
        <v>0</v>
      </c>
      <c r="T29" s="4">
        <v>1579382</v>
      </c>
      <c r="U29" s="4">
        <v>877000</v>
      </c>
      <c r="V29" s="1">
        <v>39</v>
      </c>
      <c r="W29" s="1">
        <v>82</v>
      </c>
      <c r="X29" s="1">
        <v>34</v>
      </c>
      <c r="Y29" s="14">
        <v>27911.87823371878</v>
      </c>
      <c r="Z29" s="4">
        <v>975</v>
      </c>
    </row>
    <row r="30" spans="1:26" x14ac:dyDescent="0.3">
      <c r="A30" s="19" t="str">
        <f t="shared" si="0"/>
        <v>MARCO ANTONIO DORANTES JAVIER|32</v>
      </c>
      <c r="B30" s="83">
        <v>45199</v>
      </c>
      <c r="C30" s="37" t="str">
        <f t="shared" si="1"/>
        <v>9|2023</v>
      </c>
      <c r="D30" s="1" t="s">
        <v>23</v>
      </c>
      <c r="E30" s="1" t="s">
        <v>25</v>
      </c>
      <c r="F30" s="1">
        <v>2279</v>
      </c>
      <c r="G30" s="1" t="s">
        <v>193</v>
      </c>
      <c r="H30" s="83">
        <v>44210</v>
      </c>
      <c r="I30" s="26">
        <f t="shared" si="2"/>
        <v>989</v>
      </c>
      <c r="J30" s="41">
        <f t="shared" si="3"/>
        <v>32</v>
      </c>
      <c r="K30" s="26" t="str">
        <f>VLOOKUP(I30,Etiquetas!B:C,2)</f>
        <v>Mas de 3 años</v>
      </c>
      <c r="L30" s="38">
        <f t="shared" si="4"/>
        <v>31</v>
      </c>
      <c r="M30" s="38">
        <f t="shared" si="5"/>
        <v>33</v>
      </c>
      <c r="N30" s="4">
        <v>1837551.5899999999</v>
      </c>
      <c r="O30" s="4">
        <v>1456202.7299999995</v>
      </c>
      <c r="P30" s="4">
        <v>1167463.3099999998</v>
      </c>
      <c r="Q30" s="39">
        <f t="shared" si="6"/>
        <v>0.80171756716868692</v>
      </c>
      <c r="R30" s="84"/>
      <c r="S30" s="40">
        <f t="shared" si="7"/>
        <v>0</v>
      </c>
      <c r="T30" s="4">
        <v>771375.81750000024</v>
      </c>
      <c r="U30" s="4">
        <v>189000</v>
      </c>
      <c r="V30" s="1">
        <v>1</v>
      </c>
      <c r="W30" s="1">
        <v>84</v>
      </c>
      <c r="X30" s="1">
        <v>20</v>
      </c>
      <c r="Y30" s="14">
        <v>14125.296324603367</v>
      </c>
      <c r="Z30" s="4">
        <v>0</v>
      </c>
    </row>
    <row r="31" spans="1:26" x14ac:dyDescent="0.3">
      <c r="A31" s="19" t="str">
        <f t="shared" si="0"/>
        <v>MARIA DE LOS ANGELES PONCE PAEZ |7</v>
      </c>
      <c r="B31" s="83">
        <v>45199</v>
      </c>
      <c r="C31" s="37" t="str">
        <f t="shared" si="1"/>
        <v>9|2023</v>
      </c>
      <c r="D31" s="1" t="s">
        <v>199</v>
      </c>
      <c r="E31" s="1" t="s">
        <v>13</v>
      </c>
      <c r="F31" s="1">
        <v>2580</v>
      </c>
      <c r="G31" s="1" t="s">
        <v>197</v>
      </c>
      <c r="H31" s="83">
        <v>44988</v>
      </c>
      <c r="I31" s="26">
        <f t="shared" si="2"/>
        <v>211</v>
      </c>
      <c r="J31" s="41">
        <f t="shared" si="3"/>
        <v>7</v>
      </c>
      <c r="K31" s="26" t="str">
        <f>VLOOKUP(I31,Etiquetas!B:C,2)</f>
        <v>6 a 12 Meses</v>
      </c>
      <c r="L31" s="38">
        <f t="shared" si="4"/>
        <v>6</v>
      </c>
      <c r="M31" s="38">
        <f t="shared" si="5"/>
        <v>8</v>
      </c>
      <c r="N31" s="4">
        <v>3431639.5700000003</v>
      </c>
      <c r="O31" s="4">
        <v>3402071.41</v>
      </c>
      <c r="P31" s="4">
        <v>3143798.59</v>
      </c>
      <c r="Q31" s="39">
        <f t="shared" si="6"/>
        <v>0.92408365702117923</v>
      </c>
      <c r="R31" s="84"/>
      <c r="S31" s="40">
        <f t="shared" si="7"/>
        <v>0</v>
      </c>
      <c r="T31" s="4">
        <v>1399946</v>
      </c>
      <c r="U31" s="4">
        <v>972000</v>
      </c>
      <c r="V31" s="1">
        <v>52</v>
      </c>
      <c r="W31" s="1">
        <v>127</v>
      </c>
      <c r="X31" s="1">
        <v>79</v>
      </c>
      <c r="Y31" s="14">
        <v>26107.361708685399</v>
      </c>
      <c r="Z31" s="4">
        <v>1625</v>
      </c>
    </row>
    <row r="32" spans="1:26" x14ac:dyDescent="0.3">
      <c r="A32" s="19" t="str">
        <f t="shared" si="0"/>
        <v>MIGUEL AGUSTIN CHAVEZ HUITRON|4</v>
      </c>
      <c r="B32" s="83">
        <v>45199</v>
      </c>
      <c r="C32" s="37" t="str">
        <f t="shared" si="1"/>
        <v>9|2023</v>
      </c>
      <c r="D32" s="1" t="s">
        <v>201</v>
      </c>
      <c r="E32" s="1" t="s">
        <v>15</v>
      </c>
      <c r="F32" s="1">
        <v>2605</v>
      </c>
      <c r="G32" s="1" t="s">
        <v>185</v>
      </c>
      <c r="H32" s="83">
        <v>45055</v>
      </c>
      <c r="I32" s="26">
        <f t="shared" si="2"/>
        <v>144</v>
      </c>
      <c r="J32" s="41">
        <f t="shared" si="3"/>
        <v>4</v>
      </c>
      <c r="K32" s="26" t="str">
        <f>VLOOKUP(I32,Etiquetas!B:C,2)</f>
        <v>3 a 6 Meses</v>
      </c>
      <c r="L32" s="38">
        <f t="shared" si="4"/>
        <v>3</v>
      </c>
      <c r="M32" s="38">
        <f t="shared" si="5"/>
        <v>5</v>
      </c>
      <c r="N32" s="4">
        <v>1963666.4900000005</v>
      </c>
      <c r="O32" s="4">
        <v>2027273.2099999997</v>
      </c>
      <c r="P32" s="4">
        <v>1904549.82</v>
      </c>
      <c r="Q32" s="39">
        <f t="shared" si="6"/>
        <v>0.93946381306937921</v>
      </c>
      <c r="R32" s="84"/>
      <c r="S32" s="40">
        <f t="shared" si="7"/>
        <v>0</v>
      </c>
      <c r="T32" s="4">
        <v>1033291.2218999998</v>
      </c>
      <c r="U32" s="4">
        <v>747000</v>
      </c>
      <c r="V32" s="1">
        <v>49</v>
      </c>
      <c r="W32" s="1">
        <v>115</v>
      </c>
      <c r="X32" s="1">
        <v>73</v>
      </c>
      <c r="Y32" s="14">
        <v>25082.122221784379</v>
      </c>
      <c r="Z32" s="4">
        <v>1625</v>
      </c>
    </row>
    <row r="33" spans="1:26" x14ac:dyDescent="0.3">
      <c r="A33" s="19" t="str">
        <f t="shared" si="0"/>
        <v>PATRICIA GARCIA HERNANDEZ |5</v>
      </c>
      <c r="B33" s="83">
        <v>45199</v>
      </c>
      <c r="C33" s="37" t="str">
        <f t="shared" si="1"/>
        <v>9|2023</v>
      </c>
      <c r="D33" s="1" t="s">
        <v>200</v>
      </c>
      <c r="E33" s="1" t="s">
        <v>21</v>
      </c>
      <c r="F33" s="1">
        <v>2600</v>
      </c>
      <c r="G33" s="1" t="s">
        <v>198</v>
      </c>
      <c r="H33" s="83">
        <v>45041</v>
      </c>
      <c r="I33" s="26">
        <f t="shared" si="2"/>
        <v>158</v>
      </c>
      <c r="J33" s="41">
        <f t="shared" si="3"/>
        <v>5</v>
      </c>
      <c r="K33" s="26" t="str">
        <f>VLOOKUP(I33,Etiquetas!B:C,2)</f>
        <v>3 a 6 Meses</v>
      </c>
      <c r="L33" s="38">
        <f t="shared" si="4"/>
        <v>4</v>
      </c>
      <c r="M33" s="38">
        <f t="shared" si="5"/>
        <v>6</v>
      </c>
      <c r="N33" s="4">
        <v>2703449.3799999994</v>
      </c>
      <c r="O33" s="4">
        <v>2207387.83</v>
      </c>
      <c r="P33" s="4">
        <v>1805724.1900000002</v>
      </c>
      <c r="Q33" s="39">
        <f t="shared" si="6"/>
        <v>0.81803667006717173</v>
      </c>
      <c r="R33" s="84"/>
      <c r="S33" s="40">
        <f t="shared" si="7"/>
        <v>0</v>
      </c>
      <c r="T33" s="4">
        <v>1550442</v>
      </c>
      <c r="U33" s="4">
        <v>490000</v>
      </c>
      <c r="V33" s="1">
        <v>69</v>
      </c>
      <c r="W33" s="1">
        <v>75</v>
      </c>
      <c r="X33" s="1">
        <v>28</v>
      </c>
      <c r="Y33" s="14">
        <v>27564.623129273696</v>
      </c>
      <c r="Z33" s="4">
        <v>0</v>
      </c>
    </row>
    <row r="34" spans="1:26" x14ac:dyDescent="0.3">
      <c r="A34" s="19" t="str">
        <f t="shared" si="0"/>
        <v>CARLOS HUMBERTO SANCHEZ MORALES|9</v>
      </c>
      <c r="B34" s="83">
        <v>45230</v>
      </c>
      <c r="C34" s="37" t="str">
        <f t="shared" si="1"/>
        <v>10|2023</v>
      </c>
      <c r="D34" s="1" t="s">
        <v>199</v>
      </c>
      <c r="E34" s="1" t="s">
        <v>14</v>
      </c>
      <c r="F34" s="1">
        <v>2556</v>
      </c>
      <c r="G34" s="1" t="s">
        <v>188</v>
      </c>
      <c r="H34" s="83">
        <v>44935</v>
      </c>
      <c r="I34" s="26">
        <f t="shared" si="2"/>
        <v>295</v>
      </c>
      <c r="J34" s="41">
        <f t="shared" si="3"/>
        <v>9</v>
      </c>
      <c r="K34" s="26" t="str">
        <f>VLOOKUP(I34,Etiquetas!B:C,2)</f>
        <v>6 a 12 Meses</v>
      </c>
      <c r="L34" s="38">
        <f t="shared" si="4"/>
        <v>7</v>
      </c>
      <c r="M34" s="38">
        <f t="shared" si="5"/>
        <v>9</v>
      </c>
      <c r="N34" s="4">
        <v>2504095.98</v>
      </c>
      <c r="O34" s="4">
        <v>2130794.2799999998</v>
      </c>
      <c r="P34" s="4">
        <v>1982663.2199999997</v>
      </c>
      <c r="Q34" s="39">
        <f t="shared" si="6"/>
        <v>0.93048082520664543</v>
      </c>
      <c r="R34" s="84"/>
      <c r="S34" s="40">
        <f t="shared" si="7"/>
        <v>0</v>
      </c>
      <c r="T34" s="4">
        <v>968750.1888</v>
      </c>
      <c r="U34" s="4">
        <v>473500.16999999975</v>
      </c>
      <c r="V34" s="1">
        <v>49</v>
      </c>
      <c r="W34" s="1">
        <v>70</v>
      </c>
      <c r="X34" s="1">
        <v>31</v>
      </c>
      <c r="Y34" s="14">
        <v>7485.0018681553911</v>
      </c>
      <c r="Z34" s="4">
        <v>2100</v>
      </c>
    </row>
    <row r="35" spans="1:26" x14ac:dyDescent="0.3">
      <c r="A35" s="19" t="str">
        <f t="shared" si="0"/>
        <v>CESAR ISAID GONZALEZ TELLEZ|16</v>
      </c>
      <c r="B35" s="83">
        <v>45230</v>
      </c>
      <c r="C35" s="37" t="str">
        <f t="shared" si="1"/>
        <v>10|2023</v>
      </c>
      <c r="D35" s="1" t="s">
        <v>199</v>
      </c>
      <c r="E35" s="1" t="s">
        <v>11</v>
      </c>
      <c r="F35" s="1">
        <v>2490</v>
      </c>
      <c r="G35" s="1" t="s">
        <v>191</v>
      </c>
      <c r="H35" s="83">
        <v>44733</v>
      </c>
      <c r="I35" s="26">
        <f t="shared" si="2"/>
        <v>497</v>
      </c>
      <c r="J35" s="41">
        <f t="shared" si="3"/>
        <v>16</v>
      </c>
      <c r="K35" s="26" t="str">
        <f>VLOOKUP(I35,Etiquetas!B:C,2)</f>
        <v>1 a 1.5 años</v>
      </c>
      <c r="L35" s="38">
        <f t="shared" si="4"/>
        <v>14</v>
      </c>
      <c r="M35" s="38">
        <f t="shared" si="5"/>
        <v>16</v>
      </c>
      <c r="N35" s="4">
        <v>3116995.2299999995</v>
      </c>
      <c r="O35" s="4">
        <v>2586577.1499999985</v>
      </c>
      <c r="P35" s="4">
        <v>2256974.0599999991</v>
      </c>
      <c r="Q35" s="39">
        <f t="shared" si="6"/>
        <v>0.87257171509459919</v>
      </c>
      <c r="R35" s="84"/>
      <c r="S35" s="40">
        <f t="shared" si="7"/>
        <v>0</v>
      </c>
      <c r="T35" s="4">
        <v>1399550.54</v>
      </c>
      <c r="U35" s="4">
        <v>477667.75999999983</v>
      </c>
      <c r="V35" s="1">
        <v>31</v>
      </c>
      <c r="W35" s="1">
        <v>103</v>
      </c>
      <c r="X35" s="1">
        <v>36</v>
      </c>
      <c r="Y35" s="14">
        <v>8225</v>
      </c>
      <c r="Z35" s="4">
        <v>975</v>
      </c>
    </row>
    <row r="36" spans="1:26" x14ac:dyDescent="0.3">
      <c r="A36" s="19" t="str">
        <f t="shared" si="0"/>
        <v>DANIEL ARROYO VELAZQUEZ|8</v>
      </c>
      <c r="B36" s="83">
        <v>45230</v>
      </c>
      <c r="C36" s="37" t="str">
        <f t="shared" si="1"/>
        <v>10|2023</v>
      </c>
      <c r="D36" s="1" t="s">
        <v>199</v>
      </c>
      <c r="E36" s="1" t="s">
        <v>12</v>
      </c>
      <c r="F36" s="1">
        <v>2579</v>
      </c>
      <c r="G36" s="1" t="s">
        <v>182</v>
      </c>
      <c r="H36" s="83">
        <v>44987</v>
      </c>
      <c r="I36" s="26">
        <f t="shared" si="2"/>
        <v>243</v>
      </c>
      <c r="J36" s="41">
        <f t="shared" si="3"/>
        <v>8</v>
      </c>
      <c r="K36" s="26" t="str">
        <f>VLOOKUP(I36,Etiquetas!B:C,2)</f>
        <v>6 a 12 Meses</v>
      </c>
      <c r="L36" s="38">
        <f t="shared" si="4"/>
        <v>6</v>
      </c>
      <c r="M36" s="38">
        <f t="shared" si="5"/>
        <v>8</v>
      </c>
      <c r="N36" s="4">
        <v>1087379.1700000004</v>
      </c>
      <c r="O36" s="4">
        <v>1294155.2</v>
      </c>
      <c r="P36" s="4">
        <v>1184823.3400000001</v>
      </c>
      <c r="Q36" s="39">
        <f t="shared" si="6"/>
        <v>0.91551874149251966</v>
      </c>
      <c r="R36" s="84"/>
      <c r="S36" s="40">
        <f t="shared" si="7"/>
        <v>0</v>
      </c>
      <c r="T36" s="4">
        <v>859633.77481004177</v>
      </c>
      <c r="U36" s="4">
        <v>770998.60999999987</v>
      </c>
      <c r="V36" s="1">
        <v>64</v>
      </c>
      <c r="W36" s="1">
        <v>59</v>
      </c>
      <c r="X36" s="1">
        <v>27</v>
      </c>
      <c r="Y36" s="14">
        <v>22547.52193116229</v>
      </c>
      <c r="Z36" s="4">
        <v>1050</v>
      </c>
    </row>
    <row r="37" spans="1:26" x14ac:dyDescent="0.3">
      <c r="A37" s="19" t="str">
        <f t="shared" si="0"/>
        <v>DUCISE LOPEZ AGUDO|9</v>
      </c>
      <c r="B37" s="83">
        <v>45230</v>
      </c>
      <c r="C37" s="37" t="str">
        <f t="shared" si="1"/>
        <v>10|2023</v>
      </c>
      <c r="D37" s="1" t="s">
        <v>200</v>
      </c>
      <c r="E37" s="1" t="s">
        <v>19</v>
      </c>
      <c r="F37" s="1">
        <v>2563</v>
      </c>
      <c r="G37" s="1" t="s">
        <v>183</v>
      </c>
      <c r="H37" s="83">
        <v>44945</v>
      </c>
      <c r="I37" s="26">
        <f t="shared" si="2"/>
        <v>285</v>
      </c>
      <c r="J37" s="41">
        <f t="shared" si="3"/>
        <v>9</v>
      </c>
      <c r="K37" s="26" t="str">
        <f>VLOOKUP(I37,Etiquetas!B:C,2)</f>
        <v>6 a 12 Meses</v>
      </c>
      <c r="L37" s="38">
        <f t="shared" si="4"/>
        <v>7</v>
      </c>
      <c r="M37" s="38">
        <f t="shared" si="5"/>
        <v>9</v>
      </c>
      <c r="N37" s="4">
        <v>1459619.3099999998</v>
      </c>
      <c r="O37" s="4">
        <v>1526994.08</v>
      </c>
      <c r="P37" s="4">
        <v>1444958.2500000005</v>
      </c>
      <c r="Q37" s="39">
        <f t="shared" si="6"/>
        <v>0.9462762619223779</v>
      </c>
      <c r="R37" s="84"/>
      <c r="S37" s="40">
        <f t="shared" si="7"/>
        <v>0</v>
      </c>
      <c r="T37" s="4">
        <v>445719.03690000001</v>
      </c>
      <c r="U37" s="4">
        <v>563998.71999999974</v>
      </c>
      <c r="V37" s="1">
        <v>35</v>
      </c>
      <c r="W37" s="1">
        <v>67</v>
      </c>
      <c r="X37" s="1">
        <v>36</v>
      </c>
      <c r="Y37" s="14">
        <v>8225</v>
      </c>
      <c r="Z37" s="4">
        <v>8750</v>
      </c>
    </row>
    <row r="38" spans="1:26" x14ac:dyDescent="0.3">
      <c r="A38" s="19" t="str">
        <f t="shared" si="0"/>
        <v>ERIC ANTONIO MARINERO SANCHEZ|24</v>
      </c>
      <c r="B38" s="83">
        <v>45230</v>
      </c>
      <c r="C38" s="37" t="str">
        <f t="shared" si="1"/>
        <v>10|2023</v>
      </c>
      <c r="D38" s="1" t="s">
        <v>200</v>
      </c>
      <c r="E38" s="1" t="s">
        <v>18</v>
      </c>
      <c r="F38" s="1">
        <v>2404</v>
      </c>
      <c r="G38" s="1" t="s">
        <v>189</v>
      </c>
      <c r="H38" s="83">
        <v>44505</v>
      </c>
      <c r="I38" s="26">
        <f t="shared" si="2"/>
        <v>725</v>
      </c>
      <c r="J38" s="41">
        <f t="shared" si="3"/>
        <v>24</v>
      </c>
      <c r="K38" s="26" t="str">
        <f>VLOOKUP(I38,Etiquetas!B:C,2)</f>
        <v>2 a 2.5 años</v>
      </c>
      <c r="L38" s="38">
        <f t="shared" si="4"/>
        <v>22</v>
      </c>
      <c r="M38" s="38">
        <f t="shared" si="5"/>
        <v>24</v>
      </c>
      <c r="N38" s="4">
        <v>1637685.22</v>
      </c>
      <c r="O38" s="4">
        <v>1482832.4699999995</v>
      </c>
      <c r="P38" s="4">
        <v>1310912.9699999995</v>
      </c>
      <c r="Q38" s="39">
        <f t="shared" si="6"/>
        <v>0.88406006512657487</v>
      </c>
      <c r="R38" s="84"/>
      <c r="S38" s="40">
        <f t="shared" si="7"/>
        <v>0</v>
      </c>
      <c r="T38" s="4">
        <v>896125.36470000003</v>
      </c>
      <c r="U38" s="4">
        <v>452149.2900000001</v>
      </c>
      <c r="V38" s="1">
        <v>4</v>
      </c>
      <c r="W38" s="1">
        <v>48</v>
      </c>
      <c r="X38" s="1">
        <v>30</v>
      </c>
      <c r="Y38" s="14">
        <v>18617.792594589926</v>
      </c>
      <c r="Z38" s="4">
        <v>0</v>
      </c>
    </row>
    <row r="39" spans="1:26" x14ac:dyDescent="0.3">
      <c r="A39" s="19" t="str">
        <f t="shared" si="0"/>
        <v>GENARO BERNALDEZ MALDONADO|30</v>
      </c>
      <c r="B39" s="83">
        <v>45230</v>
      </c>
      <c r="C39" s="37" t="str">
        <f t="shared" si="1"/>
        <v>10|2023</v>
      </c>
      <c r="D39" s="1" t="s">
        <v>200</v>
      </c>
      <c r="E39" s="1" t="s">
        <v>20</v>
      </c>
      <c r="F39" s="1">
        <v>2347</v>
      </c>
      <c r="G39" s="1" t="s">
        <v>184</v>
      </c>
      <c r="H39" s="83">
        <v>44312</v>
      </c>
      <c r="I39" s="26">
        <f t="shared" si="2"/>
        <v>918</v>
      </c>
      <c r="J39" s="41">
        <f t="shared" si="3"/>
        <v>30</v>
      </c>
      <c r="K39" s="26" t="str">
        <f>VLOOKUP(I39,Etiquetas!B:C,2)</f>
        <v>Mas de 3 años</v>
      </c>
      <c r="L39" s="38">
        <f t="shared" si="4"/>
        <v>28</v>
      </c>
      <c r="M39" s="38">
        <f t="shared" si="5"/>
        <v>30</v>
      </c>
      <c r="N39" s="4">
        <v>3588821.3699999996</v>
      </c>
      <c r="O39" s="4">
        <v>3532429.3299999996</v>
      </c>
      <c r="P39" s="4">
        <v>3068087.3299999996</v>
      </c>
      <c r="Q39" s="39">
        <f t="shared" si="6"/>
        <v>0.86854882104605324</v>
      </c>
      <c r="R39" s="84"/>
      <c r="S39" s="40">
        <f t="shared" si="7"/>
        <v>0</v>
      </c>
      <c r="T39" s="4">
        <v>2268519.6512100422</v>
      </c>
      <c r="U39" s="4">
        <v>1405500.0000000007</v>
      </c>
      <c r="V39" s="1">
        <v>15</v>
      </c>
      <c r="W39" s="1">
        <v>107</v>
      </c>
      <c r="X39" s="1">
        <v>63</v>
      </c>
      <c r="Y39" s="14">
        <v>33664.213366283715</v>
      </c>
      <c r="Z39" s="4">
        <v>1050</v>
      </c>
    </row>
    <row r="40" spans="1:26" x14ac:dyDescent="0.3">
      <c r="A40" s="19" t="str">
        <f t="shared" si="0"/>
        <v>JAZMIN MARINES REYES|48</v>
      </c>
      <c r="B40" s="83">
        <v>45230</v>
      </c>
      <c r="C40" s="37" t="str">
        <f t="shared" si="1"/>
        <v>10|2023</v>
      </c>
      <c r="D40" s="1" t="s">
        <v>199</v>
      </c>
      <c r="E40" s="1" t="s">
        <v>10</v>
      </c>
      <c r="F40" s="1">
        <v>2089</v>
      </c>
      <c r="G40" s="1" t="s">
        <v>186</v>
      </c>
      <c r="H40" s="83">
        <v>43764</v>
      </c>
      <c r="I40" s="26">
        <f t="shared" si="2"/>
        <v>1466</v>
      </c>
      <c r="J40" s="41">
        <f t="shared" si="3"/>
        <v>48</v>
      </c>
      <c r="K40" s="26" t="str">
        <f>VLOOKUP(I40,Etiquetas!B:C,2)</f>
        <v>Mas de 3 años</v>
      </c>
      <c r="L40" s="38">
        <f t="shared" si="4"/>
        <v>46</v>
      </c>
      <c r="M40" s="38">
        <f t="shared" si="5"/>
        <v>48</v>
      </c>
      <c r="N40" s="4">
        <v>3929131.7999999989</v>
      </c>
      <c r="O40" s="4">
        <v>4014119.72</v>
      </c>
      <c r="P40" s="4">
        <v>3302110.2599999993</v>
      </c>
      <c r="Q40" s="39">
        <f t="shared" si="6"/>
        <v>0.82262376070836252</v>
      </c>
      <c r="R40" s="84"/>
      <c r="S40" s="40">
        <f t="shared" si="7"/>
        <v>0</v>
      </c>
      <c r="T40" s="4">
        <v>1823820.8554000002</v>
      </c>
      <c r="U40" s="4">
        <v>1423502.9000000015</v>
      </c>
      <c r="V40" s="1">
        <v>90</v>
      </c>
      <c r="W40" s="1">
        <v>236</v>
      </c>
      <c r="X40" s="1">
        <v>85</v>
      </c>
      <c r="Y40" s="14">
        <v>21501.65386150825</v>
      </c>
      <c r="Z40" s="4">
        <v>0</v>
      </c>
    </row>
    <row r="41" spans="1:26" x14ac:dyDescent="0.3">
      <c r="A41" s="19" t="str">
        <f t="shared" si="0"/>
        <v>JORGE OSIRIS MENDEZ HERNANDEZ|0</v>
      </c>
      <c r="B41" s="83">
        <v>45230</v>
      </c>
      <c r="C41" s="37" t="str">
        <f t="shared" si="1"/>
        <v>10|2023</v>
      </c>
      <c r="D41" s="1" t="s">
        <v>200</v>
      </c>
      <c r="E41" s="1" t="s">
        <v>22</v>
      </c>
      <c r="F41" s="1">
        <v>2661</v>
      </c>
      <c r="G41" s="1" t="s">
        <v>194</v>
      </c>
      <c r="H41" s="83">
        <v>45208</v>
      </c>
      <c r="I41" s="26">
        <f t="shared" si="2"/>
        <v>22</v>
      </c>
      <c r="J41" s="41">
        <f t="shared" si="3"/>
        <v>0</v>
      </c>
      <c r="K41" s="26" t="str">
        <f>VLOOKUP(I41,Etiquetas!B:C,2)</f>
        <v>&lt; 3 Meses</v>
      </c>
      <c r="L41" s="38">
        <f t="shared" si="4"/>
        <v>0</v>
      </c>
      <c r="M41" s="38">
        <f t="shared" si="5"/>
        <v>0</v>
      </c>
      <c r="N41" s="4">
        <v>2596845.7400000002</v>
      </c>
      <c r="O41" s="4">
        <v>2718305.42</v>
      </c>
      <c r="P41" s="4">
        <v>1740873.9899999998</v>
      </c>
      <c r="Q41" s="39">
        <f t="shared" si="6"/>
        <v>0.64042619243278398</v>
      </c>
      <c r="R41" s="85"/>
      <c r="S41" s="40">
        <f t="shared" si="7"/>
        <v>0</v>
      </c>
      <c r="T41" s="4">
        <v>1718260.7441499999</v>
      </c>
      <c r="U41" s="4">
        <v>859000.76000000013</v>
      </c>
      <c r="V41" s="1">
        <v>60</v>
      </c>
      <c r="W41" s="1">
        <v>138</v>
      </c>
      <c r="X41" s="1">
        <v>29</v>
      </c>
      <c r="Y41" s="14">
        <v>44678.633917645457</v>
      </c>
      <c r="Z41" s="4">
        <v>1500</v>
      </c>
    </row>
    <row r="42" spans="1:26" x14ac:dyDescent="0.3">
      <c r="A42" s="19" t="str">
        <f t="shared" si="0"/>
        <v>JOSE GILBERTO LOPEZ GALLEGOS|3</v>
      </c>
      <c r="B42" s="83">
        <v>45230</v>
      </c>
      <c r="C42" s="37" t="str">
        <f t="shared" si="1"/>
        <v>10|2023</v>
      </c>
      <c r="D42" s="1" t="s">
        <v>23</v>
      </c>
      <c r="E42" s="1" t="s">
        <v>26</v>
      </c>
      <c r="F42" s="1">
        <v>2630</v>
      </c>
      <c r="G42" s="1" t="s">
        <v>190</v>
      </c>
      <c r="H42" s="83">
        <v>45131</v>
      </c>
      <c r="I42" s="26">
        <f t="shared" si="2"/>
        <v>99</v>
      </c>
      <c r="J42" s="41">
        <f t="shared" si="3"/>
        <v>3</v>
      </c>
      <c r="K42" s="26" t="str">
        <f>VLOOKUP(I42,Etiquetas!B:C,2)</f>
        <v>3 a 6 Meses</v>
      </c>
      <c r="L42" s="38">
        <f t="shared" si="4"/>
        <v>1</v>
      </c>
      <c r="M42" s="38">
        <f t="shared" si="5"/>
        <v>3</v>
      </c>
      <c r="N42" s="4">
        <v>1019098.6300000001</v>
      </c>
      <c r="O42" s="4">
        <v>853080.45000000007</v>
      </c>
      <c r="P42" s="4">
        <v>174263.79</v>
      </c>
      <c r="Q42" s="39">
        <f t="shared" si="6"/>
        <v>0.20427591559506492</v>
      </c>
      <c r="R42" s="84"/>
      <c r="S42" s="40">
        <f t="shared" si="7"/>
        <v>0</v>
      </c>
      <c r="T42" s="4">
        <v>0</v>
      </c>
      <c r="U42" s="4">
        <v>0</v>
      </c>
      <c r="V42" s="1">
        <v>0</v>
      </c>
      <c r="W42" s="1">
        <v>50</v>
      </c>
      <c r="X42" s="1">
        <v>4</v>
      </c>
      <c r="Y42" s="14">
        <v>8225</v>
      </c>
      <c r="Z42" s="4">
        <v>0</v>
      </c>
    </row>
    <row r="43" spans="1:26" x14ac:dyDescent="0.3">
      <c r="A43" s="19" t="str">
        <f t="shared" si="0"/>
        <v>JOSUE JONATHAN HUERTA BELTRAN |11</v>
      </c>
      <c r="B43" s="83">
        <v>45230</v>
      </c>
      <c r="C43" s="37" t="str">
        <f t="shared" si="1"/>
        <v>10|2023</v>
      </c>
      <c r="D43" s="1" t="s">
        <v>200</v>
      </c>
      <c r="E43" s="1" t="s">
        <v>17</v>
      </c>
      <c r="F43" s="1">
        <v>2540</v>
      </c>
      <c r="G43" s="1" t="s">
        <v>196</v>
      </c>
      <c r="H43" s="83">
        <v>44875</v>
      </c>
      <c r="I43" s="26">
        <f t="shared" si="2"/>
        <v>355</v>
      </c>
      <c r="J43" s="41">
        <f t="shared" si="3"/>
        <v>11</v>
      </c>
      <c r="K43" s="26" t="str">
        <f>VLOOKUP(I43,Etiquetas!B:C,2)</f>
        <v>6 a 12 Meses</v>
      </c>
      <c r="L43" s="38">
        <f t="shared" si="4"/>
        <v>9</v>
      </c>
      <c r="M43" s="38">
        <f t="shared" si="5"/>
        <v>11</v>
      </c>
      <c r="N43" s="4">
        <v>4732240.4800000004</v>
      </c>
      <c r="O43" s="4">
        <v>4705834.13</v>
      </c>
      <c r="P43" s="4">
        <v>4073135.1599999983</v>
      </c>
      <c r="Q43" s="39">
        <f t="shared" si="6"/>
        <v>0.86555009111636461</v>
      </c>
      <c r="R43" s="84"/>
      <c r="S43" s="40">
        <f t="shared" si="7"/>
        <v>0</v>
      </c>
      <c r="T43" s="4">
        <v>2201405.6051000003</v>
      </c>
      <c r="U43" s="4">
        <v>1563804.2700000021</v>
      </c>
      <c r="V43" s="1">
        <v>28</v>
      </c>
      <c r="W43" s="1">
        <v>232</v>
      </c>
      <c r="X43" s="1">
        <v>98</v>
      </c>
      <c r="Y43" s="14">
        <v>32298.377281253754</v>
      </c>
      <c r="Z43" s="4">
        <v>0</v>
      </c>
    </row>
    <row r="44" spans="1:26" x14ac:dyDescent="0.3">
      <c r="A44" s="19" t="str">
        <f t="shared" si="0"/>
        <v>LAURA PATRICIA ROMAY JERONIMO|18</v>
      </c>
      <c r="B44" s="83">
        <v>45230</v>
      </c>
      <c r="C44" s="37" t="str">
        <f t="shared" si="1"/>
        <v>10|2023</v>
      </c>
      <c r="D44" s="1" t="s">
        <v>23</v>
      </c>
      <c r="E44" s="1" t="s">
        <v>24</v>
      </c>
      <c r="F44" s="1">
        <v>2465</v>
      </c>
      <c r="G44" s="1" t="s">
        <v>195</v>
      </c>
      <c r="H44" s="83">
        <v>44683</v>
      </c>
      <c r="I44" s="26">
        <f t="shared" si="2"/>
        <v>547</v>
      </c>
      <c r="J44" s="41">
        <f t="shared" si="3"/>
        <v>18</v>
      </c>
      <c r="K44" s="26" t="str">
        <f>VLOOKUP(I44,Etiquetas!B:C,2)</f>
        <v>1.5 a 2 años</v>
      </c>
      <c r="L44" s="38">
        <f t="shared" si="4"/>
        <v>16</v>
      </c>
      <c r="M44" s="38">
        <f t="shared" si="5"/>
        <v>18</v>
      </c>
      <c r="N44" s="4">
        <v>1799584.0900000003</v>
      </c>
      <c r="O44" s="4">
        <v>1639364.35</v>
      </c>
      <c r="P44" s="4">
        <v>1209021.8999999999</v>
      </c>
      <c r="Q44" s="39">
        <f t="shared" si="6"/>
        <v>0.73749432211332389</v>
      </c>
      <c r="R44" s="84"/>
      <c r="S44" s="40">
        <f t="shared" si="7"/>
        <v>0</v>
      </c>
      <c r="T44" s="4">
        <v>1527674.4260499999</v>
      </c>
      <c r="U44" s="4">
        <v>462977.11999999982</v>
      </c>
      <c r="V44" s="1">
        <v>93</v>
      </c>
      <c r="W44" s="1">
        <v>94</v>
      </c>
      <c r="X44" s="1">
        <v>14</v>
      </c>
      <c r="Y44" s="14">
        <v>50509.533557519339</v>
      </c>
      <c r="Z44" s="4">
        <v>0</v>
      </c>
    </row>
    <row r="45" spans="1:26" x14ac:dyDescent="0.3">
      <c r="A45" s="19" t="str">
        <f t="shared" si="0"/>
        <v>LUIS ALBERTO CHAVEZ OCAÑA|34</v>
      </c>
      <c r="B45" s="83">
        <v>45230</v>
      </c>
      <c r="C45" s="37" t="str">
        <f t="shared" si="1"/>
        <v>10|2023</v>
      </c>
      <c r="D45" s="1" t="s">
        <v>201</v>
      </c>
      <c r="E45" s="1" t="s">
        <v>16</v>
      </c>
      <c r="F45" s="1">
        <v>2619</v>
      </c>
      <c r="G45" s="1" t="s">
        <v>187</v>
      </c>
      <c r="H45" s="83">
        <v>44210</v>
      </c>
      <c r="I45" s="26">
        <f t="shared" si="2"/>
        <v>1020</v>
      </c>
      <c r="J45" s="41">
        <f t="shared" si="3"/>
        <v>34</v>
      </c>
      <c r="K45" s="26" t="str">
        <f>VLOOKUP(I45,Etiquetas!B:C,2)</f>
        <v>Mas de 3 años</v>
      </c>
      <c r="L45" s="38">
        <f t="shared" si="4"/>
        <v>32</v>
      </c>
      <c r="M45" s="38">
        <f t="shared" si="5"/>
        <v>34</v>
      </c>
      <c r="N45" s="4">
        <v>4325869.92</v>
      </c>
      <c r="O45" s="4">
        <v>4208520.3100000005</v>
      </c>
      <c r="P45" s="4">
        <v>4026959.6400000006</v>
      </c>
      <c r="Q45" s="39">
        <f t="shared" si="6"/>
        <v>0.95685878726340279</v>
      </c>
      <c r="R45" s="84"/>
      <c r="S45" s="40">
        <f t="shared" si="7"/>
        <v>0</v>
      </c>
      <c r="T45" s="4">
        <v>1201564.7358499998</v>
      </c>
      <c r="U45" s="4">
        <v>1839499.8000000007</v>
      </c>
      <c r="V45" s="1">
        <v>35</v>
      </c>
      <c r="W45" s="1">
        <v>86</v>
      </c>
      <c r="X45" s="1">
        <v>67</v>
      </c>
      <c r="Y45" s="14">
        <v>8225</v>
      </c>
      <c r="Z45" s="4">
        <v>18200</v>
      </c>
    </row>
    <row r="46" spans="1:26" x14ac:dyDescent="0.3">
      <c r="A46" s="19" t="str">
        <f t="shared" si="0"/>
        <v>LUIS ANGEL CADENA MENDOZA|16</v>
      </c>
      <c r="B46" s="83">
        <v>45230</v>
      </c>
      <c r="C46" s="37" t="str">
        <f t="shared" si="1"/>
        <v>10|2023</v>
      </c>
      <c r="D46" s="1" t="s">
        <v>199</v>
      </c>
      <c r="E46" s="1" t="s">
        <v>9</v>
      </c>
      <c r="F46" s="1">
        <v>2499</v>
      </c>
      <c r="G46" s="1" t="s">
        <v>192</v>
      </c>
      <c r="H46" s="83">
        <v>44748</v>
      </c>
      <c r="I46" s="26">
        <f t="shared" si="2"/>
        <v>482</v>
      </c>
      <c r="J46" s="41">
        <f t="shared" si="3"/>
        <v>16</v>
      </c>
      <c r="K46" s="26" t="str">
        <f>VLOOKUP(I46,Etiquetas!B:C,2)</f>
        <v>1 a 1.5 años</v>
      </c>
      <c r="L46" s="38">
        <f t="shared" si="4"/>
        <v>14</v>
      </c>
      <c r="M46" s="38">
        <f t="shared" si="5"/>
        <v>16</v>
      </c>
      <c r="N46" s="4">
        <v>2511484.75</v>
      </c>
      <c r="O46" s="4">
        <v>2229265.4099999997</v>
      </c>
      <c r="P46" s="4">
        <v>1933167.8199999996</v>
      </c>
      <c r="Q46" s="39">
        <f t="shared" si="6"/>
        <v>0.8671770581144036</v>
      </c>
      <c r="R46" s="84"/>
      <c r="S46" s="40">
        <f t="shared" si="7"/>
        <v>0</v>
      </c>
      <c r="T46" s="4">
        <v>1558729.2238</v>
      </c>
      <c r="U46" s="4">
        <v>797385.6100000001</v>
      </c>
      <c r="V46" s="1">
        <v>7</v>
      </c>
      <c r="W46" s="1">
        <v>54</v>
      </c>
      <c r="X46" s="1">
        <v>39</v>
      </c>
      <c r="Y46" s="14">
        <v>28976.356483736545</v>
      </c>
      <c r="Z46" s="4">
        <v>650</v>
      </c>
    </row>
    <row r="47" spans="1:26" x14ac:dyDescent="0.3">
      <c r="A47" s="19" t="str">
        <f t="shared" si="0"/>
        <v>MARCO ANTONIO DORANTES JAVIER|33</v>
      </c>
      <c r="B47" s="83">
        <v>45230</v>
      </c>
      <c r="C47" s="37" t="str">
        <f t="shared" si="1"/>
        <v>10|2023</v>
      </c>
      <c r="D47" s="1" t="s">
        <v>23</v>
      </c>
      <c r="E47" s="1" t="s">
        <v>25</v>
      </c>
      <c r="F47" s="1">
        <v>2279</v>
      </c>
      <c r="G47" s="1" t="s">
        <v>193</v>
      </c>
      <c r="H47" s="83">
        <v>44210</v>
      </c>
      <c r="I47" s="26">
        <f t="shared" si="2"/>
        <v>1020</v>
      </c>
      <c r="J47" s="41">
        <f>ROUNDDOWN(I47/30,0)-1</f>
        <v>33</v>
      </c>
      <c r="K47" s="26" t="str">
        <f>VLOOKUP(I47,Etiquetas!B:C,2)</f>
        <v>Mas de 3 años</v>
      </c>
      <c r="L47" s="38">
        <f t="shared" si="4"/>
        <v>31</v>
      </c>
      <c r="M47" s="38">
        <f t="shared" si="5"/>
        <v>33</v>
      </c>
      <c r="N47" s="4">
        <v>1456202.7299999995</v>
      </c>
      <c r="O47" s="4">
        <v>1358536.56</v>
      </c>
      <c r="P47" s="4">
        <v>735206.13</v>
      </c>
      <c r="Q47" s="39">
        <f t="shared" si="6"/>
        <v>0.54117507886574656</v>
      </c>
      <c r="R47" s="84"/>
      <c r="S47" s="40">
        <f t="shared" si="7"/>
        <v>0</v>
      </c>
      <c r="T47" s="4">
        <v>0</v>
      </c>
      <c r="U47" s="4">
        <v>231999.60000000003</v>
      </c>
      <c r="V47" s="1">
        <v>2</v>
      </c>
      <c r="W47" s="1">
        <v>94</v>
      </c>
      <c r="X47" s="1">
        <v>13</v>
      </c>
      <c r="Y47" s="14">
        <v>8225</v>
      </c>
      <c r="Z47" s="4">
        <v>0</v>
      </c>
    </row>
    <row r="48" spans="1:26" x14ac:dyDescent="0.3">
      <c r="A48" s="19" t="str">
        <f t="shared" si="0"/>
        <v>MARIA DE LOS ANGELES PONCE PAEZ |8</v>
      </c>
      <c r="B48" s="83">
        <v>45230</v>
      </c>
      <c r="C48" s="37" t="str">
        <f t="shared" si="1"/>
        <v>10|2023</v>
      </c>
      <c r="D48" s="1" t="s">
        <v>199</v>
      </c>
      <c r="E48" s="1" t="s">
        <v>13</v>
      </c>
      <c r="F48" s="1">
        <v>2580</v>
      </c>
      <c r="G48" s="1" t="s">
        <v>197</v>
      </c>
      <c r="H48" s="83">
        <v>44988</v>
      </c>
      <c r="I48" s="26">
        <f t="shared" si="2"/>
        <v>242</v>
      </c>
      <c r="J48" s="41">
        <f>ROUNDDOWN(I48/30,0)</f>
        <v>8</v>
      </c>
      <c r="K48" s="26" t="str">
        <f>VLOOKUP(I48,Etiquetas!B:C,2)</f>
        <v>6 a 12 Meses</v>
      </c>
      <c r="L48" s="38">
        <f t="shared" si="4"/>
        <v>6</v>
      </c>
      <c r="M48" s="38">
        <f t="shared" si="5"/>
        <v>8</v>
      </c>
      <c r="N48" s="4">
        <v>3402071.41</v>
      </c>
      <c r="O48" s="4">
        <v>3092175.7500000009</v>
      </c>
      <c r="P48" s="4">
        <v>2734963.1000000006</v>
      </c>
      <c r="Q48" s="39">
        <f t="shared" si="6"/>
        <v>0.88447854233382428</v>
      </c>
      <c r="R48" s="84"/>
      <c r="S48" s="40">
        <f t="shared" si="7"/>
        <v>0</v>
      </c>
      <c r="T48" s="4">
        <v>1428189.8916999998</v>
      </c>
      <c r="U48" s="4">
        <v>938924.28000000084</v>
      </c>
      <c r="V48" s="1">
        <v>20</v>
      </c>
      <c r="W48" s="1">
        <v>122</v>
      </c>
      <c r="X48" s="1">
        <v>59</v>
      </c>
      <c r="Y48" s="14">
        <v>20397.405827930601</v>
      </c>
      <c r="Z48" s="4">
        <v>975</v>
      </c>
    </row>
    <row r="49" spans="1:26" x14ac:dyDescent="0.3">
      <c r="A49" s="19" t="str">
        <f t="shared" si="0"/>
        <v>MIGUEL AGUSTIN CHAVEZ HUITRON|5</v>
      </c>
      <c r="B49" s="83">
        <v>45230</v>
      </c>
      <c r="C49" s="37" t="str">
        <f t="shared" si="1"/>
        <v>10|2023</v>
      </c>
      <c r="D49" s="1" t="s">
        <v>201</v>
      </c>
      <c r="E49" s="1" t="s">
        <v>15</v>
      </c>
      <c r="F49" s="1">
        <v>2605</v>
      </c>
      <c r="G49" s="1" t="s">
        <v>185</v>
      </c>
      <c r="H49" s="83">
        <v>45055</v>
      </c>
      <c r="I49" s="26">
        <f t="shared" si="2"/>
        <v>175</v>
      </c>
      <c r="J49" s="41">
        <f>ROUNDDOWN(I49/30,0)</f>
        <v>5</v>
      </c>
      <c r="K49" s="26" t="str">
        <f>VLOOKUP(I49,Etiquetas!B:C,2)</f>
        <v>3 a 6 Meses</v>
      </c>
      <c r="L49" s="38">
        <f t="shared" si="4"/>
        <v>3</v>
      </c>
      <c r="M49" s="38">
        <f t="shared" si="5"/>
        <v>5</v>
      </c>
      <c r="N49" s="4">
        <v>2027273.2099999997</v>
      </c>
      <c r="O49" s="4">
        <v>1714328.2199999997</v>
      </c>
      <c r="P49" s="4">
        <v>1600193.39</v>
      </c>
      <c r="Q49" s="39">
        <f t="shared" si="6"/>
        <v>0.93342299994338318</v>
      </c>
      <c r="R49" s="84"/>
      <c r="S49" s="40">
        <f t="shared" si="7"/>
        <v>0</v>
      </c>
      <c r="T49" s="4">
        <v>1012720.3778499998</v>
      </c>
      <c r="U49" s="4">
        <v>340001.23000000016</v>
      </c>
      <c r="V49" s="1">
        <v>33</v>
      </c>
      <c r="W49" s="1">
        <v>107</v>
      </c>
      <c r="X49" s="1">
        <v>38</v>
      </c>
      <c r="Y49" s="14">
        <v>19515.604683844162</v>
      </c>
      <c r="Z49" s="4">
        <v>325</v>
      </c>
    </row>
    <row r="50" spans="1:26" x14ac:dyDescent="0.3">
      <c r="A50" s="19" t="str">
        <f t="shared" si="0"/>
        <v>PATRICIA GARCIA HERNANDEZ |6</v>
      </c>
      <c r="B50" s="83">
        <v>45230</v>
      </c>
      <c r="C50" s="37" t="str">
        <f t="shared" si="1"/>
        <v>10|2023</v>
      </c>
      <c r="D50" s="1" t="s">
        <v>200</v>
      </c>
      <c r="E50" s="1" t="s">
        <v>21</v>
      </c>
      <c r="F50" s="1">
        <v>2600</v>
      </c>
      <c r="G50" s="1" t="s">
        <v>198</v>
      </c>
      <c r="H50" s="83">
        <v>45041</v>
      </c>
      <c r="I50" s="26">
        <f t="shared" si="2"/>
        <v>189</v>
      </c>
      <c r="J50" s="41">
        <f>ROUNDDOWN(I50/30,0)</f>
        <v>6</v>
      </c>
      <c r="K50" s="26" t="str">
        <f>VLOOKUP(I50,Etiquetas!B:C,2)</f>
        <v>6 a 12 Meses</v>
      </c>
      <c r="L50" s="38">
        <f t="shared" si="4"/>
        <v>4</v>
      </c>
      <c r="M50" s="38">
        <f t="shared" si="5"/>
        <v>6</v>
      </c>
      <c r="N50" s="4">
        <v>2207387.83</v>
      </c>
      <c r="O50" s="4">
        <v>2650528.3600000003</v>
      </c>
      <c r="P50" s="4">
        <v>2388008.1900000004</v>
      </c>
      <c r="Q50" s="39">
        <f t="shared" si="6"/>
        <v>0.90095553250371563</v>
      </c>
      <c r="R50" s="84"/>
      <c r="S50" s="40">
        <f t="shared" si="7"/>
        <v>0</v>
      </c>
      <c r="T50" s="4">
        <v>1403349.3054499999</v>
      </c>
      <c r="U50" s="4">
        <v>1401535.9700000002</v>
      </c>
      <c r="V50" s="1">
        <v>106</v>
      </c>
      <c r="W50" s="1">
        <v>87</v>
      </c>
      <c r="X50" s="1">
        <v>42</v>
      </c>
      <c r="Y50" s="14">
        <v>34094.223956865208</v>
      </c>
      <c r="Z50" s="4">
        <v>0</v>
      </c>
    </row>
    <row r="51" spans="1:26" x14ac:dyDescent="0.3">
      <c r="A51" s="19"/>
      <c r="B51" s="83"/>
      <c r="C51" s="37"/>
      <c r="H51" s="2"/>
      <c r="I51" s="26"/>
      <c r="J51" s="41"/>
      <c r="K51" s="26"/>
      <c r="L51" s="38"/>
      <c r="M51" s="38"/>
      <c r="N51" s="4"/>
      <c r="O51" s="4"/>
      <c r="P51" s="4"/>
      <c r="Q51" s="39"/>
      <c r="R51" s="3"/>
      <c r="S51" s="40"/>
      <c r="T51" s="4"/>
      <c r="U51" s="4"/>
      <c r="Y51" s="14"/>
      <c r="Z51" s="4"/>
    </row>
    <row r="52" spans="1:26" x14ac:dyDescent="0.3">
      <c r="A52" s="19"/>
      <c r="B52" s="83"/>
      <c r="C52" s="37"/>
      <c r="H52" s="2"/>
      <c r="I52" s="26"/>
      <c r="J52" s="41"/>
      <c r="K52" s="26"/>
      <c r="L52" s="38"/>
      <c r="M52" s="38"/>
      <c r="N52" s="4"/>
      <c r="O52" s="4"/>
      <c r="P52" s="4"/>
      <c r="Q52" s="39"/>
      <c r="R52" s="3"/>
      <c r="S52" s="40"/>
      <c r="T52" s="4"/>
      <c r="U52" s="4"/>
      <c r="Y52" s="14"/>
      <c r="Z52" s="4"/>
    </row>
    <row r="53" spans="1:26" x14ac:dyDescent="0.3">
      <c r="A53" s="19"/>
      <c r="B53" s="83"/>
      <c r="C53" s="37"/>
      <c r="H53" s="2"/>
      <c r="I53" s="26"/>
      <c r="J53" s="41"/>
      <c r="K53" s="26"/>
      <c r="L53" s="38"/>
      <c r="M53" s="38"/>
      <c r="N53" s="4"/>
      <c r="O53" s="4"/>
      <c r="P53" s="4"/>
      <c r="Q53" s="39"/>
      <c r="R53" s="3"/>
      <c r="S53" s="40"/>
      <c r="T53" s="4"/>
      <c r="U53" s="4"/>
      <c r="Y53" s="14"/>
      <c r="Z53" s="4"/>
    </row>
    <row r="54" spans="1:26" x14ac:dyDescent="0.3">
      <c r="A54" s="19"/>
      <c r="B54" s="83"/>
      <c r="C54" s="37"/>
      <c r="H54" s="2"/>
      <c r="I54" s="26"/>
      <c r="J54" s="41"/>
      <c r="K54" s="26"/>
      <c r="L54" s="38"/>
      <c r="M54" s="38"/>
      <c r="N54" s="4"/>
      <c r="O54" s="4"/>
      <c r="P54" s="4"/>
      <c r="Q54" s="39"/>
      <c r="R54" s="3"/>
      <c r="S54" s="40"/>
      <c r="T54" s="4"/>
      <c r="U54" s="4"/>
      <c r="Y54" s="14"/>
      <c r="Z54" s="4"/>
    </row>
    <row r="55" spans="1:26" x14ac:dyDescent="0.3">
      <c r="A55" s="19"/>
      <c r="B55" s="83"/>
      <c r="C55" s="37"/>
      <c r="H55" s="2"/>
      <c r="I55" s="26"/>
      <c r="J55" s="41"/>
      <c r="K55" s="26"/>
      <c r="L55" s="38"/>
      <c r="M55" s="38"/>
      <c r="N55" s="4"/>
      <c r="O55" s="4"/>
      <c r="P55" s="4"/>
      <c r="Q55" s="39"/>
      <c r="R55" s="3"/>
      <c r="S55" s="40"/>
      <c r="T55" s="4"/>
      <c r="U55" s="4"/>
      <c r="Y55" s="14"/>
      <c r="Z55" s="4"/>
    </row>
    <row r="56" spans="1:26" x14ac:dyDescent="0.3">
      <c r="A56" s="19"/>
      <c r="B56" s="83"/>
      <c r="C56" s="37"/>
      <c r="H56" s="2"/>
      <c r="I56" s="26"/>
      <c r="J56" s="41"/>
      <c r="K56" s="26"/>
      <c r="L56" s="38"/>
      <c r="M56" s="38"/>
      <c r="N56" s="4"/>
      <c r="O56" s="4"/>
      <c r="P56" s="4"/>
      <c r="Q56" s="39"/>
      <c r="R56" s="3"/>
      <c r="S56" s="40"/>
      <c r="T56" s="4"/>
      <c r="U56" s="4"/>
      <c r="Y56" s="14"/>
      <c r="Z56" s="4"/>
    </row>
    <row r="57" spans="1:26" x14ac:dyDescent="0.3">
      <c r="A57" s="19"/>
      <c r="B57" s="83"/>
      <c r="C57" s="37"/>
      <c r="H57" s="2"/>
      <c r="I57" s="26"/>
      <c r="J57" s="41"/>
      <c r="K57" s="26"/>
      <c r="L57" s="38"/>
      <c r="M57" s="38"/>
      <c r="N57" s="4"/>
      <c r="O57" s="4"/>
      <c r="P57" s="4"/>
      <c r="Q57" s="39"/>
      <c r="R57" s="3"/>
      <c r="S57" s="40"/>
      <c r="T57" s="4"/>
      <c r="U57" s="4"/>
      <c r="Y57" s="14"/>
      <c r="Z57" s="4"/>
    </row>
    <row r="58" spans="1:26" x14ac:dyDescent="0.3">
      <c r="A58" s="19"/>
      <c r="B58" s="83"/>
      <c r="C58" s="37"/>
      <c r="H58" s="2"/>
      <c r="I58" s="26"/>
      <c r="J58" s="41"/>
      <c r="K58" s="26"/>
      <c r="L58" s="38"/>
      <c r="M58" s="38"/>
      <c r="N58" s="4"/>
      <c r="O58" s="4"/>
      <c r="P58" s="4"/>
      <c r="Q58" s="39"/>
      <c r="R58" s="3"/>
      <c r="S58" s="40"/>
      <c r="T58" s="4"/>
      <c r="U58" s="4"/>
      <c r="Y58" s="14"/>
      <c r="Z58" s="4"/>
    </row>
    <row r="59" spans="1:26" x14ac:dyDescent="0.3">
      <c r="A59" s="19"/>
      <c r="B59" s="83"/>
      <c r="C59" s="37"/>
      <c r="H59" s="2"/>
      <c r="I59" s="26"/>
      <c r="J59" s="41"/>
      <c r="K59" s="26"/>
      <c r="L59" s="38"/>
      <c r="M59" s="38"/>
      <c r="N59" s="4"/>
      <c r="O59" s="4"/>
      <c r="P59" s="4"/>
      <c r="Q59" s="39"/>
      <c r="R59" s="3"/>
      <c r="S59" s="40"/>
      <c r="T59" s="4"/>
      <c r="U59" s="4"/>
      <c r="Y59" s="14"/>
      <c r="Z59" s="4"/>
    </row>
    <row r="60" spans="1:26" x14ac:dyDescent="0.3">
      <c r="A60" s="19"/>
      <c r="B60" s="83"/>
      <c r="C60" s="37"/>
      <c r="H60" s="2"/>
      <c r="I60" s="26"/>
      <c r="J60" s="41"/>
      <c r="K60" s="26"/>
      <c r="L60" s="38"/>
      <c r="M60" s="38"/>
      <c r="N60" s="4"/>
      <c r="O60" s="4"/>
      <c r="P60" s="4"/>
      <c r="Q60" s="39"/>
      <c r="R60" s="3"/>
      <c r="S60" s="40"/>
      <c r="T60" s="4"/>
      <c r="U60" s="4"/>
      <c r="Y60" s="14"/>
      <c r="Z60" s="4"/>
    </row>
    <row r="61" spans="1:26" x14ac:dyDescent="0.3">
      <c r="A61" s="19"/>
      <c r="B61" s="83"/>
      <c r="C61" s="37"/>
      <c r="H61" s="2"/>
      <c r="I61" s="26"/>
      <c r="J61" s="41"/>
      <c r="K61" s="26"/>
      <c r="L61" s="38"/>
      <c r="M61" s="38"/>
      <c r="N61" s="4"/>
      <c r="O61" s="4"/>
      <c r="P61" s="4"/>
      <c r="Q61" s="39"/>
      <c r="R61" s="3"/>
      <c r="S61" s="40"/>
      <c r="T61" s="4"/>
      <c r="U61" s="4"/>
      <c r="Y61" s="14"/>
      <c r="Z61" s="4"/>
    </row>
    <row r="62" spans="1:26" x14ac:dyDescent="0.3">
      <c r="A62" s="19"/>
      <c r="B62" s="83"/>
      <c r="C62" s="37"/>
      <c r="H62" s="2"/>
      <c r="I62" s="26"/>
      <c r="J62" s="41"/>
      <c r="K62" s="26"/>
      <c r="L62" s="38"/>
      <c r="M62" s="38"/>
      <c r="N62" s="4"/>
      <c r="O62" s="4"/>
      <c r="P62" s="4"/>
      <c r="Q62" s="39"/>
      <c r="R62" s="3"/>
      <c r="S62" s="40"/>
      <c r="T62" s="4"/>
      <c r="U62" s="4"/>
      <c r="Y62" s="14"/>
      <c r="Z62" s="4"/>
    </row>
    <row r="63" spans="1:26" x14ac:dyDescent="0.3">
      <c r="A63" s="19"/>
      <c r="B63" s="83"/>
      <c r="C63" s="37"/>
      <c r="H63" s="2"/>
      <c r="I63" s="26"/>
      <c r="J63" s="41"/>
      <c r="K63" s="26"/>
      <c r="L63" s="38"/>
      <c r="M63" s="38"/>
      <c r="N63" s="4"/>
      <c r="O63" s="4"/>
      <c r="P63" s="4"/>
      <c r="Q63" s="39"/>
      <c r="R63" s="3"/>
      <c r="S63" s="40"/>
      <c r="T63" s="4"/>
      <c r="U63" s="4"/>
      <c r="Y63" s="14"/>
      <c r="Z63" s="4"/>
    </row>
    <row r="64" spans="1:26" x14ac:dyDescent="0.3">
      <c r="A64" s="19"/>
      <c r="B64" s="83"/>
      <c r="C64" s="37"/>
      <c r="H64" s="2"/>
      <c r="I64" s="26"/>
      <c r="J64" s="41"/>
      <c r="K64" s="26"/>
      <c r="L64" s="38"/>
      <c r="M64" s="38"/>
      <c r="N64" s="4"/>
      <c r="O64" s="4"/>
      <c r="P64" s="4"/>
      <c r="Q64" s="39"/>
      <c r="R64" s="3"/>
      <c r="S64" s="40"/>
      <c r="T64" s="4"/>
      <c r="U64" s="4"/>
      <c r="Y64" s="14"/>
      <c r="Z64" s="4"/>
    </row>
    <row r="65" spans="1:26" x14ac:dyDescent="0.3">
      <c r="A65" s="19"/>
      <c r="B65" s="83"/>
      <c r="C65" s="37"/>
      <c r="H65" s="2"/>
      <c r="I65" s="26"/>
      <c r="J65" s="41"/>
      <c r="K65" s="26"/>
      <c r="L65" s="38"/>
      <c r="M65" s="38"/>
      <c r="N65" s="4"/>
      <c r="O65" s="4"/>
      <c r="P65" s="4"/>
      <c r="Q65" s="39"/>
      <c r="R65" s="3"/>
      <c r="S65" s="40"/>
      <c r="T65" s="4"/>
      <c r="U65" s="4"/>
      <c r="Y65" s="14"/>
      <c r="Z65" s="4"/>
    </row>
    <row r="66" spans="1:26" x14ac:dyDescent="0.3">
      <c r="A66" s="19"/>
      <c r="B66" s="83"/>
      <c r="C66" s="37"/>
      <c r="H66" s="2"/>
      <c r="I66" s="26"/>
      <c r="J66" s="41"/>
      <c r="K66" s="26"/>
      <c r="L66" s="38"/>
      <c r="M66" s="38"/>
      <c r="N66" s="4"/>
      <c r="O66" s="4"/>
      <c r="P66" s="4"/>
      <c r="Q66" s="39"/>
      <c r="R66" s="3"/>
      <c r="S66" s="40"/>
      <c r="T66" s="4"/>
      <c r="U66" s="4"/>
      <c r="Y66" s="14"/>
      <c r="Z66" s="4"/>
    </row>
    <row r="67" spans="1:26" x14ac:dyDescent="0.3">
      <c r="A67" s="19"/>
      <c r="B67" s="83"/>
      <c r="C67" s="37"/>
      <c r="H67" s="2"/>
      <c r="I67" s="26"/>
      <c r="J67" s="41"/>
      <c r="K67" s="26"/>
      <c r="L67" s="38"/>
      <c r="M67" s="38"/>
      <c r="N67" s="4"/>
      <c r="O67" s="4"/>
      <c r="P67" s="4"/>
      <c r="Q67" s="39"/>
      <c r="R67" s="3"/>
      <c r="S67" s="40"/>
      <c r="T67" s="4"/>
      <c r="U67" s="4"/>
      <c r="Y67" s="14"/>
      <c r="Z67" s="4"/>
    </row>
    <row r="68" spans="1:26" x14ac:dyDescent="0.3">
      <c r="A68" s="19"/>
      <c r="B68" s="83"/>
      <c r="C68" s="37"/>
      <c r="H68" s="2"/>
      <c r="I68" s="26"/>
      <c r="J68" s="41"/>
      <c r="K68" s="26"/>
      <c r="L68" s="38"/>
      <c r="M68" s="38"/>
      <c r="N68" s="4"/>
      <c r="O68" s="4"/>
      <c r="P68" s="4"/>
      <c r="Q68" s="39"/>
      <c r="R68" s="3"/>
      <c r="S68" s="40"/>
      <c r="T68" s="4"/>
      <c r="U68" s="4"/>
      <c r="Y68" s="14"/>
      <c r="Z68" s="4"/>
    </row>
    <row r="69" spans="1:26" x14ac:dyDescent="0.3">
      <c r="A69" s="19"/>
      <c r="B69" s="83"/>
      <c r="C69" s="37"/>
      <c r="H69" s="2"/>
      <c r="I69" s="26"/>
      <c r="J69" s="41"/>
      <c r="K69" s="26"/>
      <c r="L69" s="38"/>
      <c r="M69" s="38"/>
      <c r="N69" s="4"/>
      <c r="O69" s="4"/>
      <c r="P69" s="4"/>
      <c r="Q69" s="39"/>
      <c r="R69" s="3"/>
      <c r="S69" s="40"/>
      <c r="T69" s="4"/>
      <c r="U69" s="4"/>
      <c r="Y69" s="14"/>
      <c r="Z69" s="4"/>
    </row>
    <row r="70" spans="1:26" x14ac:dyDescent="0.3">
      <c r="A70" s="19"/>
      <c r="B70" s="83"/>
      <c r="C70" s="37"/>
      <c r="H70" s="2"/>
      <c r="I70" s="26"/>
      <c r="J70" s="41"/>
      <c r="K70" s="26"/>
      <c r="L70" s="38"/>
      <c r="M70" s="38"/>
      <c r="N70" s="4"/>
      <c r="O70" s="4"/>
      <c r="P70" s="4"/>
      <c r="Q70" s="39"/>
      <c r="R70" s="3"/>
      <c r="S70" s="40"/>
      <c r="T70" s="4"/>
      <c r="U70" s="4"/>
      <c r="Y70" s="14"/>
      <c r="Z70" s="4"/>
    </row>
    <row r="71" spans="1:26" x14ac:dyDescent="0.3">
      <c r="A71" s="19"/>
      <c r="B71" s="83"/>
      <c r="C71" s="37"/>
      <c r="H71" s="2"/>
      <c r="I71" s="26"/>
      <c r="J71" s="41"/>
      <c r="K71" s="26"/>
      <c r="L71" s="38"/>
      <c r="M71" s="38"/>
      <c r="N71" s="4"/>
      <c r="O71" s="4"/>
      <c r="P71" s="4"/>
      <c r="Q71" s="39"/>
      <c r="R71" s="3"/>
      <c r="S71" s="40"/>
      <c r="T71" s="4"/>
      <c r="U71" s="4"/>
      <c r="Y71" s="14"/>
      <c r="Z71" s="4"/>
    </row>
    <row r="72" spans="1:26" x14ac:dyDescent="0.3">
      <c r="A72" s="19"/>
      <c r="B72" s="83"/>
      <c r="C72" s="37"/>
      <c r="H72" s="2"/>
      <c r="I72" s="26"/>
      <c r="J72" s="41"/>
      <c r="K72" s="26"/>
      <c r="L72" s="38"/>
      <c r="M72" s="38"/>
      <c r="N72" s="4"/>
      <c r="O72" s="4"/>
      <c r="P72" s="4"/>
      <c r="Q72" s="39"/>
      <c r="R72" s="3"/>
      <c r="S72" s="40"/>
      <c r="T72" s="4"/>
      <c r="U72" s="4"/>
      <c r="Y72" s="14"/>
      <c r="Z72" s="4"/>
    </row>
    <row r="73" spans="1:26" x14ac:dyDescent="0.3">
      <c r="A73" s="19"/>
      <c r="B73" s="83"/>
      <c r="C73" s="37"/>
      <c r="H73" s="2"/>
      <c r="I73" s="26"/>
      <c r="J73" s="41"/>
      <c r="K73" s="26"/>
      <c r="L73" s="38"/>
      <c r="M73" s="38"/>
      <c r="N73" s="4"/>
      <c r="O73" s="4"/>
      <c r="P73" s="4"/>
      <c r="Q73" s="39"/>
      <c r="R73" s="3"/>
      <c r="S73" s="40"/>
      <c r="T73" s="4"/>
      <c r="U73" s="4"/>
      <c r="Y73" s="14"/>
      <c r="Z73" s="4"/>
    </row>
    <row r="74" spans="1:26" x14ac:dyDescent="0.3">
      <c r="A74" s="19"/>
      <c r="B74" s="83"/>
      <c r="C74" s="37"/>
      <c r="H74" s="2"/>
      <c r="I74" s="26"/>
      <c r="J74" s="41"/>
      <c r="K74" s="26"/>
      <c r="L74" s="38"/>
      <c r="M74" s="38"/>
      <c r="N74" s="4"/>
      <c r="O74" s="4"/>
      <c r="P74" s="4"/>
      <c r="Q74" s="39"/>
      <c r="R74" s="3"/>
      <c r="S74" s="40"/>
      <c r="T74" s="4"/>
      <c r="U74" s="4"/>
      <c r="Y74" s="14"/>
      <c r="Z74" s="4"/>
    </row>
    <row r="75" spans="1:26" x14ac:dyDescent="0.3">
      <c r="A75" s="19"/>
      <c r="B75" s="83"/>
      <c r="C75" s="37"/>
      <c r="H75" s="2"/>
      <c r="I75" s="26"/>
      <c r="J75" s="41"/>
      <c r="K75" s="26"/>
      <c r="L75" s="38"/>
      <c r="M75" s="38"/>
      <c r="N75" s="4"/>
      <c r="O75" s="4"/>
      <c r="P75" s="4"/>
      <c r="Q75" s="39"/>
      <c r="R75" s="3"/>
      <c r="S75" s="40"/>
      <c r="T75" s="4"/>
      <c r="U75" s="4"/>
      <c r="Y75" s="14"/>
      <c r="Z75" s="4"/>
    </row>
    <row r="76" spans="1:26" x14ac:dyDescent="0.3">
      <c r="A76" s="19"/>
      <c r="B76" s="83"/>
      <c r="C76" s="37"/>
      <c r="H76" s="2"/>
      <c r="I76" s="26"/>
      <c r="J76" s="41"/>
      <c r="K76" s="26"/>
      <c r="L76" s="38"/>
      <c r="M76" s="38"/>
      <c r="N76" s="4"/>
      <c r="O76" s="4"/>
      <c r="P76" s="4"/>
      <c r="Q76" s="39"/>
      <c r="R76" s="3"/>
      <c r="S76" s="40"/>
      <c r="T76" s="4"/>
      <c r="U76" s="4"/>
      <c r="Y76" s="14"/>
      <c r="Z76" s="4"/>
    </row>
    <row r="77" spans="1:26" x14ac:dyDescent="0.3">
      <c r="A77" s="19"/>
      <c r="B77" s="83"/>
      <c r="C77" s="37"/>
      <c r="H77" s="2"/>
      <c r="I77" s="26"/>
      <c r="J77" s="41"/>
      <c r="K77" s="26"/>
      <c r="L77" s="38"/>
      <c r="M77" s="38"/>
      <c r="N77" s="4"/>
      <c r="O77" s="4"/>
      <c r="P77" s="4"/>
      <c r="Q77" s="39"/>
      <c r="R77" s="3"/>
      <c r="S77" s="40"/>
      <c r="T77" s="4"/>
      <c r="U77" s="4"/>
      <c r="Y77" s="14"/>
      <c r="Z77" s="4"/>
    </row>
    <row r="78" spans="1:26" x14ac:dyDescent="0.3">
      <c r="A78" s="19"/>
      <c r="B78" s="83"/>
      <c r="C78" s="37"/>
      <c r="H78" s="2"/>
      <c r="I78" s="26"/>
      <c r="J78" s="41"/>
      <c r="K78" s="26"/>
      <c r="L78" s="38"/>
      <c r="M78" s="38"/>
      <c r="N78" s="4"/>
      <c r="O78" s="4"/>
      <c r="P78" s="4"/>
      <c r="Q78" s="39"/>
      <c r="R78" s="3"/>
      <c r="S78" s="40"/>
      <c r="T78" s="4"/>
      <c r="U78" s="4"/>
      <c r="Y78" s="14"/>
      <c r="Z78" s="4"/>
    </row>
    <row r="79" spans="1:26" x14ac:dyDescent="0.3">
      <c r="A79" s="19"/>
      <c r="B79" s="83"/>
      <c r="C79" s="37"/>
      <c r="H79" s="2"/>
      <c r="I79" s="26"/>
      <c r="J79" s="41"/>
      <c r="K79" s="26"/>
      <c r="L79" s="38"/>
      <c r="M79" s="38"/>
      <c r="N79" s="4"/>
      <c r="O79" s="4"/>
      <c r="P79" s="4"/>
      <c r="Q79" s="39"/>
      <c r="R79" s="3"/>
      <c r="S79" s="40"/>
      <c r="T79" s="4"/>
      <c r="U79" s="4"/>
      <c r="Y79" s="14"/>
      <c r="Z79" s="4"/>
    </row>
    <row r="80" spans="1:26" x14ac:dyDescent="0.3">
      <c r="A80" s="19"/>
      <c r="B80" s="83"/>
      <c r="C80" s="37"/>
      <c r="H80" s="2"/>
      <c r="I80" s="26"/>
      <c r="J80" s="41"/>
      <c r="K80" s="26"/>
      <c r="L80" s="38"/>
      <c r="M80" s="38"/>
      <c r="N80" s="4"/>
      <c r="O80" s="4"/>
      <c r="P80" s="4"/>
      <c r="Q80" s="39"/>
      <c r="R80" s="3"/>
      <c r="S80" s="40"/>
      <c r="T80" s="4"/>
      <c r="U80" s="4"/>
      <c r="Y80" s="14"/>
      <c r="Z80" s="4"/>
    </row>
    <row r="81" spans="1:26" x14ac:dyDescent="0.3">
      <c r="A81" s="19"/>
      <c r="B81" s="83"/>
      <c r="C81" s="37"/>
      <c r="H81" s="2"/>
      <c r="I81" s="26"/>
      <c r="J81" s="41"/>
      <c r="K81" s="26"/>
      <c r="L81" s="38"/>
      <c r="M81" s="38"/>
      <c r="N81" s="4"/>
      <c r="O81" s="4"/>
      <c r="P81" s="4"/>
      <c r="Q81" s="39"/>
      <c r="R81" s="3"/>
      <c r="S81" s="40"/>
      <c r="T81" s="4"/>
      <c r="U81" s="4"/>
      <c r="Y81" s="14"/>
      <c r="Z81" s="4"/>
    </row>
    <row r="82" spans="1:26" x14ac:dyDescent="0.3">
      <c r="A82" s="19"/>
      <c r="B82" s="83"/>
      <c r="C82" s="37"/>
      <c r="H82" s="2"/>
      <c r="I82" s="26"/>
      <c r="J82" s="41"/>
      <c r="K82" s="26"/>
      <c r="L82" s="38"/>
      <c r="M82" s="38"/>
      <c r="N82" s="4"/>
      <c r="O82" s="4"/>
      <c r="P82" s="4"/>
      <c r="Q82" s="39"/>
      <c r="R82" s="3"/>
      <c r="S82" s="40"/>
      <c r="T82" s="4"/>
      <c r="U82" s="4"/>
      <c r="Y82" s="14"/>
      <c r="Z82" s="4"/>
    </row>
    <row r="83" spans="1:26" x14ac:dyDescent="0.3">
      <c r="A83" s="19"/>
      <c r="B83" s="83"/>
      <c r="C83" s="37"/>
      <c r="H83" s="2"/>
      <c r="I83" s="26"/>
      <c r="J83" s="41"/>
      <c r="K83" s="26"/>
      <c r="L83" s="38"/>
      <c r="M83" s="38"/>
      <c r="N83" s="4"/>
      <c r="O83" s="4"/>
      <c r="P83" s="4"/>
      <c r="Q83" s="39"/>
      <c r="R83" s="3"/>
      <c r="S83" s="40"/>
      <c r="T83" s="4"/>
      <c r="U83" s="4"/>
      <c r="Y83" s="14"/>
      <c r="Z83" s="4"/>
    </row>
    <row r="84" spans="1:26" x14ac:dyDescent="0.3">
      <c r="A84" s="19"/>
      <c r="B84" s="83"/>
      <c r="C84" s="37"/>
      <c r="H84" s="2"/>
      <c r="I84" s="26"/>
      <c r="J84" s="41"/>
      <c r="K84" s="26"/>
      <c r="L84" s="38"/>
      <c r="M84" s="38"/>
      <c r="N84" s="4"/>
      <c r="O84" s="4"/>
      <c r="P84" s="4"/>
      <c r="Q84" s="39"/>
      <c r="R84" s="3"/>
      <c r="S84" s="40"/>
      <c r="T84" s="4"/>
      <c r="U84" s="4"/>
      <c r="Y84" s="14"/>
      <c r="Z84" s="4"/>
    </row>
    <row r="85" spans="1:26" x14ac:dyDescent="0.3">
      <c r="A85" s="19"/>
      <c r="B85" s="83"/>
      <c r="C85" s="37"/>
      <c r="H85" s="2"/>
      <c r="I85" s="26"/>
      <c r="J85" s="41"/>
      <c r="K85" s="26"/>
      <c r="L85" s="38"/>
      <c r="M85" s="38"/>
      <c r="N85" s="4"/>
      <c r="O85" s="4"/>
      <c r="P85" s="4"/>
      <c r="Q85" s="39"/>
      <c r="R85" s="3"/>
      <c r="S85" s="40"/>
      <c r="T85" s="4"/>
      <c r="U85" s="4"/>
      <c r="Y85" s="14"/>
      <c r="Z85" s="4"/>
    </row>
    <row r="86" spans="1:26" x14ac:dyDescent="0.3">
      <c r="A86" s="19"/>
      <c r="B86" s="83"/>
      <c r="C86" s="37"/>
      <c r="H86" s="2"/>
      <c r="I86" s="26"/>
      <c r="J86" s="41"/>
      <c r="K86" s="26"/>
      <c r="L86" s="38"/>
      <c r="M86" s="38"/>
      <c r="N86" s="4"/>
      <c r="O86" s="4"/>
      <c r="P86" s="4"/>
      <c r="Q86" s="39"/>
      <c r="R86" s="3"/>
      <c r="S86" s="40"/>
      <c r="T86" s="4"/>
      <c r="U86" s="4"/>
      <c r="Y86" s="14"/>
      <c r="Z86" s="4"/>
    </row>
    <row r="87" spans="1:26" x14ac:dyDescent="0.3">
      <c r="A87" s="19"/>
      <c r="B87" s="83"/>
      <c r="C87" s="37"/>
      <c r="H87" s="2"/>
      <c r="I87" s="26"/>
      <c r="J87" s="41"/>
      <c r="K87" s="26"/>
      <c r="L87" s="38"/>
      <c r="M87" s="38"/>
      <c r="N87" s="4"/>
      <c r="O87" s="4"/>
      <c r="P87" s="4"/>
      <c r="Q87" s="39"/>
      <c r="R87" s="3"/>
      <c r="S87" s="40"/>
      <c r="T87" s="4"/>
      <c r="U87" s="4"/>
      <c r="Y87" s="14"/>
      <c r="Z87" s="4"/>
    </row>
    <row r="88" spans="1:26" x14ac:dyDescent="0.3">
      <c r="A88" s="19"/>
      <c r="B88" s="83"/>
      <c r="C88" s="37"/>
      <c r="H88" s="2"/>
      <c r="I88" s="26"/>
      <c r="J88" s="41"/>
      <c r="K88" s="26"/>
      <c r="L88" s="38"/>
      <c r="M88" s="38"/>
      <c r="N88" s="4"/>
      <c r="O88" s="4"/>
      <c r="P88" s="4"/>
      <c r="Q88" s="39"/>
      <c r="R88" s="3"/>
      <c r="S88" s="40"/>
      <c r="T88" s="4"/>
      <c r="U88" s="4"/>
      <c r="Y88" s="14"/>
      <c r="Z88" s="4"/>
    </row>
    <row r="89" spans="1:26" x14ac:dyDescent="0.3">
      <c r="A89" s="19"/>
      <c r="B89" s="83"/>
      <c r="C89" s="37"/>
      <c r="H89" s="2"/>
      <c r="I89" s="26"/>
      <c r="J89" s="41"/>
      <c r="K89" s="26"/>
      <c r="L89" s="38"/>
      <c r="M89" s="38"/>
      <c r="N89" s="4"/>
      <c r="O89" s="4"/>
      <c r="P89" s="4"/>
      <c r="Q89" s="39"/>
      <c r="R89" s="3"/>
      <c r="S89" s="40"/>
      <c r="T89" s="4"/>
      <c r="U89" s="4"/>
      <c r="Y89" s="14"/>
      <c r="Z89" s="4"/>
    </row>
    <row r="90" spans="1:26" x14ac:dyDescent="0.3">
      <c r="A90" s="19"/>
      <c r="B90" s="83"/>
      <c r="C90" s="37"/>
      <c r="H90" s="2"/>
      <c r="I90" s="26"/>
      <c r="J90" s="41"/>
      <c r="K90" s="26"/>
      <c r="L90" s="38"/>
      <c r="M90" s="38"/>
      <c r="N90" s="4"/>
      <c r="O90" s="4"/>
      <c r="P90" s="4"/>
      <c r="Q90" s="39"/>
      <c r="R90" s="3"/>
      <c r="S90" s="40"/>
      <c r="T90" s="4"/>
      <c r="U90" s="4"/>
      <c r="Y90" s="14"/>
      <c r="Z90" s="4"/>
    </row>
    <row r="91" spans="1:26" x14ac:dyDescent="0.3">
      <c r="A91" s="19"/>
      <c r="B91" s="83"/>
      <c r="C91" s="37"/>
      <c r="H91" s="2"/>
      <c r="I91" s="26"/>
      <c r="J91" s="41"/>
      <c r="K91" s="26"/>
      <c r="L91" s="38"/>
      <c r="M91" s="38"/>
      <c r="N91" s="4"/>
      <c r="O91" s="4"/>
      <c r="P91" s="4"/>
      <c r="Q91" s="39"/>
      <c r="R91" s="3"/>
      <c r="S91" s="40"/>
      <c r="T91" s="4"/>
      <c r="U91" s="4"/>
      <c r="Y91" s="14"/>
      <c r="Z91" s="4"/>
    </row>
    <row r="92" spans="1:26" x14ac:dyDescent="0.3">
      <c r="A92" s="19"/>
      <c r="B92" s="83"/>
      <c r="C92" s="37"/>
      <c r="H92" s="2"/>
      <c r="I92" s="26"/>
      <c r="J92" s="41"/>
      <c r="K92" s="26"/>
      <c r="L92" s="38"/>
      <c r="M92" s="38"/>
      <c r="N92" s="4"/>
      <c r="O92" s="4"/>
      <c r="P92" s="4"/>
      <c r="Q92" s="39"/>
      <c r="R92" s="3"/>
      <c r="S92" s="40"/>
      <c r="T92" s="4"/>
      <c r="U92" s="4"/>
      <c r="Y92" s="14"/>
      <c r="Z92" s="4"/>
    </row>
    <row r="93" spans="1:26" x14ac:dyDescent="0.3">
      <c r="A93" s="19"/>
      <c r="B93" s="83"/>
      <c r="C93" s="37"/>
      <c r="H93" s="2"/>
      <c r="I93" s="26"/>
      <c r="J93" s="41"/>
      <c r="K93" s="26"/>
      <c r="L93" s="38"/>
      <c r="M93" s="38"/>
      <c r="N93" s="4"/>
      <c r="O93" s="4"/>
      <c r="P93" s="4"/>
      <c r="Q93" s="39"/>
      <c r="R93" s="3"/>
      <c r="S93" s="40"/>
      <c r="T93" s="4"/>
      <c r="U93" s="4"/>
      <c r="Y93" s="14"/>
      <c r="Z93" s="4"/>
    </row>
    <row r="94" spans="1:26" x14ac:dyDescent="0.3">
      <c r="A94" s="19"/>
      <c r="B94" s="83"/>
      <c r="C94" s="37"/>
      <c r="H94" s="2"/>
      <c r="I94" s="26"/>
      <c r="J94" s="41"/>
      <c r="K94" s="26"/>
      <c r="L94" s="38"/>
      <c r="M94" s="38"/>
      <c r="N94" s="4"/>
      <c r="O94" s="4"/>
      <c r="P94" s="4"/>
      <c r="Q94" s="39"/>
      <c r="R94" s="3"/>
      <c r="S94" s="40"/>
      <c r="T94" s="4"/>
      <c r="U94" s="4"/>
      <c r="Y94" s="14"/>
      <c r="Z94" s="4"/>
    </row>
    <row r="95" spans="1:26" x14ac:dyDescent="0.3">
      <c r="A95" s="19"/>
      <c r="B95" s="83"/>
      <c r="C95" s="37"/>
      <c r="H95" s="2"/>
      <c r="I95" s="26"/>
      <c r="J95" s="41"/>
      <c r="K95" s="26"/>
      <c r="L95" s="38"/>
      <c r="M95" s="38"/>
      <c r="N95" s="4"/>
      <c r="O95" s="4"/>
      <c r="P95" s="4"/>
      <c r="Q95" s="39"/>
      <c r="R95" s="3"/>
      <c r="S95" s="40"/>
      <c r="T95" s="4"/>
      <c r="U95" s="4"/>
      <c r="Y95" s="14"/>
      <c r="Z95" s="4"/>
    </row>
    <row r="96" spans="1:26" x14ac:dyDescent="0.3">
      <c r="A96" s="19"/>
      <c r="B96" s="83"/>
      <c r="C96" s="37"/>
      <c r="H96" s="2"/>
      <c r="I96" s="26"/>
      <c r="J96" s="41"/>
      <c r="K96" s="26"/>
      <c r="L96" s="38"/>
      <c r="M96" s="38"/>
      <c r="N96" s="4"/>
      <c r="O96" s="4"/>
      <c r="P96" s="4"/>
      <c r="Q96" s="39"/>
      <c r="R96" s="3"/>
      <c r="S96" s="40"/>
      <c r="T96" s="4"/>
      <c r="U96" s="4"/>
      <c r="Y96" s="14"/>
      <c r="Z96" s="4"/>
    </row>
    <row r="97" spans="1:26" x14ac:dyDescent="0.3">
      <c r="A97" s="19"/>
      <c r="B97" s="83"/>
      <c r="C97" s="37"/>
      <c r="H97" s="2"/>
      <c r="I97" s="26"/>
      <c r="J97" s="41"/>
      <c r="K97" s="26"/>
      <c r="L97" s="38"/>
      <c r="M97" s="38"/>
      <c r="N97" s="4"/>
      <c r="O97" s="4"/>
      <c r="P97" s="4"/>
      <c r="Q97" s="39"/>
      <c r="R97" s="3"/>
      <c r="S97" s="40"/>
      <c r="T97" s="4"/>
      <c r="U97" s="4"/>
      <c r="Y97" s="14"/>
      <c r="Z97" s="4"/>
    </row>
    <row r="98" spans="1:26" x14ac:dyDescent="0.3">
      <c r="A98" s="19"/>
      <c r="B98" s="83"/>
      <c r="C98" s="37"/>
      <c r="H98" s="2"/>
      <c r="I98" s="26"/>
      <c r="J98" s="41"/>
      <c r="K98" s="26"/>
      <c r="L98" s="38"/>
      <c r="M98" s="38"/>
      <c r="N98" s="4"/>
      <c r="O98" s="4"/>
      <c r="P98" s="4"/>
      <c r="Q98" s="39"/>
      <c r="R98" s="3"/>
      <c r="S98" s="40"/>
      <c r="T98" s="4"/>
      <c r="U98" s="4"/>
      <c r="Y98" s="14"/>
      <c r="Z98" s="4"/>
    </row>
    <row r="99" spans="1:26" x14ac:dyDescent="0.3">
      <c r="A99" s="19"/>
      <c r="B99" s="83"/>
      <c r="C99" s="37"/>
      <c r="H99" s="2"/>
      <c r="I99" s="26"/>
      <c r="J99" s="41"/>
      <c r="K99" s="26"/>
      <c r="L99" s="38"/>
      <c r="M99" s="38"/>
      <c r="N99" s="4"/>
      <c r="O99" s="4"/>
      <c r="P99" s="4"/>
      <c r="Q99" s="39"/>
      <c r="R99" s="3"/>
      <c r="S99" s="40"/>
      <c r="T99" s="4"/>
      <c r="U99" s="4"/>
      <c r="Y99" s="14"/>
      <c r="Z99" s="4"/>
    </row>
    <row r="100" spans="1:26" x14ac:dyDescent="0.3">
      <c r="A100" s="19"/>
      <c r="B100" s="83"/>
      <c r="C100" s="37"/>
      <c r="H100" s="2"/>
      <c r="I100" s="26"/>
      <c r="J100" s="41"/>
      <c r="K100" s="26"/>
      <c r="L100" s="38"/>
      <c r="M100" s="38"/>
      <c r="N100" s="4"/>
      <c r="O100" s="4"/>
      <c r="P100" s="4"/>
      <c r="Q100" s="39"/>
      <c r="R100" s="3"/>
      <c r="S100" s="40"/>
      <c r="T100" s="4"/>
      <c r="U100" s="4"/>
      <c r="Y100" s="14"/>
      <c r="Z100" s="4"/>
    </row>
    <row r="101" spans="1:26" x14ac:dyDescent="0.3">
      <c r="A101" s="19"/>
      <c r="B101" s="83"/>
      <c r="C101" s="37"/>
      <c r="H101" s="2"/>
      <c r="I101" s="26"/>
      <c r="J101" s="41"/>
      <c r="K101" s="26"/>
      <c r="L101" s="38"/>
      <c r="M101" s="38"/>
      <c r="N101" s="4"/>
      <c r="O101" s="4"/>
      <c r="P101" s="4"/>
      <c r="Q101" s="39"/>
      <c r="R101" s="3"/>
      <c r="S101" s="40"/>
      <c r="T101" s="4"/>
      <c r="U101" s="4"/>
      <c r="Y101" s="14"/>
      <c r="Z101" s="4"/>
    </row>
    <row r="102" spans="1:26" x14ac:dyDescent="0.3">
      <c r="A102" s="19"/>
      <c r="B102" s="83"/>
      <c r="C102" s="37"/>
      <c r="H102" s="2"/>
      <c r="I102" s="26"/>
      <c r="J102" s="41"/>
      <c r="K102" s="26"/>
      <c r="L102" s="38"/>
      <c r="M102" s="38"/>
      <c r="N102" s="4"/>
      <c r="O102" s="4"/>
      <c r="P102" s="4"/>
      <c r="Q102" s="39"/>
      <c r="R102" s="3"/>
      <c r="S102" s="40"/>
      <c r="T102" s="4"/>
      <c r="U102" s="4"/>
      <c r="Y102" s="14"/>
      <c r="Z102" s="4"/>
    </row>
    <row r="103" spans="1:26" x14ac:dyDescent="0.3">
      <c r="A103" s="19"/>
      <c r="B103" s="83"/>
      <c r="C103" s="37"/>
      <c r="H103" s="2"/>
      <c r="I103" s="26"/>
      <c r="J103" s="41"/>
      <c r="K103" s="26"/>
      <c r="L103" s="38"/>
      <c r="M103" s="38"/>
      <c r="N103" s="4"/>
      <c r="O103" s="4"/>
      <c r="P103" s="4"/>
      <c r="Q103" s="39"/>
      <c r="R103" s="3"/>
      <c r="S103" s="40"/>
      <c r="T103" s="4"/>
      <c r="U103" s="4"/>
      <c r="Y103" s="14"/>
      <c r="Z103" s="4"/>
    </row>
    <row r="104" spans="1:26" x14ac:dyDescent="0.3">
      <c r="A104" s="19"/>
      <c r="B104" s="83"/>
      <c r="C104" s="37"/>
      <c r="H104" s="2"/>
      <c r="I104" s="26"/>
      <c r="J104" s="41"/>
      <c r="K104" s="26"/>
      <c r="L104" s="38"/>
      <c r="M104" s="38"/>
      <c r="N104" s="4"/>
      <c r="O104" s="4"/>
      <c r="P104" s="4"/>
      <c r="Q104" s="39"/>
      <c r="R104" s="3"/>
      <c r="S104" s="40"/>
      <c r="T104" s="4"/>
      <c r="U104" s="4"/>
      <c r="Y104" s="14"/>
      <c r="Z104" s="4"/>
    </row>
    <row r="105" spans="1:26" x14ac:dyDescent="0.3">
      <c r="A105" s="19"/>
      <c r="B105" s="83"/>
      <c r="C105" s="37"/>
      <c r="H105" s="2"/>
      <c r="I105" s="26"/>
      <c r="J105" s="41"/>
      <c r="K105" s="26"/>
      <c r="L105" s="38"/>
      <c r="M105" s="38"/>
      <c r="N105" s="4"/>
      <c r="O105" s="4"/>
      <c r="P105" s="4"/>
      <c r="Q105" s="39"/>
      <c r="R105" s="3"/>
      <c r="S105" s="40"/>
      <c r="T105" s="4"/>
      <c r="U105" s="4"/>
      <c r="Y105" s="14"/>
      <c r="Z105" s="4"/>
    </row>
    <row r="106" spans="1:26" x14ac:dyDescent="0.3">
      <c r="A106" s="19"/>
      <c r="B106" s="83"/>
      <c r="C106" s="37"/>
      <c r="H106" s="2"/>
      <c r="I106" s="26"/>
      <c r="J106" s="41"/>
      <c r="K106" s="26"/>
      <c r="L106" s="38"/>
      <c r="M106" s="38"/>
      <c r="N106" s="4"/>
      <c r="O106" s="4"/>
      <c r="P106" s="4"/>
      <c r="Q106" s="39"/>
      <c r="R106" s="3"/>
      <c r="S106" s="40"/>
      <c r="T106" s="4"/>
      <c r="U106" s="4"/>
      <c r="Y106" s="14"/>
      <c r="Z106" s="4"/>
    </row>
    <row r="107" spans="1:26" x14ac:dyDescent="0.3">
      <c r="A107" s="19"/>
      <c r="B107" s="83"/>
      <c r="C107" s="37"/>
      <c r="H107" s="2"/>
      <c r="I107" s="26"/>
      <c r="J107" s="41"/>
      <c r="K107" s="26"/>
      <c r="L107" s="38"/>
      <c r="M107" s="38"/>
      <c r="N107" s="4"/>
      <c r="O107" s="4"/>
      <c r="P107" s="4"/>
      <c r="Q107" s="39"/>
      <c r="R107" s="3"/>
      <c r="S107" s="40"/>
      <c r="T107" s="4"/>
      <c r="U107" s="4"/>
      <c r="Y107" s="14"/>
      <c r="Z107" s="4"/>
    </row>
    <row r="108" spans="1:26" x14ac:dyDescent="0.3">
      <c r="A108" s="19"/>
      <c r="B108" s="83"/>
      <c r="C108" s="37"/>
      <c r="H108" s="2"/>
      <c r="I108" s="26"/>
      <c r="J108" s="41"/>
      <c r="K108" s="26"/>
      <c r="L108" s="38"/>
      <c r="M108" s="38"/>
      <c r="N108" s="4"/>
      <c r="O108" s="4"/>
      <c r="P108" s="4"/>
      <c r="Q108" s="39"/>
      <c r="R108" s="3"/>
      <c r="S108" s="40"/>
      <c r="T108" s="4"/>
      <c r="U108" s="4"/>
      <c r="Y108" s="14"/>
      <c r="Z108" s="4"/>
    </row>
    <row r="109" spans="1:26" x14ac:dyDescent="0.3">
      <c r="A109" s="19"/>
      <c r="B109" s="83"/>
      <c r="C109" s="37"/>
      <c r="H109" s="2"/>
      <c r="I109" s="26"/>
      <c r="J109" s="41"/>
      <c r="K109" s="26"/>
      <c r="L109" s="38"/>
      <c r="M109" s="38"/>
      <c r="N109" s="4"/>
      <c r="O109" s="4"/>
      <c r="P109" s="4"/>
      <c r="Q109" s="39"/>
      <c r="R109" s="3"/>
      <c r="S109" s="40"/>
      <c r="T109" s="4"/>
      <c r="U109" s="4"/>
      <c r="Y109" s="14"/>
      <c r="Z109" s="4"/>
    </row>
    <row r="110" spans="1:26" x14ac:dyDescent="0.3">
      <c r="A110" s="19"/>
      <c r="B110" s="83"/>
      <c r="C110" s="37"/>
      <c r="H110" s="2"/>
      <c r="I110" s="26"/>
      <c r="J110" s="41"/>
      <c r="K110" s="26"/>
      <c r="L110" s="38"/>
      <c r="M110" s="38"/>
      <c r="N110" s="4"/>
      <c r="O110" s="4"/>
      <c r="P110" s="4"/>
      <c r="Q110" s="39"/>
      <c r="R110" s="3"/>
      <c r="S110" s="40"/>
      <c r="T110" s="4"/>
      <c r="U110" s="4"/>
      <c r="Y110" s="14"/>
      <c r="Z110" s="4"/>
    </row>
    <row r="111" spans="1:26" x14ac:dyDescent="0.3">
      <c r="A111" s="19"/>
      <c r="B111" s="83"/>
      <c r="C111" s="37"/>
      <c r="H111" s="2"/>
      <c r="I111" s="26"/>
      <c r="J111" s="41"/>
      <c r="K111" s="26"/>
      <c r="L111" s="38"/>
      <c r="M111" s="38"/>
      <c r="N111" s="4"/>
      <c r="O111" s="4"/>
      <c r="P111" s="4"/>
      <c r="Q111" s="39"/>
      <c r="R111" s="3"/>
      <c r="S111" s="40"/>
      <c r="T111" s="4"/>
      <c r="U111" s="4"/>
      <c r="Y111" s="14"/>
      <c r="Z111" s="4"/>
    </row>
    <row r="112" spans="1:26" x14ac:dyDescent="0.3">
      <c r="A112" s="19"/>
      <c r="B112" s="83"/>
      <c r="C112" s="37"/>
      <c r="H112" s="2"/>
      <c r="I112" s="26"/>
      <c r="J112" s="41"/>
      <c r="K112" s="26"/>
      <c r="L112" s="38"/>
      <c r="M112" s="38"/>
      <c r="N112" s="4"/>
      <c r="O112" s="4"/>
      <c r="P112" s="4"/>
      <c r="Q112" s="39"/>
      <c r="R112" s="3"/>
      <c r="S112" s="40"/>
      <c r="T112" s="4"/>
      <c r="U112" s="4"/>
      <c r="Y112" s="14"/>
      <c r="Z112" s="4"/>
    </row>
    <row r="113" spans="1:26" x14ac:dyDescent="0.3">
      <c r="A113" s="19"/>
      <c r="B113" s="83"/>
      <c r="C113" s="37"/>
      <c r="H113" s="2"/>
      <c r="I113" s="26"/>
      <c r="J113" s="41"/>
      <c r="K113" s="26"/>
      <c r="L113" s="38"/>
      <c r="M113" s="38"/>
      <c r="N113" s="4"/>
      <c r="O113" s="4"/>
      <c r="P113" s="4"/>
      <c r="Q113" s="39"/>
      <c r="R113" s="3"/>
      <c r="S113" s="40"/>
      <c r="T113" s="4"/>
      <c r="U113" s="4"/>
      <c r="Y113" s="14"/>
      <c r="Z113" s="4"/>
    </row>
    <row r="114" spans="1:26" x14ac:dyDescent="0.3">
      <c r="A114" s="19"/>
      <c r="B114" s="83"/>
      <c r="C114" s="37"/>
      <c r="H114" s="2"/>
      <c r="I114" s="26"/>
      <c r="J114" s="41"/>
      <c r="K114" s="26"/>
      <c r="L114" s="38"/>
      <c r="M114" s="38"/>
      <c r="N114" s="4"/>
      <c r="O114" s="4"/>
      <c r="P114" s="4"/>
      <c r="Q114" s="39"/>
      <c r="R114" s="3"/>
      <c r="S114" s="40"/>
      <c r="T114" s="4"/>
      <c r="U114" s="4"/>
      <c r="Y114" s="14"/>
      <c r="Z114" s="4"/>
    </row>
    <row r="115" spans="1:26" x14ac:dyDescent="0.3">
      <c r="A115" s="19"/>
      <c r="B115" s="83"/>
      <c r="C115" s="37"/>
      <c r="H115" s="2"/>
      <c r="I115" s="26"/>
      <c r="J115" s="41"/>
      <c r="K115" s="26"/>
      <c r="L115" s="38"/>
      <c r="M115" s="38"/>
      <c r="N115" s="4"/>
      <c r="O115" s="4"/>
      <c r="P115" s="4"/>
      <c r="Q115" s="39"/>
      <c r="R115" s="3"/>
      <c r="S115" s="40"/>
      <c r="T115" s="4"/>
      <c r="U115" s="4"/>
      <c r="Y115" s="14"/>
      <c r="Z115" s="4"/>
    </row>
    <row r="116" spans="1:26" x14ac:dyDescent="0.3">
      <c r="A116" s="19"/>
      <c r="B116" s="83"/>
      <c r="C116" s="37"/>
      <c r="H116" s="2"/>
      <c r="I116" s="26"/>
      <c r="J116" s="41"/>
      <c r="K116" s="26"/>
      <c r="L116" s="38"/>
      <c r="M116" s="38"/>
      <c r="N116" s="4"/>
      <c r="O116" s="4"/>
      <c r="P116" s="4"/>
      <c r="Q116" s="39"/>
      <c r="R116" s="3"/>
      <c r="S116" s="40"/>
      <c r="T116" s="4"/>
      <c r="U116" s="4"/>
      <c r="Y116" s="14"/>
      <c r="Z116" s="4"/>
    </row>
    <row r="117" spans="1:26" x14ac:dyDescent="0.3">
      <c r="A117" s="19"/>
      <c r="B117" s="83"/>
      <c r="C117" s="37"/>
      <c r="H117" s="2"/>
      <c r="I117" s="26"/>
      <c r="J117" s="41"/>
      <c r="K117" s="26"/>
      <c r="L117" s="38"/>
      <c r="M117" s="38"/>
      <c r="N117" s="4"/>
      <c r="O117" s="4"/>
      <c r="P117" s="4"/>
      <c r="Q117" s="39"/>
      <c r="R117" s="3"/>
      <c r="S117" s="40"/>
      <c r="T117" s="4"/>
      <c r="U117" s="4"/>
      <c r="Y117" s="14"/>
      <c r="Z117" s="4"/>
    </row>
    <row r="118" spans="1:26" x14ac:dyDescent="0.3">
      <c r="A118" s="19"/>
      <c r="B118" s="83"/>
      <c r="C118" s="37"/>
      <c r="H118" s="2"/>
      <c r="I118" s="26"/>
      <c r="J118" s="41"/>
      <c r="K118" s="26"/>
      <c r="L118" s="38"/>
      <c r="M118" s="38"/>
      <c r="N118" s="4"/>
      <c r="O118" s="4"/>
      <c r="P118" s="4"/>
      <c r="Q118" s="39"/>
      <c r="R118" s="3"/>
      <c r="S118" s="40"/>
      <c r="T118" s="4"/>
      <c r="U118" s="4"/>
      <c r="Y118" s="14"/>
      <c r="Z118" s="4"/>
    </row>
    <row r="119" spans="1:26" x14ac:dyDescent="0.3">
      <c r="A119" s="19"/>
      <c r="B119" s="83"/>
      <c r="C119" s="37"/>
      <c r="H119" s="2"/>
      <c r="I119" s="26"/>
      <c r="J119" s="41"/>
      <c r="K119" s="26"/>
      <c r="L119" s="38"/>
      <c r="M119" s="38"/>
      <c r="N119" s="4"/>
      <c r="O119" s="4"/>
      <c r="P119" s="4"/>
      <c r="Q119" s="39"/>
      <c r="R119" s="3"/>
      <c r="S119" s="40"/>
      <c r="T119" s="4"/>
      <c r="U119" s="4"/>
      <c r="Y119" s="14"/>
      <c r="Z119" s="4"/>
    </row>
    <row r="120" spans="1:26" x14ac:dyDescent="0.3">
      <c r="A120" s="19"/>
      <c r="B120" s="83"/>
      <c r="C120" s="37"/>
      <c r="H120" s="2"/>
      <c r="I120" s="26"/>
      <c r="J120" s="41"/>
      <c r="K120" s="26"/>
      <c r="L120" s="38"/>
      <c r="M120" s="38"/>
      <c r="N120" s="4"/>
      <c r="O120" s="4"/>
      <c r="P120" s="4"/>
      <c r="Q120" s="39"/>
      <c r="R120" s="3"/>
      <c r="S120" s="40"/>
      <c r="T120" s="4"/>
      <c r="U120" s="4"/>
      <c r="Y120" s="14"/>
      <c r="Z120" s="4"/>
    </row>
    <row r="121" spans="1:26" x14ac:dyDescent="0.3">
      <c r="A121" s="19"/>
      <c r="B121" s="83"/>
      <c r="C121" s="37"/>
      <c r="H121" s="2"/>
      <c r="I121" s="26"/>
      <c r="J121" s="41"/>
      <c r="K121" s="26"/>
      <c r="L121" s="38"/>
      <c r="M121" s="38"/>
      <c r="N121" s="4"/>
      <c r="O121" s="4"/>
      <c r="P121" s="4"/>
      <c r="Q121" s="39"/>
      <c r="R121" s="3"/>
      <c r="S121" s="40"/>
      <c r="T121" s="4"/>
      <c r="U121" s="4"/>
      <c r="Y121" s="14"/>
      <c r="Z121" s="4"/>
    </row>
    <row r="122" spans="1:26" x14ac:dyDescent="0.3">
      <c r="A122" s="19"/>
      <c r="B122" s="83"/>
      <c r="C122" s="37"/>
      <c r="H122" s="2"/>
      <c r="I122" s="26"/>
      <c r="J122" s="41"/>
      <c r="K122" s="26"/>
      <c r="L122" s="38"/>
      <c r="M122" s="38"/>
      <c r="N122" s="4"/>
      <c r="O122" s="4"/>
      <c r="P122" s="4"/>
      <c r="Q122" s="39"/>
      <c r="R122" s="3"/>
      <c r="S122" s="40"/>
      <c r="T122" s="4"/>
      <c r="U122" s="4"/>
      <c r="Y122" s="14"/>
      <c r="Z122" s="4"/>
    </row>
    <row r="123" spans="1:26" x14ac:dyDescent="0.3">
      <c r="A123" s="19"/>
      <c r="B123" s="83"/>
      <c r="C123" s="37"/>
      <c r="H123" s="2"/>
      <c r="I123" s="26"/>
      <c r="J123" s="41"/>
      <c r="K123" s="26"/>
      <c r="L123" s="38"/>
      <c r="M123" s="38"/>
      <c r="N123" s="4"/>
      <c r="O123" s="4"/>
      <c r="P123" s="4"/>
      <c r="Q123" s="39"/>
      <c r="R123" s="3"/>
      <c r="S123" s="40"/>
      <c r="T123" s="4"/>
      <c r="U123" s="4"/>
      <c r="Y123" s="14"/>
      <c r="Z123" s="4"/>
    </row>
    <row r="124" spans="1:26" x14ac:dyDescent="0.3">
      <c r="A124" s="19"/>
      <c r="B124" s="83"/>
      <c r="C124" s="37"/>
      <c r="H124" s="2"/>
      <c r="I124" s="26"/>
      <c r="J124" s="41"/>
      <c r="K124" s="26"/>
      <c r="L124" s="38"/>
      <c r="M124" s="38"/>
      <c r="N124" s="4"/>
      <c r="O124" s="4"/>
      <c r="P124" s="4"/>
      <c r="Q124" s="39"/>
      <c r="R124" s="3"/>
      <c r="S124" s="40"/>
      <c r="T124" s="4"/>
      <c r="U124" s="4"/>
      <c r="Y124" s="14"/>
      <c r="Z124" s="4"/>
    </row>
    <row r="125" spans="1:26" x14ac:dyDescent="0.3">
      <c r="A125" s="19"/>
      <c r="B125" s="83"/>
      <c r="C125" s="37"/>
      <c r="H125" s="2"/>
      <c r="I125" s="26"/>
      <c r="J125" s="41"/>
      <c r="K125" s="26"/>
      <c r="L125" s="38"/>
      <c r="M125" s="38"/>
      <c r="N125" s="4"/>
      <c r="O125" s="4"/>
      <c r="P125" s="4"/>
      <c r="Q125" s="39"/>
      <c r="R125" s="3"/>
      <c r="S125" s="40"/>
      <c r="T125" s="4"/>
      <c r="U125" s="4"/>
      <c r="Y125" s="14"/>
      <c r="Z125" s="4"/>
    </row>
    <row r="126" spans="1:26" x14ac:dyDescent="0.3">
      <c r="A126" s="19"/>
      <c r="B126" s="83"/>
      <c r="C126" s="37"/>
      <c r="H126" s="2"/>
      <c r="I126" s="26"/>
      <c r="J126" s="41"/>
      <c r="K126" s="26"/>
      <c r="L126" s="38"/>
      <c r="M126" s="38"/>
      <c r="N126" s="4"/>
      <c r="O126" s="4"/>
      <c r="P126" s="4"/>
      <c r="Q126" s="39"/>
      <c r="R126" s="3"/>
      <c r="S126" s="40"/>
      <c r="T126" s="4"/>
      <c r="U126" s="4"/>
      <c r="Y126" s="14"/>
      <c r="Z126" s="4"/>
    </row>
    <row r="127" spans="1:26" x14ac:dyDescent="0.3">
      <c r="A127" s="19"/>
      <c r="B127" s="83"/>
      <c r="C127" s="37"/>
      <c r="H127" s="2"/>
      <c r="I127" s="26"/>
      <c r="J127" s="41"/>
      <c r="K127" s="26"/>
      <c r="L127" s="38"/>
      <c r="M127" s="38"/>
      <c r="N127" s="4"/>
      <c r="O127" s="4"/>
      <c r="P127" s="4"/>
      <c r="Q127" s="39"/>
      <c r="R127" s="3"/>
      <c r="S127" s="40"/>
      <c r="T127" s="4"/>
      <c r="U127" s="4"/>
      <c r="Y127" s="14"/>
      <c r="Z127" s="4"/>
    </row>
    <row r="128" spans="1:26" x14ac:dyDescent="0.3">
      <c r="A128" s="19"/>
      <c r="B128" s="83"/>
      <c r="C128" s="37"/>
      <c r="H128" s="2"/>
      <c r="I128" s="26"/>
      <c r="J128" s="41"/>
      <c r="K128" s="26"/>
      <c r="L128" s="38"/>
      <c r="M128" s="38"/>
      <c r="N128" s="4"/>
      <c r="O128" s="4"/>
      <c r="P128" s="4"/>
      <c r="Q128" s="39"/>
      <c r="R128" s="3"/>
      <c r="S128" s="40"/>
      <c r="T128" s="4"/>
      <c r="U128" s="4"/>
      <c r="Y128" s="14"/>
      <c r="Z128" s="4"/>
    </row>
    <row r="129" spans="1:26" x14ac:dyDescent="0.3">
      <c r="A129" s="19"/>
      <c r="B129" s="83"/>
      <c r="C129" s="37"/>
      <c r="H129" s="2"/>
      <c r="I129" s="26"/>
      <c r="J129" s="41"/>
      <c r="K129" s="26"/>
      <c r="L129" s="38"/>
      <c r="M129" s="38"/>
      <c r="N129" s="4"/>
      <c r="O129" s="4"/>
      <c r="P129" s="4"/>
      <c r="Q129" s="39"/>
      <c r="R129" s="3"/>
      <c r="S129" s="40"/>
      <c r="T129" s="4"/>
      <c r="U129" s="4"/>
      <c r="Y129" s="14"/>
      <c r="Z129" s="4"/>
    </row>
    <row r="130" spans="1:26" x14ac:dyDescent="0.3">
      <c r="A130" s="19"/>
      <c r="B130" s="83"/>
      <c r="C130" s="37"/>
      <c r="H130" s="2"/>
      <c r="I130" s="26"/>
      <c r="J130" s="41"/>
      <c r="K130" s="26"/>
      <c r="L130" s="38"/>
      <c r="M130" s="38"/>
      <c r="N130" s="4"/>
      <c r="O130" s="4"/>
      <c r="P130" s="4"/>
      <c r="Q130" s="39"/>
      <c r="R130" s="3"/>
      <c r="S130" s="40"/>
      <c r="T130" s="4"/>
      <c r="U130" s="4"/>
      <c r="Y130" s="14"/>
      <c r="Z130" s="4"/>
    </row>
    <row r="131" spans="1:26" x14ac:dyDescent="0.3">
      <c r="A131" s="19"/>
      <c r="B131" s="83"/>
      <c r="C131" s="37"/>
      <c r="H131" s="2"/>
      <c r="I131" s="26"/>
      <c r="J131" s="41"/>
      <c r="K131" s="26"/>
      <c r="L131" s="38"/>
      <c r="M131" s="38"/>
      <c r="N131" s="4"/>
      <c r="O131" s="4"/>
      <c r="P131" s="4"/>
      <c r="Q131" s="39"/>
      <c r="R131" s="3"/>
      <c r="S131" s="40"/>
      <c r="T131" s="4"/>
      <c r="U131" s="4"/>
      <c r="Y131" s="14"/>
      <c r="Z131" s="4"/>
    </row>
    <row r="132" spans="1:26" x14ac:dyDescent="0.3">
      <c r="A132" s="19"/>
      <c r="B132" s="83"/>
      <c r="C132" s="37"/>
      <c r="H132" s="2"/>
      <c r="I132" s="26"/>
      <c r="J132" s="41"/>
      <c r="K132" s="26"/>
      <c r="L132" s="38"/>
      <c r="M132" s="38"/>
      <c r="N132" s="4"/>
      <c r="O132" s="4"/>
      <c r="P132" s="4"/>
      <c r="Q132" s="39"/>
      <c r="R132" s="3"/>
      <c r="S132" s="40"/>
      <c r="T132" s="4"/>
      <c r="U132" s="4"/>
      <c r="Y132" s="14"/>
      <c r="Z132" s="4"/>
    </row>
    <row r="133" spans="1:26" x14ac:dyDescent="0.3">
      <c r="A133" s="19"/>
      <c r="B133" s="83"/>
      <c r="C133" s="37"/>
      <c r="H133" s="2"/>
      <c r="I133" s="26"/>
      <c r="J133" s="41"/>
      <c r="K133" s="26"/>
      <c r="L133" s="38"/>
      <c r="M133" s="38"/>
      <c r="N133" s="4"/>
      <c r="O133" s="4"/>
      <c r="P133" s="4"/>
      <c r="Q133" s="39"/>
      <c r="R133" s="3"/>
      <c r="S133" s="40"/>
      <c r="T133" s="4"/>
      <c r="U133" s="4"/>
      <c r="Y133" s="14"/>
      <c r="Z133" s="4"/>
    </row>
    <row r="134" spans="1:26" x14ac:dyDescent="0.3">
      <c r="A134" s="19"/>
      <c r="B134" s="83"/>
      <c r="C134" s="37"/>
      <c r="H134" s="2"/>
      <c r="I134" s="26"/>
      <c r="J134" s="41"/>
      <c r="K134" s="26"/>
      <c r="L134" s="38"/>
      <c r="M134" s="38"/>
      <c r="N134" s="4"/>
      <c r="O134" s="4"/>
      <c r="P134" s="4"/>
      <c r="Q134" s="39"/>
      <c r="R134" s="3"/>
      <c r="S134" s="40"/>
      <c r="T134" s="4"/>
      <c r="U134" s="4"/>
      <c r="Y134" s="14"/>
      <c r="Z134" s="4"/>
    </row>
    <row r="135" spans="1:26" x14ac:dyDescent="0.3">
      <c r="A135" s="19"/>
      <c r="B135" s="83"/>
      <c r="C135" s="37"/>
      <c r="H135" s="2"/>
      <c r="I135" s="26"/>
      <c r="J135" s="41"/>
      <c r="K135" s="26"/>
      <c r="L135" s="38"/>
      <c r="M135" s="38"/>
      <c r="N135" s="4"/>
      <c r="O135" s="4"/>
      <c r="P135" s="4"/>
      <c r="Q135" s="39"/>
      <c r="R135" s="3"/>
      <c r="S135" s="40"/>
      <c r="T135" s="4"/>
      <c r="U135" s="4"/>
      <c r="Y135" s="14"/>
      <c r="Z135" s="4"/>
    </row>
    <row r="136" spans="1:26" x14ac:dyDescent="0.3">
      <c r="A136" s="19"/>
      <c r="B136" s="83"/>
      <c r="C136" s="37"/>
      <c r="H136" s="2"/>
      <c r="I136" s="26"/>
      <c r="J136" s="41"/>
      <c r="K136" s="26"/>
      <c r="L136" s="38"/>
      <c r="M136" s="38"/>
      <c r="N136" s="4"/>
      <c r="O136" s="4"/>
      <c r="P136" s="4"/>
      <c r="Q136" s="39"/>
      <c r="R136" s="3"/>
      <c r="S136" s="40"/>
      <c r="T136" s="4"/>
      <c r="U136" s="4"/>
      <c r="Y136" s="14"/>
      <c r="Z136" s="4"/>
    </row>
    <row r="137" spans="1:26" x14ac:dyDescent="0.3">
      <c r="A137" s="19"/>
      <c r="B137" s="83"/>
      <c r="C137" s="37"/>
      <c r="E137" s="15"/>
      <c r="F137" s="16"/>
      <c r="H137" s="2"/>
      <c r="I137" s="26"/>
      <c r="J137" s="41"/>
      <c r="K137" s="26"/>
      <c r="L137" s="38"/>
      <c r="M137" s="38"/>
      <c r="N137" s="4"/>
      <c r="O137" s="4"/>
      <c r="P137" s="4"/>
      <c r="Q137" s="39"/>
      <c r="R137" s="3"/>
      <c r="S137" s="40"/>
      <c r="T137" s="4"/>
      <c r="U137" s="4"/>
      <c r="Y137" s="14"/>
      <c r="Z137" s="4"/>
    </row>
    <row r="138" spans="1:26" x14ac:dyDescent="0.3">
      <c r="A138" s="19"/>
      <c r="B138" s="83"/>
      <c r="C138" s="37"/>
      <c r="E138" s="15"/>
      <c r="F138" s="16"/>
      <c r="H138" s="2"/>
      <c r="I138" s="26"/>
      <c r="J138" s="41"/>
      <c r="K138" s="26"/>
      <c r="L138" s="38"/>
      <c r="M138" s="38"/>
      <c r="N138" s="4"/>
      <c r="O138" s="4"/>
      <c r="P138" s="4"/>
      <c r="Q138" s="39"/>
      <c r="R138" s="3"/>
      <c r="S138" s="40"/>
      <c r="T138" s="4"/>
      <c r="U138" s="4"/>
      <c r="Y138" s="14"/>
      <c r="Z138" s="4"/>
    </row>
    <row r="139" spans="1:26" x14ac:dyDescent="0.3">
      <c r="A139" s="19"/>
      <c r="B139" s="83"/>
      <c r="C139" s="37"/>
      <c r="E139" s="15"/>
      <c r="F139" s="16"/>
      <c r="H139" s="2"/>
      <c r="I139" s="26"/>
      <c r="J139" s="41"/>
      <c r="K139" s="26"/>
      <c r="L139" s="38"/>
      <c r="M139" s="38"/>
      <c r="N139" s="4"/>
      <c r="O139" s="4"/>
      <c r="P139" s="4"/>
      <c r="Q139" s="39"/>
      <c r="R139" s="3"/>
      <c r="S139" s="40"/>
      <c r="T139" s="4"/>
      <c r="U139" s="4"/>
      <c r="Y139" s="14"/>
      <c r="Z139" s="4"/>
    </row>
    <row r="140" spans="1:26" x14ac:dyDescent="0.3">
      <c r="A140" s="19"/>
      <c r="B140" s="83"/>
      <c r="C140" s="37"/>
      <c r="E140" s="15"/>
      <c r="F140" s="16"/>
      <c r="H140" s="2"/>
      <c r="I140" s="26"/>
      <c r="J140" s="41"/>
      <c r="K140" s="26"/>
      <c r="L140" s="38"/>
      <c r="M140" s="38"/>
      <c r="N140" s="4"/>
      <c r="O140" s="4"/>
      <c r="P140" s="4"/>
      <c r="Q140" s="39"/>
      <c r="R140" s="3"/>
      <c r="S140" s="40"/>
      <c r="T140" s="4"/>
      <c r="U140" s="4"/>
      <c r="Y140" s="14"/>
      <c r="Z140" s="4"/>
    </row>
    <row r="141" spans="1:26" x14ac:dyDescent="0.3">
      <c r="A141" s="19"/>
      <c r="B141" s="83"/>
      <c r="C141" s="37"/>
      <c r="E141" s="15"/>
      <c r="F141" s="16"/>
      <c r="H141" s="2"/>
      <c r="I141" s="26"/>
      <c r="J141" s="41"/>
      <c r="K141" s="26"/>
      <c r="L141" s="38"/>
      <c r="M141" s="38"/>
      <c r="N141" s="4"/>
      <c r="O141" s="4"/>
      <c r="P141" s="4"/>
      <c r="Q141" s="39"/>
      <c r="R141" s="3"/>
      <c r="S141" s="40"/>
      <c r="T141" s="4"/>
      <c r="U141" s="4"/>
      <c r="Y141" s="14"/>
      <c r="Z141" s="4"/>
    </row>
    <row r="142" spans="1:26" x14ac:dyDescent="0.3">
      <c r="A142" s="19"/>
      <c r="B142" s="83"/>
      <c r="C142" s="37"/>
      <c r="H142" s="2"/>
      <c r="I142" s="26"/>
      <c r="J142" s="41"/>
      <c r="K142" s="26"/>
      <c r="L142" s="38"/>
      <c r="M142" s="38"/>
      <c r="N142" s="4"/>
      <c r="O142" s="4"/>
      <c r="P142" s="4"/>
      <c r="Q142" s="39"/>
      <c r="R142" s="3"/>
      <c r="S142" s="40"/>
      <c r="T142" s="4"/>
      <c r="U142" s="4"/>
      <c r="Y142" s="14"/>
      <c r="Z142" s="4"/>
    </row>
    <row r="143" spans="1:26" x14ac:dyDescent="0.3">
      <c r="A143" s="19"/>
      <c r="B143" s="83"/>
      <c r="C143" s="37"/>
      <c r="E143" s="15"/>
      <c r="F143" s="16"/>
      <c r="H143" s="2"/>
      <c r="I143" s="26"/>
      <c r="J143" s="41"/>
      <c r="K143" s="26"/>
      <c r="L143" s="38"/>
      <c r="M143" s="38"/>
      <c r="N143" s="4"/>
      <c r="O143" s="4"/>
      <c r="P143" s="4"/>
      <c r="Q143" s="39"/>
      <c r="R143" s="3"/>
      <c r="S143" s="40"/>
      <c r="T143" s="4"/>
      <c r="U143" s="4"/>
      <c r="Y143" s="14"/>
      <c r="Z143" s="4"/>
    </row>
    <row r="144" spans="1:26" x14ac:dyDescent="0.3">
      <c r="A144" s="19"/>
      <c r="B144" s="83"/>
      <c r="C144" s="37"/>
      <c r="E144" s="15"/>
      <c r="F144" s="16"/>
      <c r="H144" s="2"/>
      <c r="I144" s="26"/>
      <c r="J144" s="41"/>
      <c r="K144" s="26"/>
      <c r="L144" s="38"/>
      <c r="M144" s="38"/>
      <c r="N144" s="4"/>
      <c r="O144" s="4"/>
      <c r="P144" s="4"/>
      <c r="Q144" s="39"/>
      <c r="R144" s="3"/>
      <c r="S144" s="40"/>
      <c r="T144" s="4"/>
      <c r="U144" s="4"/>
      <c r="Y144" s="14"/>
      <c r="Z144" s="4"/>
    </row>
    <row r="145" spans="1:26" x14ac:dyDescent="0.3">
      <c r="A145" s="19"/>
      <c r="B145" s="83"/>
      <c r="C145" s="37"/>
      <c r="H145" s="2"/>
      <c r="I145" s="26"/>
      <c r="J145" s="41"/>
      <c r="K145" s="26"/>
      <c r="L145" s="38"/>
      <c r="M145" s="38"/>
      <c r="N145" s="4"/>
      <c r="O145" s="4"/>
      <c r="P145" s="4"/>
      <c r="Q145" s="39"/>
      <c r="R145" s="3"/>
      <c r="S145" s="40"/>
      <c r="T145" s="4"/>
      <c r="U145" s="4"/>
      <c r="Y145" s="14"/>
      <c r="Z145" s="4"/>
    </row>
    <row r="146" spans="1:26" x14ac:dyDescent="0.3">
      <c r="A146" s="19"/>
      <c r="B146" s="83"/>
      <c r="C146" s="37"/>
      <c r="E146" s="15"/>
      <c r="F146" s="16"/>
      <c r="H146" s="2"/>
      <c r="I146" s="26"/>
      <c r="J146" s="41"/>
      <c r="K146" s="26"/>
      <c r="L146" s="38"/>
      <c r="M146" s="38"/>
      <c r="N146" s="4"/>
      <c r="O146" s="4"/>
      <c r="P146" s="4"/>
      <c r="Q146" s="39"/>
      <c r="R146" s="3"/>
      <c r="S146" s="40"/>
      <c r="T146" s="4"/>
      <c r="U146" s="4"/>
      <c r="Y146" s="14"/>
      <c r="Z146" s="4"/>
    </row>
    <row r="147" spans="1:26" x14ac:dyDescent="0.3">
      <c r="A147" s="19"/>
      <c r="B147" s="83"/>
      <c r="C147" s="37"/>
      <c r="E147" s="15"/>
      <c r="F147" s="16"/>
      <c r="H147" s="2"/>
      <c r="I147" s="26"/>
      <c r="J147" s="41"/>
      <c r="K147" s="26"/>
      <c r="L147" s="38"/>
      <c r="M147" s="38"/>
      <c r="N147" s="4"/>
      <c r="O147" s="4"/>
      <c r="P147" s="4"/>
      <c r="Q147" s="39"/>
      <c r="R147" s="3"/>
      <c r="S147" s="40"/>
      <c r="T147" s="4"/>
      <c r="U147" s="4"/>
      <c r="Y147" s="14"/>
      <c r="Z147" s="4"/>
    </row>
    <row r="148" spans="1:26" x14ac:dyDescent="0.3">
      <c r="A148" s="19"/>
      <c r="B148" s="83"/>
      <c r="C148" s="37"/>
      <c r="E148" s="15"/>
      <c r="F148" s="16"/>
      <c r="H148" s="42"/>
      <c r="I148" s="26"/>
      <c r="J148" s="41"/>
      <c r="K148" s="26"/>
      <c r="L148" s="38"/>
      <c r="M148" s="38"/>
      <c r="N148" s="4"/>
      <c r="O148" s="4"/>
      <c r="P148" s="4"/>
      <c r="Q148" s="39"/>
      <c r="R148" s="3"/>
      <c r="S148" s="40"/>
      <c r="T148" s="4"/>
      <c r="U148" s="4"/>
      <c r="Y148" s="14"/>
      <c r="Z148" s="4"/>
    </row>
    <row r="149" spans="1:26" x14ac:dyDescent="0.3">
      <c r="A149" s="19"/>
      <c r="B149" s="83"/>
      <c r="C149" s="37"/>
      <c r="E149" s="15"/>
      <c r="F149" s="16"/>
      <c r="H149" s="2"/>
      <c r="I149" s="26"/>
      <c r="J149" s="41"/>
      <c r="K149" s="26"/>
      <c r="L149" s="38"/>
      <c r="M149" s="38"/>
      <c r="N149" s="4"/>
      <c r="O149" s="4"/>
      <c r="P149" s="4"/>
      <c r="Q149" s="39"/>
      <c r="R149" s="3"/>
      <c r="S149" s="40"/>
      <c r="T149" s="4"/>
      <c r="U149" s="4"/>
      <c r="Y149" s="14"/>
      <c r="Z149" s="4"/>
    </row>
    <row r="150" spans="1:26" x14ac:dyDescent="0.3">
      <c r="A150" s="19"/>
      <c r="B150" s="83"/>
      <c r="C150" s="37"/>
      <c r="E150" s="15"/>
      <c r="F150" s="16"/>
      <c r="H150" s="2"/>
      <c r="I150" s="26"/>
      <c r="J150" s="41"/>
      <c r="K150" s="26"/>
      <c r="L150" s="38"/>
      <c r="M150" s="38"/>
      <c r="N150" s="4"/>
      <c r="O150" s="4"/>
      <c r="P150" s="4"/>
      <c r="Q150" s="39"/>
      <c r="R150" s="3"/>
      <c r="S150" s="40"/>
      <c r="T150" s="4"/>
      <c r="U150" s="4"/>
      <c r="Y150" s="14"/>
      <c r="Z150" s="4"/>
    </row>
    <row r="151" spans="1:26" x14ac:dyDescent="0.3">
      <c r="A151" s="19"/>
      <c r="B151" s="2"/>
      <c r="C151" s="37"/>
      <c r="E151" s="15"/>
      <c r="F151" s="16"/>
      <c r="H151" s="2"/>
      <c r="I151" s="26"/>
      <c r="J151" s="41"/>
      <c r="K151" s="26"/>
      <c r="L151" s="38"/>
      <c r="M151" s="38"/>
      <c r="N151" s="4"/>
      <c r="O151" s="4"/>
      <c r="P151" s="4"/>
      <c r="Q151" s="39"/>
      <c r="R151" s="3"/>
      <c r="S151" s="40"/>
      <c r="T151" s="4"/>
      <c r="U151" s="4"/>
      <c r="Y151" s="14"/>
      <c r="Z151" s="4"/>
    </row>
    <row r="152" spans="1:26" x14ac:dyDescent="0.3">
      <c r="A152" s="19"/>
      <c r="B152" s="2"/>
      <c r="C152" s="37"/>
      <c r="E152" s="15"/>
      <c r="F152" s="16"/>
      <c r="H152" s="2"/>
      <c r="I152" s="26"/>
      <c r="J152" s="41"/>
      <c r="K152" s="26"/>
      <c r="L152" s="38"/>
      <c r="M152" s="38"/>
      <c r="N152" s="4"/>
      <c r="O152" s="4"/>
      <c r="P152" s="4"/>
      <c r="Q152" s="39"/>
      <c r="R152" s="3"/>
      <c r="S152" s="40"/>
      <c r="T152" s="4"/>
      <c r="U152" s="4"/>
      <c r="Y152" s="14"/>
      <c r="Z152" s="4"/>
    </row>
    <row r="153" spans="1:26" x14ac:dyDescent="0.3">
      <c r="A153" s="19"/>
      <c r="B153" s="2"/>
      <c r="C153" s="37"/>
      <c r="E153" s="15"/>
      <c r="F153" s="16"/>
      <c r="H153" s="18"/>
      <c r="I153" s="26"/>
      <c r="J153" s="41"/>
      <c r="K153" s="26"/>
      <c r="L153" s="38"/>
      <c r="M153" s="38"/>
      <c r="N153" s="4"/>
      <c r="O153" s="4"/>
      <c r="P153" s="4"/>
      <c r="Q153" s="39"/>
      <c r="R153" s="3"/>
      <c r="S153" s="40"/>
      <c r="T153" s="4"/>
      <c r="U153" s="4"/>
      <c r="Y153" s="14"/>
      <c r="Z153" s="4"/>
    </row>
    <row r="154" spans="1:26" x14ac:dyDescent="0.3">
      <c r="A154" s="19"/>
      <c r="B154" s="2"/>
      <c r="C154" s="37"/>
      <c r="E154" s="15"/>
      <c r="F154" s="16"/>
      <c r="H154" s="2"/>
      <c r="I154" s="26"/>
      <c r="J154" s="41"/>
      <c r="K154" s="26"/>
      <c r="L154" s="38"/>
      <c r="M154" s="38"/>
      <c r="N154" s="4"/>
      <c r="O154" s="4"/>
      <c r="P154" s="4"/>
      <c r="Q154" s="39"/>
      <c r="R154" s="3"/>
      <c r="S154" s="40"/>
      <c r="T154" s="4"/>
      <c r="U154" s="4"/>
      <c r="Y154" s="14"/>
      <c r="Z154" s="4"/>
    </row>
    <row r="155" spans="1:26" x14ac:dyDescent="0.3">
      <c r="A155" s="19"/>
      <c r="B155" s="2"/>
      <c r="C155" s="37"/>
      <c r="E155" s="15"/>
      <c r="F155" s="16"/>
      <c r="H155" s="2"/>
      <c r="I155" s="26"/>
      <c r="J155" s="41"/>
      <c r="K155" s="26"/>
      <c r="L155" s="38"/>
      <c r="M155" s="38"/>
      <c r="N155" s="4"/>
      <c r="O155" s="4"/>
      <c r="P155" s="4"/>
      <c r="Q155" s="39"/>
      <c r="R155" s="3"/>
      <c r="S155" s="40"/>
      <c r="T155" s="4"/>
      <c r="U155" s="4"/>
      <c r="Y155" s="14"/>
      <c r="Z155" s="4"/>
    </row>
    <row r="156" spans="1:26" x14ac:dyDescent="0.3">
      <c r="A156" s="19"/>
      <c r="B156" s="2"/>
      <c r="C156" s="37"/>
      <c r="H156" s="2"/>
      <c r="I156" s="26"/>
      <c r="J156" s="41"/>
      <c r="K156" s="26"/>
      <c r="L156" s="38"/>
      <c r="M156" s="38"/>
      <c r="N156" s="4"/>
      <c r="O156" s="4"/>
      <c r="P156" s="4"/>
      <c r="Q156" s="39"/>
      <c r="R156" s="3"/>
      <c r="S156" s="40"/>
      <c r="T156" s="4"/>
      <c r="U156" s="4"/>
      <c r="Y156" s="14"/>
      <c r="Z156" s="4"/>
    </row>
    <row r="157" spans="1:26" x14ac:dyDescent="0.3">
      <c r="A157" s="19"/>
      <c r="B157" s="2"/>
      <c r="C157" s="37"/>
      <c r="E157" s="15"/>
      <c r="F157" s="16"/>
      <c r="H157" s="2"/>
      <c r="I157" s="26"/>
      <c r="J157" s="41"/>
      <c r="K157" s="26"/>
      <c r="L157" s="38"/>
      <c r="M157" s="38"/>
      <c r="N157" s="4"/>
      <c r="O157" s="4"/>
      <c r="P157" s="4"/>
      <c r="Q157" s="39"/>
      <c r="R157" s="3"/>
      <c r="S157" s="40"/>
      <c r="T157" s="4"/>
      <c r="U157" s="4"/>
      <c r="Y157" s="14"/>
      <c r="Z157" s="4"/>
    </row>
    <row r="158" spans="1:26" x14ac:dyDescent="0.3">
      <c r="A158" s="19"/>
      <c r="B158" s="2"/>
      <c r="C158" s="37"/>
      <c r="E158" s="15"/>
      <c r="F158" s="16"/>
      <c r="H158" s="2"/>
      <c r="I158" s="26"/>
      <c r="J158" s="41"/>
      <c r="K158" s="26"/>
      <c r="L158" s="38"/>
      <c r="M158" s="38"/>
      <c r="N158" s="4"/>
      <c r="O158" s="4"/>
      <c r="P158" s="4"/>
      <c r="Q158" s="39"/>
      <c r="R158" s="3"/>
      <c r="S158" s="40"/>
      <c r="T158" s="4"/>
      <c r="U158" s="4"/>
      <c r="Y158" s="14"/>
      <c r="Z158" s="4"/>
    </row>
    <row r="159" spans="1:26" x14ac:dyDescent="0.3">
      <c r="A159" s="19"/>
      <c r="B159" s="2"/>
      <c r="C159" s="37"/>
      <c r="E159" s="15"/>
      <c r="F159" s="16"/>
      <c r="H159" s="2"/>
      <c r="I159" s="26"/>
      <c r="J159" s="41"/>
      <c r="K159" s="26"/>
      <c r="L159" s="38"/>
      <c r="M159" s="38"/>
      <c r="N159" s="4"/>
      <c r="O159" s="4"/>
      <c r="P159" s="4"/>
      <c r="Q159" s="39"/>
      <c r="R159" s="3"/>
      <c r="S159" s="40"/>
      <c r="T159" s="4"/>
      <c r="U159" s="4"/>
      <c r="Y159" s="14"/>
      <c r="Z159" s="4"/>
    </row>
    <row r="160" spans="1:26" x14ac:dyDescent="0.3">
      <c r="A160" s="19"/>
      <c r="B160" s="2"/>
      <c r="C160" s="37"/>
      <c r="E160" s="15"/>
      <c r="F160" s="16"/>
      <c r="H160" s="2"/>
      <c r="I160" s="26"/>
      <c r="J160" s="41"/>
      <c r="K160" s="26"/>
      <c r="L160" s="38"/>
      <c r="M160" s="38"/>
      <c r="N160" s="4"/>
      <c r="O160" s="4"/>
      <c r="P160" s="4"/>
      <c r="Q160" s="39"/>
      <c r="R160" s="3"/>
      <c r="S160" s="40"/>
      <c r="T160" s="4"/>
      <c r="U160" s="4"/>
      <c r="Y160" s="14"/>
      <c r="Z160" s="4"/>
    </row>
    <row r="161" spans="1:26" x14ac:dyDescent="0.3">
      <c r="A161" s="19"/>
      <c r="B161" s="2"/>
      <c r="C161" s="37"/>
      <c r="E161" s="15"/>
      <c r="F161" s="16"/>
      <c r="H161" s="2"/>
      <c r="I161" s="26"/>
      <c r="J161" s="41"/>
      <c r="K161" s="26"/>
      <c r="L161" s="38"/>
      <c r="M161" s="38"/>
      <c r="N161" s="4"/>
      <c r="O161" s="4"/>
      <c r="P161" s="4"/>
      <c r="Q161" s="39"/>
      <c r="R161" s="3"/>
      <c r="S161" s="40"/>
      <c r="T161" s="4"/>
      <c r="U161" s="4"/>
      <c r="Y161" s="14"/>
      <c r="Z161" s="4"/>
    </row>
    <row r="162" spans="1:26" x14ac:dyDescent="0.3">
      <c r="A162" s="19"/>
      <c r="B162" s="2"/>
      <c r="C162" s="37"/>
      <c r="E162" s="15"/>
      <c r="H162" s="2"/>
      <c r="I162" s="26"/>
      <c r="J162" s="41"/>
      <c r="K162" s="26"/>
      <c r="L162" s="38"/>
      <c r="M162" s="38"/>
      <c r="N162" s="4"/>
      <c r="O162" s="4"/>
      <c r="P162" s="4"/>
      <c r="Q162" s="39"/>
      <c r="R162" s="3"/>
      <c r="S162" s="40"/>
      <c r="T162" s="4"/>
      <c r="U162" s="4"/>
      <c r="Y162" s="14"/>
      <c r="Z162" s="4"/>
    </row>
    <row r="163" spans="1:26" x14ac:dyDescent="0.3">
      <c r="A163" s="19"/>
      <c r="B163" s="2"/>
      <c r="C163" s="37"/>
      <c r="E163" s="15"/>
      <c r="F163" s="16"/>
      <c r="H163" s="2"/>
      <c r="I163" s="26"/>
      <c r="J163" s="41"/>
      <c r="K163" s="26"/>
      <c r="L163" s="38"/>
      <c r="M163" s="38"/>
      <c r="N163" s="4"/>
      <c r="O163" s="4"/>
      <c r="P163" s="4"/>
      <c r="Q163" s="39"/>
      <c r="R163" s="3"/>
      <c r="S163" s="40"/>
      <c r="T163" s="4"/>
      <c r="U163" s="4"/>
      <c r="Y163" s="14"/>
      <c r="Z163" s="4"/>
    </row>
    <row r="164" spans="1:26" x14ac:dyDescent="0.3">
      <c r="A164" s="19"/>
      <c r="B164" s="2"/>
      <c r="C164" s="37"/>
      <c r="E164" s="15"/>
      <c r="F164" s="16"/>
      <c r="H164" s="2"/>
      <c r="I164" s="26"/>
      <c r="J164" s="41"/>
      <c r="K164" s="26"/>
      <c r="L164" s="38"/>
      <c r="M164" s="38"/>
      <c r="N164" s="4"/>
      <c r="O164" s="4"/>
      <c r="P164" s="4"/>
      <c r="Q164" s="39"/>
      <c r="R164" s="3"/>
      <c r="S164" s="40"/>
      <c r="T164" s="4"/>
      <c r="U164" s="4"/>
      <c r="Y164" s="14"/>
      <c r="Z164" s="4"/>
    </row>
    <row r="165" spans="1:26" x14ac:dyDescent="0.3">
      <c r="A165" s="19"/>
      <c r="B165" s="2"/>
      <c r="C165" s="37"/>
      <c r="G165" s="17"/>
      <c r="H165" s="2"/>
      <c r="I165" s="26"/>
      <c r="J165" s="41"/>
      <c r="K165" s="26"/>
      <c r="L165" s="38"/>
      <c r="M165" s="38"/>
      <c r="N165" s="4"/>
      <c r="O165" s="4"/>
      <c r="P165" s="4"/>
      <c r="Q165" s="39"/>
      <c r="R165" s="3"/>
      <c r="S165" s="40"/>
      <c r="T165" s="4"/>
      <c r="U165" s="4"/>
      <c r="Y165" s="14"/>
      <c r="Z165" s="4"/>
    </row>
    <row r="166" spans="1:26" x14ac:dyDescent="0.3">
      <c r="A166" s="19"/>
      <c r="B166" s="2"/>
      <c r="C166" s="37"/>
      <c r="E166" s="15"/>
      <c r="F166" s="16"/>
      <c r="G166" s="15"/>
      <c r="H166" s="18"/>
      <c r="I166" s="26"/>
      <c r="J166" s="41"/>
      <c r="K166" s="26"/>
      <c r="L166" s="38"/>
      <c r="M166" s="38"/>
      <c r="N166" s="4"/>
      <c r="O166" s="4"/>
      <c r="P166" s="4"/>
      <c r="Q166" s="39"/>
      <c r="R166" s="3"/>
      <c r="S166" s="40"/>
      <c r="T166" s="4"/>
      <c r="U166" s="4"/>
      <c r="Y166" s="14"/>
      <c r="Z166" s="4"/>
    </row>
    <row r="167" spans="1:26" x14ac:dyDescent="0.3">
      <c r="A167" s="19"/>
      <c r="B167" s="2"/>
      <c r="C167" s="37"/>
      <c r="E167" s="15"/>
      <c r="F167" s="16"/>
      <c r="G167" s="15"/>
      <c r="H167" s="2"/>
      <c r="I167" s="26"/>
      <c r="J167" s="41"/>
      <c r="K167" s="26"/>
      <c r="L167" s="38"/>
      <c r="M167" s="38"/>
      <c r="N167" s="4"/>
      <c r="O167" s="4"/>
      <c r="P167" s="4"/>
      <c r="Q167" s="39"/>
      <c r="R167" s="3"/>
      <c r="S167" s="40"/>
      <c r="T167" s="4"/>
      <c r="U167" s="4"/>
      <c r="Y167" s="14"/>
      <c r="Z167" s="4"/>
    </row>
    <row r="168" spans="1:26" x14ac:dyDescent="0.3">
      <c r="A168" s="19"/>
      <c r="B168" s="2"/>
      <c r="C168" s="37"/>
      <c r="E168" s="15"/>
      <c r="F168" s="16"/>
      <c r="G168" s="15"/>
      <c r="H168" s="2"/>
      <c r="I168" s="26"/>
      <c r="J168" s="41"/>
      <c r="K168" s="26"/>
      <c r="L168" s="38"/>
      <c r="M168" s="38"/>
      <c r="N168" s="4"/>
      <c r="O168" s="4"/>
      <c r="P168" s="4"/>
      <c r="Q168" s="39"/>
      <c r="R168" s="3"/>
      <c r="S168" s="40"/>
      <c r="T168" s="4"/>
      <c r="U168" s="4"/>
      <c r="Y168" s="14"/>
      <c r="Z168" s="4"/>
    </row>
    <row r="169" spans="1:26" x14ac:dyDescent="0.3">
      <c r="A169" s="19"/>
      <c r="B169" s="2"/>
      <c r="C169" s="37"/>
      <c r="E169" s="15"/>
      <c r="F169" s="16"/>
      <c r="G169" s="15"/>
      <c r="H169" s="2"/>
      <c r="I169" s="26"/>
      <c r="J169" s="41"/>
      <c r="K169" s="26"/>
      <c r="L169" s="38"/>
      <c r="M169" s="38"/>
      <c r="N169" s="4"/>
      <c r="O169" s="4"/>
      <c r="P169" s="4"/>
      <c r="Q169" s="39"/>
      <c r="R169" s="3"/>
      <c r="S169" s="40"/>
      <c r="T169" s="4"/>
      <c r="U169" s="4"/>
      <c r="Y169" s="14"/>
      <c r="Z169" s="4"/>
    </row>
    <row r="170" spans="1:26" x14ac:dyDescent="0.3">
      <c r="A170" s="19"/>
      <c r="B170" s="2"/>
      <c r="C170" s="37"/>
      <c r="E170" s="15"/>
      <c r="F170" s="16"/>
      <c r="G170" s="15"/>
      <c r="H170" s="2"/>
      <c r="I170" s="26"/>
      <c r="J170" s="41"/>
      <c r="K170" s="26"/>
      <c r="L170" s="38"/>
      <c r="M170" s="38"/>
      <c r="N170" s="4"/>
      <c r="O170" s="4"/>
      <c r="P170" s="4"/>
      <c r="Q170" s="39"/>
      <c r="R170" s="3"/>
      <c r="S170" s="40"/>
      <c r="T170" s="4"/>
      <c r="U170" s="4"/>
      <c r="Y170" s="14"/>
      <c r="Z170" s="4"/>
    </row>
    <row r="171" spans="1:26" x14ac:dyDescent="0.3">
      <c r="A171" s="19"/>
      <c r="B171" s="2"/>
      <c r="C171" s="37"/>
      <c r="E171" s="15"/>
      <c r="F171" s="16"/>
      <c r="G171" s="15"/>
      <c r="H171" s="2"/>
      <c r="I171" s="26"/>
      <c r="J171" s="41"/>
      <c r="K171" s="26"/>
      <c r="L171" s="38"/>
      <c r="M171" s="38"/>
      <c r="N171" s="4"/>
      <c r="O171" s="4"/>
      <c r="P171" s="4"/>
      <c r="Q171" s="39"/>
      <c r="R171" s="3"/>
      <c r="S171" s="40"/>
      <c r="T171" s="4"/>
      <c r="U171" s="4"/>
      <c r="Y171" s="14"/>
      <c r="Z171" s="4"/>
    </row>
    <row r="172" spans="1:26" x14ac:dyDescent="0.3">
      <c r="A172" s="19"/>
      <c r="B172" s="2"/>
      <c r="C172" s="37"/>
      <c r="E172" s="15"/>
      <c r="F172" s="16"/>
      <c r="G172" s="15"/>
      <c r="H172" s="2"/>
      <c r="I172" s="26"/>
      <c r="J172" s="41"/>
      <c r="K172" s="26"/>
      <c r="L172" s="38"/>
      <c r="M172" s="38"/>
      <c r="N172" s="4"/>
      <c r="O172" s="4"/>
      <c r="P172" s="4"/>
      <c r="Q172" s="39"/>
      <c r="R172" s="3"/>
      <c r="S172" s="40"/>
      <c r="T172" s="4"/>
      <c r="U172" s="4"/>
      <c r="Y172" s="14"/>
      <c r="Z172" s="4"/>
    </row>
    <row r="173" spans="1:26" x14ac:dyDescent="0.3">
      <c r="A173" s="19"/>
      <c r="B173" s="2"/>
      <c r="C173" s="37"/>
      <c r="G173" s="17"/>
      <c r="H173" s="2"/>
      <c r="I173" s="26"/>
      <c r="J173" s="41"/>
      <c r="K173" s="26"/>
      <c r="L173" s="38"/>
      <c r="M173" s="38"/>
      <c r="N173" s="4"/>
      <c r="O173" s="4"/>
      <c r="P173" s="4"/>
      <c r="Q173" s="39"/>
      <c r="R173" s="3"/>
      <c r="S173" s="40"/>
      <c r="T173" s="4"/>
      <c r="U173" s="4"/>
      <c r="Y173" s="14"/>
      <c r="Z173" s="4"/>
    </row>
    <row r="174" spans="1:26" x14ac:dyDescent="0.3">
      <c r="A174" s="19"/>
      <c r="B174" s="2"/>
      <c r="C174" s="37"/>
      <c r="E174" s="15"/>
      <c r="F174" s="16"/>
      <c r="G174" s="15"/>
      <c r="H174" s="2"/>
      <c r="I174" s="26"/>
      <c r="J174" s="41"/>
      <c r="K174" s="26"/>
      <c r="L174" s="38"/>
      <c r="M174" s="38"/>
      <c r="N174" s="4"/>
      <c r="O174" s="4"/>
      <c r="P174" s="4"/>
      <c r="Q174" s="39"/>
      <c r="R174" s="3"/>
      <c r="S174" s="40"/>
      <c r="T174" s="4"/>
      <c r="U174" s="4"/>
      <c r="Y174" s="14"/>
      <c r="Z174" s="4"/>
    </row>
    <row r="175" spans="1:26" x14ac:dyDescent="0.3">
      <c r="A175" s="19"/>
      <c r="B175" s="2"/>
      <c r="C175" s="37"/>
      <c r="E175" s="15"/>
      <c r="F175" s="16"/>
      <c r="G175" s="15"/>
      <c r="H175" s="2"/>
      <c r="I175" s="26"/>
      <c r="J175" s="41"/>
      <c r="K175" s="26"/>
      <c r="L175" s="38"/>
      <c r="M175" s="38"/>
      <c r="N175" s="4"/>
      <c r="O175" s="4"/>
      <c r="P175" s="4"/>
      <c r="Q175" s="39"/>
      <c r="R175" s="3"/>
      <c r="S175" s="40"/>
      <c r="T175" s="4"/>
      <c r="U175" s="4"/>
      <c r="Y175" s="14"/>
      <c r="Z175" s="4"/>
    </row>
    <row r="176" spans="1:26" x14ac:dyDescent="0.3">
      <c r="A176" s="19"/>
      <c r="B176" s="2"/>
      <c r="C176" s="37"/>
      <c r="E176" s="15"/>
      <c r="F176" s="16"/>
      <c r="G176" s="15"/>
      <c r="H176" s="2"/>
      <c r="I176" s="26"/>
      <c r="J176" s="41"/>
      <c r="K176" s="26"/>
      <c r="L176" s="38"/>
      <c r="M176" s="38"/>
      <c r="N176" s="4"/>
      <c r="O176" s="4"/>
      <c r="P176" s="4"/>
      <c r="Q176" s="39"/>
      <c r="R176" s="3"/>
      <c r="S176" s="40"/>
      <c r="T176" s="4"/>
      <c r="U176" s="4"/>
      <c r="Y176" s="14"/>
      <c r="Z176" s="4"/>
    </row>
    <row r="177" spans="1:26" x14ac:dyDescent="0.3">
      <c r="A177" s="19"/>
      <c r="B177" s="2"/>
      <c r="C177" s="37"/>
      <c r="E177" s="15"/>
      <c r="F177" s="16"/>
      <c r="G177" s="15"/>
      <c r="H177" s="2"/>
      <c r="I177" s="26"/>
      <c r="J177" s="41"/>
      <c r="K177" s="26"/>
      <c r="L177" s="38"/>
      <c r="M177" s="38"/>
      <c r="N177" s="4"/>
      <c r="O177" s="4"/>
      <c r="P177" s="4"/>
      <c r="Q177" s="39"/>
      <c r="R177" s="3"/>
      <c r="S177" s="40"/>
      <c r="T177" s="4"/>
      <c r="U177" s="4"/>
      <c r="Y177" s="14"/>
      <c r="Z177" s="4"/>
    </row>
    <row r="178" spans="1:26" x14ac:dyDescent="0.3">
      <c r="A178" s="19"/>
      <c r="B178" s="2"/>
      <c r="C178" s="37"/>
      <c r="E178" s="15"/>
      <c r="F178" s="16"/>
      <c r="G178" s="15"/>
      <c r="H178" s="2"/>
      <c r="I178" s="26"/>
      <c r="J178" s="41"/>
      <c r="K178" s="26"/>
      <c r="L178" s="38"/>
      <c r="M178" s="38"/>
      <c r="N178" s="4"/>
      <c r="O178" s="4"/>
      <c r="P178" s="4"/>
      <c r="Q178" s="39"/>
      <c r="R178" s="3"/>
      <c r="S178" s="40"/>
      <c r="T178" s="4"/>
      <c r="U178" s="4"/>
      <c r="Y178" s="14"/>
      <c r="Z178" s="4"/>
    </row>
    <row r="179" spans="1:26" x14ac:dyDescent="0.3">
      <c r="A179" s="19"/>
      <c r="B179" s="2"/>
      <c r="C179" s="37"/>
      <c r="E179" s="15"/>
      <c r="F179" s="16"/>
      <c r="G179" s="15"/>
      <c r="H179" s="2"/>
      <c r="I179" s="26"/>
      <c r="J179" s="41"/>
      <c r="K179" s="26"/>
      <c r="L179" s="38"/>
      <c r="M179" s="38"/>
      <c r="N179" s="4"/>
      <c r="O179" s="4"/>
      <c r="P179" s="4"/>
      <c r="Q179" s="39"/>
      <c r="R179" s="3"/>
      <c r="S179" s="40"/>
      <c r="T179" s="4"/>
      <c r="U179" s="4"/>
      <c r="Y179" s="14"/>
      <c r="Z179" s="4"/>
    </row>
    <row r="180" spans="1:26" x14ac:dyDescent="0.3">
      <c r="A180" s="19"/>
      <c r="B180" s="2"/>
      <c r="C180" s="37"/>
      <c r="E180" s="15"/>
      <c r="G180" s="17"/>
      <c r="H180" s="2"/>
      <c r="I180" s="26"/>
      <c r="J180" s="41"/>
      <c r="K180" s="26"/>
      <c r="L180" s="38"/>
      <c r="M180" s="38"/>
      <c r="N180" s="4"/>
      <c r="O180" s="4"/>
      <c r="P180" s="4"/>
      <c r="Q180" s="39"/>
      <c r="R180" s="3"/>
      <c r="S180" s="40"/>
      <c r="T180" s="4"/>
      <c r="U180" s="4"/>
      <c r="Y180" s="14"/>
      <c r="Z180" s="4"/>
    </row>
    <row r="181" spans="1:26" x14ac:dyDescent="0.3">
      <c r="A181" s="19"/>
      <c r="B181" s="7"/>
      <c r="C181" s="37"/>
      <c r="E181" s="9"/>
      <c r="F181" s="10"/>
      <c r="G181" s="9"/>
      <c r="H181" s="13"/>
      <c r="I181" s="26"/>
      <c r="J181" s="41"/>
      <c r="K181" s="26"/>
      <c r="L181" s="38"/>
      <c r="M181" s="38"/>
      <c r="N181" s="23"/>
      <c r="O181" s="4"/>
      <c r="P181" s="4"/>
      <c r="Q181" s="39"/>
      <c r="R181" s="3"/>
      <c r="S181" s="40"/>
      <c r="T181" s="5"/>
      <c r="U181" s="4"/>
      <c r="V181" s="24"/>
      <c r="W181" s="12"/>
      <c r="X181" s="12"/>
      <c r="Y181" s="6"/>
      <c r="Z181" s="25"/>
    </row>
    <row r="182" spans="1:26" x14ac:dyDescent="0.3">
      <c r="A182" s="19"/>
      <c r="B182" s="7"/>
      <c r="C182" s="37"/>
      <c r="E182" s="20"/>
      <c r="F182" s="21"/>
      <c r="G182" s="15"/>
      <c r="H182" s="22"/>
      <c r="I182" s="26"/>
      <c r="J182" s="41"/>
      <c r="K182" s="26"/>
      <c r="L182" s="38"/>
      <c r="M182" s="38"/>
      <c r="N182" s="23"/>
      <c r="O182" s="4"/>
      <c r="P182" s="4"/>
      <c r="Q182" s="39"/>
      <c r="R182" s="3"/>
      <c r="S182" s="40"/>
      <c r="T182" s="5"/>
      <c r="U182" s="4"/>
      <c r="V182" s="24"/>
      <c r="W182" s="12"/>
      <c r="X182" s="12"/>
      <c r="Y182" s="6"/>
      <c r="Z182" s="25"/>
    </row>
    <row r="183" spans="1:26" x14ac:dyDescent="0.3">
      <c r="A183" s="19"/>
      <c r="B183" s="7"/>
      <c r="C183" s="37"/>
      <c r="E183" s="20"/>
      <c r="F183" s="21"/>
      <c r="G183" s="15"/>
      <c r="H183" s="22"/>
      <c r="I183" s="26"/>
      <c r="J183" s="41"/>
      <c r="K183" s="26"/>
      <c r="L183" s="38"/>
      <c r="M183" s="38"/>
      <c r="N183" s="23"/>
      <c r="O183" s="4"/>
      <c r="P183" s="4"/>
      <c r="Q183" s="39"/>
      <c r="R183" s="3"/>
      <c r="S183" s="40"/>
      <c r="T183" s="5"/>
      <c r="U183" s="4"/>
      <c r="V183" s="24"/>
      <c r="W183" s="12"/>
      <c r="X183" s="12"/>
      <c r="Y183" s="6"/>
      <c r="Z183" s="25"/>
    </row>
    <row r="184" spans="1:26" x14ac:dyDescent="0.3">
      <c r="A184" s="19"/>
      <c r="B184" s="7"/>
      <c r="C184" s="37"/>
      <c r="E184" s="20"/>
      <c r="F184" s="21"/>
      <c r="G184" s="15"/>
      <c r="H184" s="22"/>
      <c r="I184" s="26"/>
      <c r="J184" s="41"/>
      <c r="K184" s="26"/>
      <c r="L184" s="38"/>
      <c r="M184" s="38"/>
      <c r="N184" s="23"/>
      <c r="O184" s="4"/>
      <c r="P184" s="4"/>
      <c r="Q184" s="39"/>
      <c r="R184" s="3"/>
      <c r="S184" s="40"/>
      <c r="T184" s="5"/>
      <c r="U184" s="4"/>
      <c r="V184" s="24"/>
      <c r="W184" s="12"/>
      <c r="X184" s="12"/>
      <c r="Y184" s="6"/>
      <c r="Z184" s="25"/>
    </row>
    <row r="185" spans="1:26" x14ac:dyDescent="0.3">
      <c r="A185" s="19"/>
      <c r="B185" s="7"/>
      <c r="C185" s="37"/>
      <c r="E185" s="20"/>
      <c r="F185" s="21"/>
      <c r="G185" s="15"/>
      <c r="H185" s="22"/>
      <c r="I185" s="26"/>
      <c r="J185" s="41"/>
      <c r="K185" s="26"/>
      <c r="L185" s="38"/>
      <c r="M185" s="38"/>
      <c r="N185" s="23"/>
      <c r="O185" s="4"/>
      <c r="P185" s="4"/>
      <c r="Q185" s="39"/>
      <c r="R185" s="3"/>
      <c r="S185" s="40"/>
      <c r="T185" s="5"/>
      <c r="U185" s="4"/>
      <c r="V185" s="24"/>
      <c r="W185" s="12"/>
      <c r="X185" s="12"/>
      <c r="Y185" s="6"/>
      <c r="Z185" s="25"/>
    </row>
    <row r="186" spans="1:26" x14ac:dyDescent="0.3">
      <c r="A186" s="19"/>
      <c r="B186" s="7"/>
      <c r="C186" s="37"/>
      <c r="E186" s="20"/>
      <c r="F186" s="21"/>
      <c r="G186" s="15"/>
      <c r="H186" s="22"/>
      <c r="I186" s="26"/>
      <c r="J186" s="41"/>
      <c r="K186" s="26"/>
      <c r="L186" s="38"/>
      <c r="M186" s="38"/>
      <c r="N186" s="23"/>
      <c r="O186" s="4"/>
      <c r="P186" s="4"/>
      <c r="Q186" s="39"/>
      <c r="R186" s="3"/>
      <c r="S186" s="40"/>
      <c r="T186" s="5"/>
      <c r="U186" s="4"/>
      <c r="V186" s="24"/>
      <c r="W186" s="12"/>
      <c r="X186" s="12"/>
      <c r="Y186" s="6"/>
      <c r="Z186" s="25"/>
    </row>
    <row r="187" spans="1:26" x14ac:dyDescent="0.3">
      <c r="A187" s="19"/>
      <c r="B187" s="7"/>
      <c r="C187" s="37"/>
      <c r="E187" s="20"/>
      <c r="F187" s="21"/>
      <c r="G187" s="15"/>
      <c r="H187" s="22"/>
      <c r="I187" s="26"/>
      <c r="J187" s="41"/>
      <c r="K187" s="26"/>
      <c r="L187" s="38"/>
      <c r="M187" s="38"/>
      <c r="N187" s="23"/>
      <c r="O187" s="4"/>
      <c r="P187" s="4"/>
      <c r="Q187" s="39"/>
      <c r="R187" s="3"/>
      <c r="S187" s="40"/>
      <c r="T187" s="5"/>
      <c r="U187" s="4"/>
      <c r="V187" s="24"/>
      <c r="W187" s="12"/>
      <c r="X187" s="12"/>
      <c r="Y187" s="6"/>
      <c r="Z187" s="25"/>
    </row>
    <row r="188" spans="1:26" x14ac:dyDescent="0.3">
      <c r="A188" s="19"/>
      <c r="B188" s="7"/>
      <c r="C188" s="37"/>
      <c r="E188" s="20"/>
      <c r="F188" s="21"/>
      <c r="G188" s="15"/>
      <c r="H188" s="22"/>
      <c r="I188" s="26"/>
      <c r="J188" s="41"/>
      <c r="K188" s="26"/>
      <c r="L188" s="38"/>
      <c r="M188" s="38"/>
      <c r="N188" s="23"/>
      <c r="O188" s="4"/>
      <c r="P188" s="4"/>
      <c r="Q188" s="39"/>
      <c r="R188" s="3"/>
      <c r="S188" s="40"/>
      <c r="T188" s="5"/>
      <c r="U188" s="4"/>
      <c r="V188" s="24"/>
      <c r="W188" s="12"/>
      <c r="X188" s="12"/>
      <c r="Y188" s="6"/>
      <c r="Z188" s="25"/>
    </row>
    <row r="189" spans="1:26" x14ac:dyDescent="0.3">
      <c r="A189" s="19"/>
      <c r="B189" s="7"/>
      <c r="C189" s="37"/>
      <c r="E189" s="20"/>
      <c r="F189" s="21"/>
      <c r="G189" s="15"/>
      <c r="H189" s="22"/>
      <c r="I189" s="26"/>
      <c r="J189" s="41"/>
      <c r="K189" s="26"/>
      <c r="L189" s="38"/>
      <c r="M189" s="38"/>
      <c r="N189" s="23"/>
      <c r="O189" s="4"/>
      <c r="P189" s="4"/>
      <c r="Q189" s="39"/>
      <c r="R189" s="3"/>
      <c r="S189" s="40"/>
      <c r="T189" s="5"/>
      <c r="U189" s="4"/>
      <c r="V189" s="24"/>
      <c r="W189" s="12"/>
      <c r="X189" s="12"/>
      <c r="Y189" s="6"/>
      <c r="Z189" s="25"/>
    </row>
    <row r="190" spans="1:26" x14ac:dyDescent="0.3">
      <c r="A190" s="19"/>
      <c r="B190" s="7"/>
      <c r="C190" s="37"/>
      <c r="E190" s="20"/>
      <c r="F190" s="21"/>
      <c r="G190" s="19"/>
      <c r="H190" s="22"/>
      <c r="I190" s="26"/>
      <c r="J190" s="41"/>
      <c r="K190" s="26"/>
      <c r="L190" s="38"/>
      <c r="M190" s="38"/>
      <c r="N190" s="23"/>
      <c r="O190" s="4"/>
      <c r="P190" s="4"/>
      <c r="Q190" s="39"/>
      <c r="R190" s="3"/>
      <c r="S190" s="40"/>
      <c r="T190" s="5"/>
      <c r="U190" s="4"/>
      <c r="V190" s="24"/>
      <c r="W190" s="12"/>
      <c r="X190" s="12"/>
      <c r="Y190" s="6"/>
      <c r="Z190" s="25"/>
    </row>
    <row r="191" spans="1:26" x14ac:dyDescent="0.3">
      <c r="A191" s="19"/>
      <c r="B191" s="7"/>
      <c r="C191" s="37"/>
      <c r="E191" s="20"/>
      <c r="F191" s="21"/>
      <c r="G191" s="15"/>
      <c r="H191" s="22"/>
      <c r="I191" s="26"/>
      <c r="J191" s="41"/>
      <c r="K191" s="26"/>
      <c r="L191" s="38"/>
      <c r="M191" s="38"/>
      <c r="N191" s="23"/>
      <c r="O191" s="4"/>
      <c r="P191" s="4"/>
      <c r="Q191" s="39"/>
      <c r="R191" s="3"/>
      <c r="S191" s="40"/>
      <c r="T191" s="5"/>
      <c r="U191" s="4"/>
      <c r="V191" s="24"/>
      <c r="W191" s="12"/>
      <c r="X191" s="12"/>
      <c r="Y191" s="6"/>
      <c r="Z191" s="25"/>
    </row>
    <row r="192" spans="1:26" x14ac:dyDescent="0.3">
      <c r="A192" s="19"/>
      <c r="B192" s="7"/>
      <c r="C192" s="37"/>
      <c r="E192" s="20"/>
      <c r="F192" s="21"/>
      <c r="G192" s="15"/>
      <c r="H192" s="22"/>
      <c r="I192" s="26"/>
      <c r="J192" s="41"/>
      <c r="K192" s="26"/>
      <c r="L192" s="38"/>
      <c r="M192" s="38"/>
      <c r="N192" s="23"/>
      <c r="O192" s="4"/>
      <c r="P192" s="4"/>
      <c r="Q192" s="39"/>
      <c r="R192" s="3"/>
      <c r="S192" s="40"/>
      <c r="T192" s="5"/>
      <c r="U192" s="4"/>
      <c r="V192" s="24"/>
      <c r="W192" s="12"/>
      <c r="X192" s="12"/>
      <c r="Y192" s="6"/>
      <c r="Z192" s="25"/>
    </row>
    <row r="193" spans="1:26" x14ac:dyDescent="0.3">
      <c r="A193" s="19"/>
      <c r="B193" s="7"/>
      <c r="C193" s="37"/>
      <c r="E193" s="9"/>
      <c r="F193" s="10"/>
      <c r="G193" s="9"/>
      <c r="H193" s="13"/>
      <c r="I193" s="26"/>
      <c r="J193" s="41"/>
      <c r="K193" s="26"/>
      <c r="L193" s="38"/>
      <c r="M193" s="38"/>
      <c r="N193" s="23"/>
      <c r="O193" s="4"/>
      <c r="P193" s="4"/>
      <c r="Q193" s="39"/>
      <c r="R193" s="3"/>
      <c r="S193" s="40"/>
      <c r="T193" s="5"/>
      <c r="U193" s="4"/>
      <c r="V193" s="24"/>
      <c r="W193" s="12"/>
      <c r="X193" s="12"/>
      <c r="Y193" s="6"/>
      <c r="Z193" s="25"/>
    </row>
    <row r="194" spans="1:26" x14ac:dyDescent="0.3">
      <c r="A194" s="19"/>
      <c r="B194" s="7"/>
      <c r="C194" s="37"/>
      <c r="E194" s="9"/>
      <c r="F194" s="10"/>
      <c r="G194" s="9"/>
      <c r="H194" s="13"/>
      <c r="I194" s="26"/>
      <c r="J194" s="41"/>
      <c r="K194" s="26"/>
      <c r="L194" s="38"/>
      <c r="M194" s="38"/>
      <c r="N194" s="23"/>
      <c r="O194" s="4"/>
      <c r="P194" s="4"/>
      <c r="Q194" s="39"/>
      <c r="R194" s="3"/>
      <c r="S194" s="40"/>
      <c r="T194" s="5"/>
      <c r="U194" s="4"/>
      <c r="V194" s="24"/>
      <c r="W194" s="12"/>
      <c r="X194" s="12"/>
      <c r="Y194" s="6"/>
      <c r="Z194" s="25"/>
    </row>
    <row r="195" spans="1:26" x14ac:dyDescent="0.3">
      <c r="A195" s="19"/>
      <c r="B195" s="7"/>
      <c r="C195" s="37"/>
      <c r="E195" s="9"/>
      <c r="F195" s="10"/>
      <c r="G195" s="9"/>
      <c r="H195" s="13"/>
      <c r="I195" s="26"/>
      <c r="J195" s="41"/>
      <c r="K195" s="26"/>
      <c r="L195" s="38"/>
      <c r="M195" s="38"/>
      <c r="N195" s="23"/>
      <c r="O195" s="4"/>
      <c r="P195" s="4"/>
      <c r="Q195" s="39"/>
      <c r="R195" s="3"/>
      <c r="S195" s="40"/>
      <c r="T195" s="5"/>
      <c r="U195" s="4"/>
      <c r="V195" s="24"/>
      <c r="W195" s="12"/>
      <c r="X195" s="12"/>
      <c r="Y195" s="6"/>
      <c r="Z195" s="25"/>
    </row>
    <row r="196" spans="1:26" x14ac:dyDescent="0.3">
      <c r="A196" s="19"/>
      <c r="B196" s="7"/>
      <c r="C196" s="37"/>
      <c r="E196" s="9"/>
      <c r="F196" s="10"/>
      <c r="G196" s="9"/>
      <c r="H196" s="13"/>
      <c r="I196" s="26"/>
      <c r="J196" s="41"/>
      <c r="K196" s="26"/>
      <c r="L196" s="38"/>
      <c r="M196" s="38"/>
      <c r="N196" s="23"/>
      <c r="O196" s="4"/>
      <c r="P196" s="4"/>
      <c r="Q196" s="39"/>
      <c r="R196" s="3"/>
      <c r="S196" s="40"/>
      <c r="T196" s="5"/>
      <c r="U196" s="4"/>
      <c r="V196" s="24"/>
      <c r="W196" s="12"/>
      <c r="X196" s="12"/>
      <c r="Y196" s="6"/>
      <c r="Z196" s="25"/>
    </row>
    <row r="197" spans="1:26" x14ac:dyDescent="0.3">
      <c r="A197" s="19"/>
      <c r="B197" s="7"/>
      <c r="C197" s="37"/>
      <c r="E197" s="9"/>
      <c r="F197" s="10"/>
      <c r="G197" s="9"/>
      <c r="H197" s="13"/>
      <c r="I197" s="26"/>
      <c r="J197" s="41"/>
      <c r="K197" s="26"/>
      <c r="L197" s="38"/>
      <c r="M197" s="38"/>
      <c r="N197" s="23"/>
      <c r="O197" s="4"/>
      <c r="P197" s="4"/>
      <c r="Q197" s="39"/>
      <c r="R197" s="3"/>
      <c r="S197" s="40"/>
      <c r="T197" s="5"/>
      <c r="U197" s="4"/>
      <c r="V197" s="24"/>
      <c r="W197" s="12"/>
      <c r="X197" s="12"/>
      <c r="Y197" s="6"/>
      <c r="Z197" s="25"/>
    </row>
    <row r="198" spans="1:26" x14ac:dyDescent="0.3">
      <c r="A198" s="19"/>
      <c r="B198" s="7"/>
      <c r="C198" s="37"/>
      <c r="E198" s="9"/>
      <c r="F198" s="10"/>
      <c r="G198" s="9"/>
      <c r="H198" s="13"/>
      <c r="I198" s="26"/>
      <c r="J198" s="41"/>
      <c r="K198" s="26"/>
      <c r="L198" s="38"/>
      <c r="M198" s="38"/>
      <c r="N198" s="23"/>
      <c r="O198" s="4"/>
      <c r="P198" s="4"/>
      <c r="Q198" s="39"/>
      <c r="R198" s="3"/>
      <c r="S198" s="40"/>
      <c r="T198" s="5"/>
      <c r="U198" s="4"/>
      <c r="V198" s="24"/>
      <c r="W198" s="12"/>
      <c r="X198" s="12"/>
      <c r="Y198" s="6"/>
      <c r="Z198" s="25"/>
    </row>
    <row r="199" spans="1:26" x14ac:dyDescent="0.3">
      <c r="A199" s="19"/>
      <c r="B199" s="7"/>
      <c r="C199" s="37"/>
      <c r="E199" s="9"/>
      <c r="F199" s="10"/>
      <c r="G199" s="9"/>
      <c r="H199" s="13"/>
      <c r="I199" s="26"/>
      <c r="J199" s="41"/>
      <c r="K199" s="26"/>
      <c r="L199" s="38"/>
      <c r="M199" s="38"/>
      <c r="N199" s="23"/>
      <c r="O199" s="4"/>
      <c r="P199" s="4"/>
      <c r="Q199" s="39"/>
      <c r="R199" s="3"/>
      <c r="S199" s="40"/>
      <c r="T199" s="5"/>
      <c r="U199" s="4"/>
      <c r="V199" s="24"/>
      <c r="W199" s="12"/>
      <c r="X199" s="12"/>
      <c r="Y199" s="6"/>
      <c r="Z199" s="25"/>
    </row>
    <row r="200" spans="1:26" x14ac:dyDescent="0.3">
      <c r="A200" s="19"/>
      <c r="B200" s="7"/>
      <c r="C200" s="37"/>
      <c r="E200" s="9"/>
      <c r="F200" s="10"/>
      <c r="G200" s="9"/>
      <c r="H200" s="13"/>
      <c r="I200" s="26"/>
      <c r="J200" s="41"/>
      <c r="K200" s="26"/>
      <c r="L200" s="38"/>
      <c r="M200" s="38"/>
      <c r="N200" s="23"/>
      <c r="O200" s="4"/>
      <c r="P200" s="4"/>
      <c r="Q200" s="39"/>
      <c r="R200" s="3"/>
      <c r="S200" s="40"/>
      <c r="T200" s="5"/>
      <c r="U200" s="4"/>
      <c r="V200" s="24"/>
      <c r="W200" s="12"/>
      <c r="X200" s="12"/>
      <c r="Y200" s="6"/>
      <c r="Z200" s="25"/>
    </row>
    <row r="201" spans="1:26" x14ac:dyDescent="0.3">
      <c r="A201" s="19"/>
      <c r="B201" s="7"/>
      <c r="C201" s="37"/>
      <c r="E201" s="9"/>
      <c r="F201" s="10"/>
      <c r="G201" s="9"/>
      <c r="H201" s="13"/>
      <c r="I201" s="26"/>
      <c r="J201" s="41"/>
      <c r="K201" s="26"/>
      <c r="L201" s="38"/>
      <c r="M201" s="38"/>
      <c r="N201" s="23"/>
      <c r="O201" s="4"/>
      <c r="P201" s="4"/>
      <c r="Q201" s="39"/>
      <c r="R201" s="3"/>
      <c r="S201" s="40"/>
      <c r="T201" s="5"/>
      <c r="U201" s="4"/>
      <c r="V201" s="24"/>
      <c r="W201" s="12"/>
      <c r="X201" s="12"/>
      <c r="Y201" s="6"/>
      <c r="Z201" s="25"/>
    </row>
    <row r="202" spans="1:26" x14ac:dyDescent="0.3">
      <c r="A202" s="19"/>
      <c r="B202" s="7"/>
      <c r="C202" s="37"/>
      <c r="E202" s="9"/>
      <c r="F202" s="10"/>
      <c r="G202" s="9"/>
      <c r="H202" s="13"/>
      <c r="I202" s="26"/>
      <c r="J202" s="41"/>
      <c r="K202" s="26"/>
      <c r="L202" s="38"/>
      <c r="M202" s="38"/>
      <c r="N202" s="23"/>
      <c r="O202" s="4"/>
      <c r="P202" s="4"/>
      <c r="Q202" s="39"/>
      <c r="R202" s="3"/>
      <c r="S202" s="40"/>
      <c r="T202" s="5"/>
      <c r="U202" s="4"/>
      <c r="V202" s="24"/>
      <c r="W202" s="12"/>
      <c r="X202" s="12"/>
      <c r="Y202" s="6"/>
      <c r="Z202" s="25"/>
    </row>
    <row r="203" spans="1:26" x14ac:dyDescent="0.3">
      <c r="A203" s="19"/>
      <c r="B203" s="7"/>
      <c r="C203" s="37"/>
      <c r="E203" s="9"/>
      <c r="F203" s="10"/>
      <c r="G203" s="9"/>
      <c r="H203" s="13"/>
      <c r="I203" s="26"/>
      <c r="J203" s="41"/>
      <c r="K203" s="26"/>
      <c r="L203" s="38"/>
      <c r="M203" s="38"/>
      <c r="N203" s="23"/>
      <c r="O203" s="4"/>
      <c r="P203" s="4"/>
      <c r="Q203" s="39"/>
      <c r="R203" s="3"/>
      <c r="S203" s="40"/>
      <c r="T203" s="5"/>
      <c r="U203" s="4"/>
      <c r="V203" s="24"/>
      <c r="W203" s="12"/>
      <c r="X203" s="12"/>
      <c r="Y203" s="6"/>
      <c r="Z203" s="25"/>
    </row>
    <row r="204" spans="1:26" x14ac:dyDescent="0.3">
      <c r="A204" s="19"/>
      <c r="B204" s="7"/>
      <c r="C204" s="37"/>
      <c r="E204" s="9"/>
      <c r="F204" s="10"/>
      <c r="G204" s="9"/>
      <c r="H204" s="13"/>
      <c r="I204" s="26"/>
      <c r="J204" s="41"/>
      <c r="K204" s="26"/>
      <c r="L204" s="38"/>
      <c r="M204" s="38"/>
      <c r="N204" s="23"/>
      <c r="O204" s="4"/>
      <c r="P204" s="4"/>
      <c r="Q204" s="39"/>
      <c r="R204" s="3"/>
      <c r="S204" s="40"/>
      <c r="T204" s="5"/>
      <c r="U204" s="4"/>
      <c r="V204" s="24"/>
      <c r="W204" s="12"/>
      <c r="X204" s="12"/>
      <c r="Y204" s="6"/>
      <c r="Z204" s="25"/>
    </row>
    <row r="205" spans="1:26" x14ac:dyDescent="0.3">
      <c r="A205" s="19"/>
      <c r="B205" s="7"/>
      <c r="C205" s="37"/>
      <c r="E205" s="9"/>
      <c r="F205" s="10"/>
      <c r="G205" s="9"/>
      <c r="H205" s="13"/>
      <c r="I205" s="26"/>
      <c r="J205" s="41"/>
      <c r="K205" s="26"/>
      <c r="L205" s="38"/>
      <c r="M205" s="38"/>
      <c r="N205" s="23"/>
      <c r="O205" s="4"/>
      <c r="P205" s="4"/>
      <c r="Q205" s="39"/>
      <c r="R205" s="3"/>
      <c r="S205" s="40"/>
      <c r="T205" s="5"/>
      <c r="U205" s="4"/>
      <c r="V205" s="24"/>
      <c r="W205" s="12"/>
      <c r="X205" s="12"/>
      <c r="Y205" s="6"/>
      <c r="Z205" s="25"/>
    </row>
    <row r="206" spans="1:26" x14ac:dyDescent="0.3">
      <c r="A206" s="19"/>
      <c r="B206" s="7"/>
      <c r="C206" s="37"/>
      <c r="E206" s="20"/>
      <c r="F206" s="21"/>
      <c r="G206" s="15"/>
      <c r="H206" s="22"/>
      <c r="I206" s="26"/>
      <c r="J206" s="41"/>
      <c r="K206" s="26"/>
      <c r="L206" s="38"/>
      <c r="M206" s="38"/>
      <c r="N206" s="23"/>
      <c r="O206" s="4"/>
      <c r="P206" s="4"/>
      <c r="Q206" s="39"/>
      <c r="R206" s="3"/>
      <c r="S206" s="40"/>
      <c r="T206" s="5"/>
      <c r="U206" s="4"/>
      <c r="V206" s="24"/>
      <c r="W206" s="12"/>
      <c r="X206" s="12"/>
      <c r="Y206" s="6"/>
      <c r="Z206" s="25"/>
    </row>
    <row r="207" spans="1:26" x14ac:dyDescent="0.3">
      <c r="A207" s="19"/>
      <c r="B207" s="7"/>
      <c r="C207" s="37"/>
      <c r="E207" s="20"/>
      <c r="F207" s="21"/>
      <c r="G207" s="15"/>
      <c r="H207" s="22"/>
      <c r="I207" s="26"/>
      <c r="J207" s="41"/>
      <c r="K207" s="26"/>
      <c r="L207" s="38"/>
      <c r="M207" s="38"/>
      <c r="N207" s="23"/>
      <c r="O207" s="4"/>
      <c r="P207" s="4"/>
      <c r="Q207" s="39"/>
      <c r="R207" s="3"/>
      <c r="S207" s="40"/>
      <c r="T207" s="5"/>
      <c r="U207" s="4"/>
      <c r="V207" s="24"/>
      <c r="W207" s="12"/>
      <c r="X207" s="12"/>
      <c r="Y207" s="6"/>
      <c r="Z207" s="25"/>
    </row>
    <row r="208" spans="1:26" x14ac:dyDescent="0.3">
      <c r="A208" s="19"/>
      <c r="B208" s="7"/>
      <c r="C208" s="37"/>
      <c r="E208" s="20"/>
      <c r="F208" s="21"/>
      <c r="G208" s="15"/>
      <c r="H208" s="22"/>
      <c r="I208" s="26"/>
      <c r="J208" s="41"/>
      <c r="K208" s="26"/>
      <c r="L208" s="38"/>
      <c r="M208" s="38"/>
      <c r="N208" s="23"/>
      <c r="O208" s="4"/>
      <c r="P208" s="4"/>
      <c r="Q208" s="39"/>
      <c r="R208" s="3"/>
      <c r="S208" s="40"/>
      <c r="T208" s="5"/>
      <c r="U208" s="4"/>
      <c r="V208" s="24"/>
      <c r="W208" s="12"/>
      <c r="X208" s="12"/>
      <c r="Y208" s="6"/>
      <c r="Z208" s="25"/>
    </row>
    <row r="209" spans="1:26" x14ac:dyDescent="0.3">
      <c r="A209" s="19"/>
      <c r="B209" s="7"/>
      <c r="C209" s="37"/>
      <c r="E209" s="20"/>
      <c r="F209" s="21"/>
      <c r="G209" s="15"/>
      <c r="H209" s="22"/>
      <c r="I209" s="26"/>
      <c r="J209" s="41"/>
      <c r="K209" s="26"/>
      <c r="L209" s="38"/>
      <c r="M209" s="38"/>
      <c r="N209" s="23"/>
      <c r="O209" s="4"/>
      <c r="P209" s="4"/>
      <c r="Q209" s="39"/>
      <c r="R209" s="3"/>
      <c r="S209" s="40"/>
      <c r="T209" s="5"/>
      <c r="U209" s="4"/>
      <c r="V209" s="24"/>
      <c r="W209" s="12"/>
      <c r="X209" s="12"/>
      <c r="Y209" s="6"/>
      <c r="Z209" s="25"/>
    </row>
    <row r="210" spans="1:26" x14ac:dyDescent="0.3">
      <c r="A210" s="19"/>
      <c r="B210" s="7"/>
      <c r="C210" s="37"/>
      <c r="E210" s="20"/>
      <c r="F210" s="21"/>
      <c r="G210" s="15"/>
      <c r="H210" s="22"/>
      <c r="I210" s="26"/>
      <c r="J210" s="41"/>
      <c r="K210" s="26"/>
      <c r="L210" s="38"/>
      <c r="M210" s="38"/>
      <c r="N210" s="23"/>
      <c r="O210" s="4"/>
      <c r="P210" s="4"/>
      <c r="Q210" s="39"/>
      <c r="R210" s="3"/>
      <c r="S210" s="40"/>
      <c r="T210" s="5"/>
      <c r="U210" s="4"/>
      <c r="V210" s="24"/>
      <c r="W210" s="12"/>
      <c r="X210" s="12"/>
      <c r="Y210" s="6"/>
      <c r="Z210" s="25"/>
    </row>
    <row r="211" spans="1:26" x14ac:dyDescent="0.3">
      <c r="A211" s="19"/>
      <c r="B211" s="7"/>
      <c r="C211" s="37"/>
      <c r="E211" s="20"/>
      <c r="F211" s="21"/>
      <c r="G211" s="15"/>
      <c r="H211" s="22"/>
      <c r="I211" s="26"/>
      <c r="J211" s="41"/>
      <c r="K211" s="26"/>
      <c r="L211" s="38"/>
      <c r="M211" s="38"/>
      <c r="N211" s="23"/>
      <c r="O211" s="4"/>
      <c r="P211" s="4"/>
      <c r="Q211" s="39"/>
      <c r="R211" s="3"/>
      <c r="S211" s="40"/>
      <c r="T211" s="5"/>
      <c r="U211" s="4"/>
      <c r="V211" s="24"/>
      <c r="W211" s="12"/>
      <c r="X211" s="12"/>
      <c r="Y211" s="6"/>
      <c r="Z211" s="25"/>
    </row>
    <row r="212" spans="1:26" x14ac:dyDescent="0.3">
      <c r="A212" s="19"/>
      <c r="B212" s="7"/>
      <c r="C212" s="37"/>
      <c r="E212" s="20"/>
      <c r="F212" s="21"/>
      <c r="G212" s="15"/>
      <c r="H212" s="22"/>
      <c r="I212" s="26"/>
      <c r="J212" s="41"/>
      <c r="K212" s="26"/>
      <c r="L212" s="38"/>
      <c r="M212" s="38"/>
      <c r="N212" s="23"/>
      <c r="O212" s="4"/>
      <c r="P212" s="4"/>
      <c r="Q212" s="39"/>
      <c r="R212" s="3"/>
      <c r="S212" s="40"/>
      <c r="T212" s="5"/>
      <c r="U212" s="4"/>
      <c r="V212" s="24"/>
      <c r="W212" s="12"/>
      <c r="X212" s="12"/>
      <c r="Y212" s="6"/>
      <c r="Z212" s="25"/>
    </row>
    <row r="213" spans="1:26" x14ac:dyDescent="0.3">
      <c r="A213" s="19"/>
      <c r="B213" s="7"/>
      <c r="C213" s="37"/>
      <c r="E213" s="20"/>
      <c r="F213" s="21"/>
      <c r="G213" s="15"/>
      <c r="H213" s="22"/>
      <c r="I213" s="26"/>
      <c r="J213" s="41"/>
      <c r="K213" s="26"/>
      <c r="L213" s="38"/>
      <c r="M213" s="38"/>
      <c r="N213" s="23"/>
      <c r="O213" s="4"/>
      <c r="P213" s="4"/>
      <c r="Q213" s="39"/>
      <c r="R213" s="3"/>
      <c r="S213" s="40"/>
      <c r="T213" s="5"/>
      <c r="U213" s="4"/>
      <c r="V213" s="24"/>
      <c r="W213" s="12"/>
      <c r="X213" s="12"/>
      <c r="Y213" s="6"/>
      <c r="Z213" s="25"/>
    </row>
    <row r="214" spans="1:26" x14ac:dyDescent="0.3">
      <c r="A214" s="19"/>
      <c r="B214" s="7"/>
      <c r="C214" s="37"/>
      <c r="E214" s="20"/>
      <c r="F214" s="21"/>
      <c r="G214" s="15"/>
      <c r="H214" s="22"/>
      <c r="I214" s="26"/>
      <c r="J214" s="41"/>
      <c r="K214" s="26"/>
      <c r="L214" s="38"/>
      <c r="M214" s="38"/>
      <c r="N214" s="23"/>
      <c r="O214" s="4"/>
      <c r="P214" s="4"/>
      <c r="Q214" s="39"/>
      <c r="R214" s="3"/>
      <c r="S214" s="40"/>
      <c r="T214" s="5"/>
      <c r="U214" s="4"/>
      <c r="V214" s="24"/>
      <c r="W214" s="12"/>
      <c r="X214" s="12"/>
      <c r="Y214" s="6"/>
      <c r="Z214" s="25"/>
    </row>
    <row r="215" spans="1:26" x14ac:dyDescent="0.3">
      <c r="A215" s="19"/>
      <c r="B215" s="7"/>
      <c r="C215" s="37"/>
      <c r="E215" s="20"/>
      <c r="F215" s="21"/>
      <c r="G215" s="15"/>
      <c r="H215" s="22"/>
      <c r="I215" s="26"/>
      <c r="J215" s="41"/>
      <c r="K215" s="26"/>
      <c r="L215" s="38"/>
      <c r="M215" s="38"/>
      <c r="N215" s="23"/>
      <c r="O215" s="4"/>
      <c r="P215" s="4"/>
      <c r="Q215" s="39"/>
      <c r="R215" s="3"/>
      <c r="S215" s="40"/>
      <c r="T215" s="5"/>
      <c r="U215" s="4"/>
      <c r="V215" s="24"/>
      <c r="W215" s="12"/>
      <c r="X215" s="12"/>
      <c r="Y215" s="6"/>
      <c r="Z215" s="25"/>
    </row>
    <row r="216" spans="1:26" x14ac:dyDescent="0.3">
      <c r="A216" s="19"/>
      <c r="B216" s="7"/>
      <c r="C216" s="37"/>
      <c r="E216" s="20"/>
      <c r="F216" s="21"/>
      <c r="G216" s="15"/>
      <c r="H216" s="22"/>
      <c r="I216" s="26"/>
      <c r="J216" s="41"/>
      <c r="K216" s="26"/>
      <c r="L216" s="38"/>
      <c r="M216" s="38"/>
      <c r="N216" s="23"/>
      <c r="O216" s="4"/>
      <c r="P216" s="4"/>
      <c r="Q216" s="39"/>
      <c r="R216" s="3"/>
      <c r="S216" s="40"/>
      <c r="T216" s="5"/>
      <c r="U216" s="4"/>
      <c r="V216" s="24"/>
      <c r="W216" s="12"/>
      <c r="X216" s="12"/>
      <c r="Y216" s="6"/>
      <c r="Z216" s="25"/>
    </row>
    <row r="217" spans="1:26" x14ac:dyDescent="0.3">
      <c r="A217" s="19"/>
      <c r="B217" s="7"/>
      <c r="C217" s="37"/>
      <c r="E217" s="20"/>
      <c r="F217" s="21"/>
      <c r="G217" s="15"/>
      <c r="H217" s="22"/>
      <c r="I217" s="26"/>
      <c r="J217" s="41"/>
      <c r="K217" s="26"/>
      <c r="L217" s="38"/>
      <c r="M217" s="38"/>
      <c r="N217" s="23"/>
      <c r="O217" s="4"/>
      <c r="P217" s="4"/>
      <c r="Q217" s="39"/>
      <c r="R217" s="3"/>
      <c r="S217" s="40"/>
      <c r="T217" s="5"/>
      <c r="U217" s="4"/>
      <c r="V217" s="24"/>
      <c r="W217" s="12"/>
      <c r="X217" s="12"/>
      <c r="Y217" s="6"/>
      <c r="Z217" s="25"/>
    </row>
    <row r="218" spans="1:26" x14ac:dyDescent="0.3">
      <c r="A218" s="19"/>
      <c r="B218" s="7"/>
      <c r="C218" s="37"/>
      <c r="E218" s="20"/>
      <c r="F218" s="21"/>
      <c r="G218" s="15"/>
      <c r="H218" s="22"/>
      <c r="I218" s="26"/>
      <c r="J218" s="41"/>
      <c r="K218" s="26"/>
      <c r="L218" s="38"/>
      <c r="M218" s="38"/>
      <c r="N218" s="23"/>
      <c r="O218" s="4"/>
      <c r="P218" s="4"/>
      <c r="Q218" s="39"/>
      <c r="R218" s="3"/>
      <c r="S218" s="40"/>
      <c r="T218" s="5"/>
      <c r="U218" s="4"/>
      <c r="V218" s="24"/>
      <c r="W218" s="12"/>
      <c r="X218" s="12"/>
      <c r="Y218" s="6"/>
      <c r="Z218" s="25"/>
    </row>
    <row r="219" spans="1:26" x14ac:dyDescent="0.3">
      <c r="A219" s="19"/>
      <c r="B219" s="7"/>
      <c r="C219" s="37"/>
      <c r="E219" s="20"/>
      <c r="F219" s="21"/>
      <c r="G219" s="15"/>
      <c r="H219" s="22"/>
      <c r="I219" s="26"/>
      <c r="J219" s="41"/>
      <c r="K219" s="26"/>
      <c r="L219" s="38"/>
      <c r="M219" s="38"/>
      <c r="N219" s="23"/>
      <c r="O219" s="4"/>
      <c r="P219" s="4"/>
      <c r="Q219" s="39"/>
      <c r="R219" s="3"/>
      <c r="S219" s="40"/>
      <c r="T219" s="5"/>
      <c r="U219" s="4"/>
      <c r="V219" s="24"/>
      <c r="W219" s="12"/>
      <c r="X219" s="12"/>
      <c r="Y219" s="6"/>
      <c r="Z219" s="25"/>
    </row>
    <row r="220" spans="1:26" x14ac:dyDescent="0.3">
      <c r="A220" s="19"/>
      <c r="B220" s="7"/>
      <c r="C220" s="37"/>
      <c r="E220" s="20"/>
      <c r="F220" s="21"/>
      <c r="G220" s="15"/>
      <c r="H220" s="22"/>
      <c r="I220" s="26"/>
      <c r="J220" s="41"/>
      <c r="K220" s="26"/>
      <c r="L220" s="38"/>
      <c r="M220" s="38"/>
      <c r="N220" s="23"/>
      <c r="O220" s="4"/>
      <c r="P220" s="4"/>
      <c r="Q220" s="39"/>
      <c r="R220" s="3"/>
      <c r="S220" s="40"/>
      <c r="T220" s="5"/>
      <c r="U220" s="4"/>
      <c r="V220" s="24"/>
      <c r="W220" s="12"/>
      <c r="X220" s="12"/>
      <c r="Y220" s="6"/>
      <c r="Z220" s="25"/>
    </row>
    <row r="221" spans="1:26" x14ac:dyDescent="0.3">
      <c r="A221" s="19"/>
      <c r="B221" s="7"/>
      <c r="C221" s="37"/>
      <c r="E221" s="20"/>
      <c r="F221" s="21"/>
      <c r="G221" s="15"/>
      <c r="H221" s="22"/>
      <c r="I221" s="26"/>
      <c r="J221" s="41"/>
      <c r="K221" s="26"/>
      <c r="L221" s="38"/>
      <c r="M221" s="38"/>
      <c r="N221" s="23"/>
      <c r="O221" s="4"/>
      <c r="P221" s="4"/>
      <c r="Q221" s="39"/>
      <c r="R221" s="3"/>
      <c r="S221" s="40"/>
      <c r="T221" s="5"/>
      <c r="U221" s="4"/>
      <c r="V221" s="24"/>
      <c r="W221" s="12"/>
      <c r="X221" s="12"/>
      <c r="Y221" s="6"/>
      <c r="Z221" s="25"/>
    </row>
    <row r="222" spans="1:26" x14ac:dyDescent="0.3">
      <c r="A222" s="19"/>
      <c r="B222" s="7"/>
      <c r="C222" s="37"/>
      <c r="E222" s="20"/>
      <c r="F222" s="21"/>
      <c r="G222" s="15"/>
      <c r="H222" s="22"/>
      <c r="I222" s="26"/>
      <c r="J222" s="41"/>
      <c r="K222" s="26"/>
      <c r="L222" s="38"/>
      <c r="M222" s="38"/>
      <c r="N222" s="23"/>
      <c r="O222" s="4"/>
      <c r="P222" s="4"/>
      <c r="Q222" s="39"/>
      <c r="R222" s="3"/>
      <c r="S222" s="40"/>
      <c r="T222" s="5"/>
      <c r="U222" s="4"/>
      <c r="V222" s="24"/>
      <c r="W222" s="12"/>
      <c r="X222" s="12"/>
      <c r="Y222" s="6"/>
      <c r="Z222" s="25"/>
    </row>
    <row r="223" spans="1:26" x14ac:dyDescent="0.3">
      <c r="A223" s="19"/>
      <c r="B223" s="7"/>
      <c r="C223" s="37"/>
      <c r="E223" s="20"/>
      <c r="F223" s="21"/>
      <c r="G223" s="15"/>
      <c r="H223" s="22"/>
      <c r="I223" s="26"/>
      <c r="J223" s="41"/>
      <c r="K223" s="26"/>
      <c r="L223" s="38"/>
      <c r="M223" s="38"/>
      <c r="N223" s="23"/>
      <c r="O223" s="4"/>
      <c r="P223" s="4"/>
      <c r="Q223" s="39"/>
      <c r="R223" s="3"/>
      <c r="S223" s="40"/>
      <c r="T223" s="5"/>
      <c r="U223" s="4"/>
      <c r="V223" s="24"/>
      <c r="W223" s="12"/>
      <c r="X223" s="12"/>
      <c r="Y223" s="6"/>
      <c r="Z223" s="25"/>
    </row>
    <row r="224" spans="1:26" x14ac:dyDescent="0.3">
      <c r="A224" s="19"/>
      <c r="B224" s="7"/>
      <c r="C224" s="37"/>
      <c r="E224" s="20"/>
      <c r="F224" s="21"/>
      <c r="G224" s="15"/>
      <c r="H224" s="22"/>
      <c r="I224" s="26"/>
      <c r="J224" s="41"/>
      <c r="K224" s="26"/>
      <c r="L224" s="38"/>
      <c r="M224" s="38"/>
      <c r="N224" s="23"/>
      <c r="O224" s="4"/>
      <c r="P224" s="4"/>
      <c r="Q224" s="39"/>
      <c r="R224" s="3"/>
      <c r="S224" s="40"/>
      <c r="T224" s="5"/>
      <c r="U224" s="4"/>
      <c r="V224" s="24"/>
      <c r="W224" s="12"/>
      <c r="X224" s="12"/>
      <c r="Y224" s="6"/>
      <c r="Z224" s="25"/>
    </row>
    <row r="225" spans="1:26" x14ac:dyDescent="0.3">
      <c r="A225" s="19"/>
      <c r="B225" s="7"/>
      <c r="C225" s="37"/>
      <c r="E225" s="20"/>
      <c r="F225" s="21"/>
      <c r="G225" s="15"/>
      <c r="H225" s="22"/>
      <c r="I225" s="26"/>
      <c r="J225" s="41"/>
      <c r="K225" s="26"/>
      <c r="L225" s="38"/>
      <c r="M225" s="38"/>
      <c r="N225" s="23"/>
      <c r="O225" s="4"/>
      <c r="P225" s="4"/>
      <c r="Q225" s="39"/>
      <c r="R225" s="3"/>
      <c r="S225" s="40"/>
      <c r="T225" s="5"/>
      <c r="U225" s="4"/>
      <c r="V225" s="24"/>
      <c r="W225" s="12"/>
      <c r="X225" s="12"/>
      <c r="Y225" s="6"/>
      <c r="Z225" s="25"/>
    </row>
    <row r="226" spans="1:26" x14ac:dyDescent="0.3">
      <c r="A226" s="19"/>
      <c r="B226" s="7"/>
      <c r="C226" s="37"/>
      <c r="E226" s="20"/>
      <c r="F226" s="21"/>
      <c r="G226" s="15"/>
      <c r="H226" s="22"/>
      <c r="I226" s="26"/>
      <c r="J226" s="41"/>
      <c r="K226" s="26"/>
      <c r="L226" s="38"/>
      <c r="M226" s="38"/>
      <c r="N226" s="23"/>
      <c r="O226" s="4"/>
      <c r="P226" s="4"/>
      <c r="Q226" s="39"/>
      <c r="R226" s="3"/>
      <c r="S226" s="40"/>
      <c r="T226" s="5"/>
      <c r="U226" s="4"/>
      <c r="V226" s="24"/>
      <c r="W226" s="12"/>
      <c r="X226" s="12"/>
      <c r="Y226" s="6"/>
      <c r="Z226" s="25"/>
    </row>
    <row r="227" spans="1:26" x14ac:dyDescent="0.3">
      <c r="H227" s="2"/>
      <c r="I227" s="2"/>
      <c r="J227" s="2"/>
      <c r="K227" s="2"/>
      <c r="L227" s="2"/>
      <c r="M227" s="2"/>
      <c r="N227" s="4"/>
      <c r="O227" s="4"/>
      <c r="P227" s="4"/>
      <c r="Q227" s="4"/>
      <c r="R227" s="4"/>
      <c r="S227" s="4"/>
      <c r="Y227" s="6"/>
      <c r="Z227" s="4"/>
    </row>
    <row r="228" spans="1:26" x14ac:dyDescent="0.3">
      <c r="H228" s="2"/>
      <c r="I228" s="2"/>
      <c r="J228" s="2"/>
      <c r="K228" s="2"/>
      <c r="L228" s="2"/>
      <c r="M228" s="2"/>
      <c r="N228" s="4"/>
      <c r="O228" s="4"/>
      <c r="P228" s="4"/>
      <c r="Q228" s="4"/>
      <c r="R228" s="4"/>
      <c r="S228" s="4"/>
      <c r="Y228" s="6"/>
      <c r="Z228" s="4"/>
    </row>
    <row r="229" spans="1:26" x14ac:dyDescent="0.3">
      <c r="H229" s="2"/>
      <c r="I229" s="2"/>
      <c r="J229" s="2"/>
      <c r="K229" s="2"/>
      <c r="L229" s="2"/>
      <c r="M229" s="2"/>
      <c r="N229" s="4"/>
      <c r="O229" s="4"/>
      <c r="P229" s="4"/>
      <c r="Q229" s="4"/>
      <c r="R229" s="4"/>
      <c r="S229" s="4"/>
      <c r="Y229" s="6"/>
      <c r="Z229" s="4"/>
    </row>
    <row r="230" spans="1:26" x14ac:dyDescent="0.3">
      <c r="H230" s="2"/>
      <c r="I230" s="2"/>
      <c r="J230" s="2"/>
      <c r="K230" s="2"/>
      <c r="L230" s="2"/>
      <c r="M230" s="2"/>
      <c r="N230" s="4"/>
      <c r="O230" s="4"/>
      <c r="P230" s="4"/>
      <c r="Q230" s="4"/>
      <c r="R230" s="4"/>
      <c r="S230" s="4"/>
      <c r="Y230" s="6"/>
      <c r="Z230" s="4"/>
    </row>
    <row r="231" spans="1:26" x14ac:dyDescent="0.3">
      <c r="H231" s="2"/>
      <c r="I231" s="2"/>
      <c r="J231" s="2"/>
      <c r="K231" s="2"/>
      <c r="L231" s="2"/>
      <c r="M231" s="2"/>
      <c r="N231" s="4"/>
      <c r="O231" s="4"/>
      <c r="P231" s="4"/>
      <c r="Q231" s="4"/>
      <c r="R231" s="4"/>
      <c r="S231" s="4"/>
      <c r="Y231" s="6"/>
      <c r="Z231" s="4"/>
    </row>
    <row r="232" spans="1:26" x14ac:dyDescent="0.3">
      <c r="H232" s="2"/>
      <c r="I232" s="2"/>
      <c r="J232" s="2"/>
      <c r="K232" s="2"/>
      <c r="L232" s="2"/>
      <c r="M232" s="2"/>
      <c r="N232" s="4"/>
      <c r="O232" s="4"/>
      <c r="P232" s="4"/>
      <c r="Q232" s="4"/>
      <c r="R232" s="4"/>
      <c r="S232" s="4"/>
      <c r="Y232" s="6"/>
      <c r="Z232" s="4"/>
    </row>
    <row r="233" spans="1:26" x14ac:dyDescent="0.3">
      <c r="H233" s="2"/>
      <c r="I233" s="2"/>
      <c r="J233" s="2"/>
      <c r="K233" s="2"/>
      <c r="L233" s="2"/>
      <c r="M233" s="2"/>
      <c r="N233" s="4"/>
      <c r="O233" s="4"/>
      <c r="P233" s="4"/>
      <c r="Q233" s="4"/>
      <c r="R233" s="4"/>
      <c r="S233" s="4"/>
      <c r="Y233" s="6"/>
      <c r="Z233" s="4"/>
    </row>
    <row r="234" spans="1:26" x14ac:dyDescent="0.3">
      <c r="H234" s="2"/>
      <c r="I234" s="2"/>
      <c r="J234" s="2"/>
      <c r="K234" s="2"/>
      <c r="L234" s="2"/>
      <c r="M234" s="2"/>
      <c r="N234" s="4"/>
      <c r="O234" s="4"/>
      <c r="P234" s="4"/>
      <c r="Q234" s="4"/>
      <c r="R234" s="4"/>
      <c r="S234" s="4"/>
      <c r="Y234" s="6"/>
      <c r="Z234" s="4"/>
    </row>
    <row r="235" spans="1:26" x14ac:dyDescent="0.3">
      <c r="H235" s="2"/>
      <c r="I235" s="2"/>
      <c r="J235" s="2"/>
      <c r="K235" s="2"/>
      <c r="L235" s="2"/>
      <c r="M235" s="2"/>
      <c r="N235" s="4"/>
      <c r="O235" s="4"/>
      <c r="P235" s="4"/>
      <c r="Q235" s="4"/>
      <c r="R235" s="4"/>
      <c r="S235" s="4"/>
      <c r="Y235" s="6"/>
      <c r="Z235" s="4"/>
    </row>
    <row r="236" spans="1:26" x14ac:dyDescent="0.3">
      <c r="H236" s="2"/>
      <c r="I236" s="2"/>
      <c r="J236" s="2"/>
      <c r="K236" s="2"/>
      <c r="L236" s="2"/>
      <c r="M236" s="2"/>
      <c r="N236" s="4"/>
      <c r="O236" s="4"/>
      <c r="P236" s="4"/>
      <c r="Q236" s="4"/>
      <c r="R236" s="4"/>
      <c r="S236" s="4"/>
      <c r="Y236" s="6"/>
      <c r="Z236" s="4"/>
    </row>
    <row r="237" spans="1:26" x14ac:dyDescent="0.3">
      <c r="H237" s="2"/>
      <c r="I237" s="2"/>
      <c r="J237" s="2"/>
      <c r="K237" s="2"/>
      <c r="L237" s="2"/>
      <c r="M237" s="2"/>
      <c r="N237" s="4"/>
      <c r="O237" s="4"/>
      <c r="P237" s="4"/>
      <c r="Q237" s="4"/>
      <c r="R237" s="4"/>
      <c r="S237" s="4"/>
      <c r="Y237" s="6"/>
      <c r="Z237" s="4"/>
    </row>
    <row r="238" spans="1:26" x14ac:dyDescent="0.3">
      <c r="H238" s="2"/>
      <c r="I238" s="2"/>
      <c r="J238" s="2"/>
      <c r="K238" s="2"/>
      <c r="L238" s="2"/>
      <c r="M238" s="2"/>
      <c r="N238" s="4"/>
      <c r="O238" s="4"/>
      <c r="P238" s="4"/>
      <c r="Q238" s="4"/>
      <c r="R238" s="4"/>
      <c r="S238" s="4"/>
      <c r="Y238" s="6"/>
      <c r="Z238" s="4"/>
    </row>
    <row r="239" spans="1:26" x14ac:dyDescent="0.3">
      <c r="H239" s="2"/>
      <c r="I239" s="2"/>
      <c r="J239" s="2"/>
      <c r="K239" s="2"/>
      <c r="L239" s="2"/>
      <c r="M239" s="2"/>
      <c r="N239" s="4"/>
      <c r="O239" s="4"/>
      <c r="P239" s="4"/>
      <c r="Q239" s="4"/>
      <c r="R239" s="4"/>
      <c r="S239" s="4"/>
      <c r="Y239" s="6"/>
      <c r="Z239" s="4"/>
    </row>
    <row r="240" spans="1:26" x14ac:dyDescent="0.3">
      <c r="H240" s="2"/>
      <c r="I240" s="2"/>
      <c r="J240" s="2"/>
      <c r="K240" s="2"/>
      <c r="L240" s="2"/>
      <c r="M240" s="2"/>
      <c r="N240" s="4"/>
      <c r="O240" s="4"/>
      <c r="P240" s="4"/>
      <c r="Q240" s="4"/>
      <c r="R240" s="4"/>
      <c r="S240" s="4"/>
      <c r="Y240" s="6"/>
      <c r="Z240" s="4"/>
    </row>
    <row r="241" spans="1:26" x14ac:dyDescent="0.3">
      <c r="H241" s="2"/>
      <c r="I241" s="2"/>
      <c r="J241" s="2"/>
      <c r="K241" s="2"/>
      <c r="L241" s="2"/>
      <c r="M241" s="2"/>
      <c r="N241" s="4"/>
      <c r="O241" s="4"/>
      <c r="P241" s="4"/>
      <c r="Q241" s="4"/>
      <c r="R241" s="4"/>
      <c r="S241" s="4"/>
      <c r="Y241" s="6"/>
      <c r="Z241" s="4"/>
    </row>
    <row r="242" spans="1:26" x14ac:dyDescent="0.3">
      <c r="H242" s="2"/>
      <c r="I242" s="2"/>
      <c r="J242" s="2"/>
      <c r="K242" s="2"/>
      <c r="L242" s="2"/>
      <c r="M242" s="2"/>
      <c r="N242" s="4"/>
      <c r="O242" s="4"/>
      <c r="P242" s="4"/>
      <c r="Q242" s="4"/>
      <c r="R242" s="4"/>
      <c r="S242" s="4"/>
      <c r="Y242" s="6"/>
      <c r="Z242" s="4"/>
    </row>
    <row r="243" spans="1:26" x14ac:dyDescent="0.3">
      <c r="H243" s="2"/>
      <c r="I243" s="2"/>
      <c r="J243" s="2"/>
      <c r="K243" s="2"/>
      <c r="L243" s="2"/>
      <c r="M243" s="2"/>
      <c r="N243" s="4"/>
      <c r="O243" s="4"/>
      <c r="P243" s="4"/>
      <c r="Q243" s="4"/>
      <c r="R243" s="4"/>
      <c r="S243" s="4"/>
      <c r="Y243" s="6"/>
      <c r="Z243" s="4"/>
    </row>
    <row r="244" spans="1:26" x14ac:dyDescent="0.3">
      <c r="H244" s="2"/>
      <c r="I244" s="2"/>
      <c r="J244" s="2"/>
      <c r="K244" s="2"/>
      <c r="L244" s="2"/>
      <c r="M244" s="2"/>
      <c r="N244" s="4"/>
      <c r="O244" s="4"/>
      <c r="P244" s="4"/>
      <c r="Q244" s="4"/>
      <c r="R244" s="4"/>
      <c r="S244" s="4"/>
      <c r="Y244" s="6"/>
      <c r="Z244" s="4"/>
    </row>
    <row r="245" spans="1:26" x14ac:dyDescent="0.3">
      <c r="H245" s="2"/>
      <c r="I245" s="2"/>
      <c r="J245" s="2"/>
      <c r="K245" s="2"/>
      <c r="L245" s="2"/>
      <c r="M245" s="2"/>
      <c r="N245" s="4"/>
      <c r="O245" s="4"/>
      <c r="P245" s="4"/>
      <c r="Q245" s="4"/>
      <c r="R245" s="4"/>
      <c r="S245" s="4"/>
      <c r="Y245" s="6"/>
      <c r="Z245" s="4"/>
    </row>
    <row r="246" spans="1:26" x14ac:dyDescent="0.3">
      <c r="H246" s="2"/>
      <c r="I246" s="2"/>
      <c r="J246" s="2"/>
      <c r="K246" s="2"/>
      <c r="L246" s="2"/>
      <c r="M246" s="2"/>
      <c r="N246" s="4"/>
      <c r="O246" s="4"/>
      <c r="P246" s="4"/>
      <c r="Q246" s="4"/>
      <c r="R246" s="4"/>
      <c r="S246" s="4"/>
      <c r="Y246" s="6"/>
      <c r="Z246" s="4"/>
    </row>
    <row r="247" spans="1:26" x14ac:dyDescent="0.3">
      <c r="H247" s="2"/>
      <c r="I247" s="2"/>
      <c r="J247" s="2"/>
      <c r="K247" s="2"/>
      <c r="L247" s="2"/>
      <c r="M247" s="2"/>
      <c r="N247" s="4"/>
      <c r="O247" s="4"/>
      <c r="P247" s="4"/>
      <c r="Q247" s="4"/>
      <c r="R247" s="4"/>
      <c r="S247" s="4"/>
      <c r="Y247" s="6"/>
      <c r="Z247" s="4"/>
    </row>
    <row r="248" spans="1:26" x14ac:dyDescent="0.3">
      <c r="H248" s="2"/>
      <c r="I248" s="2"/>
      <c r="J248" s="2"/>
      <c r="K248" s="2"/>
      <c r="L248" s="2"/>
      <c r="M248" s="2"/>
      <c r="N248" s="4"/>
      <c r="O248" s="4"/>
      <c r="P248" s="4"/>
      <c r="Q248" s="4"/>
      <c r="R248" s="4"/>
      <c r="S248" s="4"/>
      <c r="Y248" s="6"/>
      <c r="Z248" s="4"/>
    </row>
    <row r="249" spans="1:26" x14ac:dyDescent="0.3">
      <c r="H249" s="2"/>
      <c r="I249" s="2"/>
      <c r="J249" s="2"/>
      <c r="K249" s="2"/>
      <c r="L249" s="2"/>
      <c r="M249" s="2"/>
      <c r="N249" s="4"/>
      <c r="O249" s="4"/>
      <c r="P249" s="4"/>
      <c r="Q249" s="4"/>
      <c r="R249" s="4"/>
      <c r="S249" s="4"/>
      <c r="Y249" s="6"/>
      <c r="Z249" s="4"/>
    </row>
    <row r="250" spans="1:26" x14ac:dyDescent="0.3">
      <c r="H250" s="2"/>
      <c r="I250" s="2"/>
      <c r="J250" s="2"/>
      <c r="K250" s="2"/>
      <c r="L250" s="2"/>
      <c r="M250" s="2"/>
      <c r="N250" s="4"/>
      <c r="O250" s="4"/>
      <c r="P250" s="4"/>
      <c r="Q250" s="4"/>
      <c r="R250" s="4"/>
      <c r="S250" s="4"/>
      <c r="Y250" s="6"/>
      <c r="Z250" s="4"/>
    </row>
    <row r="251" spans="1:26" x14ac:dyDescent="0.3">
      <c r="H251" s="2"/>
      <c r="I251" s="2"/>
      <c r="J251" s="2"/>
      <c r="K251" s="2"/>
      <c r="L251" s="2"/>
      <c r="M251" s="2"/>
      <c r="N251" s="4"/>
      <c r="O251" s="4"/>
      <c r="P251" s="4"/>
      <c r="Q251" s="4"/>
      <c r="R251" s="4"/>
      <c r="S251" s="4"/>
      <c r="Y251" s="6"/>
      <c r="Z251" s="4"/>
    </row>
    <row r="252" spans="1:26" x14ac:dyDescent="0.3">
      <c r="H252" s="2"/>
      <c r="I252" s="2"/>
      <c r="J252" s="2"/>
      <c r="K252" s="2"/>
      <c r="L252" s="2"/>
      <c r="M252" s="2"/>
      <c r="N252" s="4"/>
      <c r="O252" s="4"/>
      <c r="P252" s="4"/>
      <c r="Q252" s="4"/>
      <c r="R252" s="4"/>
      <c r="S252" s="4"/>
      <c r="Y252" s="6"/>
      <c r="Z252" s="4"/>
    </row>
    <row r="253" spans="1:26" x14ac:dyDescent="0.3">
      <c r="A253" s="8"/>
      <c r="G253" s="8"/>
      <c r="H253" s="2"/>
      <c r="I253" s="2"/>
      <c r="J253" s="2"/>
      <c r="K253" s="2"/>
      <c r="L253" s="2"/>
      <c r="M253" s="2"/>
      <c r="N253" s="4"/>
      <c r="O253" s="4"/>
      <c r="P253" s="4"/>
      <c r="Q253" s="4"/>
      <c r="R253" s="4"/>
      <c r="S253" s="4"/>
      <c r="Y253" s="6"/>
      <c r="Z253" s="4"/>
    </row>
    <row r="254" spans="1:26" x14ac:dyDescent="0.3">
      <c r="H254" s="2"/>
      <c r="I254" s="2"/>
      <c r="J254" s="2"/>
      <c r="K254" s="2"/>
      <c r="L254" s="2"/>
      <c r="M254" s="2"/>
      <c r="N254" s="4"/>
      <c r="O254" s="4"/>
      <c r="P254" s="4"/>
      <c r="Q254" s="4"/>
      <c r="R254" s="4"/>
      <c r="S254" s="4"/>
      <c r="Y254" s="6"/>
      <c r="Z254" s="4"/>
    </row>
    <row r="255" spans="1:26" x14ac:dyDescent="0.3">
      <c r="H255" s="2"/>
      <c r="I255" s="2"/>
      <c r="J255" s="2"/>
      <c r="K255" s="2"/>
      <c r="L255" s="2"/>
      <c r="M255" s="2"/>
      <c r="N255" s="4"/>
      <c r="O255" s="4"/>
      <c r="P255" s="4"/>
      <c r="Q255" s="4"/>
      <c r="R255" s="4"/>
      <c r="S255" s="4"/>
      <c r="Y255" s="6"/>
      <c r="Z255" s="4"/>
    </row>
    <row r="256" spans="1:26" x14ac:dyDescent="0.3">
      <c r="H256" s="2"/>
      <c r="I256" s="2"/>
      <c r="J256" s="2"/>
      <c r="K256" s="2"/>
      <c r="L256" s="2"/>
      <c r="M256" s="2"/>
      <c r="N256" s="4"/>
      <c r="O256" s="4"/>
      <c r="P256" s="4"/>
      <c r="Q256" s="4"/>
      <c r="R256" s="4"/>
      <c r="S256" s="4"/>
      <c r="Y256" s="6"/>
      <c r="Z256" s="4"/>
    </row>
    <row r="257" spans="8:26" x14ac:dyDescent="0.3">
      <c r="H257" s="2"/>
      <c r="I257" s="2"/>
      <c r="J257" s="2"/>
      <c r="K257" s="2"/>
      <c r="L257" s="2"/>
      <c r="M257" s="2"/>
      <c r="N257" s="4"/>
      <c r="O257" s="4"/>
      <c r="P257" s="4"/>
      <c r="Q257" s="4"/>
      <c r="R257" s="4"/>
      <c r="S257" s="4"/>
      <c r="Y257" s="6"/>
      <c r="Z257" s="4"/>
    </row>
    <row r="258" spans="8:26" x14ac:dyDescent="0.3">
      <c r="H258" s="2"/>
      <c r="I258" s="2"/>
      <c r="J258" s="2"/>
      <c r="K258" s="2"/>
      <c r="L258" s="2"/>
      <c r="M258" s="2"/>
      <c r="N258" s="4"/>
      <c r="O258" s="4"/>
      <c r="P258" s="4"/>
      <c r="Q258" s="4"/>
      <c r="R258" s="4"/>
      <c r="S258" s="4"/>
      <c r="Y258" s="6"/>
      <c r="Z258" s="4"/>
    </row>
    <row r="259" spans="8:26" x14ac:dyDescent="0.3">
      <c r="H259" s="2"/>
      <c r="I259" s="2"/>
      <c r="J259" s="2"/>
      <c r="K259" s="2"/>
      <c r="L259" s="2"/>
      <c r="M259" s="2"/>
      <c r="N259" s="4"/>
      <c r="O259" s="4"/>
      <c r="P259" s="4"/>
      <c r="Q259" s="4"/>
      <c r="R259" s="4"/>
      <c r="S259" s="4"/>
      <c r="Y259" s="6"/>
      <c r="Z259" s="4"/>
    </row>
    <row r="260" spans="8:26" x14ac:dyDescent="0.3">
      <c r="H260" s="2"/>
      <c r="I260" s="2"/>
      <c r="J260" s="2"/>
      <c r="K260" s="2"/>
      <c r="L260" s="2"/>
      <c r="M260" s="2"/>
      <c r="N260" s="4"/>
      <c r="O260" s="4"/>
      <c r="P260" s="4"/>
      <c r="Q260" s="4"/>
      <c r="R260" s="4"/>
      <c r="S260" s="4"/>
      <c r="Y260" s="6"/>
      <c r="Z260" s="4"/>
    </row>
    <row r="261" spans="8:26" x14ac:dyDescent="0.3">
      <c r="H261" s="2"/>
      <c r="I261" s="2"/>
      <c r="J261" s="2"/>
      <c r="K261" s="2"/>
      <c r="L261" s="2"/>
      <c r="M261" s="2"/>
      <c r="N261" s="4"/>
      <c r="O261" s="4"/>
      <c r="P261" s="4"/>
      <c r="Q261" s="4"/>
      <c r="R261" s="4"/>
      <c r="S261" s="4"/>
      <c r="Y261" s="6"/>
      <c r="Z261" s="4"/>
    </row>
    <row r="262" spans="8:26" x14ac:dyDescent="0.3">
      <c r="H262" s="2"/>
      <c r="I262" s="2"/>
      <c r="J262" s="2"/>
      <c r="K262" s="2"/>
      <c r="L262" s="2"/>
      <c r="M262" s="2"/>
      <c r="N262" s="4"/>
      <c r="O262" s="4"/>
      <c r="P262" s="4"/>
      <c r="Q262" s="4"/>
      <c r="R262" s="4"/>
      <c r="S262" s="4"/>
      <c r="Y262" s="6"/>
      <c r="Z262" s="4"/>
    </row>
    <row r="263" spans="8:26" x14ac:dyDescent="0.3">
      <c r="H263" s="2"/>
      <c r="I263" s="2"/>
      <c r="J263" s="2"/>
      <c r="K263" s="2"/>
      <c r="L263" s="2"/>
      <c r="M263" s="2"/>
      <c r="N263" s="4"/>
      <c r="O263" s="4"/>
      <c r="P263" s="4"/>
      <c r="Q263" s="4"/>
      <c r="R263" s="4"/>
      <c r="S263" s="4"/>
      <c r="Y263" s="6"/>
      <c r="Z263" s="4"/>
    </row>
    <row r="264" spans="8:26" x14ac:dyDescent="0.3">
      <c r="H264" s="2"/>
      <c r="I264" s="2"/>
      <c r="J264" s="2"/>
      <c r="K264" s="2"/>
      <c r="L264" s="2"/>
      <c r="M264" s="2"/>
      <c r="N264" s="4"/>
      <c r="O264" s="4"/>
      <c r="P264" s="4"/>
      <c r="Q264" s="4"/>
      <c r="R264" s="4"/>
      <c r="S264" s="4"/>
      <c r="Y264" s="6"/>
      <c r="Z264" s="4"/>
    </row>
    <row r="265" spans="8:26" x14ac:dyDescent="0.3">
      <c r="H265" s="2"/>
      <c r="I265" s="2"/>
      <c r="J265" s="2"/>
      <c r="K265" s="2"/>
      <c r="L265" s="2"/>
      <c r="M265" s="2"/>
      <c r="N265" s="4"/>
      <c r="O265" s="4"/>
      <c r="P265" s="4"/>
      <c r="Q265" s="4"/>
      <c r="R265" s="4"/>
      <c r="S265" s="4"/>
      <c r="Y265" s="6"/>
      <c r="Z265" s="4"/>
    </row>
    <row r="266" spans="8:26" x14ac:dyDescent="0.3">
      <c r="H266" s="2"/>
      <c r="I266" s="2"/>
      <c r="J266" s="2"/>
      <c r="K266" s="2"/>
      <c r="L266" s="2"/>
      <c r="M266" s="2"/>
      <c r="N266" s="4"/>
      <c r="O266" s="4"/>
      <c r="P266" s="4"/>
      <c r="Q266" s="4"/>
      <c r="R266" s="4"/>
      <c r="S266" s="4"/>
      <c r="Y266" s="6"/>
      <c r="Z266" s="4"/>
    </row>
    <row r="267" spans="8:26" x14ac:dyDescent="0.3">
      <c r="H267" s="2"/>
      <c r="I267" s="2"/>
      <c r="J267" s="2"/>
      <c r="K267" s="2"/>
      <c r="L267" s="2"/>
      <c r="M267" s="2"/>
      <c r="N267" s="4"/>
      <c r="O267" s="4"/>
      <c r="P267" s="4"/>
      <c r="Q267" s="4"/>
      <c r="R267" s="4"/>
      <c r="S267" s="4"/>
      <c r="Y267" s="6"/>
      <c r="Z267" s="4"/>
    </row>
    <row r="268" spans="8:26" x14ac:dyDescent="0.3">
      <c r="H268" s="2"/>
      <c r="I268" s="2"/>
      <c r="J268" s="2"/>
      <c r="K268" s="2"/>
      <c r="L268" s="2"/>
      <c r="M268" s="2"/>
      <c r="N268" s="4"/>
      <c r="O268" s="4"/>
      <c r="P268" s="4"/>
      <c r="Q268" s="4"/>
      <c r="R268" s="4"/>
      <c r="S268" s="4"/>
      <c r="Y268" s="6"/>
      <c r="Z268" s="4"/>
    </row>
    <row r="269" spans="8:26" x14ac:dyDescent="0.3">
      <c r="H269" s="2"/>
      <c r="I269" s="2"/>
      <c r="J269" s="2"/>
      <c r="K269" s="2"/>
      <c r="L269" s="2"/>
      <c r="M269" s="2"/>
      <c r="N269" s="4"/>
      <c r="O269" s="4"/>
      <c r="P269" s="4"/>
      <c r="Q269" s="4"/>
      <c r="R269" s="4"/>
      <c r="S269" s="4"/>
      <c r="Y269" s="6"/>
      <c r="Z269" s="4"/>
    </row>
    <row r="270" spans="8:26" x14ac:dyDescent="0.3">
      <c r="H270" s="2"/>
      <c r="I270" s="2"/>
      <c r="J270" s="2"/>
      <c r="K270" s="2"/>
      <c r="L270" s="2"/>
      <c r="M270" s="2"/>
      <c r="N270" s="4"/>
      <c r="O270" s="4"/>
      <c r="P270" s="4"/>
      <c r="Q270" s="4"/>
      <c r="R270" s="4"/>
      <c r="S270" s="4"/>
      <c r="Y270" s="6"/>
      <c r="Z270" s="4"/>
    </row>
    <row r="271" spans="8:26" x14ac:dyDescent="0.3">
      <c r="H271" s="2"/>
      <c r="I271" s="2"/>
      <c r="J271" s="2"/>
      <c r="K271" s="2"/>
      <c r="L271" s="2"/>
      <c r="M271" s="2"/>
      <c r="N271" s="4"/>
      <c r="O271" s="4"/>
      <c r="P271" s="4"/>
      <c r="Q271" s="4"/>
      <c r="R271" s="4"/>
      <c r="S271" s="4"/>
      <c r="Y271" s="6"/>
      <c r="Z271" s="4"/>
    </row>
    <row r="272" spans="8:26" x14ac:dyDescent="0.3">
      <c r="H272" s="2"/>
      <c r="I272" s="2"/>
      <c r="J272" s="2"/>
      <c r="K272" s="2"/>
      <c r="L272" s="2"/>
      <c r="M272" s="2"/>
      <c r="N272" s="4"/>
      <c r="O272" s="4"/>
      <c r="P272" s="4"/>
      <c r="Q272" s="4"/>
      <c r="R272" s="4"/>
      <c r="S272" s="4"/>
      <c r="Y272" s="6"/>
      <c r="Z272" s="4"/>
    </row>
    <row r="273" spans="8:26" x14ac:dyDescent="0.3">
      <c r="H273" s="2"/>
      <c r="I273" s="2"/>
      <c r="J273" s="2"/>
      <c r="K273" s="2"/>
      <c r="L273" s="2"/>
      <c r="M273" s="2"/>
      <c r="N273" s="4"/>
      <c r="O273" s="4"/>
      <c r="P273" s="4"/>
      <c r="Q273" s="4"/>
      <c r="R273" s="4"/>
      <c r="S273" s="4"/>
      <c r="Y273" s="6"/>
      <c r="Z273" s="4"/>
    </row>
    <row r="274" spans="8:26" x14ac:dyDescent="0.3">
      <c r="H274" s="2"/>
      <c r="I274" s="2"/>
      <c r="J274" s="2"/>
      <c r="K274" s="2"/>
      <c r="L274" s="2"/>
      <c r="M274" s="2"/>
      <c r="N274" s="4"/>
      <c r="O274" s="4"/>
      <c r="P274" s="4"/>
      <c r="Q274" s="4"/>
      <c r="R274" s="4"/>
      <c r="S274" s="4"/>
      <c r="Y274" s="6"/>
      <c r="Z274" s="4"/>
    </row>
    <row r="275" spans="8:26" x14ac:dyDescent="0.3">
      <c r="H275" s="2"/>
      <c r="I275" s="2"/>
      <c r="J275" s="2"/>
      <c r="K275" s="2"/>
      <c r="L275" s="2"/>
      <c r="M275" s="2"/>
      <c r="N275" s="4"/>
      <c r="O275" s="4"/>
      <c r="P275" s="4"/>
      <c r="Q275" s="4"/>
      <c r="R275" s="4"/>
      <c r="S275" s="4"/>
      <c r="Y275" s="6"/>
      <c r="Z275" s="4"/>
    </row>
    <row r="276" spans="8:26" x14ac:dyDescent="0.3">
      <c r="H276" s="2"/>
      <c r="I276" s="2"/>
      <c r="J276" s="2"/>
      <c r="K276" s="2"/>
      <c r="L276" s="2"/>
      <c r="M276" s="2"/>
      <c r="N276" s="4"/>
      <c r="O276" s="4"/>
      <c r="P276" s="4"/>
      <c r="Q276" s="4"/>
      <c r="R276" s="4"/>
      <c r="S276" s="4"/>
      <c r="Y276" s="6"/>
      <c r="Z276" s="4"/>
    </row>
    <row r="277" spans="8:26" x14ac:dyDescent="0.3">
      <c r="H277" s="2"/>
      <c r="I277" s="2"/>
      <c r="J277" s="2"/>
      <c r="K277" s="2"/>
      <c r="L277" s="2"/>
      <c r="M277" s="2"/>
      <c r="N277" s="4"/>
      <c r="O277" s="4"/>
      <c r="P277" s="4"/>
      <c r="Q277" s="4"/>
      <c r="R277" s="4"/>
      <c r="S277" s="4"/>
      <c r="Y277" s="6"/>
      <c r="Z277" s="4"/>
    </row>
  </sheetData>
  <autoFilter ref="A2:Z226" xr:uid="{00000000-0001-0000-0000-000000000000}">
    <sortState xmlns:xlrd2="http://schemas.microsoft.com/office/spreadsheetml/2017/richdata2" ref="A3:Z226">
      <sortCondition ref="B2:B226"/>
    </sortState>
  </autoFilter>
  <sortState xmlns:xlrd2="http://schemas.microsoft.com/office/spreadsheetml/2017/richdata2" ref="D3:AB226">
    <sortCondition ref="AA3:AA226"/>
    <sortCondition descending="1" ref="D3:D226"/>
    <sortCondition ref="E3:E226"/>
    <sortCondition ref="H3:H226"/>
  </sortState>
  <dataValidations count="1">
    <dataValidation allowBlank="1" showInputMessage="1" showErrorMessage="1" sqref="E181:F212 E161:E162" xr:uid="{00000000-0002-0000-0000-000000000000}"/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CA2F4-63AA-4EEE-82E7-293F18EC9422}">
  <dimension ref="B2:AF12"/>
  <sheetViews>
    <sheetView topLeftCell="N1" zoomScale="80" zoomScaleNormal="80" workbookViewId="0">
      <selection activeCell="AE8" sqref="AE8"/>
    </sheetView>
  </sheetViews>
  <sheetFormatPr baseColWidth="10" defaultColWidth="11.44140625" defaultRowHeight="13.8" x14ac:dyDescent="0.3"/>
  <cols>
    <col min="1" max="1" width="11.44140625" style="43"/>
    <col min="2" max="2" width="12.5546875" style="44" customWidth="1"/>
    <col min="3" max="3" width="14.6640625" style="43" customWidth="1"/>
    <col min="4" max="4" width="2.6640625" style="43" customWidth="1"/>
    <col min="5" max="5" width="12.5546875" style="44" customWidth="1"/>
    <col min="6" max="6" width="16" style="43" bestFit="1" customWidth="1"/>
    <col min="7" max="7" width="2.6640625" style="43" customWidth="1"/>
    <col min="8" max="8" width="12.5546875" style="44" customWidth="1"/>
    <col min="9" max="9" width="27" style="43" bestFit="1" customWidth="1"/>
    <col min="10" max="10" width="2.6640625" style="43" customWidth="1"/>
    <col min="11" max="11" width="14.33203125" style="44" bestFit="1" customWidth="1"/>
    <col min="12" max="12" width="14.6640625" style="43" customWidth="1"/>
    <col min="13" max="13" width="11.44140625" style="43"/>
    <col min="14" max="14" width="2.6640625" style="43" customWidth="1"/>
    <col min="15" max="15" width="14.33203125" style="44" bestFit="1" customWidth="1"/>
    <col min="16" max="16" width="14.6640625" style="43" customWidth="1"/>
    <col min="17" max="17" width="11.44140625" style="43"/>
    <col min="18" max="18" width="2.6640625" style="43" customWidth="1"/>
    <col min="19" max="19" width="14.33203125" style="44" bestFit="1" customWidth="1"/>
    <col min="20" max="20" width="14.6640625" style="43" customWidth="1"/>
    <col min="21" max="21" width="11.44140625" style="43"/>
    <col min="22" max="22" width="2.6640625" style="43" customWidth="1"/>
    <col min="23" max="23" width="14.33203125" style="44" bestFit="1" customWidth="1"/>
    <col min="24" max="24" width="14.6640625" style="43" customWidth="1"/>
    <col min="25" max="25" width="2.6640625" style="43" customWidth="1"/>
    <col min="26" max="26" width="14.33203125" style="44" bestFit="1" customWidth="1"/>
    <col min="27" max="27" width="14.6640625" style="43" customWidth="1"/>
    <col min="28" max="28" width="11.44140625" style="43"/>
    <col min="29" max="29" width="2.6640625" style="43" customWidth="1"/>
    <col min="30" max="30" width="14.33203125" style="44" bestFit="1" customWidth="1"/>
    <col min="31" max="31" width="14.6640625" style="43" customWidth="1"/>
    <col min="32" max="16384" width="11.44140625" style="43"/>
  </cols>
  <sheetData>
    <row r="2" spans="2:32" ht="55.2" x14ac:dyDescent="0.3">
      <c r="B2" s="67" t="s">
        <v>36</v>
      </c>
      <c r="C2" s="67" t="s">
        <v>45</v>
      </c>
      <c r="E2" s="67" t="s">
        <v>104</v>
      </c>
      <c r="F2" s="67" t="s">
        <v>105</v>
      </c>
      <c r="H2" s="67" t="s">
        <v>103</v>
      </c>
      <c r="I2" s="67" t="s">
        <v>97</v>
      </c>
      <c r="K2" s="67" t="s">
        <v>115</v>
      </c>
      <c r="L2" s="67" t="s">
        <v>102</v>
      </c>
      <c r="M2" s="67" t="s">
        <v>116</v>
      </c>
      <c r="O2" s="67" t="s">
        <v>89</v>
      </c>
      <c r="P2" s="67" t="s">
        <v>99</v>
      </c>
      <c r="Q2" s="67" t="s">
        <v>116</v>
      </c>
      <c r="S2" s="67" t="s">
        <v>117</v>
      </c>
      <c r="T2" s="67" t="s">
        <v>118</v>
      </c>
      <c r="U2" s="67" t="s">
        <v>116</v>
      </c>
      <c r="W2" s="67" t="s">
        <v>129</v>
      </c>
      <c r="X2" s="67" t="s">
        <v>130</v>
      </c>
      <c r="Z2" s="67" t="s">
        <v>123</v>
      </c>
      <c r="AA2" s="67" t="s">
        <v>98</v>
      </c>
      <c r="AB2" s="67" t="s">
        <v>116</v>
      </c>
      <c r="AD2" s="67" t="s">
        <v>125</v>
      </c>
      <c r="AE2" s="67" t="s">
        <v>101</v>
      </c>
      <c r="AF2" s="67" t="s">
        <v>116</v>
      </c>
    </row>
    <row r="3" spans="2:32" x14ac:dyDescent="0.3">
      <c r="B3" s="68">
        <v>0</v>
      </c>
      <c r="C3" s="68" t="s">
        <v>38</v>
      </c>
      <c r="E3" s="68">
        <v>0</v>
      </c>
      <c r="F3" s="68" t="s">
        <v>146</v>
      </c>
      <c r="H3" s="69" t="s">
        <v>106</v>
      </c>
      <c r="I3" s="68" t="s">
        <v>106</v>
      </c>
      <c r="K3" s="69" t="s">
        <v>106</v>
      </c>
      <c r="L3" s="68" t="s">
        <v>106</v>
      </c>
      <c r="M3" s="43">
        <v>0</v>
      </c>
      <c r="O3" s="68" t="s">
        <v>106</v>
      </c>
      <c r="P3" s="68" t="s">
        <v>106</v>
      </c>
      <c r="Q3" s="43">
        <v>0</v>
      </c>
      <c r="S3" s="69" t="s">
        <v>106</v>
      </c>
      <c r="T3" s="68" t="s">
        <v>106</v>
      </c>
      <c r="U3" s="43">
        <v>0</v>
      </c>
      <c r="W3" s="44">
        <v>0</v>
      </c>
      <c r="X3" s="68" t="s">
        <v>166</v>
      </c>
      <c r="Z3" s="69" t="s">
        <v>106</v>
      </c>
      <c r="AA3" s="68" t="s">
        <v>106</v>
      </c>
      <c r="AB3" s="43">
        <v>0</v>
      </c>
      <c r="AD3" s="69" t="s">
        <v>106</v>
      </c>
      <c r="AE3" s="68" t="s">
        <v>106</v>
      </c>
      <c r="AF3" s="43">
        <v>0</v>
      </c>
    </row>
    <row r="4" spans="2:32" x14ac:dyDescent="0.3">
      <c r="B4" s="68">
        <v>90</v>
      </c>
      <c r="C4" s="68" t="s">
        <v>37</v>
      </c>
      <c r="E4" s="68">
        <v>500000</v>
      </c>
      <c r="F4" s="68" t="s">
        <v>147</v>
      </c>
      <c r="H4" s="69">
        <v>-1</v>
      </c>
      <c r="I4" s="68" t="s">
        <v>136</v>
      </c>
      <c r="K4" s="69">
        <v>0</v>
      </c>
      <c r="L4" s="68" t="s">
        <v>159</v>
      </c>
      <c r="M4" s="43">
        <v>30</v>
      </c>
      <c r="O4" s="68">
        <v>0</v>
      </c>
      <c r="P4" s="68" t="s">
        <v>159</v>
      </c>
      <c r="Q4" s="43">
        <v>30</v>
      </c>
      <c r="S4" s="69">
        <v>0</v>
      </c>
      <c r="T4" s="68" t="s">
        <v>159</v>
      </c>
      <c r="U4" s="43">
        <v>0</v>
      </c>
      <c r="W4" s="44">
        <v>60</v>
      </c>
      <c r="X4" s="68" t="s">
        <v>167</v>
      </c>
      <c r="Z4" s="69">
        <v>0</v>
      </c>
      <c r="AA4" s="68" t="s">
        <v>159</v>
      </c>
      <c r="AB4" s="43">
        <v>30</v>
      </c>
      <c r="AD4" s="69">
        <v>0</v>
      </c>
      <c r="AE4" s="68" t="s">
        <v>170</v>
      </c>
      <c r="AF4" s="43">
        <v>30</v>
      </c>
    </row>
    <row r="5" spans="2:32" x14ac:dyDescent="0.3">
      <c r="B5" s="68">
        <v>180</v>
      </c>
      <c r="C5" s="68" t="s">
        <v>39</v>
      </c>
      <c r="E5" s="68">
        <v>1000000</v>
      </c>
      <c r="F5" s="68" t="s">
        <v>148</v>
      </c>
      <c r="H5" s="69">
        <v>-0.49</v>
      </c>
      <c r="I5" s="68" t="s">
        <v>137</v>
      </c>
      <c r="K5" s="69">
        <v>0.31</v>
      </c>
      <c r="L5" s="68" t="s">
        <v>160</v>
      </c>
      <c r="M5" s="43">
        <v>50</v>
      </c>
      <c r="O5" s="68">
        <v>1</v>
      </c>
      <c r="P5" s="68" t="s">
        <v>160</v>
      </c>
      <c r="Q5" s="43">
        <v>50</v>
      </c>
      <c r="S5" s="69">
        <v>0.31</v>
      </c>
      <c r="T5" s="68" t="s">
        <v>160</v>
      </c>
      <c r="U5" s="43">
        <v>30</v>
      </c>
      <c r="W5" s="44">
        <v>81</v>
      </c>
      <c r="X5" s="68" t="s">
        <v>168</v>
      </c>
      <c r="Z5" s="69">
        <v>0.71</v>
      </c>
      <c r="AA5" s="68" t="s">
        <v>160</v>
      </c>
      <c r="AB5" s="43">
        <v>50</v>
      </c>
      <c r="AD5" s="69">
        <v>0.4</v>
      </c>
      <c r="AE5" s="68" t="s">
        <v>171</v>
      </c>
      <c r="AF5" s="43">
        <v>50</v>
      </c>
    </row>
    <row r="6" spans="2:32" x14ac:dyDescent="0.3">
      <c r="B6" s="68">
        <v>360</v>
      </c>
      <c r="C6" s="68" t="s">
        <v>40</v>
      </c>
      <c r="E6" s="68">
        <v>1500000</v>
      </c>
      <c r="F6" s="68" t="s">
        <v>149</v>
      </c>
      <c r="H6" s="69">
        <v>0</v>
      </c>
      <c r="I6" s="68" t="s">
        <v>138</v>
      </c>
      <c r="K6" s="69">
        <v>0.51</v>
      </c>
      <c r="L6" s="68" t="s">
        <v>161</v>
      </c>
      <c r="M6" s="43">
        <v>70</v>
      </c>
      <c r="O6" s="68">
        <v>2</v>
      </c>
      <c r="P6" s="68" t="s">
        <v>161</v>
      </c>
      <c r="Q6" s="43">
        <v>70</v>
      </c>
      <c r="S6" s="69">
        <v>0.51</v>
      </c>
      <c r="T6" s="68" t="s">
        <v>161</v>
      </c>
      <c r="U6" s="43">
        <v>50</v>
      </c>
      <c r="W6" s="44">
        <v>90</v>
      </c>
      <c r="X6" s="68" t="s">
        <v>169</v>
      </c>
      <c r="Z6" s="69">
        <v>0.85</v>
      </c>
      <c r="AA6" s="68" t="s">
        <v>161</v>
      </c>
      <c r="AB6" s="43">
        <v>70</v>
      </c>
      <c r="AD6" s="69">
        <v>0.6</v>
      </c>
      <c r="AE6" s="68" t="s">
        <v>172</v>
      </c>
      <c r="AF6" s="43">
        <v>70</v>
      </c>
    </row>
    <row r="7" spans="2:32" x14ac:dyDescent="0.3">
      <c r="B7" s="68">
        <f>+B6+180</f>
        <v>540</v>
      </c>
      <c r="C7" s="68" t="s">
        <v>41</v>
      </c>
      <c r="E7" s="68">
        <v>2000000</v>
      </c>
      <c r="F7" s="68" t="s">
        <v>150</v>
      </c>
      <c r="H7" s="72">
        <v>1E-3</v>
      </c>
      <c r="I7" s="68" t="s">
        <v>139</v>
      </c>
      <c r="K7" s="69">
        <v>0.7</v>
      </c>
      <c r="L7" s="68" t="s">
        <v>162</v>
      </c>
      <c r="M7" s="43">
        <v>80</v>
      </c>
      <c r="O7" s="68">
        <v>4</v>
      </c>
      <c r="P7" s="68" t="s">
        <v>162</v>
      </c>
      <c r="Q7" s="43">
        <v>80</v>
      </c>
      <c r="S7" s="69">
        <v>0.7</v>
      </c>
      <c r="T7" s="68" t="s">
        <v>162</v>
      </c>
      <c r="U7" s="43">
        <v>70</v>
      </c>
      <c r="X7" s="68"/>
      <c r="Z7" s="69">
        <v>0.9</v>
      </c>
      <c r="AA7" s="68" t="s">
        <v>162</v>
      </c>
      <c r="AB7" s="43">
        <v>80</v>
      </c>
      <c r="AD7" s="69">
        <v>0.8</v>
      </c>
      <c r="AE7" s="68" t="s">
        <v>173</v>
      </c>
      <c r="AF7" s="43">
        <v>80</v>
      </c>
    </row>
    <row r="8" spans="2:32" x14ac:dyDescent="0.3">
      <c r="B8" s="68">
        <f t="shared" ref="B8:B9" si="0">+B7+180</f>
        <v>720</v>
      </c>
      <c r="C8" s="68" t="s">
        <v>42</v>
      </c>
      <c r="E8" s="68">
        <v>10000000</v>
      </c>
      <c r="F8" s="68" t="s">
        <v>151</v>
      </c>
      <c r="H8" s="69">
        <v>0.1</v>
      </c>
      <c r="I8" s="68" t="s">
        <v>140</v>
      </c>
      <c r="K8" s="69">
        <v>0.81</v>
      </c>
      <c r="L8" s="68" t="s">
        <v>163</v>
      </c>
      <c r="M8" s="43">
        <v>90</v>
      </c>
      <c r="O8" s="68">
        <v>6</v>
      </c>
      <c r="P8" s="68" t="s">
        <v>163</v>
      </c>
      <c r="Q8" s="43">
        <v>90</v>
      </c>
      <c r="S8" s="69">
        <v>0.81</v>
      </c>
      <c r="T8" s="68" t="s">
        <v>163</v>
      </c>
      <c r="U8" s="43">
        <v>80</v>
      </c>
      <c r="X8" s="68"/>
      <c r="Z8" s="69">
        <v>0.95</v>
      </c>
      <c r="AA8" s="68" t="s">
        <v>163</v>
      </c>
      <c r="AB8" s="43">
        <v>90</v>
      </c>
      <c r="AD8" s="69">
        <v>0.95</v>
      </c>
      <c r="AE8" s="68" t="s">
        <v>174</v>
      </c>
      <c r="AF8" s="43">
        <v>90</v>
      </c>
    </row>
    <row r="9" spans="2:32" x14ac:dyDescent="0.3">
      <c r="B9" s="68">
        <f t="shared" si="0"/>
        <v>900</v>
      </c>
      <c r="C9" s="68" t="s">
        <v>43</v>
      </c>
      <c r="E9" s="68"/>
      <c r="F9" s="68"/>
      <c r="H9" s="69">
        <v>0.2</v>
      </c>
      <c r="I9" s="68" t="s">
        <v>141</v>
      </c>
      <c r="K9" s="69">
        <v>0.91</v>
      </c>
      <c r="L9" s="68" t="s">
        <v>164</v>
      </c>
      <c r="M9" s="43">
        <v>100</v>
      </c>
      <c r="O9" s="68">
        <v>7</v>
      </c>
      <c r="P9" s="68" t="s">
        <v>164</v>
      </c>
      <c r="Q9" s="43">
        <v>100</v>
      </c>
      <c r="S9" s="69">
        <v>0.91</v>
      </c>
      <c r="T9" s="68" t="s">
        <v>164</v>
      </c>
      <c r="U9" s="43">
        <v>100</v>
      </c>
      <c r="X9" s="68"/>
      <c r="Z9" s="69">
        <v>0.99</v>
      </c>
      <c r="AA9" s="68" t="s">
        <v>164</v>
      </c>
      <c r="AB9" s="43">
        <v>100</v>
      </c>
      <c r="AD9" s="69"/>
      <c r="AE9" s="68"/>
    </row>
    <row r="10" spans="2:32" x14ac:dyDescent="0.3">
      <c r="B10" s="68">
        <v>901</v>
      </c>
      <c r="C10" s="68" t="s">
        <v>44</v>
      </c>
      <c r="E10" s="68"/>
      <c r="F10" s="68"/>
      <c r="H10" s="69">
        <v>0.3</v>
      </c>
      <c r="I10" s="68" t="s">
        <v>142</v>
      </c>
      <c r="K10" s="69">
        <v>1</v>
      </c>
      <c r="L10" s="68" t="s">
        <v>165</v>
      </c>
      <c r="M10" s="43">
        <v>110</v>
      </c>
      <c r="O10" s="68"/>
      <c r="P10" s="68"/>
      <c r="S10" s="69">
        <v>1.1000000000000001</v>
      </c>
      <c r="T10" s="68" t="s">
        <v>165</v>
      </c>
      <c r="U10" s="43">
        <v>110</v>
      </c>
      <c r="X10" s="68"/>
      <c r="Z10" s="69">
        <v>1</v>
      </c>
      <c r="AA10" s="68" t="s">
        <v>165</v>
      </c>
      <c r="AB10" s="43">
        <v>110</v>
      </c>
      <c r="AD10" s="69"/>
      <c r="AE10" s="68"/>
    </row>
    <row r="11" spans="2:32" x14ac:dyDescent="0.3">
      <c r="H11" s="69">
        <v>0.31</v>
      </c>
      <c r="I11" s="68" t="s">
        <v>143</v>
      </c>
    </row>
    <row r="12" spans="2:32" x14ac:dyDescent="0.3">
      <c r="E12" s="68"/>
      <c r="H12" s="71"/>
      <c r="K12" s="71"/>
      <c r="O12" s="68"/>
      <c r="S12" s="69"/>
      <c r="W12" s="75"/>
      <c r="Z12" s="69"/>
      <c r="AD12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F64AD-8E68-4DDB-B20D-3B4B5B28A4A6}">
  <dimension ref="B1:BB226"/>
  <sheetViews>
    <sheetView showGridLines="0" zoomScale="80" zoomScaleNormal="80" workbookViewId="0">
      <pane xSplit="5" ySplit="4" topLeftCell="F5" activePane="bottomRight" state="frozen"/>
      <selection pane="topRight" activeCell="F1" sqref="F1"/>
      <selection pane="bottomLeft" activeCell="A3" sqref="A3"/>
      <selection pane="bottomRight" activeCell="V18" sqref="E18:V18"/>
    </sheetView>
  </sheetViews>
  <sheetFormatPr baseColWidth="10" defaultColWidth="11.44140625" defaultRowHeight="13.8" x14ac:dyDescent="0.3"/>
  <cols>
    <col min="1" max="2" width="11.44140625" style="43"/>
    <col min="3" max="3" width="14" style="43" bestFit="1" customWidth="1"/>
    <col min="4" max="4" width="11.44140625" style="44"/>
    <col min="5" max="5" width="31.109375" style="43" bestFit="1" customWidth="1"/>
    <col min="6" max="9" width="11.44140625" style="43"/>
    <col min="10" max="11" width="11.44140625" style="44"/>
    <col min="12" max="17" width="11.6640625" style="43" bestFit="1" customWidth="1"/>
    <col min="18" max="18" width="11.6640625" style="44" customWidth="1"/>
    <col min="19" max="19" width="11.6640625" style="43" bestFit="1" customWidth="1"/>
    <col min="20" max="20" width="11.6640625" style="45" customWidth="1"/>
    <col min="21" max="21" width="11.6640625" style="43" bestFit="1" customWidth="1"/>
    <col min="22" max="22" width="13.44140625" style="43" customWidth="1"/>
    <col min="23" max="25" width="11.6640625" style="45" customWidth="1"/>
    <col min="26" max="26" width="11.6640625" style="43" bestFit="1" customWidth="1"/>
    <col min="27" max="27" width="11.44140625" style="43"/>
    <col min="28" max="28" width="11.6640625" style="45" customWidth="1"/>
    <col min="29" max="32" width="11.44140625" style="43"/>
    <col min="33" max="33" width="11.6640625" style="45" customWidth="1"/>
    <col min="34" max="34" width="12.109375" style="43" bestFit="1" customWidth="1"/>
    <col min="35" max="35" width="11.44140625" style="43"/>
    <col min="36" max="36" width="11.6640625" style="45" customWidth="1"/>
    <col min="37" max="37" width="12.109375" style="43" bestFit="1" customWidth="1"/>
    <col min="38" max="38" width="14" style="43" bestFit="1" customWidth="1"/>
    <col min="39" max="39" width="19.88671875" style="43" bestFit="1" customWidth="1"/>
    <col min="40" max="40" width="30.109375" style="43" bestFit="1" customWidth="1"/>
    <col min="41" max="42" width="14" style="43" customWidth="1"/>
    <col min="43" max="43" width="14" style="43" bestFit="1" customWidth="1"/>
    <col min="44" max="44" width="14" style="43" customWidth="1"/>
    <col min="45" max="45" width="14" style="43" bestFit="1" customWidth="1"/>
    <col min="46" max="48" width="14" style="43" customWidth="1"/>
    <col min="49" max="49" width="14" style="43" bestFit="1" customWidth="1"/>
    <col min="50" max="50" width="14" style="43" customWidth="1"/>
    <col min="51" max="51" width="14" style="43" bestFit="1" customWidth="1"/>
    <col min="52" max="52" width="14" style="43" customWidth="1"/>
    <col min="53" max="53" width="14" style="43" bestFit="1" customWidth="1"/>
    <col min="54" max="54" width="120.6640625" style="43" bestFit="1" customWidth="1"/>
    <col min="55" max="16384" width="11.44140625" style="43"/>
  </cols>
  <sheetData>
    <row r="1" spans="2:54" x14ac:dyDescent="0.3">
      <c r="AU1" s="71">
        <v>0.5</v>
      </c>
      <c r="AV1" s="71"/>
      <c r="AX1" s="71">
        <v>0.4</v>
      </c>
      <c r="AZ1" s="71">
        <v>0.1</v>
      </c>
      <c r="BA1" s="71">
        <f>AU1+AX1+AZ1</f>
        <v>1</v>
      </c>
    </row>
    <row r="2" spans="2:54" x14ac:dyDescent="0.3">
      <c r="O2" s="82"/>
      <c r="AP2" s="71">
        <v>0.4</v>
      </c>
      <c r="AR2" s="71">
        <v>0.2</v>
      </c>
      <c r="AT2" s="71">
        <v>0.4</v>
      </c>
      <c r="AU2" s="71">
        <f>+AP2+AR2+AT2</f>
        <v>1</v>
      </c>
      <c r="AV2" s="71"/>
      <c r="AX2" s="71">
        <v>1</v>
      </c>
      <c r="AZ2" s="71">
        <v>1</v>
      </c>
    </row>
    <row r="3" spans="2:54" x14ac:dyDescent="0.3">
      <c r="D3" s="43"/>
      <c r="J3" s="43"/>
      <c r="K3" s="43"/>
      <c r="L3" s="44">
        <v>0</v>
      </c>
      <c r="M3" s="44">
        <v>1</v>
      </c>
      <c r="N3" s="44">
        <v>2</v>
      </c>
      <c r="O3" s="44">
        <v>3</v>
      </c>
      <c r="P3" s="44">
        <v>4</v>
      </c>
      <c r="Q3" s="44"/>
      <c r="S3" s="44"/>
      <c r="U3" s="44"/>
      <c r="V3" s="44"/>
      <c r="Z3" s="44"/>
      <c r="AL3" s="70" t="s">
        <v>35</v>
      </c>
      <c r="AM3" s="70" t="s">
        <v>108</v>
      </c>
      <c r="AN3" s="70" t="s">
        <v>109</v>
      </c>
      <c r="AO3" s="70" t="s">
        <v>107</v>
      </c>
      <c r="AP3" s="70" t="s">
        <v>107</v>
      </c>
      <c r="AQ3" s="70" t="s">
        <v>107</v>
      </c>
      <c r="AR3" s="70" t="s">
        <v>107</v>
      </c>
      <c r="AS3" s="70" t="s">
        <v>107</v>
      </c>
      <c r="AT3" s="70" t="s">
        <v>107</v>
      </c>
      <c r="AU3" s="70" t="s">
        <v>107</v>
      </c>
      <c r="AV3" s="70"/>
      <c r="AW3" s="70" t="s">
        <v>110</v>
      </c>
      <c r="AX3" s="70" t="s">
        <v>110</v>
      </c>
      <c r="AY3" s="70" t="s">
        <v>112</v>
      </c>
      <c r="AZ3" s="70" t="s">
        <v>112</v>
      </c>
      <c r="BA3" s="70" t="s">
        <v>127</v>
      </c>
    </row>
    <row r="4" spans="2:54" ht="55.2" x14ac:dyDescent="0.3">
      <c r="B4" s="46" t="s">
        <v>76</v>
      </c>
      <c r="C4" s="46" t="s">
        <v>75</v>
      </c>
      <c r="D4" s="46" t="s">
        <v>1</v>
      </c>
      <c r="E4" s="46" t="s">
        <v>74</v>
      </c>
      <c r="F4" s="46" t="s">
        <v>73</v>
      </c>
      <c r="G4" s="46" t="s">
        <v>157</v>
      </c>
      <c r="H4" s="46" t="s">
        <v>158</v>
      </c>
      <c r="I4" s="46" t="s">
        <v>72</v>
      </c>
      <c r="J4" s="46" t="s">
        <v>70</v>
      </c>
      <c r="K4" s="46" t="s">
        <v>81</v>
      </c>
      <c r="L4" s="46" t="s">
        <v>65</v>
      </c>
      <c r="M4" s="46" t="s">
        <v>66</v>
      </c>
      <c r="N4" s="46" t="s">
        <v>67</v>
      </c>
      <c r="O4" s="46" t="s">
        <v>68</v>
      </c>
      <c r="P4" s="46" t="s">
        <v>69</v>
      </c>
      <c r="Q4" s="62" t="s">
        <v>78</v>
      </c>
      <c r="R4" s="46" t="s">
        <v>79</v>
      </c>
      <c r="S4" s="46" t="s">
        <v>82</v>
      </c>
      <c r="T4" s="60" t="s">
        <v>80</v>
      </c>
      <c r="U4" s="46" t="s">
        <v>4</v>
      </c>
      <c r="V4" s="46" t="s">
        <v>34</v>
      </c>
      <c r="W4" s="47" t="s">
        <v>83</v>
      </c>
      <c r="X4" s="60" t="s">
        <v>84</v>
      </c>
      <c r="Y4" s="60" t="s">
        <v>122</v>
      </c>
      <c r="Z4" s="46" t="s">
        <v>85</v>
      </c>
      <c r="AA4" s="46" t="s">
        <v>86</v>
      </c>
      <c r="AB4" s="60" t="s">
        <v>87</v>
      </c>
      <c r="AC4" s="46" t="s">
        <v>88</v>
      </c>
      <c r="AD4" s="62" t="s">
        <v>90</v>
      </c>
      <c r="AE4" s="46" t="s">
        <v>92</v>
      </c>
      <c r="AF4" s="46" t="s">
        <v>93</v>
      </c>
      <c r="AG4" s="60" t="s">
        <v>91</v>
      </c>
      <c r="AH4" s="46" t="s">
        <v>94</v>
      </c>
      <c r="AI4" s="46" t="s">
        <v>95</v>
      </c>
      <c r="AJ4" s="60" t="s">
        <v>96</v>
      </c>
      <c r="AK4" s="46" t="s">
        <v>114</v>
      </c>
      <c r="AL4" s="46" t="s">
        <v>45</v>
      </c>
      <c r="AM4" s="46" t="s">
        <v>105</v>
      </c>
      <c r="AN4" s="46" t="s">
        <v>97</v>
      </c>
      <c r="AO4" s="46" t="s">
        <v>102</v>
      </c>
      <c r="AP4" s="46" t="s">
        <v>119</v>
      </c>
      <c r="AQ4" s="46" t="s">
        <v>99</v>
      </c>
      <c r="AR4" s="46" t="s">
        <v>120</v>
      </c>
      <c r="AS4" s="46" t="s">
        <v>100</v>
      </c>
      <c r="AT4" s="46" t="s">
        <v>121</v>
      </c>
      <c r="AU4" s="46" t="s">
        <v>111</v>
      </c>
      <c r="AV4" s="46" t="s">
        <v>130</v>
      </c>
      <c r="AW4" s="46" t="s">
        <v>98</v>
      </c>
      <c r="AX4" s="46" t="s">
        <v>124</v>
      </c>
      <c r="AY4" s="46" t="s">
        <v>101</v>
      </c>
      <c r="AZ4" s="46" t="s">
        <v>126</v>
      </c>
      <c r="BA4" s="73" t="s">
        <v>113</v>
      </c>
      <c r="BB4" s="73" t="s">
        <v>128</v>
      </c>
    </row>
    <row r="5" spans="2:54" x14ac:dyDescent="0.3">
      <c r="B5" s="43" t="s">
        <v>199</v>
      </c>
      <c r="C5" s="43" t="s">
        <v>14</v>
      </c>
      <c r="D5" s="43">
        <v>2556</v>
      </c>
      <c r="E5" s="43" t="s">
        <v>188</v>
      </c>
      <c r="F5" s="86">
        <v>44935</v>
      </c>
      <c r="G5" s="50">
        <v>0</v>
      </c>
      <c r="H5" s="50" t="str">
        <f>IF(G5=0,"ACTIVO","BAJA")</f>
        <v>ACTIVO</v>
      </c>
      <c r="I5" s="51" t="str">
        <f>IF(P5=0,"SI","NO")</f>
        <v>NO</v>
      </c>
      <c r="J5" s="44">
        <f>VLOOKUP(E5,'BD Original'!G:L,6,0)</f>
        <v>7</v>
      </c>
      <c r="K5" s="44">
        <f>VLOOKUP(E5,'BD Original'!G:M,7,0)</f>
        <v>9</v>
      </c>
      <c r="L5" s="52">
        <f>IF(VLOOKUP($E5&amp;"|"&amp;$J5+L$3,'BD Original'!$A:$Z,15,0)=0,"",IFERROR(VLOOKUP($E5&amp;"|"&amp;$J5+L$3,'BD Original'!$A:$Z,15,0),""))</f>
        <v>2448151.5100000002</v>
      </c>
      <c r="M5" s="52">
        <f>IFERROR(VLOOKUP($E5&amp;"|"&amp;$J5+M$3,'BD Original'!$A:$Z,15,0),"")</f>
        <v>2504095.98</v>
      </c>
      <c r="N5" s="52">
        <f>IFERROR(VLOOKUP($E5&amp;"|"&amp;$J5+N$3,'BD Original'!$A:$Z,15,0),"")</f>
        <v>2130794.2799999998</v>
      </c>
      <c r="O5" s="52" t="str">
        <f>IFERROR(VLOOKUP($E5&amp;"|"&amp;$J5+O$3,'BD Original'!$A:$Z,15,0),"")</f>
        <v/>
      </c>
      <c r="P5" s="52" t="str">
        <f>IFERROR(VLOOKUP($E5&amp;"|"&amp;$J5+P$3,'BD Original'!$A:$Z,15,0),"")</f>
        <v/>
      </c>
      <c r="Q5" s="63">
        <f>IFERROR(AVERAGE(L5:P5),0)</f>
        <v>2361013.9233333333</v>
      </c>
      <c r="R5" s="53">
        <f>COUNT(L5:P5)</f>
        <v>3</v>
      </c>
      <c r="S5" s="52">
        <f>IFERROR(VLOOKUP($E5&amp;"|"&amp;$J5+(K5-J5),'BD Original'!$A:$Z,15,0),"")</f>
        <v>2130794.2799999998</v>
      </c>
      <c r="T5" s="61">
        <f t="shared" ref="T5:T10" si="0">IFERROR((S5/L5)^(1/(R5-1))-1,"NA")</f>
        <v>-6.7064508275517243E-2</v>
      </c>
      <c r="U5" s="52">
        <f>IFERROR(VLOOKUP($E5&amp;"|"&amp;$J5+(K5-J5),'BD Original'!$A:$Z,16,0),"")</f>
        <v>1982663.2199999997</v>
      </c>
      <c r="V5" s="55">
        <f>SUMIF('BD Original'!G:G,E5,'BD Original'!R:R)</f>
        <v>0</v>
      </c>
      <c r="W5" s="54">
        <f>V5/Q5</f>
        <v>0</v>
      </c>
      <c r="X5" s="61">
        <f t="shared" ref="X5" si="1">W5/R5*12</f>
        <v>0</v>
      </c>
      <c r="Y5" s="61">
        <f>IFERROR(1-((S5-U5)+V5)/(S5+V5),0)</f>
        <v>0.93048082520664543</v>
      </c>
      <c r="Z5" s="52">
        <f>SUMIF('BD Original'!G:G,E5,'BD Original'!T:T)</f>
        <v>2869694.19645744</v>
      </c>
      <c r="AA5" s="52">
        <f>SUMIF('BD Original'!G:G,E5,'BD Original'!U:U)</f>
        <v>3029000.17</v>
      </c>
      <c r="AB5" s="61">
        <f>IFERROR(AA5/Z5,"NA")</f>
        <v>1.0555132228859851</v>
      </c>
      <c r="AC5" s="52">
        <f>SUMIF('BD Original'!G:G,E5,'BD Original'!V:V)</f>
        <v>181</v>
      </c>
      <c r="AD5" s="64">
        <f>IFERROR(AC5/VLOOKUP(E5,'BD Original'!G:I,3,0),0)</f>
        <v>0.77350427350427353</v>
      </c>
      <c r="AE5" s="55">
        <f>SUMIF('BD Original'!G:G,E5,'BD Original'!W:W)</f>
        <v>228</v>
      </c>
      <c r="AF5" s="55">
        <f>SUMIF('BD Original'!G:G,E5,'BD Original'!X:X)</f>
        <v>115</v>
      </c>
      <c r="AG5" s="61">
        <f>IFERROR(SUMIF('BD Original'!G:G,E5,'BD Original'!X:X)/SUMIF('BD Original'!G:G,E5,'BD Original'!W:W),0)</f>
        <v>0.50438596491228072</v>
      </c>
      <c r="AH5" s="55">
        <f>SUMIF('BD Original'!G:G,E5,'BD Original'!Y:Y)</f>
        <v>32578.227728570178</v>
      </c>
      <c r="AI5" s="55">
        <f>SUMIF('BD Original'!G:G,E5,'BD Original'!Z:Z)</f>
        <v>37875</v>
      </c>
      <c r="AJ5" s="61">
        <f>AI5/AH5</f>
        <v>1.1625862620754137</v>
      </c>
      <c r="AK5" s="55">
        <f>IFERROR(((Q5*0.89/12*R5)-(Q5*0.2/12*R5)-(10000*R5-AI5-V5))/R5,0)</f>
        <v>138383.30059166669</v>
      </c>
      <c r="AL5" s="66" t="str">
        <f>VLOOKUP(E5,'BD Original'!G:K,5,0)</f>
        <v>6 a 12 Meses</v>
      </c>
      <c r="AM5" s="66" t="str">
        <f>VLOOKUP(Q5,Etiquetas!E:F,2)</f>
        <v>5 Grande ≤ 2MM</v>
      </c>
      <c r="AN5" s="66" t="str">
        <f>IFERROR(VLOOKUP(T5,Etiquetas!H:I,2),0)</f>
        <v>2 Decrecimiento entre 0.1% y 50%</v>
      </c>
      <c r="AO5" s="66" t="str">
        <f>VLOOKUP(AG5,Etiquetas!K:M,2)</f>
        <v>2 Bajo</v>
      </c>
      <c r="AP5" s="65">
        <f>VLOOKUP(AG5,Etiquetas!K:M,3)</f>
        <v>50</v>
      </c>
      <c r="AQ5" s="48" t="str">
        <f>VLOOKUP(AD5,Etiquetas!O:Q,2)</f>
        <v>1 Bajo Extremo</v>
      </c>
      <c r="AR5" s="65">
        <f>VLOOKUP(AD5,Etiquetas!O:Q,3)</f>
        <v>30</v>
      </c>
      <c r="AS5" s="48" t="str">
        <f>VLOOKUP(AB5,Etiquetas!S:U,2)</f>
        <v>6 Muy Alto</v>
      </c>
      <c r="AT5" s="65">
        <f>VLOOKUP(AB5,Etiquetas!S:U,3)</f>
        <v>100</v>
      </c>
      <c r="AU5" s="65">
        <f>AP5*$AP$2+AR5*$AR$2+AT5*$AT$2</f>
        <v>66</v>
      </c>
      <c r="AV5" s="65" t="str">
        <f>VLOOKUP(AU5,Etiquetas!W:X,2)</f>
        <v>2 Medio Vendedor</v>
      </c>
      <c r="AW5" s="48" t="str">
        <f>VLOOKUP(Y5,Etiquetas!Z:AB,2)</f>
        <v>4 Medio Alto</v>
      </c>
      <c r="AX5" s="65">
        <f>VLOOKUP(Y5,Etiquetas!Z:AB,3)</f>
        <v>80</v>
      </c>
      <c r="AY5" s="48" t="str">
        <f>VLOOKUP(AJ5,Etiquetas!AD:AF,2)</f>
        <v>5 Sobresaliente</v>
      </c>
      <c r="AZ5" s="65">
        <f>VLOOKUP(AJ5,Etiquetas!AD:AF,3)</f>
        <v>90</v>
      </c>
      <c r="BA5" s="74">
        <f>AU5*$AU$1+AX5*$AX$1+AZ5*$AZ$1</f>
        <v>74</v>
      </c>
      <c r="BB5" s="43" t="str">
        <f>"Antiguedad: "&amp;AL5&amp;"|Tamaño Cartera: "&amp;AM5&amp;"|"&amp;AV5&amp;"|Calidad Cartera: "&amp;AW5&amp;"|Alcance Incentivos: "&amp;AY5</f>
        <v>Antiguedad: 6 a 12 Meses|Tamaño Cartera: 5 Grande ≤ 2MM|2 Medio Vendedor|Calidad Cartera: 4 Medio Alto|Alcance Incentivos: 5 Sobresaliente</v>
      </c>
    </row>
    <row r="6" spans="2:54" x14ac:dyDescent="0.3">
      <c r="B6" s="43" t="s">
        <v>199</v>
      </c>
      <c r="C6" s="43" t="s">
        <v>11</v>
      </c>
      <c r="D6" s="43">
        <v>2490</v>
      </c>
      <c r="E6" s="43" t="s">
        <v>191</v>
      </c>
      <c r="F6" s="86">
        <v>44733</v>
      </c>
      <c r="G6" s="50">
        <v>0</v>
      </c>
      <c r="H6" s="50" t="str">
        <f t="shared" ref="H6:H21" si="2">IF(G6=0,"ACTIVO","BAJA")</f>
        <v>ACTIVO</v>
      </c>
      <c r="I6" s="51" t="str">
        <f t="shared" ref="I6:I21" si="3">IF(P6=0,"SI","NO")</f>
        <v>NO</v>
      </c>
      <c r="J6" s="44">
        <f>VLOOKUP(E6,'BD Original'!G:L,6,0)</f>
        <v>14</v>
      </c>
      <c r="K6" s="44">
        <f>VLOOKUP(E6,'BD Original'!G:M,7,0)</f>
        <v>16</v>
      </c>
      <c r="L6" s="52">
        <f>IF(VLOOKUP($E6&amp;"|"&amp;$J6+L$3,'BD Original'!$A:$Z,15,0)=0,"",IFERROR(VLOOKUP($E6&amp;"|"&amp;$J6+L$3,'BD Original'!$A:$Z,15,0),""))</f>
        <v>2894951.8599999989</v>
      </c>
      <c r="M6" s="52">
        <f>IFERROR(VLOOKUP($E6&amp;"|"&amp;$J6+M$3,'BD Original'!$A:$Z,15,0),"")</f>
        <v>3116995.2299999995</v>
      </c>
      <c r="N6" s="52">
        <f>IFERROR(VLOOKUP($E6&amp;"|"&amp;$J6+N$3,'BD Original'!$A:$Z,15,0),"")</f>
        <v>2586577.1499999985</v>
      </c>
      <c r="O6" s="52" t="str">
        <f>IFERROR(VLOOKUP($E6&amp;"|"&amp;$J6+O$3,'BD Original'!$A:$Z,15,0),"")</f>
        <v/>
      </c>
      <c r="P6" s="52" t="str">
        <f>IFERROR(VLOOKUP($E6&amp;"|"&amp;$J6+P$3,'BD Original'!$A:$Z,15,0),"")</f>
        <v/>
      </c>
      <c r="Q6" s="63">
        <f t="shared" ref="Q6:Q21" si="4">IFERROR(AVERAGE(L6:P6),0)</f>
        <v>2866174.7466666657</v>
      </c>
      <c r="R6" s="53">
        <f t="shared" ref="R6:R21" si="5">COUNT(L6:P6)</f>
        <v>3</v>
      </c>
      <c r="S6" s="52">
        <f>IFERROR(VLOOKUP($E6&amp;"|"&amp;$J6+(K6-J6),'BD Original'!$A:$Z,15,0),"")</f>
        <v>2586577.1499999985</v>
      </c>
      <c r="T6" s="61">
        <f t="shared" si="0"/>
        <v>-5.4760100804808309E-2</v>
      </c>
      <c r="U6" s="52">
        <f>IFERROR(VLOOKUP($E6&amp;"|"&amp;$J6+(K6-J6),'BD Original'!$A:$Z,16,0),"")</f>
        <v>2256974.0599999991</v>
      </c>
      <c r="V6" s="55">
        <f>SUMIF('BD Original'!G:G,E6,'BD Original'!R:R)</f>
        <v>0</v>
      </c>
      <c r="W6" s="54">
        <f t="shared" ref="W6:W21" si="6">V6/Q6</f>
        <v>0</v>
      </c>
      <c r="X6" s="61">
        <f>W6/R6*12</f>
        <v>0</v>
      </c>
      <c r="Y6" s="61">
        <f t="shared" ref="Y6:Y21" si="7">IFERROR(1-((S6-U6)+V6)/(S6+V6),0)</f>
        <v>0.87257171509459919</v>
      </c>
      <c r="Z6" s="52">
        <f>SUMIF('BD Original'!G:G,E6,'BD Original'!T:T)</f>
        <v>5292250.3660499994</v>
      </c>
      <c r="AA6" s="52">
        <f>SUMIF('BD Original'!G:G,E6,'BD Original'!U:U)</f>
        <v>3380667.76</v>
      </c>
      <c r="AB6" s="61">
        <f t="shared" ref="AB6:AB21" si="8">IFERROR(AA6/Z6,"NA")</f>
        <v>0.63879588571378265</v>
      </c>
      <c r="AC6" s="52">
        <f>SUMIF('BD Original'!G:G,E6,'BD Original'!V:V)</f>
        <v>144</v>
      </c>
      <c r="AD6" s="64">
        <f>IFERROR(AC6/VLOOKUP(E6,'BD Original'!G:I,3,0),0)</f>
        <v>0.33027522935779818</v>
      </c>
      <c r="AE6" s="55">
        <f>SUMIF('BD Original'!G:G,E6,'BD Original'!W:W)</f>
        <v>381</v>
      </c>
      <c r="AF6" s="55">
        <f>SUMIF('BD Original'!G:G,E6,'BD Original'!X:X)</f>
        <v>193</v>
      </c>
      <c r="AG6" s="61">
        <f>IFERROR(SUMIF('BD Original'!G:G,E6,'BD Original'!X:X)/SUMIF('BD Original'!G:G,E6,'BD Original'!W:W),0)</f>
        <v>0.5065616797900262</v>
      </c>
      <c r="AH6" s="55">
        <f>SUMIF('BD Original'!G:G,E6,'BD Original'!Y:Y)</f>
        <v>85193.031750968497</v>
      </c>
      <c r="AI6" s="55">
        <f>SUMIF('BD Original'!G:G,E6,'BD Original'!Z:Z)</f>
        <v>4350</v>
      </c>
      <c r="AJ6" s="61">
        <f t="shared" ref="AJ6:AJ19" si="9">AI6/AH6</f>
        <v>5.1060514112417979E-2</v>
      </c>
      <c r="AK6" s="55">
        <f t="shared" ref="AK6:AK19" si="10">IFERROR(((Q6*0.89/12*R6)-(Q6*0.2/12*R6)-(10000*R6-AI6-V6))/R6,0)</f>
        <v>156255.04793333326</v>
      </c>
      <c r="AL6" s="66" t="str">
        <f>VLOOKUP(E6,'BD Original'!G:K,5,0)</f>
        <v>1 a 1.5 años</v>
      </c>
      <c r="AM6" s="66" t="str">
        <f>VLOOKUP(Q6,Etiquetas!E:F,2)</f>
        <v>5 Grande ≤ 2MM</v>
      </c>
      <c r="AN6" s="66" t="str">
        <f>IFERROR(VLOOKUP(T6,Etiquetas!H:I,2),0)</f>
        <v>2 Decrecimiento entre 0.1% y 50%</v>
      </c>
      <c r="AO6" s="66" t="str">
        <f>VLOOKUP(AG6,Etiquetas!K:M,2)</f>
        <v>2 Bajo</v>
      </c>
      <c r="AP6" s="65">
        <f>VLOOKUP(AG6,Etiquetas!K:M,3)</f>
        <v>50</v>
      </c>
      <c r="AQ6" s="48" t="str">
        <f>VLOOKUP(AD6,Etiquetas!O:Q,2)</f>
        <v>1 Bajo Extremo</v>
      </c>
      <c r="AR6" s="65">
        <f>VLOOKUP(AD6,Etiquetas!O:Q,3)</f>
        <v>30</v>
      </c>
      <c r="AS6" s="48" t="str">
        <f>VLOOKUP(AB6,Etiquetas!S:U,2)</f>
        <v>3 Medio Bajo</v>
      </c>
      <c r="AT6" s="65">
        <f>VLOOKUP(AB6,Etiquetas!S:U,3)</f>
        <v>50</v>
      </c>
      <c r="AU6" s="65">
        <f t="shared" ref="AU6:AU19" si="11">AP6*$AP$2+AR6*$AR$2+AT6*$AT$2</f>
        <v>46</v>
      </c>
      <c r="AV6" s="65" t="str">
        <f>VLOOKUP(AU6,Etiquetas!W:X,2)</f>
        <v>1 Mal Vendedor</v>
      </c>
      <c r="AW6" s="48" t="str">
        <f>VLOOKUP(Y6,Etiquetas!Z:AB,2)</f>
        <v>3 Medio Bajo</v>
      </c>
      <c r="AX6" s="65">
        <f>VLOOKUP(Y6,Etiquetas!Z:AB,3)</f>
        <v>70</v>
      </c>
      <c r="AY6" s="48" t="str">
        <f>VLOOKUP(AJ6,Etiquetas!AD:AF,2)</f>
        <v>1 Bajo</v>
      </c>
      <c r="AZ6" s="65">
        <f>VLOOKUP(AJ6,Etiquetas!AD:AF,3)</f>
        <v>30</v>
      </c>
      <c r="BA6" s="74">
        <f t="shared" ref="BA6:BA19" si="12">AU6*$AU$1+AX6*$AX$1+AZ6*$AZ$1</f>
        <v>54</v>
      </c>
      <c r="BB6" s="43" t="str">
        <f t="shared" ref="BB6:BB19" si="13">"Antiguedad: "&amp;AL6&amp;"|Tamaño Cartera: "&amp;AM6&amp;"|"&amp;AV6&amp;"|Calidad Cartera: "&amp;AW6&amp;"|Alcance Incentivos: "&amp;AY6</f>
        <v>Antiguedad: 1 a 1.5 años|Tamaño Cartera: 5 Grande ≤ 2MM|1 Mal Vendedor|Calidad Cartera: 3 Medio Bajo|Alcance Incentivos: 1 Bajo</v>
      </c>
    </row>
    <row r="7" spans="2:54" x14ac:dyDescent="0.3">
      <c r="B7" s="43" t="s">
        <v>199</v>
      </c>
      <c r="C7" s="43" t="s">
        <v>12</v>
      </c>
      <c r="D7" s="43">
        <v>2579</v>
      </c>
      <c r="E7" s="43" t="s">
        <v>182</v>
      </c>
      <c r="F7" s="86">
        <v>44987</v>
      </c>
      <c r="G7" s="50">
        <v>0</v>
      </c>
      <c r="H7" s="50" t="str">
        <f t="shared" si="2"/>
        <v>ACTIVO</v>
      </c>
      <c r="I7" s="51" t="str">
        <f t="shared" si="3"/>
        <v>NO</v>
      </c>
      <c r="J7" s="44">
        <f>VLOOKUP(E7,'BD Original'!G:L,6,0)</f>
        <v>6</v>
      </c>
      <c r="K7" s="44">
        <f>VLOOKUP(E7,'BD Original'!G:M,7,0)</f>
        <v>8</v>
      </c>
      <c r="L7" s="52">
        <f>IF(VLOOKUP($E7&amp;"|"&amp;$J7+L$3,'BD Original'!$A:$Z,15,0)=0,"",IFERROR(VLOOKUP($E7&amp;"|"&amp;$J7+L$3,'BD Original'!$A:$Z,15,0),""))</f>
        <v>1127158.6300000004</v>
      </c>
      <c r="M7" s="52">
        <f>IFERROR(VLOOKUP($E7&amp;"|"&amp;$J7+M$3,'BD Original'!$A:$Z,15,0),"")</f>
        <v>1087379.1700000004</v>
      </c>
      <c r="N7" s="52">
        <f>IFERROR(VLOOKUP($E7&amp;"|"&amp;$J7+N$3,'BD Original'!$A:$Z,15,0),"")</f>
        <v>1294155.2</v>
      </c>
      <c r="O7" s="52" t="str">
        <f>IFERROR(VLOOKUP($E7&amp;"|"&amp;$J7+O$3,'BD Original'!$A:$Z,15,0),"")</f>
        <v/>
      </c>
      <c r="P7" s="52" t="str">
        <f>IFERROR(VLOOKUP($E7&amp;"|"&amp;$J7+P$3,'BD Original'!$A:$Z,15,0),"")</f>
        <v/>
      </c>
      <c r="Q7" s="63">
        <f t="shared" si="4"/>
        <v>1169564.3333333337</v>
      </c>
      <c r="R7" s="53">
        <f t="shared" si="5"/>
        <v>3</v>
      </c>
      <c r="S7" s="52">
        <f>IFERROR(VLOOKUP($E7&amp;"|"&amp;$J7+(K7-J7),'BD Original'!$A:$Z,15,0),"")</f>
        <v>1294155.2</v>
      </c>
      <c r="T7" s="61">
        <f t="shared" si="0"/>
        <v>7.1520935081767378E-2</v>
      </c>
      <c r="U7" s="52">
        <f>IFERROR(VLOOKUP($E7&amp;"|"&amp;$J7+(K7-J7),'BD Original'!$A:$Z,16,0),"")</f>
        <v>1184823.3400000001</v>
      </c>
      <c r="V7" s="55">
        <f>SUMIF('BD Original'!G:G,E7,'BD Original'!R:R)</f>
        <v>0</v>
      </c>
      <c r="W7" s="54">
        <f t="shared" si="6"/>
        <v>0</v>
      </c>
      <c r="X7" s="61">
        <f t="shared" ref="X7:X21" si="14">W7/R7*12</f>
        <v>0</v>
      </c>
      <c r="Y7" s="61">
        <f t="shared" si="7"/>
        <v>0.91551874149251966</v>
      </c>
      <c r="Z7" s="52">
        <f>SUMIF('BD Original'!G:G,E7,'BD Original'!T:T)</f>
        <v>2796798.657060042</v>
      </c>
      <c r="AA7" s="52">
        <f>SUMIF('BD Original'!G:G,E7,'BD Original'!U:U)</f>
        <v>1575998.6099999999</v>
      </c>
      <c r="AB7" s="61">
        <f t="shared" si="8"/>
        <v>0.56350091774452904</v>
      </c>
      <c r="AC7" s="52">
        <f>SUMIF('BD Original'!G:G,E7,'BD Original'!V:V)</f>
        <v>129</v>
      </c>
      <c r="AD7" s="64">
        <f>IFERROR(AC7/VLOOKUP(E7,'BD Original'!G:I,3,0),0)</f>
        <v>0.70879120879120883</v>
      </c>
      <c r="AE7" s="55">
        <f>SUMIF('BD Original'!G:G,E7,'BD Original'!W:W)</f>
        <v>140</v>
      </c>
      <c r="AF7" s="55">
        <f>SUMIF('BD Original'!G:G,E7,'BD Original'!X:X)</f>
        <v>69</v>
      </c>
      <c r="AG7" s="61">
        <f>IFERROR(SUMIF('BD Original'!G:G,E7,'BD Original'!X:X)/SUMIF('BD Original'!G:G,E7,'BD Original'!W:W),0)</f>
        <v>0.49285714285714288</v>
      </c>
      <c r="AH7" s="55">
        <f>SUMIF('BD Original'!G:G,E7,'BD Original'!Y:Y)</f>
        <v>88692.199532297891</v>
      </c>
      <c r="AI7" s="55">
        <f>SUMIF('BD Original'!G:G,E7,'BD Original'!Z:Z)</f>
        <v>3150</v>
      </c>
      <c r="AJ7" s="61">
        <f t="shared" si="9"/>
        <v>3.551608841150574E-2</v>
      </c>
      <c r="AK7" s="55">
        <f t="shared" si="10"/>
        <v>58299.949166666695</v>
      </c>
      <c r="AL7" s="66" t="str">
        <f>VLOOKUP(E7,'BD Original'!G:K,5,0)</f>
        <v>6 a 12 Meses</v>
      </c>
      <c r="AM7" s="66" t="str">
        <f>VLOOKUP(Q7,Etiquetas!E:F,2)</f>
        <v>3 Mediana ≥ 1MM</v>
      </c>
      <c r="AN7" s="66" t="str">
        <f>IFERROR(VLOOKUP(T7,Etiquetas!H:I,2),0)</f>
        <v>4 Crecimiento Muy Bajo</v>
      </c>
      <c r="AO7" s="66" t="str">
        <f>VLOOKUP(AG7,Etiquetas!K:M,2)</f>
        <v>2 Bajo</v>
      </c>
      <c r="AP7" s="65">
        <f>VLOOKUP(AG7,Etiquetas!K:M,3)</f>
        <v>50</v>
      </c>
      <c r="AQ7" s="48" t="str">
        <f>VLOOKUP(AD7,Etiquetas!O:Q,2)</f>
        <v>1 Bajo Extremo</v>
      </c>
      <c r="AR7" s="65">
        <f>VLOOKUP(AD7,Etiquetas!O:Q,3)</f>
        <v>30</v>
      </c>
      <c r="AS7" s="48" t="str">
        <f>VLOOKUP(AB7,Etiquetas!S:U,2)</f>
        <v>3 Medio Bajo</v>
      </c>
      <c r="AT7" s="65">
        <f>VLOOKUP(AB7,Etiquetas!S:U,3)</f>
        <v>50</v>
      </c>
      <c r="AU7" s="65">
        <f t="shared" si="11"/>
        <v>46</v>
      </c>
      <c r="AV7" s="65" t="str">
        <f>VLOOKUP(AU7,Etiquetas!W:X,2)</f>
        <v>1 Mal Vendedor</v>
      </c>
      <c r="AW7" s="48" t="str">
        <f>VLOOKUP(Y7,Etiquetas!Z:AB,2)</f>
        <v>4 Medio Alto</v>
      </c>
      <c r="AX7" s="65">
        <f>VLOOKUP(Y7,Etiquetas!Z:AB,3)</f>
        <v>80</v>
      </c>
      <c r="AY7" s="48" t="str">
        <f>VLOOKUP(AJ7,Etiquetas!AD:AF,2)</f>
        <v>1 Bajo</v>
      </c>
      <c r="AZ7" s="65">
        <f>VLOOKUP(AJ7,Etiquetas!AD:AF,3)</f>
        <v>30</v>
      </c>
      <c r="BA7" s="74">
        <f t="shared" si="12"/>
        <v>58</v>
      </c>
      <c r="BB7" s="43" t="str">
        <f t="shared" si="13"/>
        <v>Antiguedad: 6 a 12 Meses|Tamaño Cartera: 3 Mediana ≥ 1MM|1 Mal Vendedor|Calidad Cartera: 4 Medio Alto|Alcance Incentivos: 1 Bajo</v>
      </c>
    </row>
    <row r="8" spans="2:54" x14ac:dyDescent="0.3">
      <c r="B8" s="43" t="s">
        <v>200</v>
      </c>
      <c r="C8" s="43" t="s">
        <v>19</v>
      </c>
      <c r="D8" s="43">
        <v>2563</v>
      </c>
      <c r="E8" s="43" t="s">
        <v>183</v>
      </c>
      <c r="F8" s="86">
        <v>44945</v>
      </c>
      <c r="G8" s="50">
        <v>0</v>
      </c>
      <c r="H8" s="50" t="str">
        <f t="shared" si="2"/>
        <v>ACTIVO</v>
      </c>
      <c r="I8" s="51" t="str">
        <f t="shared" si="3"/>
        <v>NO</v>
      </c>
      <c r="J8" s="44">
        <f>VLOOKUP(E8,'BD Original'!G:L,6,0)</f>
        <v>7</v>
      </c>
      <c r="K8" s="44">
        <f>VLOOKUP(E8,'BD Original'!G:M,7,0)</f>
        <v>9</v>
      </c>
      <c r="L8" s="52">
        <f>IF(VLOOKUP($E8&amp;"|"&amp;$J8+L$3,'BD Original'!$A:$Z,15,0)=0,"",IFERROR(VLOOKUP($E8&amp;"|"&amp;$J8+L$3,'BD Original'!$A:$Z,15,0),""))</f>
        <v>1306513.2</v>
      </c>
      <c r="M8" s="52">
        <f>IFERROR(VLOOKUP($E8&amp;"|"&amp;$J8+M$3,'BD Original'!$A:$Z,15,0),"")</f>
        <v>1459619.3099999998</v>
      </c>
      <c r="N8" s="52">
        <f>IFERROR(VLOOKUP($E8&amp;"|"&amp;$J8+N$3,'BD Original'!$A:$Z,15,0),"")</f>
        <v>1526994.08</v>
      </c>
      <c r="O8" s="52" t="str">
        <f>IFERROR(VLOOKUP($E8&amp;"|"&amp;$J8+O$3,'BD Original'!$A:$Z,15,0),"")</f>
        <v/>
      </c>
      <c r="P8" s="52" t="str">
        <f>IFERROR(VLOOKUP($E8&amp;"|"&amp;$J8+P$3,'BD Original'!$A:$Z,15,0),"")</f>
        <v/>
      </c>
      <c r="Q8" s="63">
        <f t="shared" si="4"/>
        <v>1431042.1966666665</v>
      </c>
      <c r="R8" s="53">
        <f t="shared" si="5"/>
        <v>3</v>
      </c>
      <c r="S8" s="52">
        <f>IFERROR(VLOOKUP($E8&amp;"|"&amp;$J8+(K8-J8),'BD Original'!$A:$Z,15,0),"")</f>
        <v>1526994.08</v>
      </c>
      <c r="T8" s="61">
        <f t="shared" si="0"/>
        <v>8.1089814710835428E-2</v>
      </c>
      <c r="U8" s="52">
        <f>IFERROR(VLOOKUP($E8&amp;"|"&amp;$J8+(K8-J8),'BD Original'!$A:$Z,16,0),"")</f>
        <v>1444958.2500000005</v>
      </c>
      <c r="V8" s="55">
        <f>SUMIF('BD Original'!G:G,E8,'BD Original'!R:R)</f>
        <v>0</v>
      </c>
      <c r="W8" s="54">
        <f t="shared" si="6"/>
        <v>0</v>
      </c>
      <c r="X8" s="61">
        <f t="shared" si="14"/>
        <v>0</v>
      </c>
      <c r="Y8" s="61">
        <f t="shared" si="7"/>
        <v>0.9462762619223779</v>
      </c>
      <c r="Z8" s="52">
        <f>SUMIF('BD Original'!G:G,E8,'BD Original'!T:T)</f>
        <v>1536652.9615499999</v>
      </c>
      <c r="AA8" s="52">
        <f>SUMIF('BD Original'!G:G,E8,'BD Original'!U:U)</f>
        <v>1898998.7199999997</v>
      </c>
      <c r="AB8" s="61">
        <f t="shared" si="8"/>
        <v>1.2358019458632397</v>
      </c>
      <c r="AC8" s="52">
        <f>SUMIF('BD Original'!G:G,E8,'BD Original'!V:V)</f>
        <v>121</v>
      </c>
      <c r="AD8" s="64">
        <f>IFERROR(AC8/VLOOKUP(E8,'BD Original'!G:I,3,0),0)</f>
        <v>0.5401785714285714</v>
      </c>
      <c r="AE8" s="55">
        <f>SUMIF('BD Original'!G:G,E8,'BD Original'!W:W)</f>
        <v>170</v>
      </c>
      <c r="AF8" s="55">
        <f>SUMIF('BD Original'!G:G,E8,'BD Original'!X:X)</f>
        <v>97</v>
      </c>
      <c r="AG8" s="61">
        <f>IFERROR(SUMIF('BD Original'!G:G,E8,'BD Original'!X:X)/SUMIF('BD Original'!G:G,E8,'BD Original'!W:W),0)</f>
        <v>0.57058823529411762</v>
      </c>
      <c r="AH8" s="55">
        <f>SUMIF('BD Original'!G:G,E8,'BD Original'!Y:Y)</f>
        <v>33692.814472241946</v>
      </c>
      <c r="AI8" s="55">
        <f>SUMIF('BD Original'!G:G,E8,'BD Original'!Z:Z)</f>
        <v>32025</v>
      </c>
      <c r="AJ8" s="61">
        <f t="shared" si="9"/>
        <v>0.95049940177553327</v>
      </c>
      <c r="AK8" s="55">
        <f t="shared" si="10"/>
        <v>82959.926308333306</v>
      </c>
      <c r="AL8" s="66" t="str">
        <f>VLOOKUP(E8,'BD Original'!G:K,5,0)</f>
        <v>6 a 12 Meses</v>
      </c>
      <c r="AM8" s="66" t="str">
        <f>VLOOKUP(Q8,Etiquetas!E:F,2)</f>
        <v>3 Mediana ≥ 1MM</v>
      </c>
      <c r="AN8" s="66" t="str">
        <f>IFERROR(VLOOKUP(T8,Etiquetas!H:I,2),0)</f>
        <v>4 Crecimiento Muy Bajo</v>
      </c>
      <c r="AO8" s="66" t="str">
        <f>VLOOKUP(AG8,Etiquetas!K:M,2)</f>
        <v>3 Medio Bajo</v>
      </c>
      <c r="AP8" s="65">
        <f>VLOOKUP(AG8,Etiquetas!K:M,3)</f>
        <v>70</v>
      </c>
      <c r="AQ8" s="48" t="str">
        <f>VLOOKUP(AD8,Etiquetas!O:Q,2)</f>
        <v>1 Bajo Extremo</v>
      </c>
      <c r="AR8" s="65">
        <f>VLOOKUP(AD8,Etiquetas!O:Q,3)</f>
        <v>30</v>
      </c>
      <c r="AS8" s="48" t="str">
        <f>VLOOKUP(AB8,Etiquetas!S:U,2)</f>
        <v>7 Sobresaliente</v>
      </c>
      <c r="AT8" s="65">
        <f>VLOOKUP(AB8,Etiquetas!S:U,3)</f>
        <v>110</v>
      </c>
      <c r="AU8" s="65">
        <f t="shared" si="11"/>
        <v>78</v>
      </c>
      <c r="AV8" s="65" t="str">
        <f>VLOOKUP(AU8,Etiquetas!W:X,2)</f>
        <v>2 Medio Vendedor</v>
      </c>
      <c r="AW8" s="48" t="str">
        <f>VLOOKUP(Y8,Etiquetas!Z:AB,2)</f>
        <v>4 Medio Alto</v>
      </c>
      <c r="AX8" s="65">
        <f>VLOOKUP(Y8,Etiquetas!Z:AB,3)</f>
        <v>80</v>
      </c>
      <c r="AY8" s="48" t="str">
        <f>VLOOKUP(AJ8,Etiquetas!AD:AF,2)</f>
        <v>5 Sobresaliente</v>
      </c>
      <c r="AZ8" s="65">
        <f>VLOOKUP(AJ8,Etiquetas!AD:AF,3)</f>
        <v>90</v>
      </c>
      <c r="BA8" s="74">
        <f t="shared" si="12"/>
        <v>80</v>
      </c>
      <c r="BB8" s="43" t="str">
        <f t="shared" si="13"/>
        <v>Antiguedad: 6 a 12 Meses|Tamaño Cartera: 3 Mediana ≥ 1MM|2 Medio Vendedor|Calidad Cartera: 4 Medio Alto|Alcance Incentivos: 5 Sobresaliente</v>
      </c>
    </row>
    <row r="9" spans="2:54" x14ac:dyDescent="0.3">
      <c r="B9" s="43" t="s">
        <v>200</v>
      </c>
      <c r="C9" s="43" t="s">
        <v>18</v>
      </c>
      <c r="D9" s="43">
        <v>2404</v>
      </c>
      <c r="E9" s="43" t="s">
        <v>189</v>
      </c>
      <c r="F9" s="86">
        <v>44505</v>
      </c>
      <c r="G9" s="50">
        <v>0</v>
      </c>
      <c r="H9" s="50" t="str">
        <f t="shared" si="2"/>
        <v>ACTIVO</v>
      </c>
      <c r="I9" s="51" t="str">
        <f t="shared" si="3"/>
        <v>NO</v>
      </c>
      <c r="J9" s="44">
        <f>VLOOKUP(E9,'BD Original'!G:L,6,0)</f>
        <v>22</v>
      </c>
      <c r="K9" s="44">
        <f>VLOOKUP(E9,'BD Original'!G:M,7,0)</f>
        <v>24</v>
      </c>
      <c r="L9" s="52">
        <f>IF(VLOOKUP($E9&amp;"|"&amp;$J9+L$3,'BD Original'!$A:$Z,15,0)=0,"",IFERROR(VLOOKUP($E9&amp;"|"&amp;$J9+L$3,'BD Original'!$A:$Z,15,0),""))</f>
        <v>1646339.4</v>
      </c>
      <c r="M9" s="52">
        <f>IFERROR(VLOOKUP($E9&amp;"|"&amp;$J9+M$3,'BD Original'!$A:$Z,15,0),"")</f>
        <v>1637685.22</v>
      </c>
      <c r="N9" s="52">
        <f>IFERROR(VLOOKUP($E9&amp;"|"&amp;$J9+N$3,'BD Original'!$A:$Z,15,0),"")</f>
        <v>1482832.4699999995</v>
      </c>
      <c r="O9" s="52" t="str">
        <f>IFERROR(VLOOKUP($E9&amp;"|"&amp;$J9+O$3,'BD Original'!$A:$Z,15,0),"")</f>
        <v/>
      </c>
      <c r="P9" s="52" t="str">
        <f>IFERROR(VLOOKUP($E9&amp;"|"&amp;$J9+P$3,'BD Original'!$A:$Z,15,0),"")</f>
        <v/>
      </c>
      <c r="Q9" s="63">
        <f t="shared" si="4"/>
        <v>1588952.3633333333</v>
      </c>
      <c r="R9" s="53">
        <f t="shared" si="5"/>
        <v>3</v>
      </c>
      <c r="S9" s="52">
        <f>IFERROR(VLOOKUP($E9&amp;"|"&amp;$J9+(K9-J9),'BD Original'!$A:$Z,15,0),"")</f>
        <v>1482832.4699999995</v>
      </c>
      <c r="T9" s="61">
        <f t="shared" si="0"/>
        <v>-5.0955978323345863E-2</v>
      </c>
      <c r="U9" s="52">
        <f>IFERROR(VLOOKUP($E9&amp;"|"&amp;$J9+(K9-J9),'BD Original'!$A:$Z,16,0),"")</f>
        <v>1310912.9699999995</v>
      </c>
      <c r="V9" s="55">
        <f>SUMIF('BD Original'!G:G,E9,'BD Original'!R:R)</f>
        <v>0</v>
      </c>
      <c r="W9" s="54">
        <f t="shared" si="6"/>
        <v>0</v>
      </c>
      <c r="X9" s="61">
        <f t="shared" si="14"/>
        <v>0</v>
      </c>
      <c r="Y9" s="61">
        <f t="shared" si="7"/>
        <v>0.88406006512657487</v>
      </c>
      <c r="Z9" s="52">
        <f>SUMIF('BD Original'!G:G,E9,'BD Original'!T:T)</f>
        <v>3446060.2337999996</v>
      </c>
      <c r="AA9" s="52">
        <f>SUMIF('BD Original'!G:G,E9,'BD Original'!U:U)</f>
        <v>2037149.29</v>
      </c>
      <c r="AB9" s="61">
        <f t="shared" si="8"/>
        <v>0.59115312901934347</v>
      </c>
      <c r="AC9" s="52">
        <f>SUMIF('BD Original'!G:G,E9,'BD Original'!V:V)</f>
        <v>75</v>
      </c>
      <c r="AD9" s="64">
        <f>IFERROR(AC9/VLOOKUP(E9,'BD Original'!G:I,3,0),0)</f>
        <v>0.11295180722891567</v>
      </c>
      <c r="AE9" s="55">
        <f>SUMIF('BD Original'!G:G,E9,'BD Original'!W:W)</f>
        <v>145</v>
      </c>
      <c r="AF9" s="55">
        <f>SUMIF('BD Original'!G:G,E9,'BD Original'!X:X)</f>
        <v>87</v>
      </c>
      <c r="AG9" s="61">
        <f>IFERROR(SUMIF('BD Original'!G:G,E9,'BD Original'!X:X)/SUMIF('BD Original'!G:G,E9,'BD Original'!W:W),0)</f>
        <v>0.6</v>
      </c>
      <c r="AH9" s="55">
        <f>SUMIF('BD Original'!G:G,E9,'BD Original'!Y:Y)</f>
        <v>86243.086761713465</v>
      </c>
      <c r="AI9" s="55">
        <f>SUMIF('BD Original'!G:G,E9,'BD Original'!Z:Z)</f>
        <v>325</v>
      </c>
      <c r="AJ9" s="61">
        <f t="shared" si="9"/>
        <v>3.7684179938731006E-3</v>
      </c>
      <c r="AK9" s="55">
        <f t="shared" si="10"/>
        <v>81473.094225000008</v>
      </c>
      <c r="AL9" s="66" t="str">
        <f>VLOOKUP(E9,'BD Original'!G:K,5,0)</f>
        <v>1.5 a 2 años</v>
      </c>
      <c r="AM9" s="66" t="str">
        <f>VLOOKUP(Q9,Etiquetas!E:F,2)</f>
        <v>4 Grande ≤ 1.5MM</v>
      </c>
      <c r="AN9" s="66" t="str">
        <f>IFERROR(VLOOKUP(T9,Etiquetas!H:I,2),0)</f>
        <v>2 Decrecimiento entre 0.1% y 50%</v>
      </c>
      <c r="AO9" s="66" t="str">
        <f>VLOOKUP(AG9,Etiquetas!K:M,2)</f>
        <v>3 Medio Bajo</v>
      </c>
      <c r="AP9" s="65">
        <f>VLOOKUP(AG9,Etiquetas!K:M,3)</f>
        <v>70</v>
      </c>
      <c r="AQ9" s="48" t="str">
        <f>VLOOKUP(AD9,Etiquetas!O:Q,2)</f>
        <v>1 Bajo Extremo</v>
      </c>
      <c r="AR9" s="65">
        <f>VLOOKUP(AD9,Etiquetas!O:Q,3)</f>
        <v>30</v>
      </c>
      <c r="AS9" s="48" t="str">
        <f>VLOOKUP(AB9,Etiquetas!S:U,2)</f>
        <v>3 Medio Bajo</v>
      </c>
      <c r="AT9" s="65">
        <f>VLOOKUP(AB9,Etiquetas!S:U,3)</f>
        <v>50</v>
      </c>
      <c r="AU9" s="65">
        <f t="shared" si="11"/>
        <v>54</v>
      </c>
      <c r="AV9" s="65" t="str">
        <f>VLOOKUP(AU9,Etiquetas!W:X,2)</f>
        <v>1 Mal Vendedor</v>
      </c>
      <c r="AW9" s="48" t="str">
        <f>VLOOKUP(Y9,Etiquetas!Z:AB,2)</f>
        <v>3 Medio Bajo</v>
      </c>
      <c r="AX9" s="65">
        <f>VLOOKUP(Y9,Etiquetas!Z:AB,3)</f>
        <v>70</v>
      </c>
      <c r="AY9" s="48" t="str">
        <f>VLOOKUP(AJ9,Etiquetas!AD:AF,2)</f>
        <v>1 Bajo</v>
      </c>
      <c r="AZ9" s="65">
        <f>VLOOKUP(AJ9,Etiquetas!AD:AF,3)</f>
        <v>30</v>
      </c>
      <c r="BA9" s="74">
        <f t="shared" si="12"/>
        <v>58</v>
      </c>
      <c r="BB9" s="43" t="str">
        <f t="shared" si="13"/>
        <v>Antiguedad: 1.5 a 2 años|Tamaño Cartera: 4 Grande ≤ 1.5MM|1 Mal Vendedor|Calidad Cartera: 3 Medio Bajo|Alcance Incentivos: 1 Bajo</v>
      </c>
    </row>
    <row r="10" spans="2:54" x14ac:dyDescent="0.3">
      <c r="B10" s="43" t="s">
        <v>200</v>
      </c>
      <c r="C10" s="43" t="s">
        <v>20</v>
      </c>
      <c r="D10" s="43">
        <v>2347</v>
      </c>
      <c r="E10" s="43" t="s">
        <v>184</v>
      </c>
      <c r="F10" s="86">
        <v>44312</v>
      </c>
      <c r="G10" s="50">
        <v>0</v>
      </c>
      <c r="H10" s="50" t="str">
        <f t="shared" si="2"/>
        <v>ACTIVO</v>
      </c>
      <c r="I10" s="51" t="str">
        <f t="shared" si="3"/>
        <v>NO</v>
      </c>
      <c r="J10" s="44">
        <f>VLOOKUP(E10,'BD Original'!G:L,6,0)</f>
        <v>28</v>
      </c>
      <c r="K10" s="44">
        <f>VLOOKUP(E10,'BD Original'!G:M,7,0)</f>
        <v>30</v>
      </c>
      <c r="L10" s="52">
        <f>IF(VLOOKUP($E10&amp;"|"&amp;$J10+L$3,'BD Original'!$A:$Z,15,0)=0,"",IFERROR(VLOOKUP($E10&amp;"|"&amp;$J10+L$3,'BD Original'!$A:$Z,15,0),""))</f>
        <v>3621131.3899999997</v>
      </c>
      <c r="M10" s="52">
        <f>IFERROR(VLOOKUP($E10&amp;"|"&amp;$J10+M$3,'BD Original'!$A:$Z,15,0),"")</f>
        <v>3588821.3699999996</v>
      </c>
      <c r="N10" s="52">
        <f>IFERROR(VLOOKUP($E10&amp;"|"&amp;$J10+N$3,'BD Original'!$A:$Z,15,0),"")</f>
        <v>3532429.3299999996</v>
      </c>
      <c r="O10" s="52" t="str">
        <f>IFERROR(VLOOKUP($E10&amp;"|"&amp;$J10+O$3,'BD Original'!$A:$Z,15,0),"")</f>
        <v/>
      </c>
      <c r="P10" s="52" t="str">
        <f>IFERROR(VLOOKUP($E10&amp;"|"&amp;$J10+P$3,'BD Original'!$A:$Z,15,0),"")</f>
        <v/>
      </c>
      <c r="Q10" s="63">
        <f t="shared" si="4"/>
        <v>3580794.03</v>
      </c>
      <c r="R10" s="53">
        <f t="shared" si="5"/>
        <v>3</v>
      </c>
      <c r="S10" s="52">
        <f>IFERROR(VLOOKUP($E10&amp;"|"&amp;$J10+(K10-J10),'BD Original'!$A:$Z,15,0),"")</f>
        <v>3532429.3299999996</v>
      </c>
      <c r="T10" s="61">
        <f t="shared" si="0"/>
        <v>-1.2323775544701543E-2</v>
      </c>
      <c r="U10" s="52">
        <f>IFERROR(VLOOKUP($E10&amp;"|"&amp;$J10+(K10-J10),'BD Original'!$A:$Z,16,0),"")</f>
        <v>3068087.3299999996</v>
      </c>
      <c r="V10" s="55">
        <f>SUMIF('BD Original'!G:G,E10,'BD Original'!R:R)</f>
        <v>0</v>
      </c>
      <c r="W10" s="54">
        <f t="shared" si="6"/>
        <v>0</v>
      </c>
      <c r="X10" s="61">
        <f t="shared" si="14"/>
        <v>0</v>
      </c>
      <c r="Y10" s="61">
        <f t="shared" si="7"/>
        <v>0.86854882104605324</v>
      </c>
      <c r="Z10" s="52">
        <f>SUMIF('BD Original'!G:G,E10,'BD Original'!T:T)</f>
        <v>5799765.6512100417</v>
      </c>
      <c r="AA10" s="52">
        <f>SUMIF('BD Original'!G:G,E10,'BD Original'!U:U)</f>
        <v>4191000.0000000009</v>
      </c>
      <c r="AB10" s="61">
        <f t="shared" si="8"/>
        <v>0.72261540414578751</v>
      </c>
      <c r="AC10" s="52">
        <f>SUMIF('BD Original'!G:G,E10,'BD Original'!V:V)</f>
        <v>40</v>
      </c>
      <c r="AD10" s="64">
        <f>IFERROR(AC10/VLOOKUP(E10,'BD Original'!G:I,3,0),0)</f>
        <v>4.6674445740956826E-2</v>
      </c>
      <c r="AE10" s="55">
        <f>SUMIF('BD Original'!G:G,E10,'BD Original'!W:W)</f>
        <v>298</v>
      </c>
      <c r="AF10" s="55">
        <f>SUMIF('BD Original'!G:G,E10,'BD Original'!X:X)</f>
        <v>191</v>
      </c>
      <c r="AG10" s="61">
        <f>IFERROR(SUMIF('BD Original'!G:G,E10,'BD Original'!X:X)/SUMIF('BD Original'!G:G,E10,'BD Original'!W:W),0)</f>
        <v>0.64093959731543626</v>
      </c>
      <c r="AH10" s="55">
        <f>SUMIF('BD Original'!G:G,E10,'BD Original'!Y:Y)</f>
        <v>71897.652219734184</v>
      </c>
      <c r="AI10" s="55">
        <f>SUMIF('BD Original'!G:G,E10,'BD Original'!Z:Z)</f>
        <v>3600</v>
      </c>
      <c r="AJ10" s="61">
        <f t="shared" si="9"/>
        <v>5.0071176023907579E-2</v>
      </c>
      <c r="AK10" s="55">
        <f t="shared" si="10"/>
        <v>197095.65672500001</v>
      </c>
      <c r="AL10" s="66" t="str">
        <f>VLOOKUP(E10,'BD Original'!G:K,5,0)</f>
        <v>2 a 2.5 años</v>
      </c>
      <c r="AM10" s="66" t="str">
        <f>VLOOKUP(Q10,Etiquetas!E:F,2)</f>
        <v>5 Grande ≤ 2MM</v>
      </c>
      <c r="AN10" s="66" t="str">
        <f>IFERROR(VLOOKUP(T10,Etiquetas!H:I,2),0)</f>
        <v>2 Decrecimiento entre 0.1% y 50%</v>
      </c>
      <c r="AO10" s="66" t="str">
        <f>VLOOKUP(AG10,Etiquetas!K:M,2)</f>
        <v>3 Medio Bajo</v>
      </c>
      <c r="AP10" s="65">
        <f>VLOOKUP(AG10,Etiquetas!K:M,3)</f>
        <v>70</v>
      </c>
      <c r="AQ10" s="48" t="str">
        <f>VLOOKUP(AD10,Etiquetas!O:Q,2)</f>
        <v>1 Bajo Extremo</v>
      </c>
      <c r="AR10" s="65">
        <f>VLOOKUP(AD10,Etiquetas!O:Q,3)</f>
        <v>30</v>
      </c>
      <c r="AS10" s="48" t="str">
        <f>VLOOKUP(AB10,Etiquetas!S:U,2)</f>
        <v>4 Medio Alto</v>
      </c>
      <c r="AT10" s="65">
        <f>VLOOKUP(AB10,Etiquetas!S:U,3)</f>
        <v>70</v>
      </c>
      <c r="AU10" s="65">
        <f t="shared" si="11"/>
        <v>62</v>
      </c>
      <c r="AV10" s="65" t="str">
        <f>VLOOKUP(AU10,Etiquetas!W:X,2)</f>
        <v>2 Medio Vendedor</v>
      </c>
      <c r="AW10" s="48" t="str">
        <f>VLOOKUP(Y10,Etiquetas!Z:AB,2)</f>
        <v>3 Medio Bajo</v>
      </c>
      <c r="AX10" s="65">
        <f>VLOOKUP(Y10,Etiquetas!Z:AB,3)</f>
        <v>70</v>
      </c>
      <c r="AY10" s="48" t="str">
        <f>VLOOKUP(AJ10,Etiquetas!AD:AF,2)</f>
        <v>1 Bajo</v>
      </c>
      <c r="AZ10" s="65">
        <f>VLOOKUP(AJ10,Etiquetas!AD:AF,3)</f>
        <v>30</v>
      </c>
      <c r="BA10" s="74">
        <f t="shared" si="12"/>
        <v>62</v>
      </c>
      <c r="BB10" s="43" t="str">
        <f t="shared" si="13"/>
        <v>Antiguedad: 2 a 2.5 años|Tamaño Cartera: 5 Grande ≤ 2MM|2 Medio Vendedor|Calidad Cartera: 3 Medio Bajo|Alcance Incentivos: 1 Bajo</v>
      </c>
    </row>
    <row r="11" spans="2:54" x14ac:dyDescent="0.3">
      <c r="B11" s="43" t="s">
        <v>199</v>
      </c>
      <c r="C11" s="43" t="s">
        <v>10</v>
      </c>
      <c r="D11" s="43">
        <v>2089</v>
      </c>
      <c r="E11" s="43" t="s">
        <v>186</v>
      </c>
      <c r="F11" s="86">
        <v>43764</v>
      </c>
      <c r="G11" s="50">
        <v>0</v>
      </c>
      <c r="H11" s="50" t="str">
        <f t="shared" si="2"/>
        <v>ACTIVO</v>
      </c>
      <c r="I11" s="51" t="str">
        <f t="shared" si="3"/>
        <v>NO</v>
      </c>
      <c r="J11" s="44">
        <f>VLOOKUP(E11,'BD Original'!G:L,6,0)</f>
        <v>46</v>
      </c>
      <c r="K11" s="44">
        <f>VLOOKUP(E11,'BD Original'!G:M,7,0)</f>
        <v>48</v>
      </c>
      <c r="L11" s="52">
        <f>IF(VLOOKUP($E11&amp;"|"&amp;$J11+L$3,'BD Original'!$A:$Z,15,0)=0,"",IFERROR(VLOOKUP($E11&amp;"|"&amp;$J11+L$3,'BD Original'!$A:$Z,15,0),""))</f>
        <v>4377684.8500000006</v>
      </c>
      <c r="M11" s="52">
        <f>IFERROR(VLOOKUP($E11&amp;"|"&amp;$J11+M$3,'BD Original'!$A:$Z,15,0),"")</f>
        <v>3929131.7999999989</v>
      </c>
      <c r="N11" s="52">
        <f>IFERROR(VLOOKUP($E11&amp;"|"&amp;$J11+N$3,'BD Original'!$A:$Z,15,0),"")</f>
        <v>4014119.72</v>
      </c>
      <c r="O11" s="52" t="str">
        <f>IFERROR(VLOOKUP($E11&amp;"|"&amp;$J11+O$3,'BD Original'!$A:$Z,15,0),"")</f>
        <v/>
      </c>
      <c r="P11" s="52" t="str">
        <f>IFERROR(VLOOKUP($E11&amp;"|"&amp;$J11+P$3,'BD Original'!$A:$Z,15,0),"")</f>
        <v/>
      </c>
      <c r="Q11" s="63">
        <f t="shared" si="4"/>
        <v>4106978.7899999996</v>
      </c>
      <c r="R11" s="53">
        <f t="shared" si="5"/>
        <v>3</v>
      </c>
      <c r="S11" s="52">
        <f>IFERROR(VLOOKUP($E11&amp;"|"&amp;$J11+(K11-J11),'BD Original'!$A:$Z,15,0),"")</f>
        <v>4014119.72</v>
      </c>
      <c r="T11" s="61">
        <f>IFERROR((S11/L11)^(1/(R11-1))-1,"NA")</f>
        <v>-4.2424747209234503E-2</v>
      </c>
      <c r="U11" s="52">
        <f>IFERROR(VLOOKUP($E11&amp;"|"&amp;$J11+(K11-J11),'BD Original'!$A:$Z,16,0),"")</f>
        <v>3302110.2599999993</v>
      </c>
      <c r="V11" s="55">
        <f>SUMIF('BD Original'!G:G,E11,'BD Original'!R:R)</f>
        <v>0</v>
      </c>
      <c r="W11" s="54">
        <f t="shared" si="6"/>
        <v>0</v>
      </c>
      <c r="X11" s="61">
        <f t="shared" si="14"/>
        <v>0</v>
      </c>
      <c r="Y11" s="61">
        <f t="shared" si="7"/>
        <v>0.82262376070836252</v>
      </c>
      <c r="Z11" s="52">
        <f>SUMIF('BD Original'!G:G,E11,'BD Original'!T:T)</f>
        <v>4954571.8553999998</v>
      </c>
      <c r="AA11" s="52">
        <f>SUMIF('BD Original'!G:G,E11,'BD Original'!U:U)</f>
        <v>3661502.9000000013</v>
      </c>
      <c r="AB11" s="61">
        <f t="shared" si="8"/>
        <v>0.73901499602015475</v>
      </c>
      <c r="AC11" s="52">
        <f>SUMIF('BD Original'!G:G,E11,'BD Original'!V:V)</f>
        <v>185</v>
      </c>
      <c r="AD11" s="64">
        <f>IFERROR(AC11/VLOOKUP(E11,'BD Original'!G:I,3,0),0)</f>
        <v>0.13167259786476868</v>
      </c>
      <c r="AE11" s="55">
        <f>SUMIF('BD Original'!G:G,E11,'BD Original'!W:W)</f>
        <v>658</v>
      </c>
      <c r="AF11" s="55">
        <f>SUMIF('BD Original'!G:G,E11,'BD Original'!X:X)</f>
        <v>320</v>
      </c>
      <c r="AG11" s="61">
        <f>IFERROR(SUMIF('BD Original'!G:G,E11,'BD Original'!X:X)/SUMIF('BD Original'!G:G,E11,'BD Original'!W:W),0)</f>
        <v>0.48632218844984804</v>
      </c>
      <c r="AH11" s="55">
        <f>SUMIF('BD Original'!G:G,E11,'BD Original'!Y:Y)</f>
        <v>47951.789006872394</v>
      </c>
      <c r="AI11" s="55">
        <f>SUMIF('BD Original'!G:G,E11,'BD Original'!Z:Z)</f>
        <v>0</v>
      </c>
      <c r="AJ11" s="61">
        <f t="shared" si="9"/>
        <v>0</v>
      </c>
      <c r="AK11" s="55">
        <f t="shared" si="10"/>
        <v>226151.28042499998</v>
      </c>
      <c r="AL11" s="66" t="str">
        <f>VLOOKUP(E11,'BD Original'!G:K,5,0)</f>
        <v>Mas de 3 años</v>
      </c>
      <c r="AM11" s="66" t="str">
        <f>VLOOKUP(Q11,Etiquetas!E:F,2)</f>
        <v>5 Grande ≤ 2MM</v>
      </c>
      <c r="AN11" s="66" t="str">
        <f>IFERROR(VLOOKUP(T11,Etiquetas!H:I,2),0)</f>
        <v>2 Decrecimiento entre 0.1% y 50%</v>
      </c>
      <c r="AO11" s="66" t="str">
        <f>VLOOKUP(AG11,Etiquetas!K:M,2)</f>
        <v>2 Bajo</v>
      </c>
      <c r="AP11" s="65">
        <f>VLOOKUP(AG11,Etiquetas!K:M,3)</f>
        <v>50</v>
      </c>
      <c r="AQ11" s="48" t="str">
        <f>VLOOKUP(AD11,Etiquetas!O:Q,2)</f>
        <v>1 Bajo Extremo</v>
      </c>
      <c r="AR11" s="65">
        <f>VLOOKUP(AD11,Etiquetas!O:Q,3)</f>
        <v>30</v>
      </c>
      <c r="AS11" s="48" t="str">
        <f>VLOOKUP(AB11,Etiquetas!S:U,2)</f>
        <v>4 Medio Alto</v>
      </c>
      <c r="AT11" s="65">
        <f>VLOOKUP(AB11,Etiquetas!S:U,3)</f>
        <v>70</v>
      </c>
      <c r="AU11" s="65">
        <f t="shared" si="11"/>
        <v>54</v>
      </c>
      <c r="AV11" s="65" t="str">
        <f>VLOOKUP(AU11,Etiquetas!W:X,2)</f>
        <v>1 Mal Vendedor</v>
      </c>
      <c r="AW11" s="48" t="str">
        <f>VLOOKUP(Y11,Etiquetas!Z:AB,2)</f>
        <v>2 Bajo</v>
      </c>
      <c r="AX11" s="65">
        <f>VLOOKUP(Y11,Etiquetas!Z:AB,3)</f>
        <v>50</v>
      </c>
      <c r="AY11" s="48" t="str">
        <f>VLOOKUP(AJ11,Etiquetas!AD:AF,2)</f>
        <v>1 Bajo</v>
      </c>
      <c r="AZ11" s="65">
        <f>VLOOKUP(AJ11,Etiquetas!AD:AF,3)</f>
        <v>30</v>
      </c>
      <c r="BA11" s="74">
        <f t="shared" si="12"/>
        <v>50</v>
      </c>
      <c r="BB11" s="43" t="str">
        <f t="shared" si="13"/>
        <v>Antiguedad: Mas de 3 años|Tamaño Cartera: 5 Grande ≤ 2MM|1 Mal Vendedor|Calidad Cartera: 2 Bajo|Alcance Incentivos: 1 Bajo</v>
      </c>
    </row>
    <row r="12" spans="2:54" x14ac:dyDescent="0.3">
      <c r="B12" s="43" t="s">
        <v>200</v>
      </c>
      <c r="C12" s="43" t="s">
        <v>22</v>
      </c>
      <c r="D12" s="43">
        <v>2661</v>
      </c>
      <c r="E12" s="43" t="s">
        <v>194</v>
      </c>
      <c r="F12" s="86">
        <v>45208</v>
      </c>
      <c r="G12" s="50">
        <v>0</v>
      </c>
      <c r="H12" s="50" t="str">
        <f t="shared" si="2"/>
        <v>ACTIVO</v>
      </c>
      <c r="I12" s="51" t="str">
        <f t="shared" si="3"/>
        <v>NO</v>
      </c>
      <c r="J12" s="44">
        <f>VLOOKUP(E12,'BD Original'!G:L,6,0)</f>
        <v>0</v>
      </c>
      <c r="K12" s="44">
        <f>VLOOKUP(E12,'BD Original'!G:M,7,0)</f>
        <v>0</v>
      </c>
      <c r="L12" s="52">
        <f>IF(VLOOKUP($E12&amp;"|"&amp;$J12+L$3,'BD Original'!$A:$Z,15,0)=0,"",IFERROR(VLOOKUP($E12&amp;"|"&amp;$J12+L$3,'BD Original'!$A:$Z,15,0),""))</f>
        <v>2718305.42</v>
      </c>
      <c r="M12" s="52" t="str">
        <f>IFERROR(VLOOKUP($E12&amp;"|"&amp;$J12+M$3,'BD Original'!$A:$Z,15,0),"")</f>
        <v/>
      </c>
      <c r="N12" s="52" t="str">
        <f>IFERROR(VLOOKUP($E12&amp;"|"&amp;$J12+N$3,'BD Original'!$A:$Z,15,0),"")</f>
        <v/>
      </c>
      <c r="O12" s="52" t="str">
        <f>IFERROR(VLOOKUP($E12&amp;"|"&amp;$J12+O$3,'BD Original'!$A:$Z,15,0),"")</f>
        <v/>
      </c>
      <c r="P12" s="52" t="str">
        <f>IFERROR(VLOOKUP($E12&amp;"|"&amp;$J12+P$3,'BD Original'!$A:$Z,15,0),"")</f>
        <v/>
      </c>
      <c r="Q12" s="63">
        <f t="shared" si="4"/>
        <v>2718305.42</v>
      </c>
      <c r="R12" s="53">
        <f t="shared" si="5"/>
        <v>1</v>
      </c>
      <c r="S12" s="52">
        <f>IFERROR(VLOOKUP($E12&amp;"|"&amp;$J12+(K12-J12),'BD Original'!$A:$Z,15,0),"")</f>
        <v>2718305.42</v>
      </c>
      <c r="T12" s="61" t="str">
        <f t="shared" ref="T12:T21" si="15">IFERROR((S12/L12)^(1/(R12-1))-1,"NA")</f>
        <v>NA</v>
      </c>
      <c r="U12" s="52">
        <f>IFERROR(VLOOKUP($E12&amp;"|"&amp;$J12+(K12-J12),'BD Original'!$A:$Z,16,0),"")</f>
        <v>1740873.9899999998</v>
      </c>
      <c r="V12" s="55">
        <f>SUMIF('BD Original'!G:G,E12,'BD Original'!R:R)</f>
        <v>0</v>
      </c>
      <c r="W12" s="54">
        <f t="shared" si="6"/>
        <v>0</v>
      </c>
      <c r="X12" s="61">
        <f t="shared" si="14"/>
        <v>0</v>
      </c>
      <c r="Y12" s="61">
        <f t="shared" si="7"/>
        <v>0.64042619243278409</v>
      </c>
      <c r="Z12" s="52">
        <f>SUMIF('BD Original'!G:G,E12,'BD Original'!T:T)</f>
        <v>1718260.7441499999</v>
      </c>
      <c r="AA12" s="52">
        <f>SUMIF('BD Original'!G:G,E12,'BD Original'!U:U)</f>
        <v>859000.76000000013</v>
      </c>
      <c r="AB12" s="61">
        <f t="shared" si="8"/>
        <v>0.49992456786582529</v>
      </c>
      <c r="AC12" s="52">
        <f>SUMIF('BD Original'!G:G,E12,'BD Original'!V:V)</f>
        <v>60</v>
      </c>
      <c r="AD12" s="64">
        <f>IFERROR(AC12/VLOOKUP(E12,'BD Original'!G:I,3,0),0)</f>
        <v>2.7272727272727271</v>
      </c>
      <c r="AE12" s="55">
        <f>SUMIF('BD Original'!G:G,E12,'BD Original'!W:W)</f>
        <v>138</v>
      </c>
      <c r="AF12" s="55">
        <f>SUMIF('BD Original'!G:G,E12,'BD Original'!X:X)</f>
        <v>29</v>
      </c>
      <c r="AG12" s="61">
        <f>IFERROR(SUMIF('BD Original'!G:G,E12,'BD Original'!X:X)/SUMIF('BD Original'!G:G,E12,'BD Original'!W:W),0)</f>
        <v>0.21014492753623187</v>
      </c>
      <c r="AH12" s="55">
        <f>SUMIF('BD Original'!G:G,E12,'BD Original'!Y:Y)</f>
        <v>44678.633917645457</v>
      </c>
      <c r="AI12" s="55">
        <f>SUMIF('BD Original'!G:G,E12,'BD Original'!Z:Z)</f>
        <v>1500</v>
      </c>
      <c r="AJ12" s="61">
        <f t="shared" si="9"/>
        <v>3.3573094530260188E-2</v>
      </c>
      <c r="AK12" s="55">
        <f t="shared" si="10"/>
        <v>147802.56164999999</v>
      </c>
      <c r="AL12" s="66" t="str">
        <f>VLOOKUP(E12,'BD Original'!G:K,5,0)</f>
        <v>&lt; 3 Meses</v>
      </c>
      <c r="AM12" s="66" t="str">
        <f>VLOOKUP(Q12,Etiquetas!E:F,2)</f>
        <v>5 Grande ≤ 2MM</v>
      </c>
      <c r="AN12" s="66" t="str">
        <f>IFERROR(VLOOKUP(T12,Etiquetas!H:I,2),0)</f>
        <v>NA</v>
      </c>
      <c r="AO12" s="66" t="str">
        <f>VLOOKUP(AG12,Etiquetas!K:M,2)</f>
        <v>1 Bajo Extremo</v>
      </c>
      <c r="AP12" s="65">
        <f>VLOOKUP(AG12,Etiquetas!K:M,3)</f>
        <v>30</v>
      </c>
      <c r="AQ12" s="48" t="str">
        <f>VLOOKUP(AD12,Etiquetas!O:Q,2)</f>
        <v>3 Medio Bajo</v>
      </c>
      <c r="AR12" s="65">
        <f>VLOOKUP(AD12,Etiquetas!O:Q,3)</f>
        <v>70</v>
      </c>
      <c r="AS12" s="48" t="str">
        <f>VLOOKUP(AB12,Etiquetas!S:U,2)</f>
        <v>2 Bajo</v>
      </c>
      <c r="AT12" s="65">
        <f>VLOOKUP(AB12,Etiquetas!S:U,3)</f>
        <v>30</v>
      </c>
      <c r="AU12" s="65">
        <f t="shared" si="11"/>
        <v>38</v>
      </c>
      <c r="AV12" s="65" t="str">
        <f>VLOOKUP(AU12,Etiquetas!W:X,2)</f>
        <v>1 Mal Vendedor</v>
      </c>
      <c r="AW12" s="48" t="str">
        <f>VLOOKUP(Y12,Etiquetas!Z:AB,2)</f>
        <v>1 Bajo Extremo</v>
      </c>
      <c r="AX12" s="65">
        <f>VLOOKUP(Y12,Etiquetas!Z:AB,3)</f>
        <v>30</v>
      </c>
      <c r="AY12" s="48" t="str">
        <f>VLOOKUP(AJ12,Etiquetas!AD:AF,2)</f>
        <v>1 Bajo</v>
      </c>
      <c r="AZ12" s="65">
        <f>VLOOKUP(AJ12,Etiquetas!AD:AF,3)</f>
        <v>30</v>
      </c>
      <c r="BA12" s="74">
        <f t="shared" si="12"/>
        <v>34</v>
      </c>
      <c r="BB12" s="43" t="str">
        <f t="shared" si="13"/>
        <v>Antiguedad: &lt; 3 Meses|Tamaño Cartera: 5 Grande ≤ 2MM|1 Mal Vendedor|Calidad Cartera: 1 Bajo Extremo|Alcance Incentivos: 1 Bajo</v>
      </c>
    </row>
    <row r="13" spans="2:54" x14ac:dyDescent="0.3">
      <c r="B13" s="43" t="s">
        <v>23</v>
      </c>
      <c r="C13" s="43" t="s">
        <v>26</v>
      </c>
      <c r="D13" s="43">
        <v>2630</v>
      </c>
      <c r="E13" s="43" t="s">
        <v>190</v>
      </c>
      <c r="F13" s="86">
        <v>45131</v>
      </c>
      <c r="G13" s="50">
        <v>0</v>
      </c>
      <c r="H13" s="50" t="str">
        <f t="shared" si="2"/>
        <v>ACTIVO</v>
      </c>
      <c r="I13" s="51" t="str">
        <f t="shared" si="3"/>
        <v>NO</v>
      </c>
      <c r="J13" s="44">
        <f>VLOOKUP(E13,'BD Original'!G:L,6,0)</f>
        <v>1</v>
      </c>
      <c r="K13" s="44">
        <f>VLOOKUP(E13,'BD Original'!G:M,7,0)</f>
        <v>3</v>
      </c>
      <c r="L13" s="52">
        <f>IF(VLOOKUP($E13&amp;"|"&amp;$J13+L$3,'BD Original'!$A:$Z,15,0)=0,"",IFERROR(VLOOKUP($E13&amp;"|"&amp;$J13+L$3,'BD Original'!$A:$Z,15,0),""))</f>
        <v>1269951.3200000005</v>
      </c>
      <c r="M13" s="52">
        <f>IFERROR(VLOOKUP($E13&amp;"|"&amp;$J13+M$3,'BD Original'!$A:$Z,15,0),"")</f>
        <v>1019098.6300000001</v>
      </c>
      <c r="N13" s="52">
        <f>IFERROR(VLOOKUP($E13&amp;"|"&amp;$J13+N$3,'BD Original'!$A:$Z,15,0),"")</f>
        <v>853080.45000000007</v>
      </c>
      <c r="O13" s="52" t="str">
        <f>IFERROR(VLOOKUP($E13&amp;"|"&amp;$J13+O$3,'BD Original'!$A:$Z,15,0),"")</f>
        <v/>
      </c>
      <c r="P13" s="52" t="str">
        <f>IFERROR(VLOOKUP($E13&amp;"|"&amp;$J13+P$3,'BD Original'!$A:$Z,15,0),"")</f>
        <v/>
      </c>
      <c r="Q13" s="63">
        <f t="shared" si="4"/>
        <v>1047376.8000000003</v>
      </c>
      <c r="R13" s="53">
        <f t="shared" si="5"/>
        <v>3</v>
      </c>
      <c r="S13" s="52">
        <f>IFERROR(VLOOKUP($E13&amp;"|"&amp;$J13+(K13-J13),'BD Original'!$A:$Z,15,0),"")</f>
        <v>853080.45000000007</v>
      </c>
      <c r="T13" s="61">
        <f t="shared" si="15"/>
        <v>-0.18040092841979305</v>
      </c>
      <c r="U13" s="52">
        <f>IFERROR(VLOOKUP($E13&amp;"|"&amp;$J13+(K13-J13),'BD Original'!$A:$Z,16,0),"")</f>
        <v>174263.79</v>
      </c>
      <c r="V13" s="55">
        <f>SUMIF('BD Original'!G:G,E13,'BD Original'!R:R)</f>
        <v>0</v>
      </c>
      <c r="W13" s="54">
        <f t="shared" si="6"/>
        <v>0</v>
      </c>
      <c r="X13" s="61">
        <f t="shared" si="14"/>
        <v>0</v>
      </c>
      <c r="Y13" s="61">
        <f t="shared" si="7"/>
        <v>0.20427591559506497</v>
      </c>
      <c r="Z13" s="52">
        <f>SUMIF('BD Original'!G:G,E13,'BD Original'!T:T)</f>
        <v>786970.89804999996</v>
      </c>
      <c r="AA13" s="52">
        <f>SUMIF('BD Original'!G:G,E13,'BD Original'!U:U)</f>
        <v>222000</v>
      </c>
      <c r="AB13" s="61">
        <f t="shared" si="8"/>
        <v>0.28209429414745052</v>
      </c>
      <c r="AC13" s="52">
        <f>SUMIF('BD Original'!G:G,E13,'BD Original'!V:V)</f>
        <v>8</v>
      </c>
      <c r="AD13" s="64">
        <f>IFERROR(AC13/VLOOKUP(E13,'BD Original'!G:I,3,0),0)</f>
        <v>0.21052631578947367</v>
      </c>
      <c r="AE13" s="55">
        <f>SUMIF('BD Original'!G:G,E13,'BD Original'!W:W)</f>
        <v>205</v>
      </c>
      <c r="AF13" s="55">
        <f>SUMIF('BD Original'!G:G,E13,'BD Original'!X:X)</f>
        <v>24</v>
      </c>
      <c r="AG13" s="61">
        <f>IFERROR(SUMIF('BD Original'!G:G,E13,'BD Original'!X:X)/SUMIF('BD Original'!G:G,E13,'BD Original'!W:W),0)</f>
        <v>0.11707317073170732</v>
      </c>
      <c r="AH13" s="55">
        <f>SUMIF('BD Original'!G:G,E13,'BD Original'!Y:Y)</f>
        <v>37954.648507667196</v>
      </c>
      <c r="AI13" s="55">
        <f>SUMIF('BD Original'!G:G,E13,'BD Original'!Z:Z)</f>
        <v>1150</v>
      </c>
      <c r="AJ13" s="61">
        <f t="shared" si="9"/>
        <v>3.0299318929740297E-2</v>
      </c>
      <c r="AK13" s="55">
        <f t="shared" si="10"/>
        <v>50607.499333333348</v>
      </c>
      <c r="AL13" s="66" t="str">
        <f>VLOOKUP(E13,'BD Original'!G:K,5,0)</f>
        <v>&lt; 3 Meses</v>
      </c>
      <c r="AM13" s="66" t="str">
        <f>VLOOKUP(Q13,Etiquetas!E:F,2)</f>
        <v>3 Mediana ≥ 1MM</v>
      </c>
      <c r="AN13" s="66" t="str">
        <f>IFERROR(VLOOKUP(T13,Etiquetas!H:I,2),0)</f>
        <v>2 Decrecimiento entre 0.1% y 50%</v>
      </c>
      <c r="AO13" s="66" t="str">
        <f>VLOOKUP(AG13,Etiquetas!K:M,2)</f>
        <v>1 Bajo Extremo</v>
      </c>
      <c r="AP13" s="65">
        <f>VLOOKUP(AG13,Etiquetas!K:M,3)</f>
        <v>30</v>
      </c>
      <c r="AQ13" s="48" t="str">
        <f>VLOOKUP(AD13,Etiquetas!O:Q,2)</f>
        <v>1 Bajo Extremo</v>
      </c>
      <c r="AR13" s="65">
        <f>VLOOKUP(AD13,Etiquetas!O:Q,3)</f>
        <v>30</v>
      </c>
      <c r="AS13" s="48" t="str">
        <f>VLOOKUP(AB13,Etiquetas!S:U,2)</f>
        <v>1 Bajo Extremo</v>
      </c>
      <c r="AT13" s="65">
        <f>VLOOKUP(AB13,Etiquetas!S:U,3)</f>
        <v>0</v>
      </c>
      <c r="AU13" s="65">
        <f t="shared" si="11"/>
        <v>18</v>
      </c>
      <c r="AV13" s="65" t="str">
        <f>VLOOKUP(AU13,Etiquetas!W:X,2)</f>
        <v>1 Mal Vendedor</v>
      </c>
      <c r="AW13" s="48" t="str">
        <f>VLOOKUP(Y13,Etiquetas!Z:AB,2)</f>
        <v>1 Bajo Extremo</v>
      </c>
      <c r="AX13" s="65">
        <f>VLOOKUP(Y13,Etiquetas!Z:AB,3)</f>
        <v>30</v>
      </c>
      <c r="AY13" s="48" t="str">
        <f>VLOOKUP(AJ13,Etiquetas!AD:AF,2)</f>
        <v>1 Bajo</v>
      </c>
      <c r="AZ13" s="65">
        <f>VLOOKUP(AJ13,Etiquetas!AD:AF,3)</f>
        <v>30</v>
      </c>
      <c r="BA13" s="74">
        <f t="shared" si="12"/>
        <v>24</v>
      </c>
      <c r="BB13" s="43" t="str">
        <f t="shared" si="13"/>
        <v>Antiguedad: &lt; 3 Meses|Tamaño Cartera: 3 Mediana ≥ 1MM|1 Mal Vendedor|Calidad Cartera: 1 Bajo Extremo|Alcance Incentivos: 1 Bajo</v>
      </c>
    </row>
    <row r="14" spans="2:54" x14ac:dyDescent="0.3">
      <c r="B14" s="43" t="s">
        <v>200</v>
      </c>
      <c r="C14" s="43" t="s">
        <v>17</v>
      </c>
      <c r="D14" s="43">
        <v>2540</v>
      </c>
      <c r="E14" s="43" t="s">
        <v>196</v>
      </c>
      <c r="F14" s="86">
        <v>44875</v>
      </c>
      <c r="G14" s="50">
        <v>0</v>
      </c>
      <c r="H14" s="50" t="str">
        <f t="shared" si="2"/>
        <v>ACTIVO</v>
      </c>
      <c r="I14" s="51" t="str">
        <f t="shared" si="3"/>
        <v>NO</v>
      </c>
      <c r="J14" s="44">
        <f>VLOOKUP(E14,'BD Original'!G:L,6,0)</f>
        <v>9</v>
      </c>
      <c r="K14" s="44">
        <f>VLOOKUP(E14,'BD Original'!G:M,7,0)</f>
        <v>11</v>
      </c>
      <c r="L14" s="52">
        <f>IF(VLOOKUP($E14&amp;"|"&amp;$J14+L$3,'BD Original'!$A:$Z,15,0)=0,"",IFERROR(VLOOKUP($E14&amp;"|"&amp;$J14+L$3,'BD Original'!$A:$Z,15,0),""))</f>
        <v>4948310.82</v>
      </c>
      <c r="M14" s="52">
        <f>IFERROR(VLOOKUP($E14&amp;"|"&amp;$J14+M$3,'BD Original'!$A:$Z,15,0),"")</f>
        <v>4732240.4800000004</v>
      </c>
      <c r="N14" s="52">
        <f>IFERROR(VLOOKUP($E14&amp;"|"&amp;$J14+N$3,'BD Original'!$A:$Z,15,0),"")</f>
        <v>4705834.13</v>
      </c>
      <c r="O14" s="52" t="str">
        <f>IFERROR(VLOOKUP($E14&amp;"|"&amp;$J14+O$3,'BD Original'!$A:$Z,15,0),"")</f>
        <v/>
      </c>
      <c r="P14" s="52" t="str">
        <f>IFERROR(VLOOKUP($E14&amp;"|"&amp;$J14+P$3,'BD Original'!$A:$Z,15,0),"")</f>
        <v/>
      </c>
      <c r="Q14" s="63">
        <f t="shared" si="4"/>
        <v>4795461.8099999996</v>
      </c>
      <c r="R14" s="53">
        <f t="shared" si="5"/>
        <v>3</v>
      </c>
      <c r="S14" s="52">
        <f>IFERROR(VLOOKUP($E14&amp;"|"&amp;$J14+(K14-J14),'BD Original'!$A:$Z,15,0),"")</f>
        <v>4705834.13</v>
      </c>
      <c r="T14" s="61">
        <f t="shared" si="15"/>
        <v>-2.4808691449273446E-2</v>
      </c>
      <c r="U14" s="52">
        <f>IFERROR(VLOOKUP($E14&amp;"|"&amp;$J14+(K14-J14),'BD Original'!$A:$Z,16,0),"")</f>
        <v>4073135.1599999983</v>
      </c>
      <c r="V14" s="55">
        <f>SUMIF('BD Original'!G:G,E14,'BD Original'!R:R)</f>
        <v>0</v>
      </c>
      <c r="W14" s="54">
        <f t="shared" si="6"/>
        <v>0</v>
      </c>
      <c r="X14" s="61">
        <f t="shared" si="14"/>
        <v>0</v>
      </c>
      <c r="Y14" s="61">
        <f t="shared" si="7"/>
        <v>0.86555009111636461</v>
      </c>
      <c r="Z14" s="52">
        <f>SUMIF('BD Original'!G:G,E14,'BD Original'!T:T)</f>
        <v>7920658.1590396985</v>
      </c>
      <c r="AA14" s="52">
        <f>SUMIF('BD Original'!G:G,E14,'BD Original'!U:U)</f>
        <v>4517804.2700000023</v>
      </c>
      <c r="AB14" s="61">
        <f t="shared" si="8"/>
        <v>0.57038243278355816</v>
      </c>
      <c r="AC14" s="52">
        <f>SUMIF('BD Original'!G:G,E14,'BD Original'!V:V)</f>
        <v>160</v>
      </c>
      <c r="AD14" s="64">
        <f>IFERROR(AC14/VLOOKUP(E14,'BD Original'!G:I,3,0),0)</f>
        <v>0.54421768707482998</v>
      </c>
      <c r="AE14" s="55">
        <f>SUMIF('BD Original'!G:G,E14,'BD Original'!W:W)</f>
        <v>700</v>
      </c>
      <c r="AF14" s="55">
        <f>SUMIF('BD Original'!G:G,E14,'BD Original'!X:X)</f>
        <v>344</v>
      </c>
      <c r="AG14" s="61">
        <f>IFERROR(SUMIF('BD Original'!G:G,E14,'BD Original'!X:X)/SUMIF('BD Original'!G:G,E14,'BD Original'!W:W),0)</f>
        <v>0.49142857142857144</v>
      </c>
      <c r="AH14" s="55">
        <f>SUMIF('BD Original'!G:G,E14,'BD Original'!Y:Y)</f>
        <v>140196.61648838044</v>
      </c>
      <c r="AI14" s="55">
        <f>SUMIF('BD Original'!G:G,E14,'BD Original'!Z:Z)</f>
        <v>0</v>
      </c>
      <c r="AJ14" s="61">
        <f t="shared" si="9"/>
        <v>0</v>
      </c>
      <c r="AK14" s="55">
        <f t="shared" si="10"/>
        <v>265739.05407500005</v>
      </c>
      <c r="AL14" s="66" t="str">
        <f>VLOOKUP(E14,'BD Original'!G:K,5,0)</f>
        <v>6 a 12 Meses</v>
      </c>
      <c r="AM14" s="66" t="str">
        <f>VLOOKUP(Q14,Etiquetas!E:F,2)</f>
        <v>5 Grande ≤ 2MM</v>
      </c>
      <c r="AN14" s="66" t="str">
        <f>IFERROR(VLOOKUP(T14,Etiquetas!H:I,2),0)</f>
        <v>2 Decrecimiento entre 0.1% y 50%</v>
      </c>
      <c r="AO14" s="66" t="str">
        <f>VLOOKUP(AG14,Etiquetas!K:M,2)</f>
        <v>2 Bajo</v>
      </c>
      <c r="AP14" s="65">
        <f>VLOOKUP(AG14,Etiquetas!K:M,3)</f>
        <v>50</v>
      </c>
      <c r="AQ14" s="48" t="str">
        <f>VLOOKUP(AD14,Etiquetas!O:Q,2)</f>
        <v>1 Bajo Extremo</v>
      </c>
      <c r="AR14" s="65">
        <f>VLOOKUP(AD14,Etiquetas!O:Q,3)</f>
        <v>30</v>
      </c>
      <c r="AS14" s="48" t="str">
        <f>VLOOKUP(AB14,Etiquetas!S:U,2)</f>
        <v>3 Medio Bajo</v>
      </c>
      <c r="AT14" s="65">
        <f>VLOOKUP(AB14,Etiquetas!S:U,3)</f>
        <v>50</v>
      </c>
      <c r="AU14" s="65">
        <f t="shared" si="11"/>
        <v>46</v>
      </c>
      <c r="AV14" s="65" t="str">
        <f>VLOOKUP(AU14,Etiquetas!W:X,2)</f>
        <v>1 Mal Vendedor</v>
      </c>
      <c r="AW14" s="48" t="str">
        <f>VLOOKUP(Y14,Etiquetas!Z:AB,2)</f>
        <v>3 Medio Bajo</v>
      </c>
      <c r="AX14" s="65">
        <f>VLOOKUP(Y14,Etiquetas!Z:AB,3)</f>
        <v>70</v>
      </c>
      <c r="AY14" s="48" t="str">
        <f>VLOOKUP(AJ14,Etiquetas!AD:AF,2)</f>
        <v>1 Bajo</v>
      </c>
      <c r="AZ14" s="65">
        <f>VLOOKUP(AJ14,Etiquetas!AD:AF,3)</f>
        <v>30</v>
      </c>
      <c r="BA14" s="74">
        <f t="shared" si="12"/>
        <v>54</v>
      </c>
      <c r="BB14" s="43" t="str">
        <f t="shared" si="13"/>
        <v>Antiguedad: 6 a 12 Meses|Tamaño Cartera: 5 Grande ≤ 2MM|1 Mal Vendedor|Calidad Cartera: 3 Medio Bajo|Alcance Incentivos: 1 Bajo</v>
      </c>
    </row>
    <row r="15" spans="2:54" x14ac:dyDescent="0.3">
      <c r="B15" s="43" t="s">
        <v>23</v>
      </c>
      <c r="C15" s="43" t="s">
        <v>24</v>
      </c>
      <c r="D15" s="43">
        <v>2465</v>
      </c>
      <c r="E15" s="43" t="s">
        <v>195</v>
      </c>
      <c r="F15" s="86">
        <v>44683</v>
      </c>
      <c r="G15" s="50">
        <v>0</v>
      </c>
      <c r="H15" s="50" t="str">
        <f t="shared" si="2"/>
        <v>ACTIVO</v>
      </c>
      <c r="I15" s="51" t="str">
        <f t="shared" si="3"/>
        <v>NO</v>
      </c>
      <c r="J15" s="44">
        <f>VLOOKUP(E15,'BD Original'!G:L,6,0)</f>
        <v>16</v>
      </c>
      <c r="K15" s="44">
        <f>VLOOKUP(E15,'BD Original'!G:M,7,0)</f>
        <v>18</v>
      </c>
      <c r="L15" s="52">
        <f>IF(VLOOKUP($E15&amp;"|"&amp;$J15+L$3,'BD Original'!$A:$Z,15,0)=0,"",IFERROR(VLOOKUP($E15&amp;"|"&amp;$J15+L$3,'BD Original'!$A:$Z,15,0),""))</f>
        <v>2329894.8699999996</v>
      </c>
      <c r="M15" s="52">
        <f>IFERROR(VLOOKUP($E15&amp;"|"&amp;$J15+M$3,'BD Original'!$A:$Z,15,0),"")</f>
        <v>1799584.0900000003</v>
      </c>
      <c r="N15" s="52">
        <f>IFERROR(VLOOKUP($E15&amp;"|"&amp;$J15+N$3,'BD Original'!$A:$Z,15,0),"")</f>
        <v>1639364.35</v>
      </c>
      <c r="O15" s="52" t="str">
        <f>IFERROR(VLOOKUP($E15&amp;"|"&amp;$J15+O$3,'BD Original'!$A:$Z,15,0),"")</f>
        <v/>
      </c>
      <c r="P15" s="52" t="str">
        <f>IFERROR(VLOOKUP($E15&amp;"|"&amp;$J15+P$3,'BD Original'!$A:$Z,15,0),"")</f>
        <v/>
      </c>
      <c r="Q15" s="63">
        <f t="shared" si="4"/>
        <v>1922947.7700000003</v>
      </c>
      <c r="R15" s="53">
        <f t="shared" si="5"/>
        <v>3</v>
      </c>
      <c r="S15" s="52">
        <f>IFERROR(VLOOKUP($E15&amp;"|"&amp;$J15+(K15-J15),'BD Original'!$A:$Z,15,0),"")</f>
        <v>1639364.35</v>
      </c>
      <c r="T15" s="61">
        <f t="shared" si="15"/>
        <v>-0.16117844727697173</v>
      </c>
      <c r="U15" s="52">
        <f>IFERROR(VLOOKUP($E15&amp;"|"&amp;$J15+(K15-J15),'BD Original'!$A:$Z,16,0),"")</f>
        <v>1209021.8999999999</v>
      </c>
      <c r="V15" s="55">
        <f>SUMIF('BD Original'!G:G,E15,'BD Original'!R:R)</f>
        <v>0</v>
      </c>
      <c r="W15" s="54">
        <f t="shared" si="6"/>
        <v>0</v>
      </c>
      <c r="X15" s="61">
        <f t="shared" si="14"/>
        <v>0</v>
      </c>
      <c r="Y15" s="61">
        <f t="shared" si="7"/>
        <v>0.73749432211332389</v>
      </c>
      <c r="Z15" s="52">
        <f>SUMIF('BD Original'!G:G,E15,'BD Original'!T:T)</f>
        <v>3301750.3857499999</v>
      </c>
      <c r="AA15" s="52">
        <f>SUMIF('BD Original'!G:G,E15,'BD Original'!U:U)</f>
        <v>1375477.1199999999</v>
      </c>
      <c r="AB15" s="61">
        <f t="shared" si="8"/>
        <v>0.4165902806997196</v>
      </c>
      <c r="AC15" s="52">
        <f>SUMIF('BD Original'!G:G,E15,'BD Original'!V:V)</f>
        <v>326</v>
      </c>
      <c r="AD15" s="64">
        <f>IFERROR(AC15/VLOOKUP(E15,'BD Original'!G:I,3,0),0)</f>
        <v>0.67078189300411528</v>
      </c>
      <c r="AE15" s="55">
        <f>SUMIF('BD Original'!G:G,E15,'BD Original'!W:W)</f>
        <v>273</v>
      </c>
      <c r="AF15" s="55">
        <f>SUMIF('BD Original'!G:G,E15,'BD Original'!X:X)</f>
        <v>75</v>
      </c>
      <c r="AG15" s="61">
        <f>IFERROR(SUMIF('BD Original'!G:G,E15,'BD Original'!X:X)/SUMIF('BD Original'!G:G,E15,'BD Original'!W:W),0)</f>
        <v>0.27472527472527475</v>
      </c>
      <c r="AH15" s="55">
        <f>SUMIF('BD Original'!G:G,E15,'BD Original'!Y:Y)</f>
        <v>97183.843434000737</v>
      </c>
      <c r="AI15" s="55">
        <f>SUMIF('BD Original'!G:G,E15,'BD Original'!Z:Z)</f>
        <v>1725.0000000000005</v>
      </c>
      <c r="AJ15" s="61">
        <f t="shared" si="9"/>
        <v>1.7749863959347096E-2</v>
      </c>
      <c r="AK15" s="55">
        <f t="shared" si="10"/>
        <v>101144.49677500001</v>
      </c>
      <c r="AL15" s="66" t="str">
        <f>VLOOKUP(E15,'BD Original'!G:K,5,0)</f>
        <v>1 a 1.5 años</v>
      </c>
      <c r="AM15" s="66" t="str">
        <f>VLOOKUP(Q15,Etiquetas!E:F,2)</f>
        <v>4 Grande ≤ 1.5MM</v>
      </c>
      <c r="AN15" s="66" t="str">
        <f>IFERROR(VLOOKUP(T15,Etiquetas!H:I,2),0)</f>
        <v>2 Decrecimiento entre 0.1% y 50%</v>
      </c>
      <c r="AO15" s="66" t="str">
        <f>VLOOKUP(AG15,Etiquetas!K:M,2)</f>
        <v>1 Bajo Extremo</v>
      </c>
      <c r="AP15" s="65">
        <f>VLOOKUP(AG15,Etiquetas!K:M,3)</f>
        <v>30</v>
      </c>
      <c r="AQ15" s="48" t="str">
        <f>VLOOKUP(AD15,Etiquetas!O:Q,2)</f>
        <v>1 Bajo Extremo</v>
      </c>
      <c r="AR15" s="65">
        <f>VLOOKUP(AD15,Etiquetas!O:Q,3)</f>
        <v>30</v>
      </c>
      <c r="AS15" s="48" t="str">
        <f>VLOOKUP(AB15,Etiquetas!S:U,2)</f>
        <v>2 Bajo</v>
      </c>
      <c r="AT15" s="65">
        <f>VLOOKUP(AB15,Etiquetas!S:U,3)</f>
        <v>30</v>
      </c>
      <c r="AU15" s="65">
        <f t="shared" si="11"/>
        <v>30</v>
      </c>
      <c r="AV15" s="65" t="str">
        <f>VLOOKUP(AU15,Etiquetas!W:X,2)</f>
        <v>1 Mal Vendedor</v>
      </c>
      <c r="AW15" s="48" t="str">
        <f>VLOOKUP(Y15,Etiquetas!Z:AB,2)</f>
        <v>2 Bajo</v>
      </c>
      <c r="AX15" s="65">
        <f>VLOOKUP(Y15,Etiquetas!Z:AB,3)</f>
        <v>50</v>
      </c>
      <c r="AY15" s="48" t="str">
        <f>VLOOKUP(AJ15,Etiquetas!AD:AF,2)</f>
        <v>1 Bajo</v>
      </c>
      <c r="AZ15" s="65">
        <f>VLOOKUP(AJ15,Etiquetas!AD:AF,3)</f>
        <v>30</v>
      </c>
      <c r="BA15" s="74">
        <f t="shared" si="12"/>
        <v>38</v>
      </c>
      <c r="BB15" s="43" t="str">
        <f t="shared" si="13"/>
        <v>Antiguedad: 1 a 1.5 años|Tamaño Cartera: 4 Grande ≤ 1.5MM|1 Mal Vendedor|Calidad Cartera: 2 Bajo|Alcance Incentivos: 1 Bajo</v>
      </c>
    </row>
    <row r="16" spans="2:54" x14ac:dyDescent="0.3">
      <c r="B16" s="43" t="s">
        <v>201</v>
      </c>
      <c r="C16" s="43" t="s">
        <v>16</v>
      </c>
      <c r="D16" s="43">
        <v>2619</v>
      </c>
      <c r="E16" s="43" t="s">
        <v>187</v>
      </c>
      <c r="F16" s="86">
        <v>44210</v>
      </c>
      <c r="G16" s="50">
        <v>0</v>
      </c>
      <c r="H16" s="50" t="str">
        <f t="shared" si="2"/>
        <v>ACTIVO</v>
      </c>
      <c r="I16" s="51" t="str">
        <f t="shared" si="3"/>
        <v>NO</v>
      </c>
      <c r="J16" s="44">
        <f>VLOOKUP(E16,'BD Original'!G:L,6,0)</f>
        <v>32</v>
      </c>
      <c r="K16" s="44">
        <f>VLOOKUP(E16,'BD Original'!G:M,7,0)</f>
        <v>34</v>
      </c>
      <c r="L16" s="52">
        <f>IF(VLOOKUP($E16&amp;"|"&amp;$J16+L$3,'BD Original'!$A:$Z,15,0)=0,"",IFERROR(VLOOKUP($E16&amp;"|"&amp;$J16+L$3,'BD Original'!$A:$Z,15,0),""))</f>
        <v>4325869.92</v>
      </c>
      <c r="M16" s="52" t="str">
        <f>IFERROR(VLOOKUP($E16&amp;"|"&amp;$J16+M$3,'BD Original'!$A:$Z,15,0),"")</f>
        <v/>
      </c>
      <c r="N16" s="52">
        <f>IFERROR(VLOOKUP($E16&amp;"|"&amp;$J16+N$3,'BD Original'!$A:$Z,15,0),"")</f>
        <v>4208520.3100000005</v>
      </c>
      <c r="O16" s="52" t="str">
        <f>IFERROR(VLOOKUP($E16&amp;"|"&amp;$J16+O$3,'BD Original'!$A:$Z,15,0),"")</f>
        <v/>
      </c>
      <c r="P16" s="52" t="str">
        <f>IFERROR(VLOOKUP($E16&amp;"|"&amp;$J16+P$3,'BD Original'!$A:$Z,15,0),"")</f>
        <v/>
      </c>
      <c r="Q16" s="63">
        <f t="shared" si="4"/>
        <v>4267195.1150000002</v>
      </c>
      <c r="R16" s="53">
        <f t="shared" si="5"/>
        <v>2</v>
      </c>
      <c r="S16" s="52">
        <f>IFERROR(VLOOKUP($E16&amp;"|"&amp;$J16+(K16-J16),'BD Original'!$A:$Z,15,0),"")</f>
        <v>4208520.3100000005</v>
      </c>
      <c r="T16" s="61">
        <f t="shared" si="15"/>
        <v>-2.7127401463796108E-2</v>
      </c>
      <c r="U16" s="52">
        <f>IFERROR(VLOOKUP($E16&amp;"|"&amp;$J16+(K16-J16),'BD Original'!$A:$Z,16,0),"")</f>
        <v>4026959.6400000006</v>
      </c>
      <c r="V16" s="55">
        <f>SUMIF('BD Original'!G:G,E16,'BD Original'!R:R)</f>
        <v>0</v>
      </c>
      <c r="W16" s="54">
        <f t="shared" si="6"/>
        <v>0</v>
      </c>
      <c r="X16" s="61">
        <f t="shared" si="14"/>
        <v>0</v>
      </c>
      <c r="Y16" s="61">
        <f t="shared" si="7"/>
        <v>0.95685878726340279</v>
      </c>
      <c r="Z16" s="52">
        <f>SUMIF('BD Original'!G:G,E16,'BD Original'!T:T)</f>
        <v>3094964.7358499998</v>
      </c>
      <c r="AA16" s="52">
        <f>SUMIF('BD Original'!G:G,E16,'BD Original'!U:U)</f>
        <v>3838999.8000000007</v>
      </c>
      <c r="AB16" s="61">
        <f t="shared" si="8"/>
        <v>1.2404017905379008</v>
      </c>
      <c r="AC16" s="52">
        <f>SUMIF('BD Original'!G:G,E16,'BD Original'!V:V)</f>
        <v>48</v>
      </c>
      <c r="AD16" s="64">
        <f>IFERROR(AC16/VLOOKUP(E16,'BD Original'!G:I,3,0),0)</f>
        <v>4.8533872598584431E-2</v>
      </c>
      <c r="AE16" s="55">
        <f>SUMIF('BD Original'!G:G,E16,'BD Original'!W:W)</f>
        <v>179</v>
      </c>
      <c r="AF16" s="55">
        <f>SUMIF('BD Original'!G:G,E16,'BD Original'!X:X)</f>
        <v>146</v>
      </c>
      <c r="AG16" s="61">
        <f>IFERROR(SUMIF('BD Original'!G:G,E16,'BD Original'!X:X)/SUMIF('BD Original'!G:G,E16,'BD Original'!W:W),0)</f>
        <v>0.81564245810055869</v>
      </c>
      <c r="AH16" s="55">
        <f>SUMIF('BD Original'!G:G,E16,'BD Original'!Y:Y)</f>
        <v>15144.598907384563</v>
      </c>
      <c r="AI16" s="55">
        <f>SUMIF('BD Original'!G:G,E16,'BD Original'!Z:Z)</f>
        <v>25675</v>
      </c>
      <c r="AJ16" s="61">
        <f t="shared" si="9"/>
        <v>1.6953238680676299</v>
      </c>
      <c r="AK16" s="55">
        <f t="shared" si="10"/>
        <v>248201.21911250002</v>
      </c>
      <c r="AL16" s="66" t="str">
        <f>VLOOKUP(E16,'BD Original'!G:K,5,0)</f>
        <v>Mas de 3 años</v>
      </c>
      <c r="AM16" s="66" t="str">
        <f>VLOOKUP(Q16,Etiquetas!E:F,2)</f>
        <v>5 Grande ≤ 2MM</v>
      </c>
      <c r="AN16" s="66" t="str">
        <f>IFERROR(VLOOKUP(T16,Etiquetas!H:I,2),0)</f>
        <v>2 Decrecimiento entre 0.1% y 50%</v>
      </c>
      <c r="AO16" s="66" t="str">
        <f>VLOOKUP(AG16,Etiquetas!K:M,2)</f>
        <v>5 Alto</v>
      </c>
      <c r="AP16" s="65">
        <f>VLOOKUP(AG16,Etiquetas!K:M,3)</f>
        <v>90</v>
      </c>
      <c r="AQ16" s="48" t="str">
        <f>VLOOKUP(AD16,Etiquetas!O:Q,2)</f>
        <v>1 Bajo Extremo</v>
      </c>
      <c r="AR16" s="65">
        <f>VLOOKUP(AD16,Etiquetas!O:Q,3)</f>
        <v>30</v>
      </c>
      <c r="AS16" s="48" t="str">
        <f>VLOOKUP(AB16,Etiquetas!S:U,2)</f>
        <v>7 Sobresaliente</v>
      </c>
      <c r="AT16" s="65">
        <f>VLOOKUP(AB16,Etiquetas!S:U,3)</f>
        <v>110</v>
      </c>
      <c r="AU16" s="65">
        <f t="shared" si="11"/>
        <v>86</v>
      </c>
      <c r="AV16" s="65" t="str">
        <f>VLOOKUP(AU16,Etiquetas!W:X,2)</f>
        <v>3 Buen Vendedor</v>
      </c>
      <c r="AW16" s="48" t="str">
        <f>VLOOKUP(Y16,Etiquetas!Z:AB,2)</f>
        <v>5 Alto</v>
      </c>
      <c r="AX16" s="65">
        <f>VLOOKUP(Y16,Etiquetas!Z:AB,3)</f>
        <v>90</v>
      </c>
      <c r="AY16" s="48" t="str">
        <f>VLOOKUP(AJ16,Etiquetas!AD:AF,2)</f>
        <v>5 Sobresaliente</v>
      </c>
      <c r="AZ16" s="65">
        <f>VLOOKUP(AJ16,Etiquetas!AD:AF,3)</f>
        <v>90</v>
      </c>
      <c r="BA16" s="74">
        <f t="shared" si="12"/>
        <v>88</v>
      </c>
      <c r="BB16" s="43" t="str">
        <f t="shared" si="13"/>
        <v>Antiguedad: Mas de 3 años|Tamaño Cartera: 5 Grande ≤ 2MM|3 Buen Vendedor|Calidad Cartera: 5 Alto|Alcance Incentivos: 5 Sobresaliente</v>
      </c>
    </row>
    <row r="17" spans="2:54" x14ac:dyDescent="0.3">
      <c r="B17" s="43" t="s">
        <v>199</v>
      </c>
      <c r="C17" s="43" t="s">
        <v>9</v>
      </c>
      <c r="D17" s="43">
        <v>2499</v>
      </c>
      <c r="E17" s="43" t="s">
        <v>192</v>
      </c>
      <c r="F17" s="86">
        <v>44748</v>
      </c>
      <c r="G17" s="50">
        <v>0</v>
      </c>
      <c r="H17" s="50" t="str">
        <f t="shared" si="2"/>
        <v>ACTIVO</v>
      </c>
      <c r="I17" s="51" t="str">
        <f t="shared" si="3"/>
        <v>NO</v>
      </c>
      <c r="J17" s="44">
        <f>VLOOKUP(E17,'BD Original'!G:L,6,0)</f>
        <v>14</v>
      </c>
      <c r="K17" s="44">
        <f>VLOOKUP(E17,'BD Original'!G:M,7,0)</f>
        <v>16</v>
      </c>
      <c r="L17" s="52">
        <f>IF(VLOOKUP($E17&amp;"|"&amp;$J17+L$3,'BD Original'!$A:$Z,15,0)=0,"",IFERROR(VLOOKUP($E17&amp;"|"&amp;$J17+L$3,'BD Original'!$A:$Z,15,0),""))</f>
        <v>2775968.4100000006</v>
      </c>
      <c r="M17" s="52">
        <f>IFERROR(VLOOKUP($E17&amp;"|"&amp;$J17+M$3,'BD Original'!$A:$Z,15,0),"")</f>
        <v>2511484.75</v>
      </c>
      <c r="N17" s="52">
        <f>IFERROR(VLOOKUP($E17&amp;"|"&amp;$J17+N$3,'BD Original'!$A:$Z,15,0),"")</f>
        <v>2229265.4099999997</v>
      </c>
      <c r="O17" s="52" t="str">
        <f>IFERROR(VLOOKUP($E17&amp;"|"&amp;$J17+O$3,'BD Original'!$A:$Z,15,0),"")</f>
        <v/>
      </c>
      <c r="P17" s="52" t="str">
        <f>IFERROR(VLOOKUP($E17&amp;"|"&amp;$J17+P$3,'BD Original'!$A:$Z,15,0),"")</f>
        <v/>
      </c>
      <c r="Q17" s="63">
        <f t="shared" si="4"/>
        <v>2505572.8566666669</v>
      </c>
      <c r="R17" s="53">
        <f t="shared" si="5"/>
        <v>3</v>
      </c>
      <c r="S17" s="52">
        <f>IFERROR(VLOOKUP($E17&amp;"|"&amp;$J17+(K17-J17),'BD Original'!$A:$Z,15,0),"")</f>
        <v>2229265.4099999997</v>
      </c>
      <c r="T17" s="61">
        <f t="shared" si="15"/>
        <v>-0.10386460965305844</v>
      </c>
      <c r="U17" s="52">
        <f>IFERROR(VLOOKUP($E17&amp;"|"&amp;$J17+(K17-J17),'BD Original'!$A:$Z,16,0),"")</f>
        <v>1933167.8199999996</v>
      </c>
      <c r="V17" s="55">
        <f>SUMIF('BD Original'!G:G,E17,'BD Original'!R:R)</f>
        <v>0</v>
      </c>
      <c r="W17" s="54">
        <f t="shared" si="6"/>
        <v>0</v>
      </c>
      <c r="X17" s="61">
        <f t="shared" si="14"/>
        <v>0</v>
      </c>
      <c r="Y17" s="61">
        <f t="shared" si="7"/>
        <v>0.8671770581144036</v>
      </c>
      <c r="Z17" s="52">
        <f>SUMIF('BD Original'!G:G,E17,'BD Original'!T:T)</f>
        <v>4514362.2237999998</v>
      </c>
      <c r="AA17" s="52">
        <f>SUMIF('BD Original'!G:G,E17,'BD Original'!U:U)</f>
        <v>2899385.6100000003</v>
      </c>
      <c r="AB17" s="61">
        <f t="shared" si="8"/>
        <v>0.64225807905140142</v>
      </c>
      <c r="AC17" s="52">
        <f>SUMIF('BD Original'!G:G,E17,'BD Original'!V:V)</f>
        <v>112</v>
      </c>
      <c r="AD17" s="64">
        <f>IFERROR(AC17/VLOOKUP(E17,'BD Original'!G:I,3,0),0)</f>
        <v>0.26603325415676959</v>
      </c>
      <c r="AE17" s="55">
        <f>SUMIF('BD Original'!G:G,E17,'BD Original'!W:W)</f>
        <v>223</v>
      </c>
      <c r="AF17" s="55">
        <f>SUMIF('BD Original'!G:G,E17,'BD Original'!X:X)</f>
        <v>123</v>
      </c>
      <c r="AG17" s="61">
        <f>IFERROR(SUMIF('BD Original'!G:G,E17,'BD Original'!X:X)/SUMIF('BD Original'!G:G,E17,'BD Original'!W:W),0)</f>
        <v>0.55156950672645744</v>
      </c>
      <c r="AH17" s="55">
        <f>SUMIF('BD Original'!G:G,E17,'BD Original'!Y:Y)</f>
        <v>65113.234717455329</v>
      </c>
      <c r="AI17" s="55">
        <f>SUMIF('BD Original'!G:G,E17,'BD Original'!Z:Z)</f>
        <v>4225</v>
      </c>
      <c r="AJ17" s="61">
        <f t="shared" si="9"/>
        <v>6.4886962202591617E-2</v>
      </c>
      <c r="AK17" s="55">
        <f t="shared" si="10"/>
        <v>135478.77259166667</v>
      </c>
      <c r="AL17" s="66" t="str">
        <f>VLOOKUP(E17,'BD Original'!G:K,5,0)</f>
        <v>1 a 1.5 años</v>
      </c>
      <c r="AM17" s="66" t="str">
        <f>VLOOKUP(Q17,Etiquetas!E:F,2)</f>
        <v>5 Grande ≤ 2MM</v>
      </c>
      <c r="AN17" s="66" t="str">
        <f>IFERROR(VLOOKUP(T17,Etiquetas!H:I,2),0)</f>
        <v>2 Decrecimiento entre 0.1% y 50%</v>
      </c>
      <c r="AO17" s="66" t="str">
        <f>VLOOKUP(AG17,Etiquetas!K:M,2)</f>
        <v>3 Medio Bajo</v>
      </c>
      <c r="AP17" s="65">
        <f>VLOOKUP(AG17,Etiquetas!K:M,3)</f>
        <v>70</v>
      </c>
      <c r="AQ17" s="48" t="str">
        <f>VLOOKUP(AD17,Etiquetas!O:Q,2)</f>
        <v>1 Bajo Extremo</v>
      </c>
      <c r="AR17" s="65">
        <f>VLOOKUP(AD17,Etiquetas!O:Q,3)</f>
        <v>30</v>
      </c>
      <c r="AS17" s="48" t="str">
        <f>VLOOKUP(AB17,Etiquetas!S:U,2)</f>
        <v>3 Medio Bajo</v>
      </c>
      <c r="AT17" s="65">
        <f>VLOOKUP(AB17,Etiquetas!S:U,3)</f>
        <v>50</v>
      </c>
      <c r="AU17" s="65">
        <f t="shared" si="11"/>
        <v>54</v>
      </c>
      <c r="AV17" s="65" t="str">
        <f>VLOOKUP(AU17,Etiquetas!W:X,2)</f>
        <v>1 Mal Vendedor</v>
      </c>
      <c r="AW17" s="48" t="str">
        <f>VLOOKUP(Y17,Etiquetas!Z:AB,2)</f>
        <v>3 Medio Bajo</v>
      </c>
      <c r="AX17" s="65">
        <f>VLOOKUP(Y17,Etiquetas!Z:AB,3)</f>
        <v>70</v>
      </c>
      <c r="AY17" s="48" t="str">
        <f>VLOOKUP(AJ17,Etiquetas!AD:AF,2)</f>
        <v>1 Bajo</v>
      </c>
      <c r="AZ17" s="65">
        <f>VLOOKUP(AJ17,Etiquetas!AD:AF,3)</f>
        <v>30</v>
      </c>
      <c r="BA17" s="74">
        <f t="shared" si="12"/>
        <v>58</v>
      </c>
      <c r="BB17" s="43" t="str">
        <f t="shared" si="13"/>
        <v>Antiguedad: 1 a 1.5 años|Tamaño Cartera: 5 Grande ≤ 2MM|1 Mal Vendedor|Calidad Cartera: 3 Medio Bajo|Alcance Incentivos: 1 Bajo</v>
      </c>
    </row>
    <row r="18" spans="2:54" x14ac:dyDescent="0.3">
      <c r="B18" s="43" t="s">
        <v>23</v>
      </c>
      <c r="C18" s="43" t="s">
        <v>25</v>
      </c>
      <c r="D18" s="43">
        <v>2279</v>
      </c>
      <c r="E18" s="43" t="s">
        <v>193</v>
      </c>
      <c r="F18" s="86">
        <v>44210</v>
      </c>
      <c r="G18" s="50">
        <v>0</v>
      </c>
      <c r="H18" s="50" t="str">
        <f t="shared" si="2"/>
        <v>ACTIVO</v>
      </c>
      <c r="I18" s="51" t="str">
        <f t="shared" si="3"/>
        <v>NO</v>
      </c>
      <c r="J18" s="44">
        <f>VLOOKUP(E18,'BD Original'!G:L,6,0)</f>
        <v>31</v>
      </c>
      <c r="K18" s="44">
        <f>VLOOKUP(E18,'BD Original'!G:M,7,0)</f>
        <v>33</v>
      </c>
      <c r="L18" s="52">
        <f>IF(VLOOKUP($E18&amp;"|"&amp;$J18+L$3,'BD Original'!$A:$Z,15,0)=0,"",IFERROR(VLOOKUP($E18&amp;"|"&amp;$J18+L$3,'BD Original'!$A:$Z,15,0),""))</f>
        <v>1837551.5899999999</v>
      </c>
      <c r="M18" s="52">
        <f>IFERROR(VLOOKUP($E18&amp;"|"&amp;$J18+M$3,'BD Original'!$A:$Z,15,0),"")</f>
        <v>1456202.7299999995</v>
      </c>
      <c r="N18" s="52">
        <f>IFERROR(VLOOKUP($E18&amp;"|"&amp;$J18+N$3,'BD Original'!$A:$Z,15,0),"")</f>
        <v>1358536.56</v>
      </c>
      <c r="O18" s="52" t="str">
        <f>IFERROR(VLOOKUP($E18&amp;"|"&amp;$J18+O$3,'BD Original'!$A:$Z,15,0),"")</f>
        <v/>
      </c>
      <c r="P18" s="52" t="str">
        <f>IFERROR(VLOOKUP($E18&amp;"|"&amp;$J18+P$3,'BD Original'!$A:$Z,15,0),"")</f>
        <v/>
      </c>
      <c r="Q18" s="63">
        <f t="shared" si="4"/>
        <v>1550763.6266666662</v>
      </c>
      <c r="R18" s="53">
        <f t="shared" si="5"/>
        <v>3</v>
      </c>
      <c r="S18" s="52">
        <f>IFERROR(VLOOKUP($E18&amp;"|"&amp;$J18+(K18-J18),'BD Original'!$A:$Z,15,0),"")</f>
        <v>1358536.56</v>
      </c>
      <c r="T18" s="61">
        <f t="shared" si="15"/>
        <v>-0.14016346481877329</v>
      </c>
      <c r="U18" s="52">
        <f>IFERROR(VLOOKUP($E18&amp;"|"&amp;$J18+(K18-J18),'BD Original'!$A:$Z,16,0),"")</f>
        <v>735206.13</v>
      </c>
      <c r="V18" s="55">
        <f>SUMIF('BD Original'!G:G,E18,'BD Original'!R:R)</f>
        <v>0</v>
      </c>
      <c r="W18" s="54">
        <f t="shared" si="6"/>
        <v>0</v>
      </c>
      <c r="X18" s="61">
        <f t="shared" si="14"/>
        <v>0</v>
      </c>
      <c r="Y18" s="61">
        <f t="shared" si="7"/>
        <v>0.54117507886574656</v>
      </c>
      <c r="Z18" s="52">
        <f>SUMIF('BD Original'!G:G,E18,'BD Original'!T:T)</f>
        <v>871375.81750000024</v>
      </c>
      <c r="AA18" s="52">
        <f>SUMIF('BD Original'!G:G,E18,'BD Original'!U:U)</f>
        <v>823499.60000000009</v>
      </c>
      <c r="AB18" s="61">
        <f t="shared" si="8"/>
        <v>0.94505675216308127</v>
      </c>
      <c r="AC18" s="52">
        <f>SUMIF('BD Original'!G:G,E18,'BD Original'!V:V)</f>
        <v>18</v>
      </c>
      <c r="AD18" s="64">
        <f>IFERROR(AC18/VLOOKUP(E18,'BD Original'!G:I,3,0),0)</f>
        <v>1.8769551616266946E-2</v>
      </c>
      <c r="AE18" s="55">
        <f>SUMIF('BD Original'!G:G,E18,'BD Original'!W:W)</f>
        <v>271</v>
      </c>
      <c r="AF18" s="55">
        <f>SUMIF('BD Original'!G:G,E18,'BD Original'!X:X)</f>
        <v>74</v>
      </c>
      <c r="AG18" s="61">
        <f>IFERROR(SUMIF('BD Original'!G:G,E18,'BD Original'!X:X)/SUMIF('BD Original'!G:G,E18,'BD Original'!W:W),0)</f>
        <v>0.27306273062730629</v>
      </c>
      <c r="AH18" s="55">
        <f>SUMIF('BD Original'!G:G,E18,'BD Original'!Y:Y)</f>
        <v>30575.296324603369</v>
      </c>
      <c r="AI18" s="55">
        <f>SUMIF('BD Original'!G:G,E18,'BD Original'!Z:Z)</f>
        <v>0</v>
      </c>
      <c r="AJ18" s="61">
        <f t="shared" si="9"/>
        <v>0</v>
      </c>
      <c r="AK18" s="55">
        <f t="shared" si="10"/>
        <v>79168.908533333321</v>
      </c>
      <c r="AL18" s="66" t="str">
        <f>VLOOKUP(E18,'BD Original'!G:K,5,0)</f>
        <v>Mas de 3 años</v>
      </c>
      <c r="AM18" s="66" t="str">
        <f>VLOOKUP(Q18,Etiquetas!E:F,2)</f>
        <v>4 Grande ≤ 1.5MM</v>
      </c>
      <c r="AN18" s="66" t="str">
        <f>IFERROR(VLOOKUP(T18,Etiquetas!H:I,2),0)</f>
        <v>2 Decrecimiento entre 0.1% y 50%</v>
      </c>
      <c r="AO18" s="66" t="str">
        <f>VLOOKUP(AG18,Etiquetas!K:M,2)</f>
        <v>1 Bajo Extremo</v>
      </c>
      <c r="AP18" s="65">
        <f>VLOOKUP(AG18,Etiquetas!K:M,3)</f>
        <v>30</v>
      </c>
      <c r="AQ18" s="48" t="str">
        <f>VLOOKUP(AD18,Etiquetas!O:Q,2)</f>
        <v>1 Bajo Extremo</v>
      </c>
      <c r="AR18" s="65">
        <f>VLOOKUP(AD18,Etiquetas!O:Q,3)</f>
        <v>30</v>
      </c>
      <c r="AS18" s="48" t="str">
        <f>VLOOKUP(AB18,Etiquetas!S:U,2)</f>
        <v>6 Muy Alto</v>
      </c>
      <c r="AT18" s="65">
        <f>VLOOKUP(AB18,Etiquetas!S:U,3)</f>
        <v>100</v>
      </c>
      <c r="AU18" s="65">
        <f t="shared" si="11"/>
        <v>58</v>
      </c>
      <c r="AV18" s="65" t="str">
        <f>VLOOKUP(AU18,Etiquetas!W:X,2)</f>
        <v>1 Mal Vendedor</v>
      </c>
      <c r="AW18" s="48" t="str">
        <f>VLOOKUP(Y18,Etiquetas!Z:AB,2)</f>
        <v>1 Bajo Extremo</v>
      </c>
      <c r="AX18" s="65">
        <f>VLOOKUP(Y18,Etiquetas!Z:AB,3)</f>
        <v>30</v>
      </c>
      <c r="AY18" s="48" t="str">
        <f>VLOOKUP(AJ18,Etiquetas!AD:AF,2)</f>
        <v>1 Bajo</v>
      </c>
      <c r="AZ18" s="65">
        <f>VLOOKUP(AJ18,Etiquetas!AD:AF,3)</f>
        <v>30</v>
      </c>
      <c r="BA18" s="74">
        <f t="shared" si="12"/>
        <v>44</v>
      </c>
      <c r="BB18" s="43" t="str">
        <f t="shared" si="13"/>
        <v>Antiguedad: Mas de 3 años|Tamaño Cartera: 4 Grande ≤ 1.5MM|1 Mal Vendedor|Calidad Cartera: 1 Bajo Extremo|Alcance Incentivos: 1 Bajo</v>
      </c>
    </row>
    <row r="19" spans="2:54" x14ac:dyDescent="0.3">
      <c r="B19" s="43" t="s">
        <v>199</v>
      </c>
      <c r="C19" s="43" t="s">
        <v>13</v>
      </c>
      <c r="D19" s="43">
        <v>2580</v>
      </c>
      <c r="E19" s="43" t="s">
        <v>197</v>
      </c>
      <c r="F19" s="86">
        <v>44988</v>
      </c>
      <c r="G19" s="50">
        <v>0</v>
      </c>
      <c r="H19" s="50" t="str">
        <f t="shared" si="2"/>
        <v>ACTIVO</v>
      </c>
      <c r="I19" s="51" t="str">
        <f t="shared" si="3"/>
        <v>NO</v>
      </c>
      <c r="J19" s="44">
        <f>VLOOKUP(E19,'BD Original'!G:L,6,0)</f>
        <v>6</v>
      </c>
      <c r="K19" s="44">
        <f>VLOOKUP(E19,'BD Original'!G:M,7,0)</f>
        <v>8</v>
      </c>
      <c r="L19" s="52">
        <f>IF(VLOOKUP($E19&amp;"|"&amp;$J19+L$3,'BD Original'!$A:$Z,15,0)=0,"",IFERROR(VLOOKUP($E19&amp;"|"&amp;$J19+L$3,'BD Original'!$A:$Z,15,0),""))</f>
        <v>3431639.5700000003</v>
      </c>
      <c r="M19" s="52">
        <f>IFERROR(VLOOKUP($E19&amp;"|"&amp;$J19+M$3,'BD Original'!$A:$Z,15,0),"")</f>
        <v>3402071.41</v>
      </c>
      <c r="N19" s="52">
        <f>IFERROR(VLOOKUP($E19&amp;"|"&amp;$J19+N$3,'BD Original'!$A:$Z,15,0),"")</f>
        <v>3092175.7500000009</v>
      </c>
      <c r="O19" s="52" t="str">
        <f>IFERROR(VLOOKUP($E19&amp;"|"&amp;$J19+O$3,'BD Original'!$A:$Z,15,0),"")</f>
        <v/>
      </c>
      <c r="P19" s="52" t="str">
        <f>IFERROR(VLOOKUP($E19&amp;"|"&amp;$J19+P$3,'BD Original'!$A:$Z,15,0),"")</f>
        <v/>
      </c>
      <c r="Q19" s="63">
        <f t="shared" si="4"/>
        <v>3308628.91</v>
      </c>
      <c r="R19" s="53">
        <f t="shared" si="5"/>
        <v>3</v>
      </c>
      <c r="S19" s="52">
        <f>IFERROR(VLOOKUP($E19&amp;"|"&amp;$J19+(K19-J19),'BD Original'!$A:$Z,15,0),"")</f>
        <v>3092175.7500000009</v>
      </c>
      <c r="T19" s="61">
        <f t="shared" si="15"/>
        <v>-5.0748588763820823E-2</v>
      </c>
      <c r="U19" s="52">
        <f>IFERROR(VLOOKUP($E19&amp;"|"&amp;$J19+(K19-J19),'BD Original'!$A:$Z,16,0),"")</f>
        <v>2734963.1000000006</v>
      </c>
      <c r="V19" s="55">
        <f>SUMIF('BD Original'!G:G,E19,'BD Original'!R:R)</f>
        <v>0</v>
      </c>
      <c r="W19" s="54">
        <f t="shared" si="6"/>
        <v>0</v>
      </c>
      <c r="X19" s="61">
        <f t="shared" si="14"/>
        <v>0</v>
      </c>
      <c r="Y19" s="61">
        <f t="shared" si="7"/>
        <v>0.88447854233382428</v>
      </c>
      <c r="Z19" s="52">
        <f>SUMIF('BD Original'!G:G,E19,'BD Original'!T:T)</f>
        <v>4348957.3228331944</v>
      </c>
      <c r="AA19" s="52">
        <f>SUMIF('BD Original'!G:G,E19,'BD Original'!U:U)</f>
        <v>3102424.2800000007</v>
      </c>
      <c r="AB19" s="61">
        <f t="shared" si="8"/>
        <v>0.71337197624622339</v>
      </c>
      <c r="AC19" s="52">
        <f>SUMIF('BD Original'!G:G,E19,'BD Original'!V:V)</f>
        <v>110</v>
      </c>
      <c r="AD19" s="64">
        <f>IFERROR(AC19/VLOOKUP(E19,'BD Original'!G:I,3,0),0)</f>
        <v>0.60773480662983426</v>
      </c>
      <c r="AE19" s="55">
        <f>SUMIF('BD Original'!G:G,E19,'BD Original'!W:W)</f>
        <v>384</v>
      </c>
      <c r="AF19" s="55">
        <f>SUMIF('BD Original'!G:G,E19,'BD Original'!X:X)</f>
        <v>232</v>
      </c>
      <c r="AG19" s="61">
        <f>IFERROR(SUMIF('BD Original'!G:G,E19,'BD Original'!X:X)/SUMIF('BD Original'!G:G,E19,'BD Original'!W:W),0)</f>
        <v>0.60416666666666663</v>
      </c>
      <c r="AH19" s="55">
        <f>SUMIF('BD Original'!G:G,E19,'BD Original'!Y:Y)</f>
        <v>53321.252771147745</v>
      </c>
      <c r="AI19" s="55">
        <f>SUMIF('BD Original'!G:G,E19,'BD Original'!Z:Z)</f>
        <v>3575</v>
      </c>
      <c r="AJ19" s="61">
        <f t="shared" si="9"/>
        <v>6.7046436724653269E-2</v>
      </c>
      <c r="AK19" s="55">
        <f t="shared" si="10"/>
        <v>181437.82899166667</v>
      </c>
      <c r="AL19" s="66" t="str">
        <f>VLOOKUP(E19,'BD Original'!G:K,5,0)</f>
        <v>6 a 12 Meses</v>
      </c>
      <c r="AM19" s="66" t="str">
        <f>VLOOKUP(Q19,Etiquetas!E:F,2)</f>
        <v>5 Grande ≤ 2MM</v>
      </c>
      <c r="AN19" s="66" t="str">
        <f>IFERROR(VLOOKUP(T19,Etiquetas!H:I,2),0)</f>
        <v>2 Decrecimiento entre 0.1% y 50%</v>
      </c>
      <c r="AO19" s="66" t="str">
        <f>VLOOKUP(AG19,Etiquetas!K:M,2)</f>
        <v>3 Medio Bajo</v>
      </c>
      <c r="AP19" s="65">
        <f>VLOOKUP(AG19,Etiquetas!K:M,3)</f>
        <v>70</v>
      </c>
      <c r="AQ19" s="48" t="str">
        <f>VLOOKUP(AD19,Etiquetas!O:Q,2)</f>
        <v>1 Bajo Extremo</v>
      </c>
      <c r="AR19" s="65">
        <f>VLOOKUP(AD19,Etiquetas!O:Q,3)</f>
        <v>30</v>
      </c>
      <c r="AS19" s="48" t="str">
        <f>VLOOKUP(AB19,Etiquetas!S:U,2)</f>
        <v>4 Medio Alto</v>
      </c>
      <c r="AT19" s="65">
        <f>VLOOKUP(AB19,Etiquetas!S:U,3)</f>
        <v>70</v>
      </c>
      <c r="AU19" s="65">
        <f t="shared" si="11"/>
        <v>62</v>
      </c>
      <c r="AV19" s="65" t="str">
        <f>VLOOKUP(AU19,Etiquetas!W:X,2)</f>
        <v>2 Medio Vendedor</v>
      </c>
      <c r="AW19" s="48" t="str">
        <f>VLOOKUP(Y19,Etiquetas!Z:AB,2)</f>
        <v>3 Medio Bajo</v>
      </c>
      <c r="AX19" s="65">
        <f>VLOOKUP(Y19,Etiquetas!Z:AB,3)</f>
        <v>70</v>
      </c>
      <c r="AY19" s="48" t="str">
        <f>VLOOKUP(AJ19,Etiquetas!AD:AF,2)</f>
        <v>1 Bajo</v>
      </c>
      <c r="AZ19" s="65">
        <f>VLOOKUP(AJ19,Etiquetas!AD:AF,3)</f>
        <v>30</v>
      </c>
      <c r="BA19" s="74">
        <f t="shared" si="12"/>
        <v>62</v>
      </c>
      <c r="BB19" s="43" t="str">
        <f t="shared" si="13"/>
        <v>Antiguedad: 6 a 12 Meses|Tamaño Cartera: 5 Grande ≤ 2MM|2 Medio Vendedor|Calidad Cartera: 3 Medio Bajo|Alcance Incentivos: 1 Bajo</v>
      </c>
    </row>
    <row r="20" spans="2:54" x14ac:dyDescent="0.3">
      <c r="B20" s="43" t="s">
        <v>201</v>
      </c>
      <c r="C20" s="43" t="s">
        <v>15</v>
      </c>
      <c r="D20" s="43">
        <v>2605</v>
      </c>
      <c r="E20" s="43" t="s">
        <v>185</v>
      </c>
      <c r="F20" s="86">
        <v>45055</v>
      </c>
      <c r="G20" s="50">
        <v>0</v>
      </c>
      <c r="H20" s="50" t="str">
        <f t="shared" si="2"/>
        <v>ACTIVO</v>
      </c>
      <c r="I20" s="51" t="str">
        <f t="shared" si="3"/>
        <v>NO</v>
      </c>
      <c r="J20" s="44">
        <f>VLOOKUP(E20,'BD Original'!G:L,6,0)</f>
        <v>3</v>
      </c>
      <c r="K20" s="44">
        <f>VLOOKUP(E20,'BD Original'!G:M,7,0)</f>
        <v>5</v>
      </c>
      <c r="L20" s="52">
        <f>IF(VLOOKUP($E20&amp;"|"&amp;$J20+L$3,'BD Original'!$A:$Z,15,0)=0,"",IFERROR(VLOOKUP($E20&amp;"|"&amp;$J20+L$3,'BD Original'!$A:$Z,15,0),""))</f>
        <v>1963666.4900000005</v>
      </c>
      <c r="M20" s="52">
        <f>IFERROR(VLOOKUP($E20&amp;"|"&amp;$J20+M$3,'BD Original'!$A:$Z,15,0),"")</f>
        <v>2027273.2099999997</v>
      </c>
      <c r="N20" s="52">
        <f>IFERROR(VLOOKUP($E20&amp;"|"&amp;$J20+N$3,'BD Original'!$A:$Z,15,0),"")</f>
        <v>1714328.2199999997</v>
      </c>
      <c r="O20" s="52" t="str">
        <f>IFERROR(VLOOKUP($E20&amp;"|"&amp;$J20+O$3,'BD Original'!$A:$Z,15,0),"")</f>
        <v/>
      </c>
      <c r="P20" s="52" t="str">
        <f>IFERROR(VLOOKUP($E20&amp;"|"&amp;$J20+P$3,'BD Original'!$A:$Z,15,0),"")</f>
        <v/>
      </c>
      <c r="Q20" s="63">
        <f t="shared" si="4"/>
        <v>1901755.9733333334</v>
      </c>
      <c r="R20" s="53">
        <f t="shared" si="5"/>
        <v>3</v>
      </c>
      <c r="S20" s="52">
        <f>IFERROR(VLOOKUP($E20&amp;"|"&amp;$J20+(K20-J20),'BD Original'!$A:$Z,15,0),"")</f>
        <v>1714328.2199999997</v>
      </c>
      <c r="T20" s="61">
        <f t="shared" si="15"/>
        <v>-6.5642399616109182E-2</v>
      </c>
      <c r="U20" s="52">
        <f>IFERROR(VLOOKUP($E20&amp;"|"&amp;$J20+(K20-J20),'BD Original'!$A:$Z,16,0),"")</f>
        <v>1600193.39</v>
      </c>
      <c r="V20" s="55">
        <f>SUMIF('BD Original'!G:G,E20,'BD Original'!R:R)</f>
        <v>0</v>
      </c>
      <c r="W20" s="54">
        <f t="shared" si="6"/>
        <v>0</v>
      </c>
      <c r="X20" s="61">
        <f t="shared" si="14"/>
        <v>0</v>
      </c>
      <c r="Y20" s="61">
        <f t="shared" si="7"/>
        <v>0.93342299994338318</v>
      </c>
      <c r="Z20" s="52">
        <f>SUMIF('BD Original'!G:G,E20,'BD Original'!T:T)</f>
        <v>2908980.5997499996</v>
      </c>
      <c r="AA20" s="52">
        <f>SUMIF('BD Original'!G:G,E20,'BD Original'!U:U)</f>
        <v>1669501.2300000002</v>
      </c>
      <c r="AB20" s="61">
        <f t="shared" si="8"/>
        <v>0.57391280991818183</v>
      </c>
      <c r="AC20" s="52">
        <f>SUMIF('BD Original'!G:G,E20,'BD Original'!V:V)</f>
        <v>116</v>
      </c>
      <c r="AD20" s="64">
        <f>IFERROR(AC20/VLOOKUP(E20,'BD Original'!G:I,3,0),0)</f>
        <v>1.0175438596491229</v>
      </c>
      <c r="AE20" s="55">
        <f>SUMIF('BD Original'!G:G,E20,'BD Original'!W:W)</f>
        <v>345</v>
      </c>
      <c r="AF20" s="55">
        <f>SUMIF('BD Original'!G:G,E20,'BD Original'!X:X)</f>
        <v>195</v>
      </c>
      <c r="AG20" s="61">
        <f>IFERROR(SUMIF('BD Original'!G:G,E20,'BD Original'!X:X)/SUMIF('BD Original'!G:G,E20,'BD Original'!W:W),0)</f>
        <v>0.56521739130434778</v>
      </c>
      <c r="AH20" s="55">
        <f>SUMIF('BD Original'!G:G,E20,'BD Original'!Y:Y)</f>
        <v>53353.534912612879</v>
      </c>
      <c r="AI20" s="55">
        <f>SUMIF('BD Original'!G:G,E20,'BD Original'!Z:Z)</f>
        <v>2950</v>
      </c>
      <c r="AJ20" s="61">
        <f t="shared" ref="AJ20:AJ21" si="16">AI20/AH20</f>
        <v>5.5291556685639856E-2</v>
      </c>
      <c r="AK20" s="55">
        <f t="shared" ref="AK20:AK21" si="17">IFERROR(((Q20*0.89/12*R20)-(Q20*0.2/12*R20)-(10000*R20-AI20-V20))/R20,0)</f>
        <v>100334.3018</v>
      </c>
      <c r="AL20" s="66" t="str">
        <f>VLOOKUP(E20,'BD Original'!G:K,5,0)</f>
        <v>3 a 6 Meses</v>
      </c>
      <c r="AM20" s="66" t="str">
        <f>VLOOKUP(Q20,Etiquetas!E:F,2)</f>
        <v>4 Grande ≤ 1.5MM</v>
      </c>
      <c r="AN20" s="66" t="str">
        <f>IFERROR(VLOOKUP(T20,Etiquetas!H:I,2),0)</f>
        <v>2 Decrecimiento entre 0.1% y 50%</v>
      </c>
      <c r="AO20" s="66" t="str">
        <f>VLOOKUP(AG20,Etiquetas!K:M,2)</f>
        <v>3 Medio Bajo</v>
      </c>
      <c r="AP20" s="65">
        <f>VLOOKUP(AG20,Etiquetas!K:M,3)</f>
        <v>70</v>
      </c>
      <c r="AQ20" s="48" t="str">
        <f>VLOOKUP(AD20,Etiquetas!O:Q,2)</f>
        <v>2 Bajo</v>
      </c>
      <c r="AR20" s="65">
        <f>VLOOKUP(AD20,Etiquetas!O:Q,3)</f>
        <v>50</v>
      </c>
      <c r="AS20" s="48" t="str">
        <f>VLOOKUP(AB20,Etiquetas!S:U,2)</f>
        <v>3 Medio Bajo</v>
      </c>
      <c r="AT20" s="65">
        <f>VLOOKUP(AB20,Etiquetas!S:U,3)</f>
        <v>50</v>
      </c>
      <c r="AU20" s="65">
        <f t="shared" ref="AU20:AU21" si="18">AP20*$AP$2+AR20*$AR$2+AT20*$AT$2</f>
        <v>58</v>
      </c>
      <c r="AV20" s="65" t="str">
        <f>VLOOKUP(AU20,Etiquetas!W:X,2)</f>
        <v>1 Mal Vendedor</v>
      </c>
      <c r="AW20" s="48" t="str">
        <f>VLOOKUP(Y20,Etiquetas!Z:AB,2)</f>
        <v>4 Medio Alto</v>
      </c>
      <c r="AX20" s="65">
        <f>VLOOKUP(Y20,Etiquetas!Z:AB,3)</f>
        <v>80</v>
      </c>
      <c r="AY20" s="48" t="str">
        <f>VLOOKUP(AJ20,Etiquetas!AD:AF,2)</f>
        <v>1 Bajo</v>
      </c>
      <c r="AZ20" s="65">
        <f>VLOOKUP(AJ20,Etiquetas!AD:AF,3)</f>
        <v>30</v>
      </c>
      <c r="BA20" s="74">
        <f t="shared" ref="BA20:BA21" si="19">AU20*$AU$1+AX20*$AX$1+AZ20*$AZ$1</f>
        <v>64</v>
      </c>
      <c r="BB20" s="43" t="str">
        <f t="shared" ref="BB20:BB21" si="20">"Antiguedad: "&amp;AL20&amp;"|Tamaño Cartera: "&amp;AM20&amp;"|"&amp;AV20&amp;"|Calidad Cartera: "&amp;AW20&amp;"|Alcance Incentivos: "&amp;AY20</f>
        <v>Antiguedad: 3 a 6 Meses|Tamaño Cartera: 4 Grande ≤ 1.5MM|1 Mal Vendedor|Calidad Cartera: 4 Medio Alto|Alcance Incentivos: 1 Bajo</v>
      </c>
    </row>
    <row r="21" spans="2:54" x14ac:dyDescent="0.3">
      <c r="B21" s="43" t="s">
        <v>200</v>
      </c>
      <c r="C21" s="43" t="s">
        <v>21</v>
      </c>
      <c r="D21" s="43">
        <v>2600</v>
      </c>
      <c r="E21" s="43" t="s">
        <v>198</v>
      </c>
      <c r="F21" s="86">
        <v>45041</v>
      </c>
      <c r="G21" s="50">
        <v>0</v>
      </c>
      <c r="H21" s="50" t="str">
        <f t="shared" si="2"/>
        <v>ACTIVO</v>
      </c>
      <c r="I21" s="51" t="str">
        <f t="shared" si="3"/>
        <v>NO</v>
      </c>
      <c r="J21" s="44">
        <f>VLOOKUP(E21,'BD Original'!G:L,6,0)</f>
        <v>4</v>
      </c>
      <c r="K21" s="44">
        <f>VLOOKUP(E21,'BD Original'!G:M,7,0)</f>
        <v>6</v>
      </c>
      <c r="L21" s="52">
        <f>IF(VLOOKUP($E21&amp;"|"&amp;$J21+L$3,'BD Original'!$A:$Z,15,0)=0,"",IFERROR(VLOOKUP($E21&amp;"|"&amp;$J21+L$3,'BD Original'!$A:$Z,15,0),""))</f>
        <v>2703449.3799999994</v>
      </c>
      <c r="M21" s="52">
        <f>IFERROR(VLOOKUP($E21&amp;"|"&amp;$J21+M$3,'BD Original'!$A:$Z,15,0),"")</f>
        <v>2207387.83</v>
      </c>
      <c r="N21" s="52">
        <f>IFERROR(VLOOKUP($E21&amp;"|"&amp;$J21+N$3,'BD Original'!$A:$Z,15,0),"")</f>
        <v>2650528.3600000003</v>
      </c>
      <c r="O21" s="52" t="str">
        <f>IFERROR(VLOOKUP($E21&amp;"|"&amp;$J21+O$3,'BD Original'!$A:$Z,15,0),"")</f>
        <v/>
      </c>
      <c r="P21" s="52" t="str">
        <f>IFERROR(VLOOKUP($E21&amp;"|"&amp;$J21+P$3,'BD Original'!$A:$Z,15,0),"")</f>
        <v/>
      </c>
      <c r="Q21" s="63">
        <f t="shared" si="4"/>
        <v>2520455.19</v>
      </c>
      <c r="R21" s="53">
        <f t="shared" si="5"/>
        <v>3</v>
      </c>
      <c r="S21" s="52">
        <f>IFERROR(VLOOKUP($E21&amp;"|"&amp;$J21+(K21-J21),'BD Original'!$A:$Z,15,0),"")</f>
        <v>2650528.3600000003</v>
      </c>
      <c r="T21" s="61">
        <f t="shared" si="15"/>
        <v>-9.8360586756239821E-3</v>
      </c>
      <c r="U21" s="52">
        <f>IFERROR(VLOOKUP($E21&amp;"|"&amp;$J21+(K21-J21),'BD Original'!$A:$Z,16,0),"")</f>
        <v>2388008.1900000004</v>
      </c>
      <c r="V21" s="55">
        <f>SUMIF('BD Original'!G:G,E21,'BD Original'!R:R)</f>
        <v>0</v>
      </c>
      <c r="W21" s="54">
        <f t="shared" si="6"/>
        <v>0</v>
      </c>
      <c r="X21" s="61">
        <f t="shared" si="14"/>
        <v>0</v>
      </c>
      <c r="Y21" s="61">
        <f t="shared" si="7"/>
        <v>0.90095553250371563</v>
      </c>
      <c r="Z21" s="52">
        <f>SUMIF('BD Original'!G:G,E21,'BD Original'!T:T)</f>
        <v>4889891.7159000002</v>
      </c>
      <c r="AA21" s="52">
        <f>SUMIF('BD Original'!G:G,E21,'BD Original'!U:U)</f>
        <v>2969535.97</v>
      </c>
      <c r="AB21" s="61">
        <f t="shared" si="8"/>
        <v>0.60728051714197262</v>
      </c>
      <c r="AC21" s="52">
        <f>SUMIF('BD Original'!G:G,E21,'BD Original'!V:V)</f>
        <v>250</v>
      </c>
      <c r="AD21" s="64">
        <f>IFERROR(AC21/VLOOKUP(E21,'BD Original'!G:I,3,0),0)</f>
        <v>1.953125</v>
      </c>
      <c r="AE21" s="55">
        <f>SUMIF('BD Original'!G:G,E21,'BD Original'!W:W)</f>
        <v>277</v>
      </c>
      <c r="AF21" s="55">
        <f>SUMIF('BD Original'!G:G,E21,'BD Original'!X:X)</f>
        <v>139</v>
      </c>
      <c r="AG21" s="61">
        <f>IFERROR(SUMIF('BD Original'!G:G,E21,'BD Original'!X:X)/SUMIF('BD Original'!G:G,E21,'BD Original'!W:W),0)</f>
        <v>0.50180505415162457</v>
      </c>
      <c r="AH21" s="55">
        <f>SUMIF('BD Original'!G:G,E21,'BD Original'!Y:Y)</f>
        <v>104832.4479003156</v>
      </c>
      <c r="AI21" s="55">
        <f>SUMIF('BD Original'!G:G,E21,'BD Original'!Z:Z)</f>
        <v>0</v>
      </c>
      <c r="AJ21" s="61">
        <f t="shared" si="16"/>
        <v>0</v>
      </c>
      <c r="AK21" s="55">
        <f t="shared" si="17"/>
        <v>134926.17342499999</v>
      </c>
      <c r="AL21" s="66" t="str">
        <f>VLOOKUP(E21,'BD Original'!G:K,5,0)</f>
        <v>3 a 6 Meses</v>
      </c>
      <c r="AM21" s="66" t="str">
        <f>VLOOKUP(Q21,Etiquetas!E:F,2)</f>
        <v>5 Grande ≤ 2MM</v>
      </c>
      <c r="AN21" s="66" t="str">
        <f>IFERROR(VLOOKUP(T21,Etiquetas!H:I,2),0)</f>
        <v>2 Decrecimiento entre 0.1% y 50%</v>
      </c>
      <c r="AO21" s="66" t="str">
        <f>VLOOKUP(AG21,Etiquetas!K:M,2)</f>
        <v>2 Bajo</v>
      </c>
      <c r="AP21" s="65">
        <f>VLOOKUP(AG21,Etiquetas!K:M,3)</f>
        <v>50</v>
      </c>
      <c r="AQ21" s="48" t="str">
        <f>VLOOKUP(AD21,Etiquetas!O:Q,2)</f>
        <v>2 Bajo</v>
      </c>
      <c r="AR21" s="65">
        <f>VLOOKUP(AD21,Etiquetas!O:Q,3)</f>
        <v>50</v>
      </c>
      <c r="AS21" s="48" t="str">
        <f>VLOOKUP(AB21,Etiquetas!S:U,2)</f>
        <v>3 Medio Bajo</v>
      </c>
      <c r="AT21" s="65">
        <f>VLOOKUP(AB21,Etiquetas!S:U,3)</f>
        <v>50</v>
      </c>
      <c r="AU21" s="65">
        <f t="shared" si="18"/>
        <v>50</v>
      </c>
      <c r="AV21" s="65" t="str">
        <f>VLOOKUP(AU21,Etiquetas!W:X,2)</f>
        <v>1 Mal Vendedor</v>
      </c>
      <c r="AW21" s="48" t="str">
        <f>VLOOKUP(Y21,Etiquetas!Z:AB,2)</f>
        <v>4 Medio Alto</v>
      </c>
      <c r="AX21" s="65">
        <f>VLOOKUP(Y21,Etiquetas!Z:AB,3)</f>
        <v>80</v>
      </c>
      <c r="AY21" s="48" t="str">
        <f>VLOOKUP(AJ21,Etiquetas!AD:AF,2)</f>
        <v>1 Bajo</v>
      </c>
      <c r="AZ21" s="65">
        <f>VLOOKUP(AJ21,Etiquetas!AD:AF,3)</f>
        <v>30</v>
      </c>
      <c r="BA21" s="74">
        <f t="shared" si="19"/>
        <v>60</v>
      </c>
      <c r="BB21" s="43" t="str">
        <f t="shared" si="20"/>
        <v>Antiguedad: 3 a 6 Meses|Tamaño Cartera: 5 Grande ≤ 2MM|1 Mal Vendedor|Calidad Cartera: 4 Medio Alto|Alcance Incentivos: 1 Bajo</v>
      </c>
    </row>
    <row r="22" spans="2:54" x14ac:dyDescent="0.3">
      <c r="C22" s="48"/>
      <c r="E22" s="49"/>
      <c r="F22" s="50"/>
      <c r="G22" s="50"/>
      <c r="H22" s="50"/>
      <c r="I22" s="51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</row>
    <row r="23" spans="2:54" x14ac:dyDescent="0.3">
      <c r="C23" s="48"/>
      <c r="E23" s="49"/>
      <c r="F23" s="50"/>
      <c r="G23" s="50"/>
      <c r="H23" s="50"/>
      <c r="I23" s="51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</row>
    <row r="24" spans="2:54" x14ac:dyDescent="0.3">
      <c r="C24" s="48"/>
      <c r="E24" s="49"/>
      <c r="F24" s="50"/>
      <c r="G24" s="50"/>
      <c r="H24" s="50"/>
      <c r="I24" s="51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</row>
    <row r="25" spans="2:54" x14ac:dyDescent="0.3">
      <c r="C25" s="48"/>
      <c r="E25" s="49"/>
      <c r="F25" s="50"/>
      <c r="G25" s="50"/>
      <c r="H25" s="50"/>
      <c r="I25" s="51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</row>
    <row r="26" spans="2:54" x14ac:dyDescent="0.3">
      <c r="C26" s="48"/>
      <c r="E26" s="49"/>
      <c r="F26" s="50"/>
      <c r="G26" s="50"/>
      <c r="H26" s="50"/>
      <c r="I26" s="51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</row>
    <row r="27" spans="2:54" x14ac:dyDescent="0.3">
      <c r="C27" s="48"/>
      <c r="E27" s="49"/>
      <c r="F27" s="50"/>
      <c r="G27" s="50"/>
      <c r="H27" s="50"/>
      <c r="I27" s="51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</row>
    <row r="28" spans="2:54" x14ac:dyDescent="0.3">
      <c r="C28" s="48"/>
      <c r="E28" s="49"/>
      <c r="F28" s="50"/>
      <c r="G28" s="50"/>
      <c r="H28" s="50"/>
      <c r="I28" s="51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</row>
    <row r="29" spans="2:54" x14ac:dyDescent="0.3">
      <c r="C29" s="48"/>
      <c r="E29" s="49"/>
      <c r="F29" s="50"/>
      <c r="G29" s="50"/>
      <c r="H29" s="50"/>
      <c r="I29" s="51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</row>
    <row r="30" spans="2:54" x14ac:dyDescent="0.3">
      <c r="C30" s="48"/>
      <c r="E30" s="49"/>
      <c r="F30" s="50"/>
      <c r="G30" s="50"/>
      <c r="H30" s="50"/>
      <c r="I30" s="51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</row>
    <row r="31" spans="2:54" x14ac:dyDescent="0.3">
      <c r="C31" s="48"/>
      <c r="E31" s="49"/>
      <c r="F31" s="50"/>
      <c r="G31" s="50"/>
      <c r="H31" s="50"/>
      <c r="I31" s="51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</row>
    <row r="32" spans="2:54" x14ac:dyDescent="0.3">
      <c r="C32" s="48"/>
      <c r="E32" s="49"/>
      <c r="F32" s="50"/>
      <c r="G32" s="50"/>
      <c r="H32" s="50"/>
      <c r="I32" s="51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</row>
    <row r="33" spans="3:54" x14ac:dyDescent="0.3">
      <c r="C33" s="48"/>
      <c r="E33" s="49"/>
      <c r="F33" s="50"/>
      <c r="G33" s="50"/>
      <c r="H33" s="50"/>
      <c r="I33" s="51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</row>
    <row r="34" spans="3:54" x14ac:dyDescent="0.3">
      <c r="C34" s="48"/>
      <c r="E34" s="49"/>
      <c r="F34" s="50"/>
      <c r="G34" s="50"/>
      <c r="H34" s="50"/>
      <c r="I34" s="51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</row>
    <row r="35" spans="3:54" x14ac:dyDescent="0.3">
      <c r="C35" s="48"/>
      <c r="E35" s="49"/>
      <c r="F35" s="50"/>
      <c r="G35" s="50"/>
      <c r="H35" s="50"/>
      <c r="I35" s="51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</row>
    <row r="36" spans="3:54" x14ac:dyDescent="0.3">
      <c r="C36" s="48"/>
      <c r="E36" s="49"/>
      <c r="F36" s="50"/>
      <c r="G36" s="50"/>
      <c r="H36" s="50"/>
      <c r="I36" s="51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</row>
    <row r="37" spans="3:54" x14ac:dyDescent="0.3">
      <c r="C37" s="48"/>
      <c r="E37" s="49"/>
      <c r="F37" s="50"/>
      <c r="G37" s="50"/>
      <c r="H37" s="50"/>
      <c r="I37" s="51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</row>
    <row r="38" spans="3:54" x14ac:dyDescent="0.3">
      <c r="C38" s="48"/>
      <c r="E38" s="49"/>
      <c r="F38" s="50"/>
      <c r="G38" s="50"/>
      <c r="H38" s="50"/>
      <c r="I38" s="51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</row>
    <row r="39" spans="3:54" x14ac:dyDescent="0.3">
      <c r="C39" s="48"/>
      <c r="E39" s="49"/>
      <c r="F39" s="50"/>
      <c r="G39" s="50"/>
      <c r="H39" s="50"/>
      <c r="I39" s="51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</row>
    <row r="40" spans="3:54" x14ac:dyDescent="0.3">
      <c r="C40" s="48"/>
      <c r="E40" s="49"/>
      <c r="F40" s="50"/>
      <c r="G40" s="50"/>
      <c r="H40" s="50"/>
      <c r="I40" s="51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</row>
    <row r="41" spans="3:54" x14ac:dyDescent="0.3">
      <c r="C41" s="48"/>
      <c r="E41" s="49"/>
      <c r="F41" s="50"/>
      <c r="G41" s="50"/>
      <c r="H41" s="50"/>
      <c r="I41" s="51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</row>
    <row r="42" spans="3:54" x14ac:dyDescent="0.3">
      <c r="F42" s="56"/>
      <c r="G42" s="50"/>
      <c r="H42" s="50"/>
      <c r="I42" s="51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</row>
    <row r="43" spans="3:54" x14ac:dyDescent="0.3">
      <c r="F43" s="56"/>
      <c r="G43" s="50"/>
      <c r="H43" s="50"/>
      <c r="I43" s="51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</row>
    <row r="44" spans="3:54" x14ac:dyDescent="0.3">
      <c r="F44" s="56"/>
      <c r="G44" s="50"/>
      <c r="H44" s="50"/>
      <c r="I44" s="51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</row>
    <row r="45" spans="3:54" x14ac:dyDescent="0.3">
      <c r="F45" s="56"/>
      <c r="G45" s="50"/>
      <c r="H45" s="50"/>
      <c r="I45" s="51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</row>
    <row r="46" spans="3:54" x14ac:dyDescent="0.3">
      <c r="F46" s="56"/>
      <c r="G46" s="50"/>
      <c r="H46" s="50"/>
      <c r="I46" s="51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</row>
    <row r="47" spans="3:54" x14ac:dyDescent="0.3">
      <c r="F47" s="56"/>
      <c r="G47" s="50"/>
      <c r="H47" s="50"/>
      <c r="I47" s="51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</row>
    <row r="48" spans="3:54" x14ac:dyDescent="0.3">
      <c r="F48" s="56"/>
      <c r="G48" s="50"/>
      <c r="H48" s="50"/>
      <c r="I48" s="51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</row>
    <row r="49" spans="3:54" x14ac:dyDescent="0.3">
      <c r="F49" s="56"/>
      <c r="G49" s="50"/>
      <c r="H49" s="50"/>
      <c r="I49" s="51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</row>
    <row r="50" spans="3:54" x14ac:dyDescent="0.3">
      <c r="F50" s="56"/>
      <c r="G50" s="50"/>
      <c r="H50" s="50"/>
      <c r="I50" s="51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</row>
    <row r="51" spans="3:54" x14ac:dyDescent="0.3">
      <c r="F51" s="56"/>
      <c r="G51" s="50"/>
      <c r="H51" s="50"/>
      <c r="I51" s="51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</row>
    <row r="52" spans="3:54" x14ac:dyDescent="0.3">
      <c r="F52" s="56"/>
      <c r="G52" s="50"/>
      <c r="H52" s="50"/>
      <c r="I52" s="51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</row>
    <row r="53" spans="3:54" x14ac:dyDescent="0.3">
      <c r="F53" s="56"/>
      <c r="G53" s="50"/>
      <c r="H53" s="50"/>
      <c r="I53" s="51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</row>
    <row r="54" spans="3:54" x14ac:dyDescent="0.3">
      <c r="F54" s="56"/>
      <c r="G54" s="50"/>
      <c r="H54" s="50"/>
      <c r="I54" s="51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</row>
    <row r="55" spans="3:54" x14ac:dyDescent="0.3">
      <c r="F55" s="56"/>
      <c r="G55" s="50"/>
      <c r="H55" s="50"/>
      <c r="I55" s="51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</row>
    <row r="56" spans="3:54" x14ac:dyDescent="0.3">
      <c r="F56" s="56"/>
      <c r="G56" s="50"/>
      <c r="H56" s="50"/>
      <c r="I56" s="51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</row>
    <row r="57" spans="3:54" x14ac:dyDescent="0.3">
      <c r="F57" s="56"/>
      <c r="G57" s="50"/>
      <c r="H57" s="50"/>
      <c r="I57" s="51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</row>
    <row r="58" spans="3:54" x14ac:dyDescent="0.3">
      <c r="F58" s="56"/>
      <c r="G58" s="50"/>
      <c r="H58" s="50"/>
      <c r="I58" s="51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</row>
    <row r="59" spans="3:54" x14ac:dyDescent="0.3">
      <c r="F59" s="56"/>
      <c r="G59" s="50"/>
      <c r="H59" s="50"/>
      <c r="I59" s="51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</row>
    <row r="60" spans="3:54" x14ac:dyDescent="0.3">
      <c r="F60" s="56"/>
      <c r="G60" s="50"/>
      <c r="H60" s="50"/>
      <c r="I60" s="51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</row>
    <row r="61" spans="3:54" x14ac:dyDescent="0.3">
      <c r="C61" s="57"/>
      <c r="E61" s="58"/>
      <c r="F61" s="56"/>
      <c r="G61" s="50"/>
      <c r="H61" s="50"/>
      <c r="I61" s="51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</row>
    <row r="62" spans="3:54" x14ac:dyDescent="0.3">
      <c r="C62" s="57"/>
      <c r="E62" s="58"/>
      <c r="F62" s="56"/>
      <c r="G62" s="50"/>
      <c r="H62" s="50"/>
      <c r="I62" s="51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</row>
    <row r="63" spans="3:54" x14ac:dyDescent="0.3">
      <c r="C63" s="57"/>
      <c r="E63" s="58"/>
      <c r="F63" s="56"/>
      <c r="G63" s="50"/>
      <c r="H63" s="50"/>
      <c r="I63" s="51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</row>
    <row r="64" spans="3:54" x14ac:dyDescent="0.3">
      <c r="C64" s="57"/>
      <c r="E64" s="58"/>
      <c r="F64" s="56"/>
      <c r="G64" s="50"/>
      <c r="H64" s="50"/>
      <c r="I64" s="51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</row>
    <row r="65" spans="3:54" x14ac:dyDescent="0.3">
      <c r="C65" s="57"/>
      <c r="E65" s="58"/>
      <c r="F65" s="56"/>
      <c r="G65" s="50"/>
      <c r="H65" s="50"/>
      <c r="I65" s="51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</row>
    <row r="66" spans="3:54" x14ac:dyDescent="0.3">
      <c r="C66" s="57"/>
      <c r="E66" s="58"/>
      <c r="F66" s="56"/>
      <c r="G66" s="50"/>
      <c r="H66" s="50"/>
      <c r="I66" s="51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</row>
    <row r="67" spans="3:54" x14ac:dyDescent="0.3">
      <c r="C67" s="57"/>
      <c r="E67" s="58"/>
      <c r="F67" s="56"/>
      <c r="G67" s="50"/>
      <c r="H67" s="50"/>
      <c r="I67" s="51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</row>
    <row r="68" spans="3:54" x14ac:dyDescent="0.3">
      <c r="C68" s="57"/>
      <c r="E68" s="58"/>
      <c r="F68" s="56"/>
      <c r="G68" s="50"/>
      <c r="H68" s="50"/>
      <c r="I68" s="51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</row>
    <row r="69" spans="3:54" x14ac:dyDescent="0.3">
      <c r="C69" s="57"/>
      <c r="E69" s="58"/>
      <c r="F69" s="56"/>
      <c r="G69" s="50"/>
      <c r="H69" s="50"/>
      <c r="I69" s="51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</row>
    <row r="70" spans="3:54" x14ac:dyDescent="0.3">
      <c r="C70" s="57"/>
      <c r="E70" s="58"/>
      <c r="F70" s="56"/>
      <c r="G70" s="50"/>
      <c r="H70" s="50"/>
      <c r="I70" s="51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</row>
    <row r="71" spans="3:54" x14ac:dyDescent="0.3">
      <c r="C71" s="57"/>
      <c r="E71" s="58"/>
      <c r="F71" s="56"/>
      <c r="G71" s="50"/>
      <c r="H71" s="50"/>
      <c r="I71" s="51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</row>
    <row r="72" spans="3:54" x14ac:dyDescent="0.3">
      <c r="C72" s="57"/>
      <c r="E72" s="58"/>
      <c r="F72" s="56"/>
      <c r="G72" s="50"/>
      <c r="H72" s="50"/>
      <c r="I72" s="51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</row>
    <row r="73" spans="3:54" x14ac:dyDescent="0.3">
      <c r="C73" s="57"/>
      <c r="E73" s="58"/>
      <c r="F73" s="56"/>
      <c r="G73" s="50"/>
      <c r="H73" s="50"/>
      <c r="I73" s="51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</row>
    <row r="74" spans="3:54" x14ac:dyDescent="0.3">
      <c r="C74" s="57"/>
      <c r="E74" s="58"/>
      <c r="F74" s="56"/>
      <c r="G74" s="50"/>
      <c r="H74" s="50"/>
      <c r="I74" s="51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</row>
    <row r="75" spans="3:54" x14ac:dyDescent="0.3">
      <c r="C75" s="57"/>
      <c r="E75" s="58"/>
      <c r="F75" s="56"/>
      <c r="G75" s="50"/>
      <c r="H75" s="50"/>
      <c r="I75" s="51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</row>
    <row r="76" spans="3:54" x14ac:dyDescent="0.3">
      <c r="C76" s="57"/>
      <c r="E76" s="58"/>
      <c r="F76" s="56"/>
      <c r="G76" s="50"/>
      <c r="H76" s="50"/>
      <c r="I76" s="51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</row>
    <row r="77" spans="3:54" x14ac:dyDescent="0.3">
      <c r="C77" s="57"/>
      <c r="E77" s="58"/>
      <c r="F77" s="56"/>
      <c r="G77" s="50"/>
      <c r="H77" s="50"/>
      <c r="I77" s="51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</row>
    <row r="78" spans="3:54" x14ac:dyDescent="0.3">
      <c r="C78" s="57"/>
      <c r="E78" s="58"/>
      <c r="F78" s="56"/>
      <c r="G78" s="50"/>
      <c r="H78" s="50"/>
      <c r="I78" s="51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</row>
    <row r="79" spans="3:54" x14ac:dyDescent="0.3">
      <c r="I79" s="50"/>
      <c r="J79" s="50"/>
      <c r="K79" s="50"/>
      <c r="L79" s="50"/>
      <c r="M79" s="50"/>
      <c r="N79" s="50"/>
      <c r="O79" s="50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</row>
    <row r="80" spans="3:54" x14ac:dyDescent="0.3">
      <c r="I80" s="50"/>
      <c r="J80" s="50"/>
      <c r="K80" s="50"/>
      <c r="L80" s="50"/>
      <c r="M80" s="50"/>
      <c r="N80" s="50"/>
      <c r="O80" s="50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</row>
    <row r="81" spans="9:54" x14ac:dyDescent="0.3">
      <c r="I81" s="50"/>
      <c r="J81" s="50"/>
      <c r="K81" s="50"/>
      <c r="L81" s="50"/>
      <c r="M81" s="50"/>
      <c r="N81" s="50"/>
      <c r="O81" s="50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</row>
    <row r="82" spans="9:54" x14ac:dyDescent="0.3">
      <c r="I82" s="50"/>
      <c r="J82" s="50"/>
      <c r="K82" s="50"/>
      <c r="L82" s="50"/>
      <c r="M82" s="50"/>
      <c r="N82" s="50"/>
      <c r="O82" s="50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</row>
    <row r="83" spans="9:54" x14ac:dyDescent="0.3">
      <c r="I83" s="50"/>
      <c r="J83" s="50"/>
      <c r="K83" s="50"/>
      <c r="L83" s="50"/>
      <c r="M83" s="50"/>
      <c r="N83" s="50"/>
      <c r="O83" s="50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</row>
    <row r="84" spans="9:54" x14ac:dyDescent="0.3">
      <c r="I84" s="50"/>
      <c r="J84" s="50"/>
      <c r="K84" s="50"/>
      <c r="L84" s="50"/>
      <c r="M84" s="50"/>
      <c r="N84" s="50"/>
      <c r="O84" s="50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</row>
    <row r="85" spans="9:54" x14ac:dyDescent="0.3">
      <c r="I85" s="50"/>
      <c r="J85" s="50"/>
      <c r="K85" s="50"/>
      <c r="L85" s="50"/>
      <c r="M85" s="50"/>
      <c r="N85" s="50"/>
      <c r="O85" s="50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</row>
    <row r="86" spans="9:54" x14ac:dyDescent="0.3">
      <c r="I86" s="50"/>
      <c r="J86" s="50"/>
      <c r="K86" s="50"/>
      <c r="L86" s="50"/>
      <c r="M86" s="50"/>
      <c r="N86" s="50"/>
      <c r="O86" s="50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</row>
    <row r="87" spans="9:54" x14ac:dyDescent="0.3">
      <c r="I87" s="50"/>
      <c r="J87" s="50"/>
      <c r="K87" s="50"/>
      <c r="L87" s="50"/>
      <c r="M87" s="50"/>
      <c r="N87" s="50"/>
      <c r="O87" s="50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</row>
    <row r="88" spans="9:54" x14ac:dyDescent="0.3">
      <c r="I88" s="50"/>
      <c r="J88" s="50"/>
      <c r="K88" s="50"/>
      <c r="L88" s="50"/>
      <c r="M88" s="50"/>
      <c r="N88" s="50"/>
      <c r="O88" s="50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</row>
    <row r="89" spans="9:54" x14ac:dyDescent="0.3">
      <c r="I89" s="50"/>
      <c r="J89" s="50"/>
      <c r="K89" s="50"/>
      <c r="L89" s="50"/>
      <c r="M89" s="50"/>
      <c r="N89" s="50"/>
      <c r="O89" s="50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</row>
    <row r="90" spans="9:54" x14ac:dyDescent="0.3">
      <c r="I90" s="50"/>
      <c r="J90" s="50"/>
      <c r="K90" s="50"/>
      <c r="L90" s="50"/>
      <c r="M90" s="50"/>
      <c r="N90" s="50"/>
      <c r="O90" s="50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</row>
    <row r="91" spans="9:54" x14ac:dyDescent="0.3">
      <c r="I91" s="50"/>
      <c r="J91" s="50"/>
      <c r="K91" s="50"/>
      <c r="L91" s="50"/>
      <c r="M91" s="50"/>
      <c r="N91" s="50"/>
      <c r="O91" s="50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</row>
    <row r="92" spans="9:54" x14ac:dyDescent="0.3">
      <c r="I92" s="50"/>
      <c r="J92" s="50"/>
      <c r="K92" s="50"/>
      <c r="L92" s="50"/>
      <c r="M92" s="50"/>
      <c r="N92" s="50"/>
      <c r="O92" s="50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</row>
    <row r="93" spans="9:54" x14ac:dyDescent="0.3">
      <c r="I93" s="50"/>
      <c r="J93" s="50"/>
      <c r="K93" s="50"/>
      <c r="L93" s="50"/>
      <c r="M93" s="50"/>
      <c r="N93" s="50"/>
      <c r="O93" s="50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</row>
    <row r="94" spans="9:54" x14ac:dyDescent="0.3">
      <c r="I94" s="50"/>
      <c r="J94" s="50"/>
      <c r="K94" s="50"/>
      <c r="L94" s="50"/>
      <c r="M94" s="50"/>
      <c r="N94" s="50"/>
      <c r="O94" s="50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</row>
    <row r="95" spans="9:54" x14ac:dyDescent="0.3">
      <c r="I95" s="50"/>
      <c r="J95" s="50"/>
      <c r="K95" s="50"/>
      <c r="L95" s="50"/>
      <c r="M95" s="50"/>
      <c r="N95" s="50"/>
      <c r="O95" s="50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</row>
    <row r="96" spans="9:54" x14ac:dyDescent="0.3">
      <c r="I96" s="50"/>
      <c r="J96" s="50"/>
      <c r="K96" s="50"/>
      <c r="L96" s="50"/>
      <c r="M96" s="50"/>
      <c r="N96" s="50"/>
      <c r="O96" s="50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</row>
    <row r="97" spans="9:54" x14ac:dyDescent="0.3">
      <c r="I97" s="50"/>
      <c r="J97" s="50"/>
      <c r="K97" s="50"/>
      <c r="L97" s="50"/>
      <c r="M97" s="50"/>
      <c r="N97" s="50"/>
      <c r="O97" s="50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</row>
    <row r="98" spans="9:54" x14ac:dyDescent="0.3">
      <c r="I98" s="50"/>
      <c r="J98" s="50"/>
      <c r="K98" s="50"/>
      <c r="L98" s="50"/>
      <c r="M98" s="50"/>
      <c r="N98" s="50"/>
      <c r="O98" s="50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</row>
    <row r="99" spans="9:54" x14ac:dyDescent="0.3">
      <c r="I99" s="50"/>
      <c r="J99" s="50"/>
      <c r="K99" s="50"/>
      <c r="L99" s="50"/>
      <c r="M99" s="50"/>
      <c r="N99" s="50"/>
      <c r="O99" s="50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</row>
    <row r="100" spans="9:54" x14ac:dyDescent="0.3">
      <c r="I100" s="50"/>
      <c r="J100" s="50"/>
      <c r="K100" s="50"/>
      <c r="L100" s="50"/>
      <c r="M100" s="50"/>
      <c r="N100" s="50"/>
      <c r="O100" s="50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</row>
    <row r="101" spans="9:54" x14ac:dyDescent="0.3">
      <c r="I101" s="50"/>
      <c r="J101" s="50"/>
      <c r="K101" s="50"/>
      <c r="L101" s="50"/>
      <c r="M101" s="50"/>
      <c r="N101" s="50"/>
      <c r="O101" s="50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</row>
    <row r="102" spans="9:54" x14ac:dyDescent="0.3">
      <c r="I102" s="50"/>
      <c r="J102" s="50"/>
      <c r="K102" s="50"/>
      <c r="L102" s="50"/>
      <c r="M102" s="50"/>
      <c r="N102" s="50"/>
      <c r="O102" s="50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</row>
    <row r="103" spans="9:54" x14ac:dyDescent="0.3">
      <c r="I103" s="50"/>
      <c r="J103" s="50"/>
      <c r="K103" s="50"/>
      <c r="L103" s="50"/>
      <c r="M103" s="50"/>
      <c r="N103" s="50"/>
      <c r="O103" s="50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</row>
    <row r="104" spans="9:54" x14ac:dyDescent="0.3">
      <c r="I104" s="50"/>
      <c r="J104" s="50"/>
      <c r="K104" s="50"/>
      <c r="L104" s="50"/>
      <c r="M104" s="50"/>
      <c r="N104" s="50"/>
      <c r="O104" s="50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</row>
    <row r="105" spans="9:54" x14ac:dyDescent="0.3">
      <c r="I105" s="50"/>
      <c r="J105" s="50"/>
      <c r="K105" s="50"/>
      <c r="L105" s="50"/>
      <c r="M105" s="50"/>
      <c r="N105" s="50"/>
      <c r="O105" s="50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</row>
    <row r="106" spans="9:54" x14ac:dyDescent="0.3">
      <c r="I106" s="50"/>
      <c r="J106" s="50"/>
      <c r="K106" s="50"/>
      <c r="L106" s="50"/>
      <c r="M106" s="50"/>
      <c r="N106" s="50"/>
      <c r="O106" s="50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</row>
    <row r="107" spans="9:54" x14ac:dyDescent="0.3">
      <c r="I107" s="50"/>
      <c r="J107" s="50"/>
      <c r="K107" s="50"/>
      <c r="L107" s="50"/>
      <c r="M107" s="50"/>
      <c r="N107" s="50"/>
      <c r="O107" s="50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</row>
    <row r="108" spans="9:54" x14ac:dyDescent="0.3">
      <c r="I108" s="50"/>
      <c r="J108" s="50"/>
      <c r="K108" s="50"/>
      <c r="L108" s="50"/>
      <c r="M108" s="50"/>
      <c r="N108" s="50"/>
      <c r="O108" s="50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</row>
    <row r="109" spans="9:54" x14ac:dyDescent="0.3">
      <c r="I109" s="50"/>
      <c r="J109" s="50"/>
      <c r="K109" s="50"/>
      <c r="L109" s="50"/>
      <c r="M109" s="50"/>
      <c r="N109" s="50"/>
      <c r="O109" s="50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</row>
    <row r="110" spans="9:54" x14ac:dyDescent="0.3">
      <c r="I110" s="50"/>
      <c r="J110" s="50"/>
      <c r="K110" s="50"/>
      <c r="L110" s="50"/>
      <c r="M110" s="50"/>
      <c r="N110" s="50"/>
      <c r="O110" s="50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</row>
    <row r="111" spans="9:54" x14ac:dyDescent="0.3">
      <c r="I111" s="50"/>
      <c r="J111" s="50"/>
      <c r="K111" s="50"/>
      <c r="L111" s="50"/>
      <c r="M111" s="50"/>
      <c r="N111" s="50"/>
      <c r="O111" s="50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</row>
    <row r="112" spans="9:54" x14ac:dyDescent="0.3">
      <c r="I112" s="50"/>
      <c r="J112" s="50"/>
      <c r="K112" s="50"/>
      <c r="L112" s="50"/>
      <c r="M112" s="50"/>
      <c r="N112" s="50"/>
      <c r="O112" s="50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</row>
    <row r="113" spans="9:54" x14ac:dyDescent="0.3">
      <c r="I113" s="50"/>
      <c r="J113" s="50"/>
      <c r="K113" s="50"/>
      <c r="L113" s="50"/>
      <c r="M113" s="50"/>
      <c r="N113" s="50"/>
      <c r="O113" s="50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</row>
    <row r="114" spans="9:54" x14ac:dyDescent="0.3">
      <c r="I114" s="50"/>
      <c r="J114" s="50"/>
      <c r="K114" s="50"/>
      <c r="L114" s="50"/>
      <c r="M114" s="50"/>
      <c r="N114" s="50"/>
      <c r="O114" s="50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</row>
    <row r="115" spans="9:54" x14ac:dyDescent="0.3">
      <c r="I115" s="50"/>
      <c r="J115" s="50"/>
      <c r="K115" s="50"/>
      <c r="L115" s="50"/>
      <c r="M115" s="50"/>
      <c r="N115" s="50"/>
      <c r="O115" s="50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</row>
    <row r="116" spans="9:54" x14ac:dyDescent="0.3">
      <c r="I116" s="50"/>
      <c r="J116" s="50"/>
      <c r="K116" s="50"/>
      <c r="L116" s="50"/>
      <c r="M116" s="50"/>
      <c r="N116" s="50"/>
      <c r="O116" s="50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</row>
    <row r="117" spans="9:54" x14ac:dyDescent="0.3">
      <c r="I117" s="50"/>
      <c r="J117" s="50"/>
      <c r="K117" s="50"/>
      <c r="L117" s="50"/>
      <c r="M117" s="50"/>
      <c r="N117" s="50"/>
      <c r="O117" s="50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</row>
    <row r="118" spans="9:54" x14ac:dyDescent="0.3">
      <c r="I118" s="50"/>
      <c r="J118" s="50"/>
      <c r="K118" s="50"/>
      <c r="L118" s="50"/>
      <c r="M118" s="50"/>
      <c r="N118" s="50"/>
      <c r="O118" s="50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</row>
    <row r="119" spans="9:54" x14ac:dyDescent="0.3">
      <c r="I119" s="50"/>
      <c r="J119" s="50"/>
      <c r="K119" s="50"/>
      <c r="L119" s="50"/>
      <c r="M119" s="50"/>
      <c r="N119" s="50"/>
      <c r="O119" s="50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</row>
    <row r="120" spans="9:54" x14ac:dyDescent="0.3">
      <c r="I120" s="50"/>
      <c r="J120" s="50"/>
      <c r="K120" s="50"/>
      <c r="L120" s="50"/>
      <c r="M120" s="50"/>
      <c r="N120" s="50"/>
      <c r="O120" s="50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</row>
    <row r="121" spans="9:54" x14ac:dyDescent="0.3">
      <c r="I121" s="50"/>
      <c r="J121" s="50"/>
      <c r="K121" s="50"/>
      <c r="L121" s="50"/>
      <c r="M121" s="50"/>
      <c r="N121" s="50"/>
      <c r="O121" s="50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</row>
    <row r="122" spans="9:54" x14ac:dyDescent="0.3">
      <c r="I122" s="50"/>
      <c r="J122" s="50"/>
      <c r="K122" s="50"/>
      <c r="L122" s="50"/>
      <c r="M122" s="50"/>
      <c r="N122" s="50"/>
      <c r="O122" s="50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</row>
    <row r="123" spans="9:54" x14ac:dyDescent="0.3">
      <c r="I123" s="50"/>
      <c r="J123" s="50"/>
      <c r="K123" s="50"/>
      <c r="L123" s="50"/>
      <c r="M123" s="50"/>
      <c r="N123" s="50"/>
      <c r="O123" s="50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</row>
    <row r="124" spans="9:54" x14ac:dyDescent="0.3">
      <c r="I124" s="50"/>
      <c r="J124" s="50"/>
      <c r="K124" s="50"/>
      <c r="L124" s="50"/>
      <c r="M124" s="50"/>
      <c r="N124" s="50"/>
      <c r="O124" s="50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</row>
    <row r="125" spans="9:54" x14ac:dyDescent="0.3">
      <c r="I125" s="50"/>
      <c r="J125" s="50"/>
      <c r="K125" s="50"/>
      <c r="L125" s="50"/>
      <c r="M125" s="50"/>
      <c r="N125" s="50"/>
      <c r="O125" s="50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</row>
    <row r="126" spans="9:54" x14ac:dyDescent="0.3">
      <c r="I126" s="50"/>
      <c r="J126" s="50"/>
      <c r="K126" s="50"/>
      <c r="L126" s="50"/>
      <c r="M126" s="50"/>
      <c r="N126" s="50"/>
      <c r="O126" s="50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</row>
    <row r="127" spans="9:54" x14ac:dyDescent="0.3">
      <c r="I127" s="50"/>
      <c r="J127" s="50"/>
      <c r="K127" s="50"/>
      <c r="L127" s="50"/>
      <c r="M127" s="50"/>
      <c r="N127" s="50"/>
      <c r="O127" s="50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</row>
    <row r="128" spans="9:54" x14ac:dyDescent="0.3">
      <c r="I128" s="50"/>
      <c r="J128" s="50"/>
      <c r="K128" s="50"/>
      <c r="L128" s="50"/>
      <c r="M128" s="50"/>
      <c r="N128" s="50"/>
      <c r="O128" s="5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</row>
    <row r="129" spans="9:54" x14ac:dyDescent="0.3">
      <c r="I129" s="50"/>
      <c r="J129" s="50"/>
      <c r="K129" s="50"/>
      <c r="L129" s="50"/>
      <c r="M129" s="50"/>
      <c r="N129" s="50"/>
      <c r="O129" s="5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</row>
    <row r="130" spans="9:54" x14ac:dyDescent="0.3">
      <c r="I130" s="50"/>
      <c r="J130" s="50"/>
      <c r="K130" s="50"/>
      <c r="L130" s="50"/>
      <c r="M130" s="50"/>
      <c r="N130" s="50"/>
      <c r="O130" s="5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</row>
    <row r="131" spans="9:54" x14ac:dyDescent="0.3">
      <c r="I131" s="50"/>
      <c r="J131" s="50"/>
      <c r="K131" s="50"/>
      <c r="L131" s="50"/>
      <c r="M131" s="50"/>
      <c r="N131" s="50"/>
      <c r="O131" s="50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</row>
    <row r="132" spans="9:54" x14ac:dyDescent="0.3">
      <c r="I132" s="50"/>
      <c r="J132" s="50"/>
      <c r="K132" s="50"/>
      <c r="L132" s="50"/>
      <c r="M132" s="50"/>
      <c r="N132" s="50"/>
      <c r="O132" s="50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</row>
    <row r="133" spans="9:54" x14ac:dyDescent="0.3">
      <c r="I133" s="50"/>
      <c r="J133" s="50"/>
      <c r="K133" s="50"/>
      <c r="L133" s="50"/>
      <c r="M133" s="50"/>
      <c r="N133" s="50"/>
      <c r="O133" s="5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</row>
    <row r="134" spans="9:54" x14ac:dyDescent="0.3">
      <c r="I134" s="50"/>
      <c r="J134" s="50"/>
      <c r="K134" s="50"/>
      <c r="L134" s="50"/>
      <c r="M134" s="50"/>
      <c r="N134" s="50"/>
      <c r="O134" s="50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</row>
    <row r="135" spans="9:54" x14ac:dyDescent="0.3">
      <c r="I135" s="50"/>
      <c r="J135" s="50"/>
      <c r="K135" s="50"/>
      <c r="L135" s="50"/>
      <c r="M135" s="50"/>
      <c r="N135" s="50"/>
      <c r="O135" s="50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</row>
    <row r="136" spans="9:54" x14ac:dyDescent="0.3">
      <c r="I136" s="50"/>
      <c r="J136" s="50"/>
      <c r="K136" s="50"/>
      <c r="L136" s="50"/>
      <c r="M136" s="50"/>
      <c r="N136" s="50"/>
      <c r="O136" s="50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</row>
    <row r="137" spans="9:54" x14ac:dyDescent="0.3">
      <c r="I137" s="50"/>
      <c r="J137" s="50"/>
      <c r="K137" s="50"/>
      <c r="L137" s="50"/>
      <c r="M137" s="50"/>
      <c r="N137" s="50"/>
      <c r="O137" s="50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</row>
    <row r="138" spans="9:54" x14ac:dyDescent="0.3">
      <c r="I138" s="50"/>
      <c r="J138" s="50"/>
      <c r="K138" s="50"/>
      <c r="L138" s="50"/>
      <c r="M138" s="50"/>
      <c r="N138" s="50"/>
      <c r="O138" s="50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</row>
    <row r="139" spans="9:54" x14ac:dyDescent="0.3">
      <c r="I139" s="50"/>
      <c r="J139" s="50"/>
      <c r="K139" s="50"/>
      <c r="L139" s="50"/>
      <c r="M139" s="50"/>
      <c r="N139" s="50"/>
      <c r="O139" s="50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</row>
    <row r="140" spans="9:54" x14ac:dyDescent="0.3">
      <c r="I140" s="50"/>
      <c r="J140" s="50"/>
      <c r="K140" s="50"/>
      <c r="L140" s="50"/>
      <c r="M140" s="50"/>
      <c r="N140" s="50"/>
      <c r="O140" s="50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</row>
    <row r="141" spans="9:54" x14ac:dyDescent="0.3">
      <c r="I141" s="50"/>
      <c r="J141" s="50"/>
      <c r="K141" s="50"/>
      <c r="L141" s="50"/>
      <c r="M141" s="50"/>
      <c r="N141" s="50"/>
      <c r="O141" s="50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</row>
    <row r="142" spans="9:54" x14ac:dyDescent="0.3">
      <c r="I142" s="50"/>
      <c r="J142" s="50"/>
      <c r="K142" s="50"/>
      <c r="L142" s="50"/>
      <c r="M142" s="50"/>
      <c r="N142" s="50"/>
      <c r="O142" s="50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</row>
    <row r="143" spans="9:54" x14ac:dyDescent="0.3">
      <c r="I143" s="50"/>
      <c r="J143" s="50"/>
      <c r="K143" s="50"/>
      <c r="L143" s="50"/>
      <c r="M143" s="50"/>
      <c r="N143" s="50"/>
      <c r="O143" s="50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</row>
    <row r="144" spans="9:54" x14ac:dyDescent="0.3">
      <c r="I144" s="50"/>
      <c r="J144" s="50"/>
      <c r="K144" s="50"/>
      <c r="L144" s="50"/>
      <c r="M144" s="50"/>
      <c r="N144" s="50"/>
      <c r="O144" s="50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</row>
    <row r="145" spans="9:54" x14ac:dyDescent="0.3">
      <c r="I145" s="50"/>
      <c r="J145" s="50"/>
      <c r="K145" s="50"/>
      <c r="L145" s="50"/>
      <c r="M145" s="50"/>
      <c r="N145" s="50"/>
      <c r="O145" s="50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</row>
    <row r="146" spans="9:54" x14ac:dyDescent="0.3">
      <c r="I146" s="50"/>
      <c r="J146" s="50"/>
      <c r="K146" s="50"/>
      <c r="L146" s="50"/>
      <c r="M146" s="50"/>
      <c r="N146" s="50"/>
      <c r="O146" s="50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</row>
    <row r="147" spans="9:54" x14ac:dyDescent="0.3">
      <c r="I147" s="50"/>
      <c r="J147" s="50"/>
      <c r="K147" s="50"/>
      <c r="L147" s="50"/>
      <c r="M147" s="50"/>
      <c r="N147" s="50"/>
      <c r="O147" s="50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</row>
    <row r="148" spans="9:54" x14ac:dyDescent="0.3">
      <c r="I148" s="50"/>
      <c r="J148" s="50"/>
      <c r="K148" s="50"/>
      <c r="L148" s="50"/>
      <c r="M148" s="50"/>
      <c r="N148" s="50"/>
      <c r="O148" s="50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</row>
    <row r="149" spans="9:54" x14ac:dyDescent="0.3">
      <c r="I149" s="50"/>
      <c r="J149" s="50"/>
      <c r="K149" s="50"/>
      <c r="L149" s="50"/>
      <c r="M149" s="50"/>
      <c r="N149" s="50"/>
      <c r="O149" s="50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</row>
    <row r="150" spans="9:54" x14ac:dyDescent="0.3">
      <c r="I150" s="50"/>
      <c r="J150" s="50"/>
      <c r="K150" s="50"/>
      <c r="L150" s="50"/>
      <c r="M150" s="50"/>
      <c r="N150" s="50"/>
      <c r="O150" s="50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</row>
    <row r="151" spans="9:54" x14ac:dyDescent="0.3">
      <c r="I151" s="50"/>
      <c r="J151" s="50"/>
      <c r="K151" s="50"/>
      <c r="L151" s="50"/>
      <c r="M151" s="50"/>
      <c r="N151" s="50"/>
      <c r="O151" s="50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</row>
    <row r="152" spans="9:54" x14ac:dyDescent="0.3">
      <c r="I152" s="50"/>
      <c r="J152" s="50"/>
      <c r="K152" s="50"/>
      <c r="L152" s="50"/>
      <c r="M152" s="50"/>
      <c r="N152" s="50"/>
      <c r="O152" s="50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</row>
    <row r="153" spans="9:54" x14ac:dyDescent="0.3">
      <c r="I153" s="50"/>
      <c r="J153" s="50"/>
      <c r="K153" s="50"/>
      <c r="L153" s="50"/>
      <c r="M153" s="50"/>
      <c r="N153" s="50"/>
      <c r="O153" s="50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</row>
    <row r="154" spans="9:54" x14ac:dyDescent="0.3">
      <c r="I154" s="50"/>
      <c r="J154" s="50"/>
      <c r="K154" s="50"/>
      <c r="L154" s="50"/>
      <c r="M154" s="50"/>
      <c r="N154" s="50"/>
      <c r="O154" s="50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</row>
    <row r="155" spans="9:54" x14ac:dyDescent="0.3">
      <c r="I155" s="50"/>
      <c r="J155" s="50"/>
      <c r="K155" s="50"/>
      <c r="L155" s="50"/>
      <c r="M155" s="50"/>
      <c r="N155" s="50"/>
      <c r="O155" s="50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</row>
    <row r="156" spans="9:54" x14ac:dyDescent="0.3">
      <c r="I156" s="50"/>
      <c r="J156" s="50"/>
      <c r="K156" s="50"/>
      <c r="L156" s="50"/>
      <c r="M156" s="50"/>
      <c r="N156" s="50"/>
      <c r="O156" s="50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</row>
    <row r="157" spans="9:54" x14ac:dyDescent="0.3">
      <c r="I157" s="50"/>
      <c r="J157" s="50"/>
      <c r="K157" s="50"/>
      <c r="L157" s="50"/>
      <c r="M157" s="50"/>
      <c r="N157" s="50"/>
      <c r="O157" s="50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</row>
    <row r="158" spans="9:54" x14ac:dyDescent="0.3">
      <c r="I158" s="50"/>
      <c r="J158" s="50"/>
      <c r="K158" s="50"/>
      <c r="L158" s="50"/>
      <c r="M158" s="50"/>
      <c r="N158" s="50"/>
      <c r="O158" s="50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</row>
    <row r="159" spans="9:54" x14ac:dyDescent="0.3">
      <c r="I159" s="50"/>
      <c r="J159" s="50"/>
      <c r="K159" s="50"/>
      <c r="L159" s="50"/>
      <c r="M159" s="50"/>
      <c r="N159" s="50"/>
      <c r="O159" s="50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</row>
    <row r="160" spans="9:54" x14ac:dyDescent="0.3">
      <c r="I160" s="50"/>
      <c r="J160" s="50"/>
      <c r="K160" s="50"/>
      <c r="L160" s="50"/>
      <c r="M160" s="50"/>
      <c r="N160" s="50"/>
      <c r="O160" s="50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</row>
    <row r="161" spans="9:54" x14ac:dyDescent="0.3">
      <c r="I161" s="50"/>
      <c r="J161" s="50"/>
      <c r="K161" s="50"/>
      <c r="L161" s="50"/>
      <c r="M161" s="50"/>
      <c r="N161" s="50"/>
      <c r="O161" s="50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</row>
    <row r="162" spans="9:54" x14ac:dyDescent="0.3">
      <c r="I162" s="50"/>
      <c r="J162" s="50"/>
      <c r="K162" s="50"/>
      <c r="L162" s="50"/>
      <c r="M162" s="50"/>
      <c r="N162" s="50"/>
      <c r="O162" s="50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</row>
    <row r="163" spans="9:54" x14ac:dyDescent="0.3">
      <c r="I163" s="50"/>
      <c r="J163" s="50"/>
      <c r="K163" s="50"/>
      <c r="L163" s="50"/>
      <c r="M163" s="50"/>
      <c r="N163" s="50"/>
      <c r="O163" s="50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</row>
    <row r="164" spans="9:54" x14ac:dyDescent="0.3">
      <c r="I164" s="50"/>
      <c r="J164" s="50"/>
      <c r="K164" s="50"/>
      <c r="L164" s="50"/>
      <c r="M164" s="50"/>
      <c r="N164" s="50"/>
      <c r="O164" s="50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</row>
    <row r="165" spans="9:54" x14ac:dyDescent="0.3">
      <c r="I165" s="50"/>
      <c r="J165" s="50"/>
      <c r="K165" s="50"/>
      <c r="L165" s="50"/>
      <c r="M165" s="50"/>
      <c r="N165" s="50"/>
      <c r="O165" s="50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</row>
    <row r="166" spans="9:54" x14ac:dyDescent="0.3">
      <c r="I166" s="50"/>
      <c r="J166" s="50"/>
      <c r="K166" s="50"/>
      <c r="L166" s="50"/>
      <c r="M166" s="50"/>
      <c r="N166" s="50"/>
      <c r="O166" s="50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</row>
    <row r="167" spans="9:54" x14ac:dyDescent="0.3">
      <c r="I167" s="50"/>
      <c r="J167" s="50"/>
      <c r="K167" s="50"/>
      <c r="L167" s="50"/>
      <c r="M167" s="50"/>
      <c r="N167" s="50"/>
      <c r="O167" s="50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</row>
    <row r="168" spans="9:54" x14ac:dyDescent="0.3">
      <c r="I168" s="50"/>
      <c r="J168" s="50"/>
      <c r="K168" s="50"/>
      <c r="L168" s="50"/>
      <c r="M168" s="50"/>
      <c r="N168" s="50"/>
      <c r="O168" s="50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</row>
    <row r="169" spans="9:54" x14ac:dyDescent="0.3">
      <c r="I169" s="50"/>
      <c r="J169" s="50"/>
      <c r="K169" s="50"/>
      <c r="L169" s="50"/>
      <c r="M169" s="50"/>
      <c r="N169" s="50"/>
      <c r="O169" s="50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</row>
    <row r="170" spans="9:54" x14ac:dyDescent="0.3">
      <c r="I170" s="50"/>
      <c r="J170" s="50"/>
      <c r="K170" s="50"/>
      <c r="L170" s="50"/>
      <c r="M170" s="50"/>
      <c r="N170" s="50"/>
      <c r="O170" s="50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</row>
    <row r="171" spans="9:54" x14ac:dyDescent="0.3">
      <c r="I171" s="50"/>
      <c r="J171" s="50"/>
      <c r="K171" s="50"/>
      <c r="L171" s="50"/>
      <c r="M171" s="50"/>
      <c r="N171" s="50"/>
      <c r="O171" s="50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</row>
    <row r="172" spans="9:54" x14ac:dyDescent="0.3">
      <c r="I172" s="50"/>
      <c r="J172" s="50"/>
      <c r="K172" s="50"/>
      <c r="L172" s="50"/>
      <c r="M172" s="50"/>
      <c r="N172" s="50"/>
      <c r="O172" s="50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</row>
    <row r="173" spans="9:54" x14ac:dyDescent="0.3">
      <c r="I173" s="50"/>
      <c r="J173" s="50"/>
      <c r="K173" s="50"/>
      <c r="L173" s="50"/>
      <c r="M173" s="50"/>
      <c r="N173" s="50"/>
      <c r="O173" s="50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</row>
    <row r="174" spans="9:54" x14ac:dyDescent="0.3">
      <c r="L174" s="59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</row>
    <row r="175" spans="9:54" x14ac:dyDescent="0.3">
      <c r="L175" s="59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</row>
    <row r="176" spans="9:54" x14ac:dyDescent="0.3">
      <c r="L176" s="59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</row>
    <row r="177" spans="12:54" x14ac:dyDescent="0.3">
      <c r="L177" s="59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</row>
    <row r="178" spans="12:54" x14ac:dyDescent="0.3">
      <c r="L178" s="59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</row>
    <row r="179" spans="12:54" x14ac:dyDescent="0.3">
      <c r="L179" s="59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</row>
    <row r="180" spans="12:54" x14ac:dyDescent="0.3">
      <c r="L180" s="59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</row>
    <row r="181" spans="12:54" x14ac:dyDescent="0.3">
      <c r="L181" s="59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</row>
    <row r="182" spans="12:54" x14ac:dyDescent="0.3">
      <c r="L182" s="59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</row>
    <row r="183" spans="12:54" x14ac:dyDescent="0.3">
      <c r="L183" s="59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</row>
    <row r="184" spans="12:54" x14ac:dyDescent="0.3">
      <c r="L184" s="59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</row>
    <row r="185" spans="12:54" x14ac:dyDescent="0.3">
      <c r="L185" s="59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</row>
    <row r="186" spans="12:54" x14ac:dyDescent="0.3">
      <c r="L186" s="59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</row>
    <row r="187" spans="12:54" x14ac:dyDescent="0.3">
      <c r="L187" s="59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</row>
    <row r="188" spans="12:54" x14ac:dyDescent="0.3">
      <c r="L188" s="59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</row>
    <row r="189" spans="12:54" x14ac:dyDescent="0.3">
      <c r="L189" s="59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</row>
    <row r="190" spans="12:54" x14ac:dyDescent="0.3">
      <c r="L190" s="59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</row>
    <row r="191" spans="12:54" x14ac:dyDescent="0.3">
      <c r="L191" s="59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</row>
    <row r="192" spans="12:54" x14ac:dyDescent="0.3">
      <c r="L192" s="59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</row>
    <row r="193" spans="12:54" x14ac:dyDescent="0.3">
      <c r="L193" s="59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</row>
    <row r="194" spans="12:54" x14ac:dyDescent="0.3">
      <c r="L194" s="59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</row>
    <row r="195" spans="12:54" x14ac:dyDescent="0.3">
      <c r="L195" s="59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</row>
    <row r="196" spans="12:54" x14ac:dyDescent="0.3">
      <c r="L196" s="59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</row>
    <row r="197" spans="12:54" x14ac:dyDescent="0.3">
      <c r="L197" s="59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</row>
    <row r="198" spans="12:54" x14ac:dyDescent="0.3">
      <c r="L198" s="59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</row>
    <row r="199" spans="12:54" x14ac:dyDescent="0.3">
      <c r="L199" s="59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</row>
    <row r="200" spans="12:54" x14ac:dyDescent="0.3">
      <c r="L200" s="59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</row>
    <row r="201" spans="12:54" x14ac:dyDescent="0.3">
      <c r="L201" s="59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</row>
    <row r="202" spans="12:54" x14ac:dyDescent="0.3">
      <c r="L202" s="59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</row>
    <row r="203" spans="12:54" x14ac:dyDescent="0.3">
      <c r="L203" s="59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</row>
    <row r="204" spans="12:54" x14ac:dyDescent="0.3">
      <c r="L204" s="59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</row>
    <row r="205" spans="12:54" x14ac:dyDescent="0.3">
      <c r="L205" s="59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</row>
    <row r="206" spans="12:54" x14ac:dyDescent="0.3">
      <c r="L206" s="59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</row>
    <row r="207" spans="12:54" x14ac:dyDescent="0.3">
      <c r="L207" s="59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</row>
    <row r="208" spans="12:54" x14ac:dyDescent="0.3">
      <c r="L208" s="59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</row>
    <row r="209" spans="12:54" x14ac:dyDescent="0.3">
      <c r="L209" s="59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</row>
    <row r="210" spans="12:54" x14ac:dyDescent="0.3">
      <c r="L210" s="59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</row>
    <row r="211" spans="12:54" x14ac:dyDescent="0.3">
      <c r="L211" s="59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</row>
    <row r="212" spans="12:54" x14ac:dyDescent="0.3">
      <c r="L212" s="59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</row>
    <row r="213" spans="12:54" x14ac:dyDescent="0.3">
      <c r="L213" s="59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</row>
    <row r="214" spans="12:54" x14ac:dyDescent="0.3">
      <c r="L214" s="59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</row>
    <row r="215" spans="12:54" x14ac:dyDescent="0.3">
      <c r="L215" s="59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</row>
    <row r="216" spans="12:54" x14ac:dyDescent="0.3">
      <c r="L216" s="59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</row>
    <row r="217" spans="12:54" x14ac:dyDescent="0.3">
      <c r="L217" s="59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</row>
    <row r="218" spans="12:54" x14ac:dyDescent="0.3">
      <c r="L218" s="59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</row>
    <row r="219" spans="12:54" x14ac:dyDescent="0.3">
      <c r="L219" s="59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</row>
    <row r="220" spans="12:54" x14ac:dyDescent="0.3">
      <c r="L220" s="59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</row>
    <row r="221" spans="12:54" x14ac:dyDescent="0.3">
      <c r="L221" s="59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</row>
    <row r="222" spans="12:54" x14ac:dyDescent="0.3">
      <c r="L222" s="59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</row>
    <row r="223" spans="12:54" x14ac:dyDescent="0.3">
      <c r="L223" s="59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</row>
    <row r="224" spans="12:54" x14ac:dyDescent="0.3">
      <c r="L224" s="59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</row>
    <row r="225" spans="12:54" x14ac:dyDescent="0.3">
      <c r="L225" s="59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</row>
    <row r="226" spans="12:54" x14ac:dyDescent="0.3">
      <c r="L226" s="59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</row>
  </sheetData>
  <autoFilter ref="B4:BA78" xr:uid="{7D5F64AD-8E68-4DDB-B20D-3B4B5B28A4A6}"/>
  <phoneticPr fontId="2" type="noConversion"/>
  <pageMargins left="0.7" right="0.7" top="0.75" bottom="0.75" header="0.3" footer="0.3"/>
  <pageSetup orientation="portrait" r:id="rId1"/>
  <ignoredErrors>
    <ignoredError sqref="AL5 AL6:AL19 AM5:AM19 AN5:AN19 AO6:AO19 AQ6:AQ10 AS6:AS10 AQ11:AQ19 AS11:AS19 AO5:AQ5 AP6:AP19 AR5:AR19 AS5:AT5 AT6:AT19 AU5:AU19 AW5:AW19 AX5 AX6:AX19 AY5:AZ19 BA5:BA19 AV5:AV19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6849-4426-466C-90F7-A1C86A8A7E38}">
  <dimension ref="A1:AG23"/>
  <sheetViews>
    <sheetView topLeftCell="Q1" zoomScale="80" zoomScaleNormal="80" workbookViewId="0">
      <selection activeCell="AE13" sqref="AE13"/>
    </sheetView>
  </sheetViews>
  <sheetFormatPr baseColWidth="10" defaultRowHeight="14.4" x14ac:dyDescent="0.3"/>
  <cols>
    <col min="1" max="1" width="28.33203125" bestFit="1" customWidth="1"/>
    <col min="2" max="2" width="33.6640625" bestFit="1" customWidth="1"/>
    <col min="3" max="14" width="13" customWidth="1"/>
    <col min="17" max="18" width="32.109375" bestFit="1" customWidth="1"/>
    <col min="26" max="26" width="30.88671875" bestFit="1" customWidth="1"/>
  </cols>
  <sheetData>
    <row r="1" spans="1:33" x14ac:dyDescent="0.3">
      <c r="A1" s="30" t="s">
        <v>45</v>
      </c>
      <c r="B1" t="s">
        <v>55</v>
      </c>
      <c r="Q1" s="30" t="s">
        <v>158</v>
      </c>
      <c r="R1" t="s">
        <v>55</v>
      </c>
      <c r="Z1" s="30" t="s">
        <v>158</v>
      </c>
      <c r="AA1" t="s">
        <v>55</v>
      </c>
    </row>
    <row r="2" spans="1:33" x14ac:dyDescent="0.3">
      <c r="A2" s="30" t="s">
        <v>158</v>
      </c>
      <c r="B2" t="s">
        <v>55</v>
      </c>
      <c r="Q2" s="30" t="s">
        <v>45</v>
      </c>
      <c r="R2" t="s">
        <v>55</v>
      </c>
      <c r="Z2" s="30" t="s">
        <v>45</v>
      </c>
      <c r="AA2" t="s">
        <v>55</v>
      </c>
    </row>
    <row r="3" spans="1:33" x14ac:dyDescent="0.3">
      <c r="Q3" s="30" t="s">
        <v>76</v>
      </c>
      <c r="R3" t="s">
        <v>55</v>
      </c>
      <c r="Z3" s="30" t="s">
        <v>76</v>
      </c>
      <c r="AA3" t="s">
        <v>55</v>
      </c>
    </row>
    <row r="4" spans="1:33" x14ac:dyDescent="0.3">
      <c r="C4" s="30" t="s">
        <v>105</v>
      </c>
      <c r="D4" s="30" t="s">
        <v>132</v>
      </c>
    </row>
    <row r="5" spans="1:33" ht="57.6" x14ac:dyDescent="0.3">
      <c r="C5" s="29" t="s">
        <v>152</v>
      </c>
      <c r="D5" s="29" t="s">
        <v>152</v>
      </c>
      <c r="E5" s="29" t="s">
        <v>154</v>
      </c>
      <c r="F5" s="29" t="s">
        <v>154</v>
      </c>
      <c r="G5" s="29" t="s">
        <v>153</v>
      </c>
      <c r="H5" s="29" t="s">
        <v>153</v>
      </c>
      <c r="I5" s="29" t="s">
        <v>156</v>
      </c>
      <c r="J5" s="29" t="s">
        <v>156</v>
      </c>
      <c r="K5" s="29" t="s">
        <v>155</v>
      </c>
      <c r="L5" s="29" t="s">
        <v>155</v>
      </c>
      <c r="M5" s="29" t="s">
        <v>134</v>
      </c>
      <c r="N5" s="29" t="s">
        <v>133</v>
      </c>
      <c r="Q5" s="30" t="s">
        <v>135</v>
      </c>
      <c r="R5" s="30" t="s">
        <v>105</v>
      </c>
      <c r="Z5" s="30" t="s">
        <v>135</v>
      </c>
      <c r="AA5" s="30" t="s">
        <v>97</v>
      </c>
    </row>
    <row r="6" spans="1:33" ht="57.6" x14ac:dyDescent="0.3">
      <c r="A6" s="30" t="s">
        <v>76</v>
      </c>
      <c r="B6" s="30" t="s">
        <v>97</v>
      </c>
      <c r="C6" t="s">
        <v>135</v>
      </c>
      <c r="D6" t="s">
        <v>131</v>
      </c>
      <c r="E6" t="s">
        <v>135</v>
      </c>
      <c r="F6" t="s">
        <v>131</v>
      </c>
      <c r="G6" t="s">
        <v>135</v>
      </c>
      <c r="H6" t="s">
        <v>131</v>
      </c>
      <c r="I6" t="s">
        <v>135</v>
      </c>
      <c r="J6" t="s">
        <v>131</v>
      </c>
      <c r="K6" t="s">
        <v>135</v>
      </c>
      <c r="L6" t="s">
        <v>131</v>
      </c>
      <c r="M6" s="29"/>
      <c r="N6" s="29"/>
      <c r="Q6" s="30" t="s">
        <v>97</v>
      </c>
      <c r="R6" s="29" t="s">
        <v>152</v>
      </c>
      <c r="S6" s="29" t="s">
        <v>154</v>
      </c>
      <c r="T6" s="29" t="s">
        <v>153</v>
      </c>
      <c r="U6" s="29" t="s">
        <v>156</v>
      </c>
      <c r="V6" s="29" t="s">
        <v>155</v>
      </c>
      <c r="W6" s="29" t="s">
        <v>47</v>
      </c>
      <c r="Z6" s="30" t="s">
        <v>130</v>
      </c>
      <c r="AA6" s="29" t="s">
        <v>145</v>
      </c>
      <c r="AB6" s="29" t="s">
        <v>144</v>
      </c>
      <c r="AC6" s="29" t="s">
        <v>139</v>
      </c>
      <c r="AD6" s="29" t="s">
        <v>140</v>
      </c>
      <c r="AE6" s="29" t="s">
        <v>141</v>
      </c>
      <c r="AF6" s="29" t="s">
        <v>143</v>
      </c>
      <c r="AG6" s="29" t="s">
        <v>47</v>
      </c>
    </row>
    <row r="7" spans="1:33" x14ac:dyDescent="0.3">
      <c r="A7" t="s">
        <v>29</v>
      </c>
      <c r="B7" t="s">
        <v>145</v>
      </c>
      <c r="C7" s="76"/>
      <c r="D7" s="76"/>
      <c r="E7" s="76">
        <v>1</v>
      </c>
      <c r="F7" s="76">
        <v>34</v>
      </c>
      <c r="G7" s="76"/>
      <c r="H7" s="76"/>
      <c r="I7" s="76"/>
      <c r="J7" s="76"/>
      <c r="K7" s="76"/>
      <c r="L7" s="76"/>
      <c r="M7" s="76">
        <v>1</v>
      </c>
      <c r="N7" s="76">
        <v>34</v>
      </c>
      <c r="Q7" t="s">
        <v>145</v>
      </c>
      <c r="R7" s="34">
        <v>0</v>
      </c>
      <c r="S7" s="34">
        <v>2.0833333333333332E-2</v>
      </c>
      <c r="T7" s="34">
        <v>0</v>
      </c>
      <c r="U7" s="34">
        <v>0</v>
      </c>
      <c r="V7" s="34">
        <v>0</v>
      </c>
      <c r="W7" s="34">
        <v>2.0833333333333332E-2</v>
      </c>
      <c r="Z7" t="s">
        <v>166</v>
      </c>
      <c r="AA7" s="34">
        <v>2.0833333333333332E-2</v>
      </c>
      <c r="AB7" s="34">
        <v>0.3125</v>
      </c>
      <c r="AC7" s="34">
        <v>0.10416666666666667</v>
      </c>
      <c r="AD7" s="34">
        <v>2.0833333333333332E-2</v>
      </c>
      <c r="AE7" s="34">
        <v>2.0833333333333332E-2</v>
      </c>
      <c r="AF7" s="34">
        <v>8.3333333333333329E-2</v>
      </c>
      <c r="AG7" s="34">
        <v>0.5625</v>
      </c>
    </row>
    <row r="8" spans="1:33" x14ac:dyDescent="0.3">
      <c r="A8" t="s">
        <v>29</v>
      </c>
      <c r="B8" t="s">
        <v>144</v>
      </c>
      <c r="C8" s="76">
        <v>2</v>
      </c>
      <c r="D8" s="76">
        <v>64</v>
      </c>
      <c r="E8" s="76">
        <v>2</v>
      </c>
      <c r="F8" s="76">
        <v>51</v>
      </c>
      <c r="G8" s="76">
        <v>5</v>
      </c>
      <c r="H8" s="76">
        <v>59</v>
      </c>
      <c r="I8" s="76"/>
      <c r="J8" s="76"/>
      <c r="K8" s="76"/>
      <c r="L8" s="76"/>
      <c r="M8" s="76">
        <v>9</v>
      </c>
      <c r="N8" s="76">
        <v>58.333333333333336</v>
      </c>
      <c r="Q8" t="s">
        <v>144</v>
      </c>
      <c r="R8" s="34">
        <v>0.125</v>
      </c>
      <c r="S8" s="34">
        <v>6.25E-2</v>
      </c>
      <c r="T8" s="34">
        <v>0.1875</v>
      </c>
      <c r="U8" s="34">
        <v>2.0833333333333332E-2</v>
      </c>
      <c r="V8" s="34">
        <v>0</v>
      </c>
      <c r="W8" s="34">
        <v>0.39583333333333331</v>
      </c>
      <c r="Z8" t="s">
        <v>167</v>
      </c>
      <c r="AA8" s="34">
        <v>0</v>
      </c>
      <c r="AB8" s="34">
        <v>6.25E-2</v>
      </c>
      <c r="AC8" s="34">
        <v>8.3333333333333329E-2</v>
      </c>
      <c r="AD8" s="34">
        <v>4.1666666666666664E-2</v>
      </c>
      <c r="AE8" s="34">
        <v>0</v>
      </c>
      <c r="AF8" s="34">
        <v>0.125</v>
      </c>
      <c r="AG8" s="34">
        <v>0.3125</v>
      </c>
    </row>
    <row r="9" spans="1:33" x14ac:dyDescent="0.3">
      <c r="A9" t="s">
        <v>29</v>
      </c>
      <c r="B9" t="s">
        <v>139</v>
      </c>
      <c r="C9" s="76">
        <v>1</v>
      </c>
      <c r="D9" s="76">
        <v>86</v>
      </c>
      <c r="E9" s="76">
        <v>3</v>
      </c>
      <c r="F9" s="76">
        <v>56.666666666666664</v>
      </c>
      <c r="G9" s="76"/>
      <c r="H9" s="76"/>
      <c r="I9" s="76"/>
      <c r="J9" s="76"/>
      <c r="K9" s="76"/>
      <c r="L9" s="76"/>
      <c r="M9" s="76">
        <v>4</v>
      </c>
      <c r="N9" s="76">
        <v>64</v>
      </c>
      <c r="Q9" t="s">
        <v>139</v>
      </c>
      <c r="R9" s="34">
        <v>2.0833333333333332E-2</v>
      </c>
      <c r="S9" s="34">
        <v>0.125</v>
      </c>
      <c r="T9" s="34">
        <v>0</v>
      </c>
      <c r="U9" s="34">
        <v>2.0833333333333332E-2</v>
      </c>
      <c r="V9" s="34">
        <v>4.1666666666666664E-2</v>
      </c>
      <c r="W9" s="34">
        <v>0.20833333333333334</v>
      </c>
      <c r="Z9" t="s">
        <v>168</v>
      </c>
      <c r="AA9" s="34">
        <v>0</v>
      </c>
      <c r="AB9" s="34">
        <v>2.0833333333333332E-2</v>
      </c>
      <c r="AC9" s="34">
        <v>2.0833333333333332E-2</v>
      </c>
      <c r="AD9" s="34">
        <v>2.0833333333333332E-2</v>
      </c>
      <c r="AE9" s="34">
        <v>0</v>
      </c>
      <c r="AF9" s="34">
        <v>0</v>
      </c>
      <c r="AG9" s="34">
        <v>6.25E-2</v>
      </c>
    </row>
    <row r="10" spans="1:33" x14ac:dyDescent="0.3">
      <c r="A10" t="s">
        <v>29</v>
      </c>
      <c r="B10" t="s">
        <v>141</v>
      </c>
      <c r="C10" s="76"/>
      <c r="D10" s="76"/>
      <c r="E10" s="76">
        <v>1</v>
      </c>
      <c r="F10" s="76">
        <v>54</v>
      </c>
      <c r="G10" s="76">
        <v>1</v>
      </c>
      <c r="H10" s="76">
        <v>101</v>
      </c>
      <c r="I10" s="76"/>
      <c r="J10" s="76"/>
      <c r="K10" s="76"/>
      <c r="L10" s="76"/>
      <c r="M10" s="76">
        <v>2</v>
      </c>
      <c r="N10" s="76">
        <v>77.5</v>
      </c>
      <c r="Q10" t="s">
        <v>140</v>
      </c>
      <c r="R10" s="34">
        <v>0</v>
      </c>
      <c r="S10" s="34">
        <v>2.0833333333333332E-2</v>
      </c>
      <c r="T10" s="34">
        <v>4.1666666666666664E-2</v>
      </c>
      <c r="U10" s="34">
        <v>2.0833333333333332E-2</v>
      </c>
      <c r="V10" s="34">
        <v>0</v>
      </c>
      <c r="W10" s="34">
        <v>8.3333333333333329E-2</v>
      </c>
      <c r="Z10" t="s">
        <v>169</v>
      </c>
      <c r="AA10" s="34">
        <v>0</v>
      </c>
      <c r="AB10" s="34">
        <v>0</v>
      </c>
      <c r="AC10" s="34">
        <v>0</v>
      </c>
      <c r="AD10" s="34">
        <v>0</v>
      </c>
      <c r="AE10" s="34">
        <v>2.0833333333333332E-2</v>
      </c>
      <c r="AF10" s="34">
        <v>4.1666666666666664E-2</v>
      </c>
      <c r="AG10" s="34">
        <v>6.25E-2</v>
      </c>
    </row>
    <row r="11" spans="1:33" x14ac:dyDescent="0.3">
      <c r="A11" t="s">
        <v>29</v>
      </c>
      <c r="B11" t="s">
        <v>143</v>
      </c>
      <c r="C11" s="76">
        <v>6</v>
      </c>
      <c r="D11" s="76">
        <v>81.5</v>
      </c>
      <c r="E11" s="76"/>
      <c r="F11" s="76"/>
      <c r="G11" s="76"/>
      <c r="H11" s="76"/>
      <c r="I11" s="76"/>
      <c r="J11" s="76"/>
      <c r="K11" s="76"/>
      <c r="L11" s="76"/>
      <c r="M11" s="76">
        <v>6</v>
      </c>
      <c r="N11" s="76">
        <v>81.5</v>
      </c>
      <c r="Q11" t="s">
        <v>141</v>
      </c>
      <c r="R11" s="34">
        <v>0</v>
      </c>
      <c r="S11" s="34">
        <v>2.0833333333333332E-2</v>
      </c>
      <c r="T11" s="34">
        <v>2.0833333333333332E-2</v>
      </c>
      <c r="U11" s="34">
        <v>0</v>
      </c>
      <c r="V11" s="34">
        <v>0</v>
      </c>
      <c r="W11" s="34">
        <v>4.1666666666666664E-2</v>
      </c>
      <c r="Z11" t="s">
        <v>47</v>
      </c>
      <c r="AA11" s="34">
        <v>2.0833333333333332E-2</v>
      </c>
      <c r="AB11" s="34">
        <v>0.39583333333333331</v>
      </c>
      <c r="AC11" s="34">
        <v>0.20833333333333334</v>
      </c>
      <c r="AD11" s="34">
        <v>8.3333333333333329E-2</v>
      </c>
      <c r="AE11" s="34">
        <v>4.1666666666666664E-2</v>
      </c>
      <c r="AF11" s="34">
        <v>0.25</v>
      </c>
      <c r="AG11" s="34">
        <v>1</v>
      </c>
    </row>
    <row r="12" spans="1:33" x14ac:dyDescent="0.3">
      <c r="A12" t="s">
        <v>29</v>
      </c>
      <c r="B12" t="s">
        <v>106</v>
      </c>
      <c r="C12" s="76">
        <v>7</v>
      </c>
      <c r="D12" s="76">
        <v>64.285714285714292</v>
      </c>
      <c r="E12" s="76">
        <v>6</v>
      </c>
      <c r="F12" s="76">
        <v>67.333333333333329</v>
      </c>
      <c r="G12" s="76">
        <v>2</v>
      </c>
      <c r="H12" s="76">
        <v>53</v>
      </c>
      <c r="I12" s="76"/>
      <c r="J12" s="76"/>
      <c r="K12" s="76"/>
      <c r="L12" s="76"/>
      <c r="M12" s="76">
        <v>15</v>
      </c>
      <c r="N12" s="76">
        <v>64</v>
      </c>
      <c r="Q12" t="s">
        <v>143</v>
      </c>
      <c r="R12" s="34">
        <v>0.20833333333333334</v>
      </c>
      <c r="S12" s="34">
        <v>2.0833333333333332E-2</v>
      </c>
      <c r="T12" s="34">
        <v>2.0833333333333332E-2</v>
      </c>
      <c r="U12" s="34">
        <v>0</v>
      </c>
      <c r="V12" s="34">
        <v>0</v>
      </c>
      <c r="W12" s="34">
        <v>0.25</v>
      </c>
    </row>
    <row r="13" spans="1:33" x14ac:dyDescent="0.3">
      <c r="A13" t="s">
        <v>56</v>
      </c>
      <c r="C13" s="76">
        <v>16</v>
      </c>
      <c r="D13" s="76">
        <v>72.0625</v>
      </c>
      <c r="E13" s="76">
        <v>13</v>
      </c>
      <c r="F13" s="76">
        <v>58.769230769230766</v>
      </c>
      <c r="G13" s="76">
        <v>8</v>
      </c>
      <c r="H13" s="76">
        <v>62.75</v>
      </c>
      <c r="I13" s="76"/>
      <c r="J13" s="76"/>
      <c r="K13" s="76"/>
      <c r="L13" s="76"/>
      <c r="M13" s="76">
        <v>37</v>
      </c>
      <c r="N13" s="76">
        <v>65.378378378378372</v>
      </c>
      <c r="Q13" t="s">
        <v>47</v>
      </c>
      <c r="R13" s="34">
        <v>0.35416666666666669</v>
      </c>
      <c r="S13" s="34">
        <v>0.27083333333333331</v>
      </c>
      <c r="T13" s="34">
        <v>0.27083333333333331</v>
      </c>
      <c r="U13" s="34">
        <v>6.25E-2</v>
      </c>
      <c r="V13" s="34">
        <v>4.1666666666666664E-2</v>
      </c>
      <c r="W13" s="34">
        <v>1</v>
      </c>
    </row>
    <row r="14" spans="1:33" x14ac:dyDescent="0.3">
      <c r="A14" t="s">
        <v>30</v>
      </c>
      <c r="B14" t="s">
        <v>144</v>
      </c>
      <c r="C14" s="76">
        <v>4</v>
      </c>
      <c r="D14" s="76">
        <v>62.25</v>
      </c>
      <c r="E14" s="76">
        <v>1</v>
      </c>
      <c r="F14" s="76">
        <v>64</v>
      </c>
      <c r="G14" s="76">
        <v>3</v>
      </c>
      <c r="H14" s="76">
        <v>61.333333333333336</v>
      </c>
      <c r="I14" s="76">
        <v>1</v>
      </c>
      <c r="J14" s="76">
        <v>86</v>
      </c>
      <c r="K14" s="76"/>
      <c r="L14" s="76"/>
      <c r="M14" s="76">
        <v>9</v>
      </c>
      <c r="N14" s="76">
        <v>64.777777777777771</v>
      </c>
    </row>
    <row r="15" spans="1:33" x14ac:dyDescent="0.3">
      <c r="A15" t="s">
        <v>30</v>
      </c>
      <c r="B15" t="s">
        <v>139</v>
      </c>
      <c r="C15" s="76"/>
      <c r="D15" s="76"/>
      <c r="E15" s="76">
        <v>3</v>
      </c>
      <c r="F15" s="76">
        <v>62.333333333333336</v>
      </c>
      <c r="G15" s="76"/>
      <c r="H15" s="76"/>
      <c r="I15" s="76">
        <v>1</v>
      </c>
      <c r="J15" s="76">
        <v>62</v>
      </c>
      <c r="K15" s="76">
        <v>2</v>
      </c>
      <c r="L15" s="76">
        <v>74</v>
      </c>
      <c r="M15" s="76">
        <v>6</v>
      </c>
      <c r="N15" s="76">
        <v>66.166666666666671</v>
      </c>
    </row>
    <row r="16" spans="1:33" x14ac:dyDescent="0.3">
      <c r="A16" t="s">
        <v>30</v>
      </c>
      <c r="B16" t="s">
        <v>140</v>
      </c>
      <c r="C16" s="76"/>
      <c r="D16" s="76"/>
      <c r="E16" s="76">
        <v>1</v>
      </c>
      <c r="F16" s="76">
        <v>66</v>
      </c>
      <c r="G16" s="76">
        <v>2</v>
      </c>
      <c r="H16" s="76">
        <v>78</v>
      </c>
      <c r="I16" s="76">
        <v>1</v>
      </c>
      <c r="J16" s="76">
        <v>62</v>
      </c>
      <c r="K16" s="76"/>
      <c r="L16" s="76"/>
      <c r="M16" s="76">
        <v>4</v>
      </c>
      <c r="N16" s="76">
        <v>71</v>
      </c>
    </row>
    <row r="17" spans="1:14" x14ac:dyDescent="0.3">
      <c r="A17" t="s">
        <v>30</v>
      </c>
      <c r="B17" t="s">
        <v>143</v>
      </c>
      <c r="C17" s="76">
        <v>4</v>
      </c>
      <c r="D17" s="76">
        <v>78</v>
      </c>
      <c r="E17" s="76">
        <v>1</v>
      </c>
      <c r="F17" s="76">
        <v>60</v>
      </c>
      <c r="G17" s="76">
        <v>1</v>
      </c>
      <c r="H17" s="76">
        <v>62</v>
      </c>
      <c r="I17" s="76"/>
      <c r="J17" s="76"/>
      <c r="K17" s="76"/>
      <c r="L17" s="76"/>
      <c r="M17" s="76">
        <v>6</v>
      </c>
      <c r="N17" s="76">
        <v>72.333333333333329</v>
      </c>
    </row>
    <row r="18" spans="1:14" x14ac:dyDescent="0.3">
      <c r="A18" t="s">
        <v>30</v>
      </c>
      <c r="B18" t="s">
        <v>106</v>
      </c>
      <c r="C18" s="76">
        <v>7</v>
      </c>
      <c r="D18" s="76">
        <v>70.285714285714292</v>
      </c>
      <c r="E18" s="76"/>
      <c r="F18" s="76"/>
      <c r="G18" s="76">
        <v>1</v>
      </c>
      <c r="H18" s="76">
        <v>52</v>
      </c>
      <c r="I18" s="76"/>
      <c r="J18" s="76"/>
      <c r="K18" s="76"/>
      <c r="L18" s="76"/>
      <c r="M18" s="76">
        <v>8</v>
      </c>
      <c r="N18" s="76">
        <v>68</v>
      </c>
    </row>
    <row r="19" spans="1:14" x14ac:dyDescent="0.3">
      <c r="A19" t="s">
        <v>57</v>
      </c>
      <c r="C19" s="76">
        <v>15</v>
      </c>
      <c r="D19" s="76">
        <v>70.2</v>
      </c>
      <c r="E19" s="76">
        <v>6</v>
      </c>
      <c r="F19" s="76">
        <v>62.833333333333336</v>
      </c>
      <c r="G19" s="76">
        <v>7</v>
      </c>
      <c r="H19" s="76">
        <v>64.857142857142861</v>
      </c>
      <c r="I19" s="76">
        <v>3</v>
      </c>
      <c r="J19" s="76">
        <v>70</v>
      </c>
      <c r="K19" s="76">
        <v>2</v>
      </c>
      <c r="L19" s="76">
        <v>74</v>
      </c>
      <c r="M19" s="76">
        <v>33</v>
      </c>
      <c r="N19" s="76">
        <v>67.939393939393938</v>
      </c>
    </row>
    <row r="20" spans="1:14" x14ac:dyDescent="0.3">
      <c r="A20" t="s">
        <v>23</v>
      </c>
      <c r="B20" t="s">
        <v>144</v>
      </c>
      <c r="C20" s="76"/>
      <c r="D20" s="76"/>
      <c r="E20" s="76"/>
      <c r="F20" s="76"/>
      <c r="G20" s="76">
        <v>1</v>
      </c>
      <c r="H20" s="76">
        <v>38</v>
      </c>
      <c r="I20" s="76"/>
      <c r="J20" s="76"/>
      <c r="K20" s="76"/>
      <c r="L20" s="76"/>
      <c r="M20" s="76">
        <v>1</v>
      </c>
      <c r="N20" s="76">
        <v>38</v>
      </c>
    </row>
    <row r="21" spans="1:14" x14ac:dyDescent="0.3">
      <c r="A21" t="s">
        <v>23</v>
      </c>
      <c r="B21" t="s">
        <v>106</v>
      </c>
      <c r="C21" s="76">
        <v>3</v>
      </c>
      <c r="D21" s="76">
        <v>57.666666666666664</v>
      </c>
      <c r="E21" s="76"/>
      <c r="F21" s="76"/>
      <c r="G21" s="76"/>
      <c r="H21" s="76"/>
      <c r="I21" s="76"/>
      <c r="J21" s="76"/>
      <c r="K21" s="76"/>
      <c r="L21" s="76"/>
      <c r="M21" s="76">
        <v>3</v>
      </c>
      <c r="N21" s="76">
        <v>57.666666666666664</v>
      </c>
    </row>
    <row r="22" spans="1:14" x14ac:dyDescent="0.3">
      <c r="A22" t="s">
        <v>58</v>
      </c>
      <c r="C22" s="76">
        <v>3</v>
      </c>
      <c r="D22" s="76">
        <v>57.666666666666664</v>
      </c>
      <c r="E22" s="76"/>
      <c r="F22" s="76"/>
      <c r="G22" s="76">
        <v>1</v>
      </c>
      <c r="H22" s="76">
        <v>38</v>
      </c>
      <c r="I22" s="76"/>
      <c r="J22" s="76"/>
      <c r="K22" s="76"/>
      <c r="L22" s="76"/>
      <c r="M22" s="76">
        <v>4</v>
      </c>
      <c r="N22" s="76">
        <v>52.75</v>
      </c>
    </row>
    <row r="23" spans="1:14" x14ac:dyDescent="0.3">
      <c r="A23" t="s">
        <v>47</v>
      </c>
      <c r="C23" s="76">
        <v>34</v>
      </c>
      <c r="D23" s="76">
        <v>69.970588235294116</v>
      </c>
      <c r="E23" s="76">
        <v>19</v>
      </c>
      <c r="F23" s="76">
        <v>60.05263157894737</v>
      </c>
      <c r="G23" s="76">
        <v>16</v>
      </c>
      <c r="H23" s="76">
        <v>62.125</v>
      </c>
      <c r="I23" s="76">
        <v>3</v>
      </c>
      <c r="J23" s="76">
        <v>70</v>
      </c>
      <c r="K23" s="76">
        <v>2</v>
      </c>
      <c r="L23" s="76">
        <v>74</v>
      </c>
      <c r="M23" s="76">
        <v>74</v>
      </c>
      <c r="N23" s="76">
        <v>65.837837837837839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412-A8F1-43F9-A193-75F7FC592A30}">
  <dimension ref="A1:K27"/>
  <sheetViews>
    <sheetView showGridLines="0" zoomScale="80" zoomScaleNormal="80" workbookViewId="0">
      <selection activeCell="D24" sqref="D24"/>
    </sheetView>
  </sheetViews>
  <sheetFormatPr baseColWidth="10" defaultColWidth="11.44140625" defaultRowHeight="13.8" x14ac:dyDescent="0.3"/>
  <cols>
    <col min="1" max="1" width="22.5546875" style="43" bestFit="1" customWidth="1"/>
    <col min="2" max="2" width="18.88671875" style="43" bestFit="1" customWidth="1"/>
    <col min="3" max="10" width="16.44140625" style="43" customWidth="1"/>
    <col min="11" max="16384" width="11.44140625" style="43"/>
  </cols>
  <sheetData>
    <row r="1" spans="1:11" x14ac:dyDescent="0.3">
      <c r="A1" s="77" t="s">
        <v>158</v>
      </c>
      <c r="B1" s="43" t="s">
        <v>55</v>
      </c>
    </row>
    <row r="2" spans="1:11" x14ac:dyDescent="0.3">
      <c r="A2" s="77" t="s">
        <v>45</v>
      </c>
      <c r="B2" s="43" t="s">
        <v>55</v>
      </c>
    </row>
    <row r="3" spans="1:11" s="78" customFormat="1" ht="14.4" x14ac:dyDescent="0.3">
      <c r="A3" s="77" t="s">
        <v>105</v>
      </c>
      <c r="B3" s="43" t="s">
        <v>55</v>
      </c>
      <c r="C3"/>
      <c r="D3"/>
      <c r="E3"/>
      <c r="F3"/>
      <c r="G3"/>
      <c r="H3"/>
      <c r="I3"/>
      <c r="J3"/>
    </row>
    <row r="4" spans="1:11" ht="14.4" x14ac:dyDescent="0.3">
      <c r="A4" s="77" t="s">
        <v>97</v>
      </c>
      <c r="B4" s="43" t="s">
        <v>55</v>
      </c>
      <c r="C4"/>
      <c r="D4"/>
      <c r="E4"/>
      <c r="F4"/>
      <c r="G4"/>
      <c r="H4"/>
      <c r="I4"/>
      <c r="J4"/>
    </row>
    <row r="5" spans="1:11" ht="14.4" x14ac:dyDescent="0.3">
      <c r="A5"/>
      <c r="B5"/>
      <c r="C5"/>
      <c r="D5"/>
      <c r="E5"/>
      <c r="F5"/>
      <c r="G5"/>
      <c r="H5"/>
      <c r="I5"/>
      <c r="J5"/>
    </row>
    <row r="6" spans="1:11" ht="55.2" x14ac:dyDescent="0.3">
      <c r="A6" s="79" t="s">
        <v>76</v>
      </c>
      <c r="B6" s="79" t="s">
        <v>75</v>
      </c>
      <c r="C6" s="78" t="s">
        <v>135</v>
      </c>
      <c r="D6" s="78" t="s">
        <v>181</v>
      </c>
      <c r="E6" s="78" t="s">
        <v>175</v>
      </c>
      <c r="F6" s="78" t="s">
        <v>176</v>
      </c>
      <c r="G6" s="78" t="s">
        <v>177</v>
      </c>
      <c r="H6" s="78" t="s">
        <v>178</v>
      </c>
      <c r="I6" s="78" t="s">
        <v>179</v>
      </c>
      <c r="J6" s="78" t="s">
        <v>180</v>
      </c>
      <c r="K6" s="78" t="s">
        <v>131</v>
      </c>
    </row>
    <row r="7" spans="1:11" x14ac:dyDescent="0.3">
      <c r="A7" s="43" t="s">
        <v>29</v>
      </c>
      <c r="B7" s="43" t="s">
        <v>9</v>
      </c>
      <c r="C7" s="80">
        <v>5</v>
      </c>
      <c r="D7" s="81">
        <v>770462.28760000004</v>
      </c>
      <c r="E7" s="80">
        <v>46</v>
      </c>
      <c r="F7" s="80">
        <v>42</v>
      </c>
      <c r="G7" s="80">
        <v>98</v>
      </c>
      <c r="H7" s="80">
        <v>66</v>
      </c>
      <c r="I7" s="80">
        <v>92</v>
      </c>
      <c r="J7" s="80">
        <v>60</v>
      </c>
      <c r="K7" s="80">
        <v>75.8</v>
      </c>
    </row>
    <row r="8" spans="1:11" x14ac:dyDescent="0.3">
      <c r="A8" s="43" t="s">
        <v>29</v>
      </c>
      <c r="B8" s="43" t="s">
        <v>14</v>
      </c>
      <c r="C8" s="80">
        <v>6</v>
      </c>
      <c r="D8" s="81">
        <v>691020.02997222228</v>
      </c>
      <c r="E8" s="80">
        <v>58.333333333333336</v>
      </c>
      <c r="F8" s="80">
        <v>58.333333333333336</v>
      </c>
      <c r="G8" s="80">
        <v>68.333333333333329</v>
      </c>
      <c r="H8" s="80">
        <v>62.333333333333336</v>
      </c>
      <c r="I8" s="80">
        <v>95</v>
      </c>
      <c r="J8" s="80">
        <v>56.666666666666664</v>
      </c>
      <c r="K8" s="80">
        <v>74.833333333333329</v>
      </c>
    </row>
    <row r="9" spans="1:11" x14ac:dyDescent="0.3">
      <c r="A9" s="43" t="s">
        <v>29</v>
      </c>
      <c r="B9" s="43" t="s">
        <v>10</v>
      </c>
      <c r="C9" s="80">
        <v>10</v>
      </c>
      <c r="D9" s="81">
        <v>758773.80483333336</v>
      </c>
      <c r="E9" s="80">
        <v>38</v>
      </c>
      <c r="F9" s="80">
        <v>42</v>
      </c>
      <c r="G9" s="80">
        <v>77</v>
      </c>
      <c r="H9" s="80">
        <v>54.4</v>
      </c>
      <c r="I9" s="80">
        <v>89</v>
      </c>
      <c r="J9" s="80">
        <v>63</v>
      </c>
      <c r="K9" s="80">
        <v>69.099999999999994</v>
      </c>
    </row>
    <row r="10" spans="1:11" x14ac:dyDescent="0.3">
      <c r="A10" s="43" t="s">
        <v>29</v>
      </c>
      <c r="B10" s="43" t="s">
        <v>12</v>
      </c>
      <c r="C10" s="80">
        <v>6</v>
      </c>
      <c r="D10" s="81">
        <v>318970.94150000002</v>
      </c>
      <c r="E10" s="80">
        <v>45</v>
      </c>
      <c r="F10" s="80">
        <v>33.333333333333336</v>
      </c>
      <c r="G10" s="80">
        <v>43.333333333333336</v>
      </c>
      <c r="H10" s="80">
        <v>42</v>
      </c>
      <c r="I10" s="80">
        <v>85</v>
      </c>
      <c r="J10" s="80">
        <v>48.333333333333336</v>
      </c>
      <c r="K10" s="80">
        <v>59.833333333333336</v>
      </c>
    </row>
    <row r="11" spans="1:11" x14ac:dyDescent="0.3">
      <c r="A11" s="43" t="s">
        <v>29</v>
      </c>
      <c r="B11" s="43" t="s">
        <v>22</v>
      </c>
      <c r="C11" s="80">
        <v>4</v>
      </c>
      <c r="D11" s="81">
        <v>715981.9157916666</v>
      </c>
      <c r="E11" s="80">
        <v>60</v>
      </c>
      <c r="F11" s="80">
        <v>45</v>
      </c>
      <c r="G11" s="80">
        <v>42.5</v>
      </c>
      <c r="H11" s="80">
        <v>50</v>
      </c>
      <c r="I11" s="80">
        <v>65</v>
      </c>
      <c r="J11" s="80">
        <v>52.5</v>
      </c>
      <c r="K11" s="80">
        <v>56.25</v>
      </c>
    </row>
    <row r="12" spans="1:11" x14ac:dyDescent="0.3">
      <c r="A12" s="43" t="s">
        <v>29</v>
      </c>
      <c r="B12" s="43" t="s">
        <v>24</v>
      </c>
      <c r="C12" s="80">
        <v>4</v>
      </c>
      <c r="D12" s="81">
        <v>527009.72862500011</v>
      </c>
      <c r="E12" s="80">
        <v>35</v>
      </c>
      <c r="F12" s="80">
        <v>55</v>
      </c>
      <c r="G12" s="80">
        <v>55</v>
      </c>
      <c r="H12" s="80">
        <v>47</v>
      </c>
      <c r="I12" s="80">
        <v>67.5</v>
      </c>
      <c r="J12" s="80">
        <v>35</v>
      </c>
      <c r="K12" s="80">
        <v>54</v>
      </c>
    </row>
    <row r="13" spans="1:11" x14ac:dyDescent="0.3">
      <c r="A13" s="43" t="s">
        <v>29</v>
      </c>
      <c r="B13" s="43" t="s">
        <v>18</v>
      </c>
      <c r="C13" s="80">
        <v>2</v>
      </c>
      <c r="D13" s="81">
        <v>730161.94424999994</v>
      </c>
      <c r="E13" s="80">
        <v>70</v>
      </c>
      <c r="F13" s="80">
        <v>30</v>
      </c>
      <c r="G13" s="80">
        <v>50</v>
      </c>
      <c r="H13" s="80">
        <v>54</v>
      </c>
      <c r="I13" s="80">
        <v>50</v>
      </c>
      <c r="J13" s="80">
        <v>30</v>
      </c>
      <c r="K13" s="80">
        <v>50</v>
      </c>
    </row>
    <row r="14" spans="1:11" x14ac:dyDescent="0.3">
      <c r="A14" s="43" t="s">
        <v>56</v>
      </c>
      <c r="C14" s="80">
        <v>37</v>
      </c>
      <c r="D14" s="81">
        <v>646818.53463063086</v>
      </c>
      <c r="E14" s="80">
        <v>47.297297297297298</v>
      </c>
      <c r="F14" s="80">
        <v>44.324324324324323</v>
      </c>
      <c r="G14" s="80">
        <v>65.405405405405403</v>
      </c>
      <c r="H14" s="80">
        <v>53.945945945945944</v>
      </c>
      <c r="I14" s="80">
        <v>82.702702702702709</v>
      </c>
      <c r="J14" s="80">
        <v>53.243243243243242</v>
      </c>
      <c r="K14" s="80">
        <v>65.378378378378372</v>
      </c>
    </row>
    <row r="15" spans="1:11" x14ac:dyDescent="0.3">
      <c r="A15" s="43" t="s">
        <v>30</v>
      </c>
      <c r="B15" s="43" t="s">
        <v>16</v>
      </c>
      <c r="C15" s="80">
        <v>2</v>
      </c>
      <c r="D15" s="81">
        <v>2142803.4049999998</v>
      </c>
      <c r="E15" s="80">
        <v>90</v>
      </c>
      <c r="F15" s="80">
        <v>30</v>
      </c>
      <c r="G15" s="80">
        <v>110</v>
      </c>
      <c r="H15" s="80">
        <v>86</v>
      </c>
      <c r="I15" s="80">
        <v>95</v>
      </c>
      <c r="J15" s="80">
        <v>80</v>
      </c>
      <c r="K15" s="80">
        <v>89</v>
      </c>
    </row>
    <row r="16" spans="1:11" x14ac:dyDescent="0.3">
      <c r="A16" s="43" t="s">
        <v>30</v>
      </c>
      <c r="B16" s="43" t="s">
        <v>19</v>
      </c>
      <c r="C16" s="80">
        <v>4</v>
      </c>
      <c r="D16" s="81">
        <v>394333.97299999994</v>
      </c>
      <c r="E16" s="80">
        <v>40</v>
      </c>
      <c r="F16" s="80">
        <v>40</v>
      </c>
      <c r="G16" s="80">
        <v>82.5</v>
      </c>
      <c r="H16" s="80">
        <v>57</v>
      </c>
      <c r="I16" s="80">
        <v>95</v>
      </c>
      <c r="J16" s="80">
        <v>57.5</v>
      </c>
      <c r="K16" s="80">
        <v>72.25</v>
      </c>
    </row>
    <row r="17" spans="1:11" x14ac:dyDescent="0.3">
      <c r="A17" s="43" t="s">
        <v>30</v>
      </c>
      <c r="B17" s="43" t="s">
        <v>11</v>
      </c>
      <c r="C17" s="80">
        <v>6</v>
      </c>
      <c r="D17" s="81">
        <v>606565.53044444451</v>
      </c>
      <c r="E17" s="80">
        <v>50</v>
      </c>
      <c r="F17" s="80">
        <v>40</v>
      </c>
      <c r="G17" s="80">
        <v>83.333333333333329</v>
      </c>
      <c r="H17" s="80">
        <v>61.333333333333336</v>
      </c>
      <c r="I17" s="80">
        <v>88.333333333333329</v>
      </c>
      <c r="J17" s="80">
        <v>43.333333333333336</v>
      </c>
      <c r="K17" s="80">
        <v>70.333333333333329</v>
      </c>
    </row>
    <row r="18" spans="1:11" x14ac:dyDescent="0.3">
      <c r="A18" s="43" t="s">
        <v>30</v>
      </c>
      <c r="B18" s="43" t="s">
        <v>15</v>
      </c>
      <c r="C18" s="80">
        <v>2</v>
      </c>
      <c r="D18" s="81">
        <v>766089.95900000003</v>
      </c>
      <c r="E18" s="80">
        <v>50</v>
      </c>
      <c r="F18" s="80">
        <v>50</v>
      </c>
      <c r="G18" s="80">
        <v>50</v>
      </c>
      <c r="H18" s="80">
        <v>50</v>
      </c>
      <c r="I18" s="80">
        <v>100</v>
      </c>
      <c r="J18" s="80">
        <v>40</v>
      </c>
      <c r="K18" s="80">
        <v>69</v>
      </c>
    </row>
    <row r="19" spans="1:11" x14ac:dyDescent="0.3">
      <c r="A19" s="43" t="s">
        <v>30</v>
      </c>
      <c r="B19" s="43" t="s">
        <v>13</v>
      </c>
      <c r="C19" s="80">
        <v>5</v>
      </c>
      <c r="D19" s="81">
        <v>764532.5075999999</v>
      </c>
      <c r="E19" s="80">
        <v>50</v>
      </c>
      <c r="F19" s="80">
        <v>38</v>
      </c>
      <c r="G19" s="80">
        <v>90</v>
      </c>
      <c r="H19" s="80">
        <v>63.6</v>
      </c>
      <c r="I19" s="80">
        <v>80</v>
      </c>
      <c r="J19" s="80">
        <v>46</v>
      </c>
      <c r="K19" s="80">
        <v>68.400000000000006</v>
      </c>
    </row>
    <row r="20" spans="1:11" x14ac:dyDescent="0.3">
      <c r="A20" s="43" t="s">
        <v>30</v>
      </c>
      <c r="B20" s="43" t="s">
        <v>20</v>
      </c>
      <c r="C20" s="80">
        <v>3</v>
      </c>
      <c r="D20" s="81">
        <v>636035.78633333335</v>
      </c>
      <c r="E20" s="80">
        <v>43.333333333333336</v>
      </c>
      <c r="F20" s="80">
        <v>50</v>
      </c>
      <c r="G20" s="80">
        <v>56.666666666666664</v>
      </c>
      <c r="H20" s="80">
        <v>50</v>
      </c>
      <c r="I20" s="80">
        <v>90</v>
      </c>
      <c r="J20" s="80">
        <v>43.333333333333336</v>
      </c>
      <c r="K20" s="80">
        <v>65.333333333333329</v>
      </c>
    </row>
    <row r="21" spans="1:11" x14ac:dyDescent="0.3">
      <c r="A21" s="43" t="s">
        <v>30</v>
      </c>
      <c r="B21" s="43" t="s">
        <v>21</v>
      </c>
      <c r="C21" s="80">
        <v>5</v>
      </c>
      <c r="D21" s="81">
        <v>758087.4617000001</v>
      </c>
      <c r="E21" s="80">
        <v>52</v>
      </c>
      <c r="F21" s="80">
        <v>44</v>
      </c>
      <c r="G21" s="80">
        <v>72</v>
      </c>
      <c r="H21" s="80">
        <v>58.4</v>
      </c>
      <c r="I21" s="80">
        <v>78</v>
      </c>
      <c r="J21" s="80">
        <v>38</v>
      </c>
      <c r="K21" s="80">
        <v>64.2</v>
      </c>
    </row>
    <row r="22" spans="1:11" x14ac:dyDescent="0.3">
      <c r="A22" s="43" t="s">
        <v>30</v>
      </c>
      <c r="B22" s="43" t="s">
        <v>17</v>
      </c>
      <c r="C22" s="80">
        <v>6</v>
      </c>
      <c r="D22" s="81">
        <v>832782.72308333358</v>
      </c>
      <c r="E22" s="80">
        <v>46.666666666666664</v>
      </c>
      <c r="F22" s="80">
        <v>33.333333333333336</v>
      </c>
      <c r="G22" s="80">
        <v>70</v>
      </c>
      <c r="H22" s="80">
        <v>53.333333333333336</v>
      </c>
      <c r="I22" s="80">
        <v>73.333333333333329</v>
      </c>
      <c r="J22" s="80">
        <v>33.333333333333336</v>
      </c>
      <c r="K22" s="80">
        <v>59.333333333333336</v>
      </c>
    </row>
    <row r="23" spans="1:11" x14ac:dyDescent="0.3">
      <c r="A23" s="43" t="s">
        <v>57</v>
      </c>
      <c r="C23" s="80">
        <v>33</v>
      </c>
      <c r="D23" s="81">
        <v>774315.73777777795</v>
      </c>
      <c r="E23" s="80">
        <v>50.303030303030305</v>
      </c>
      <c r="F23" s="80">
        <v>40</v>
      </c>
      <c r="G23" s="80">
        <v>77.272727272727266</v>
      </c>
      <c r="H23" s="80">
        <v>59.030303030303031</v>
      </c>
      <c r="I23" s="80">
        <v>84.848484848484844</v>
      </c>
      <c r="J23" s="80">
        <v>44.848484848484851</v>
      </c>
      <c r="K23" s="80">
        <v>67.939393939393938</v>
      </c>
    </row>
    <row r="24" spans="1:11" x14ac:dyDescent="0.3">
      <c r="A24" s="43" t="s">
        <v>23</v>
      </c>
      <c r="B24" s="43" t="s">
        <v>26</v>
      </c>
      <c r="C24" s="80">
        <v>1</v>
      </c>
      <c r="D24" s="81">
        <v>147782.72</v>
      </c>
      <c r="E24" s="80">
        <v>30</v>
      </c>
      <c r="F24" s="80">
        <v>30</v>
      </c>
      <c r="G24" s="80">
        <v>0</v>
      </c>
      <c r="H24" s="80">
        <v>18</v>
      </c>
      <c r="I24" s="80">
        <v>110</v>
      </c>
      <c r="J24" s="80">
        <v>90</v>
      </c>
      <c r="K24" s="80">
        <v>62</v>
      </c>
    </row>
    <row r="25" spans="1:11" x14ac:dyDescent="0.3">
      <c r="A25" s="43" t="s">
        <v>23</v>
      </c>
      <c r="B25" s="43" t="s">
        <v>25</v>
      </c>
      <c r="C25" s="80">
        <v>3</v>
      </c>
      <c r="D25" s="81">
        <v>710759.56444444449</v>
      </c>
      <c r="E25" s="80">
        <v>43.333333333333336</v>
      </c>
      <c r="F25" s="80">
        <v>30</v>
      </c>
      <c r="G25" s="80">
        <v>46.666666666666664</v>
      </c>
      <c r="H25" s="80">
        <v>42</v>
      </c>
      <c r="I25" s="80">
        <v>56.666666666666664</v>
      </c>
      <c r="J25" s="80">
        <v>60</v>
      </c>
      <c r="K25" s="80">
        <v>49.666666666666664</v>
      </c>
    </row>
    <row r="26" spans="1:11" x14ac:dyDescent="0.3">
      <c r="A26" s="43" t="s">
        <v>58</v>
      </c>
      <c r="C26" s="80">
        <v>4</v>
      </c>
      <c r="D26" s="81">
        <v>570015.35333333327</v>
      </c>
      <c r="E26" s="80">
        <v>40</v>
      </c>
      <c r="F26" s="80">
        <v>30</v>
      </c>
      <c r="G26" s="80">
        <v>35</v>
      </c>
      <c r="H26" s="80">
        <v>36</v>
      </c>
      <c r="I26" s="80">
        <v>70</v>
      </c>
      <c r="J26" s="80">
        <v>67.5</v>
      </c>
      <c r="K26" s="80">
        <v>52.75</v>
      </c>
    </row>
    <row r="27" spans="1:11" x14ac:dyDescent="0.3">
      <c r="A27" s="43" t="s">
        <v>47</v>
      </c>
      <c r="C27" s="80">
        <v>74</v>
      </c>
      <c r="D27" s="81">
        <v>699523.87218018039</v>
      </c>
      <c r="E27" s="80">
        <v>48.243243243243242</v>
      </c>
      <c r="F27" s="80">
        <v>41.621621621621621</v>
      </c>
      <c r="G27" s="80">
        <v>69.054054054054049</v>
      </c>
      <c r="H27" s="80">
        <v>55.243243243243242</v>
      </c>
      <c r="I27" s="80">
        <v>82.972972972972968</v>
      </c>
      <c r="J27" s="80">
        <v>50.270270270270274</v>
      </c>
      <c r="K27" s="80">
        <v>65.837837837837839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96948-8EDD-49D4-97A7-D16CFD163DFF}">
  <dimension ref="A1:O26"/>
  <sheetViews>
    <sheetView showGridLines="0" zoomScale="80" zoomScaleNormal="80" workbookViewId="0">
      <selection activeCell="F26" sqref="F26"/>
    </sheetView>
  </sheetViews>
  <sheetFormatPr baseColWidth="10" defaultRowHeight="14.4" x14ac:dyDescent="0.3"/>
  <cols>
    <col min="1" max="1" width="32.88671875" bestFit="1" customWidth="1"/>
    <col min="2" max="2" width="11.109375" style="27" customWidth="1"/>
    <col min="3" max="7" width="8.5546875" style="27" customWidth="1"/>
    <col min="8" max="8" width="10.6640625" bestFit="1" customWidth="1"/>
    <col min="9" max="9" width="32.88671875" bestFit="1" customWidth="1"/>
    <col min="10" max="15" width="8.5546875" style="27" customWidth="1"/>
    <col min="16" max="16" width="9.109375" bestFit="1" customWidth="1"/>
    <col min="17" max="17" width="12.5546875" bestFit="1" customWidth="1"/>
  </cols>
  <sheetData>
    <row r="1" spans="1:15" x14ac:dyDescent="0.3">
      <c r="B1"/>
      <c r="J1"/>
    </row>
    <row r="3" spans="1:15" x14ac:dyDescent="0.3">
      <c r="A3" s="30" t="s">
        <v>54</v>
      </c>
      <c r="B3" s="33" t="s">
        <v>48</v>
      </c>
      <c r="I3" s="30" t="s">
        <v>54</v>
      </c>
      <c r="J3" s="33" t="s">
        <v>48</v>
      </c>
    </row>
    <row r="4" spans="1:15" s="28" customFormat="1" ht="28.8" x14ac:dyDescent="0.3">
      <c r="A4" s="35" t="s">
        <v>46</v>
      </c>
      <c r="B4" s="28" t="s">
        <v>49</v>
      </c>
      <c r="C4" s="28" t="s">
        <v>50</v>
      </c>
      <c r="D4" s="28" t="s">
        <v>51</v>
      </c>
      <c r="E4" s="28" t="s">
        <v>52</v>
      </c>
      <c r="F4" s="28" t="s">
        <v>53</v>
      </c>
      <c r="G4" s="29" t="s">
        <v>47</v>
      </c>
      <c r="I4" s="35" t="s">
        <v>46</v>
      </c>
      <c r="J4" s="28" t="s">
        <v>49</v>
      </c>
      <c r="K4" s="28" t="s">
        <v>50</v>
      </c>
      <c r="L4" s="28" t="s">
        <v>51</v>
      </c>
      <c r="M4" s="28" t="s">
        <v>52</v>
      </c>
      <c r="N4" s="28" t="s">
        <v>53</v>
      </c>
      <c r="O4" s="29" t="s">
        <v>47</v>
      </c>
    </row>
    <row r="5" spans="1:15" x14ac:dyDescent="0.3">
      <c r="A5" s="31" t="s">
        <v>29</v>
      </c>
      <c r="B5" s="27">
        <v>17</v>
      </c>
      <c r="C5" s="27">
        <v>20</v>
      </c>
      <c r="D5" s="27">
        <v>25</v>
      </c>
      <c r="E5" s="27">
        <v>21</v>
      </c>
      <c r="F5" s="27">
        <v>21</v>
      </c>
      <c r="G5" s="27">
        <v>104</v>
      </c>
      <c r="I5" s="31" t="s">
        <v>29</v>
      </c>
      <c r="J5" s="34"/>
      <c r="K5" s="34"/>
      <c r="L5" s="34"/>
      <c r="M5" s="34"/>
      <c r="N5" s="34"/>
      <c r="O5" s="34"/>
    </row>
    <row r="6" spans="1:15" x14ac:dyDescent="0.3">
      <c r="A6" s="32" t="s">
        <v>38</v>
      </c>
      <c r="B6" s="27">
        <v>6</v>
      </c>
      <c r="C6" s="27">
        <v>10</v>
      </c>
      <c r="D6" s="27">
        <v>14</v>
      </c>
      <c r="E6" s="27">
        <v>10</v>
      </c>
      <c r="F6" s="27">
        <v>8</v>
      </c>
      <c r="G6" s="27">
        <v>48</v>
      </c>
      <c r="I6" s="32" t="s">
        <v>38</v>
      </c>
      <c r="J6" s="34">
        <v>0.35294117647058826</v>
      </c>
      <c r="K6" s="34">
        <v>0.5</v>
      </c>
      <c r="L6" s="34">
        <v>0.56000000000000005</v>
      </c>
      <c r="M6" s="34">
        <v>0.47619047619047616</v>
      </c>
      <c r="N6" s="34">
        <v>0.38095238095238093</v>
      </c>
      <c r="O6" s="34">
        <v>0.46153846153846156</v>
      </c>
    </row>
    <row r="7" spans="1:15" x14ac:dyDescent="0.3">
      <c r="A7" s="32" t="s">
        <v>37</v>
      </c>
      <c r="B7" s="27">
        <v>4</v>
      </c>
      <c r="C7" s="27">
        <v>2</v>
      </c>
      <c r="D7" s="27">
        <v>3</v>
      </c>
      <c r="E7" s="27">
        <v>2</v>
      </c>
      <c r="F7" s="27">
        <v>3</v>
      </c>
      <c r="G7" s="27">
        <v>14</v>
      </c>
      <c r="I7" s="32" t="s">
        <v>37</v>
      </c>
      <c r="J7" s="34">
        <v>0.23529411764705882</v>
      </c>
      <c r="K7" s="34">
        <v>0.1</v>
      </c>
      <c r="L7" s="34">
        <v>0.12</v>
      </c>
      <c r="M7" s="34">
        <v>9.5238095238095233E-2</v>
      </c>
      <c r="N7" s="34">
        <v>0.14285714285714285</v>
      </c>
      <c r="O7" s="34">
        <v>0.13461538461538461</v>
      </c>
    </row>
    <row r="8" spans="1:15" x14ac:dyDescent="0.3">
      <c r="A8" s="32" t="s">
        <v>39</v>
      </c>
      <c r="B8" s="27">
        <v>5</v>
      </c>
      <c r="C8" s="27">
        <v>6</v>
      </c>
      <c r="D8" s="27">
        <v>5</v>
      </c>
      <c r="E8" s="27">
        <v>7</v>
      </c>
      <c r="F8" s="27">
        <v>5</v>
      </c>
      <c r="G8" s="27">
        <v>28</v>
      </c>
      <c r="I8" s="32" t="s">
        <v>39</v>
      </c>
      <c r="J8" s="34">
        <v>0.29411764705882354</v>
      </c>
      <c r="K8" s="34">
        <v>0.3</v>
      </c>
      <c r="L8" s="34">
        <v>0.2</v>
      </c>
      <c r="M8" s="34">
        <v>0.33333333333333331</v>
      </c>
      <c r="N8" s="34">
        <v>0.23809523809523808</v>
      </c>
      <c r="O8" s="34">
        <v>0.26923076923076922</v>
      </c>
    </row>
    <row r="9" spans="1:15" x14ac:dyDescent="0.3">
      <c r="A9" s="32" t="s">
        <v>40</v>
      </c>
      <c r="D9" s="27">
        <v>1</v>
      </c>
      <c r="E9" s="27">
        <v>1</v>
      </c>
      <c r="F9" s="27">
        <v>3</v>
      </c>
      <c r="G9" s="27">
        <v>5</v>
      </c>
      <c r="I9" s="32" t="s">
        <v>40</v>
      </c>
      <c r="J9" s="34">
        <v>0</v>
      </c>
      <c r="K9" s="34">
        <v>0</v>
      </c>
      <c r="L9" s="34">
        <v>0.04</v>
      </c>
      <c r="M9" s="34">
        <v>4.7619047619047616E-2</v>
      </c>
      <c r="N9" s="34">
        <v>0.14285714285714285</v>
      </c>
      <c r="O9" s="34">
        <v>4.807692307692308E-2</v>
      </c>
    </row>
    <row r="10" spans="1:15" x14ac:dyDescent="0.3">
      <c r="A10" s="32" t="s">
        <v>41</v>
      </c>
      <c r="B10" s="27">
        <v>1</v>
      </c>
      <c r="C10" s="27">
        <v>1</v>
      </c>
      <c r="D10" s="27">
        <v>1</v>
      </c>
      <c r="G10" s="27">
        <v>3</v>
      </c>
      <c r="I10" s="32" t="s">
        <v>41</v>
      </c>
      <c r="J10" s="34">
        <v>5.8823529411764705E-2</v>
      </c>
      <c r="K10" s="34">
        <v>0.05</v>
      </c>
      <c r="L10" s="34">
        <v>0.04</v>
      </c>
      <c r="M10" s="34">
        <v>0</v>
      </c>
      <c r="N10" s="34">
        <v>0</v>
      </c>
      <c r="O10" s="34">
        <v>2.8846153846153848E-2</v>
      </c>
    </row>
    <row r="11" spans="1:15" x14ac:dyDescent="0.3">
      <c r="A11" s="32" t="s">
        <v>42</v>
      </c>
      <c r="B11" s="27">
        <v>1</v>
      </c>
      <c r="C11" s="27">
        <v>1</v>
      </c>
      <c r="D11" s="27">
        <v>1</v>
      </c>
      <c r="E11" s="27">
        <v>1</v>
      </c>
      <c r="F11" s="27">
        <v>2</v>
      </c>
      <c r="G11" s="27">
        <v>6</v>
      </c>
      <c r="I11" s="32" t="s">
        <v>42</v>
      </c>
      <c r="J11" s="34">
        <v>5.8823529411764705E-2</v>
      </c>
      <c r="K11" s="34">
        <v>0.05</v>
      </c>
      <c r="L11" s="34">
        <v>0.04</v>
      </c>
      <c r="M11" s="34">
        <v>4.7619047619047616E-2</v>
      </c>
      <c r="N11" s="34">
        <v>9.5238095238095233E-2</v>
      </c>
      <c r="O11" s="34">
        <v>5.7692307692307696E-2</v>
      </c>
    </row>
    <row r="12" spans="1:15" x14ac:dyDescent="0.3">
      <c r="A12" s="31" t="s">
        <v>30</v>
      </c>
      <c r="B12" s="27">
        <v>17</v>
      </c>
      <c r="C12" s="27">
        <v>25</v>
      </c>
      <c r="D12" s="27">
        <v>25</v>
      </c>
      <c r="E12" s="27">
        <v>22</v>
      </c>
      <c r="F12" s="27">
        <v>24</v>
      </c>
      <c r="G12" s="27">
        <v>113</v>
      </c>
      <c r="I12" s="31" t="s">
        <v>30</v>
      </c>
      <c r="J12" s="34"/>
      <c r="K12" s="34"/>
      <c r="L12" s="34"/>
      <c r="M12" s="34"/>
      <c r="N12" s="34"/>
      <c r="O12" s="34"/>
    </row>
    <row r="13" spans="1:15" x14ac:dyDescent="0.3">
      <c r="A13" s="32" t="s">
        <v>38</v>
      </c>
      <c r="B13" s="27">
        <v>2</v>
      </c>
      <c r="C13" s="27">
        <v>8</v>
      </c>
      <c r="D13" s="27">
        <v>9</v>
      </c>
      <c r="E13" s="27">
        <v>8</v>
      </c>
      <c r="F13" s="27">
        <v>8</v>
      </c>
      <c r="G13" s="27">
        <v>35</v>
      </c>
      <c r="I13" s="32" t="s">
        <v>38</v>
      </c>
      <c r="J13" s="34">
        <v>0.11764705882352941</v>
      </c>
      <c r="K13" s="34">
        <v>0.32</v>
      </c>
      <c r="L13" s="34">
        <v>0.36</v>
      </c>
      <c r="M13" s="34">
        <v>0.36363636363636365</v>
      </c>
      <c r="N13" s="34">
        <v>0.33333333333333331</v>
      </c>
      <c r="O13" s="34">
        <v>0.30973451327433627</v>
      </c>
    </row>
    <row r="14" spans="1:15" x14ac:dyDescent="0.3">
      <c r="A14" s="32" t="s">
        <v>37</v>
      </c>
      <c r="B14" s="27">
        <v>5</v>
      </c>
      <c r="C14" s="27">
        <v>5</v>
      </c>
      <c r="D14" s="27">
        <v>5</v>
      </c>
      <c r="E14" s="27">
        <v>3</v>
      </c>
      <c r="F14" s="27">
        <v>4</v>
      </c>
      <c r="G14" s="27">
        <v>22</v>
      </c>
      <c r="I14" s="32" t="s">
        <v>37</v>
      </c>
      <c r="J14" s="34">
        <v>0.29411764705882354</v>
      </c>
      <c r="K14" s="34">
        <v>0.2</v>
      </c>
      <c r="L14" s="34">
        <v>0.2</v>
      </c>
      <c r="M14" s="34">
        <v>0.13636363636363635</v>
      </c>
      <c r="N14" s="34">
        <v>0.16666666666666666</v>
      </c>
      <c r="O14" s="34">
        <v>0.19469026548672566</v>
      </c>
    </row>
    <row r="15" spans="1:15" x14ac:dyDescent="0.3">
      <c r="A15" s="32" t="s">
        <v>39</v>
      </c>
      <c r="B15" s="27">
        <v>4</v>
      </c>
      <c r="C15" s="27">
        <v>5</v>
      </c>
      <c r="D15" s="27">
        <v>4</v>
      </c>
      <c r="E15" s="27">
        <v>6</v>
      </c>
      <c r="F15" s="27">
        <v>7</v>
      </c>
      <c r="G15" s="27">
        <v>26</v>
      </c>
      <c r="I15" s="32" t="s">
        <v>39</v>
      </c>
      <c r="J15" s="34">
        <v>0.23529411764705882</v>
      </c>
      <c r="K15" s="34">
        <v>0.2</v>
      </c>
      <c r="L15" s="34">
        <v>0.16</v>
      </c>
      <c r="M15" s="34">
        <v>0.27272727272727271</v>
      </c>
      <c r="N15" s="34">
        <v>0.29166666666666669</v>
      </c>
      <c r="O15" s="34">
        <v>0.23008849557522124</v>
      </c>
    </row>
    <row r="16" spans="1:15" x14ac:dyDescent="0.3">
      <c r="A16" s="32" t="s">
        <v>40</v>
      </c>
      <c r="B16" s="27">
        <v>5</v>
      </c>
      <c r="C16" s="27">
        <v>4</v>
      </c>
      <c r="D16" s="27">
        <v>2</v>
      </c>
      <c r="E16" s="27">
        <v>1</v>
      </c>
      <c r="F16" s="27">
        <v>1</v>
      </c>
      <c r="G16" s="27">
        <v>13</v>
      </c>
      <c r="I16" s="32" t="s">
        <v>40</v>
      </c>
      <c r="J16" s="34">
        <v>0.29411764705882354</v>
      </c>
      <c r="K16" s="34">
        <v>0.16</v>
      </c>
      <c r="L16" s="34">
        <v>0.08</v>
      </c>
      <c r="M16" s="34">
        <v>4.5454545454545456E-2</v>
      </c>
      <c r="N16" s="34">
        <v>4.1666666666666664E-2</v>
      </c>
      <c r="O16" s="34">
        <v>0.11504424778761062</v>
      </c>
    </row>
    <row r="17" spans="1:15" x14ac:dyDescent="0.3">
      <c r="A17" s="32" t="s">
        <v>41</v>
      </c>
      <c r="C17" s="27">
        <v>1</v>
      </c>
      <c r="D17" s="27">
        <v>4</v>
      </c>
      <c r="E17" s="27">
        <v>3</v>
      </c>
      <c r="F17" s="27">
        <v>3</v>
      </c>
      <c r="G17" s="27">
        <v>11</v>
      </c>
      <c r="I17" s="32" t="s">
        <v>41</v>
      </c>
      <c r="J17" s="34">
        <v>0</v>
      </c>
      <c r="K17" s="34">
        <v>0.04</v>
      </c>
      <c r="L17" s="34">
        <v>0.16</v>
      </c>
      <c r="M17" s="34">
        <v>0.13636363636363635</v>
      </c>
      <c r="N17" s="34">
        <v>0.125</v>
      </c>
      <c r="O17" s="34">
        <v>9.7345132743362831E-2</v>
      </c>
    </row>
    <row r="18" spans="1:15" x14ac:dyDescent="0.3">
      <c r="A18" s="32" t="s">
        <v>44</v>
      </c>
      <c r="B18" s="27">
        <v>1</v>
      </c>
      <c r="C18" s="27">
        <v>2</v>
      </c>
      <c r="D18" s="27">
        <v>1</v>
      </c>
      <c r="E18" s="27">
        <v>1</v>
      </c>
      <c r="F18" s="27">
        <v>1</v>
      </c>
      <c r="G18" s="27">
        <v>6</v>
      </c>
      <c r="I18" s="32" t="s">
        <v>44</v>
      </c>
      <c r="J18" s="34">
        <v>5.8823529411764705E-2</v>
      </c>
      <c r="K18" s="34">
        <v>0.08</v>
      </c>
      <c r="L18" s="34">
        <v>0.04</v>
      </c>
      <c r="M18" s="34">
        <v>4.5454545454545456E-2</v>
      </c>
      <c r="N18" s="34">
        <v>4.1666666666666664E-2</v>
      </c>
      <c r="O18" s="34">
        <v>5.3097345132743362E-2</v>
      </c>
    </row>
    <row r="19" spans="1:15" x14ac:dyDescent="0.3">
      <c r="A19" s="31" t="s">
        <v>23</v>
      </c>
      <c r="B19" s="27">
        <v>3</v>
      </c>
      <c r="C19" s="27">
        <v>1</v>
      </c>
      <c r="D19" s="27">
        <v>1</v>
      </c>
      <c r="E19" s="27">
        <v>1</v>
      </c>
      <c r="F19" s="27">
        <v>1</v>
      </c>
      <c r="G19" s="27">
        <v>7</v>
      </c>
      <c r="I19" s="31" t="s">
        <v>23</v>
      </c>
      <c r="J19" s="34"/>
      <c r="K19" s="34"/>
      <c r="L19" s="34"/>
      <c r="M19" s="34"/>
      <c r="N19" s="34"/>
      <c r="O19" s="34"/>
    </row>
    <row r="20" spans="1:15" x14ac:dyDescent="0.3">
      <c r="A20" s="32" t="s">
        <v>38</v>
      </c>
      <c r="B20" s="27">
        <v>2</v>
      </c>
      <c r="E20" s="27">
        <v>1</v>
      </c>
      <c r="F20" s="27">
        <v>1</v>
      </c>
      <c r="G20" s="27">
        <v>4</v>
      </c>
      <c r="I20" s="32" t="s">
        <v>38</v>
      </c>
      <c r="J20" s="34">
        <v>0.66666666666666663</v>
      </c>
      <c r="K20" s="34">
        <v>0</v>
      </c>
      <c r="L20" s="34">
        <v>0</v>
      </c>
      <c r="M20" s="34">
        <v>1</v>
      </c>
      <c r="N20" s="34">
        <v>1</v>
      </c>
      <c r="O20" s="34">
        <v>0.5714285714285714</v>
      </c>
    </row>
    <row r="21" spans="1:15" x14ac:dyDescent="0.3">
      <c r="A21" s="32" t="s">
        <v>37</v>
      </c>
      <c r="B21" s="27">
        <v>1</v>
      </c>
      <c r="C21" s="27">
        <v>1</v>
      </c>
      <c r="D21" s="27">
        <v>1</v>
      </c>
      <c r="G21" s="27">
        <v>3</v>
      </c>
      <c r="I21" s="32" t="s">
        <v>37</v>
      </c>
      <c r="J21" s="34">
        <v>0.33333333333333331</v>
      </c>
      <c r="K21" s="34">
        <v>1</v>
      </c>
      <c r="L21" s="34">
        <v>1</v>
      </c>
      <c r="M21" s="34">
        <v>0</v>
      </c>
      <c r="N21" s="34">
        <v>0</v>
      </c>
      <c r="O21" s="34">
        <v>0.42857142857142855</v>
      </c>
    </row>
    <row r="22" spans="1:15" x14ac:dyDescent="0.3">
      <c r="A22" s="31" t="s">
        <v>47</v>
      </c>
      <c r="B22" s="27">
        <v>37</v>
      </c>
      <c r="C22" s="27">
        <v>46</v>
      </c>
      <c r="D22" s="27">
        <v>51</v>
      </c>
      <c r="E22" s="27">
        <v>44</v>
      </c>
      <c r="F22" s="27">
        <v>46</v>
      </c>
      <c r="G22" s="27">
        <v>224</v>
      </c>
      <c r="I22" s="31" t="s">
        <v>47</v>
      </c>
      <c r="J22" s="34">
        <v>1</v>
      </c>
      <c r="K22" s="34">
        <v>1</v>
      </c>
      <c r="L22" s="34">
        <v>1</v>
      </c>
      <c r="M22" s="34">
        <v>1</v>
      </c>
      <c r="N22" s="34">
        <v>1</v>
      </c>
      <c r="O22" s="34">
        <v>1</v>
      </c>
    </row>
    <row r="23" spans="1:15" x14ac:dyDescent="0.3">
      <c r="B23"/>
      <c r="C23"/>
      <c r="D23"/>
      <c r="E23"/>
      <c r="F23"/>
      <c r="G23"/>
      <c r="J23"/>
      <c r="K23"/>
      <c r="L23"/>
      <c r="M23"/>
      <c r="N23"/>
      <c r="O23"/>
    </row>
    <row r="24" spans="1:15" x14ac:dyDescent="0.3">
      <c r="B24"/>
      <c r="C24"/>
      <c r="D24"/>
      <c r="E24"/>
      <c r="F24"/>
      <c r="G24"/>
      <c r="J24"/>
      <c r="K24"/>
      <c r="L24"/>
      <c r="M24"/>
      <c r="N24"/>
      <c r="O24"/>
    </row>
    <row r="25" spans="1:15" x14ac:dyDescent="0.3">
      <c r="B25"/>
      <c r="C25"/>
      <c r="D25"/>
      <c r="E25"/>
      <c r="F25"/>
      <c r="G25"/>
      <c r="J25"/>
      <c r="K25"/>
      <c r="L25"/>
      <c r="M25"/>
      <c r="N25"/>
      <c r="O25"/>
    </row>
    <row r="26" spans="1:15" x14ac:dyDescent="0.3">
      <c r="B26"/>
      <c r="C26"/>
      <c r="D26"/>
      <c r="E26"/>
      <c r="F26"/>
      <c r="G26"/>
      <c r="J26"/>
      <c r="K26"/>
      <c r="L26"/>
      <c r="M26"/>
      <c r="N26"/>
      <c r="O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BD Original</vt:lpstr>
      <vt:lpstr>Etiquetas</vt:lpstr>
      <vt:lpstr>BD Análisis</vt:lpstr>
      <vt:lpstr>Análisis Fuerza Comercial</vt:lpstr>
      <vt:lpstr>Calificaciones Promotores Sucur</vt:lpstr>
      <vt:lpstr>Impacto Rotación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Jairo Enrique Ramírez Sánchez</cp:lastModifiedBy>
  <dcterms:created xsi:type="dcterms:W3CDTF">2023-12-16T00:17:09Z</dcterms:created>
  <dcterms:modified xsi:type="dcterms:W3CDTF">2024-01-31T16:01:44Z</dcterms:modified>
</cp:coreProperties>
</file>