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da\Desktop\"/>
    </mc:Choice>
  </mc:AlternateContent>
  <xr:revisionPtr revIDLastSave="0" documentId="8_{2B8DAF8A-8150-44F4-A226-B4178E844DDD}" xr6:coauthVersionLast="47" xr6:coauthVersionMax="47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BD Original" sheetId="1" r:id="rId1"/>
    <sheet name="Etiquetas" sheetId="2" r:id="rId2"/>
    <sheet name="BD Análisis" sheetId="3" r:id="rId3"/>
    <sheet name="Análisis Fuerza Comercial" sheetId="7" r:id="rId4"/>
    <sheet name="Calificaciones Promotores Sucur" sheetId="10" r:id="rId5"/>
    <sheet name="Impacto Rotación" sheetId="4" r:id="rId6"/>
  </sheets>
  <definedNames>
    <definedName name="_xlnm._FilterDatabase" localSheetId="2" hidden="1">'BD Análisis'!$B$4:$BA$78</definedName>
    <definedName name="_xlnm._FilterDatabase" localSheetId="0" hidden="1">'BD Original'!$D$2:$AC$226</definedName>
  </definedNames>
  <calcPr calcId="191029"/>
  <pivotCaches>
    <pivotCache cacheId="9" r:id="rId7"/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3" l="1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0" i="3"/>
  <c r="T9" i="3"/>
  <c r="T8" i="3"/>
  <c r="T7" i="3"/>
  <c r="T6" i="3"/>
  <c r="T5" i="3"/>
  <c r="T11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5" i="3"/>
  <c r="AU2" i="3"/>
  <c r="BA1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H43" i="3"/>
  <c r="AI43" i="3"/>
  <c r="AH44" i="3"/>
  <c r="AI44" i="3"/>
  <c r="AH45" i="3"/>
  <c r="AI45" i="3"/>
  <c r="AH46" i="3"/>
  <c r="AI46" i="3"/>
  <c r="AH47" i="3"/>
  <c r="AI47" i="3"/>
  <c r="AH48" i="3"/>
  <c r="AI48" i="3"/>
  <c r="AH49" i="3"/>
  <c r="AI49" i="3"/>
  <c r="AH50" i="3"/>
  <c r="AI50" i="3"/>
  <c r="AH51" i="3"/>
  <c r="AI51" i="3"/>
  <c r="AH52" i="3"/>
  <c r="AI52" i="3"/>
  <c r="AH53" i="3"/>
  <c r="AI53" i="3"/>
  <c r="AH54" i="3"/>
  <c r="AI54" i="3"/>
  <c r="AH55" i="3"/>
  <c r="AI55" i="3"/>
  <c r="AH56" i="3"/>
  <c r="AI56" i="3"/>
  <c r="AH57" i="3"/>
  <c r="AI57" i="3"/>
  <c r="AH58" i="3"/>
  <c r="AI58" i="3"/>
  <c r="AH59" i="3"/>
  <c r="AI59" i="3"/>
  <c r="AH60" i="3"/>
  <c r="AI60" i="3"/>
  <c r="AH61" i="3"/>
  <c r="AI61" i="3"/>
  <c r="AH62" i="3"/>
  <c r="AI62" i="3"/>
  <c r="AH63" i="3"/>
  <c r="AI63" i="3"/>
  <c r="AH64" i="3"/>
  <c r="AI64" i="3"/>
  <c r="AH65" i="3"/>
  <c r="AI65" i="3"/>
  <c r="AH66" i="3"/>
  <c r="AI66" i="3"/>
  <c r="AH67" i="3"/>
  <c r="AI67" i="3"/>
  <c r="AH68" i="3"/>
  <c r="AI68" i="3"/>
  <c r="AH69" i="3"/>
  <c r="AI69" i="3"/>
  <c r="AH70" i="3"/>
  <c r="AI70" i="3"/>
  <c r="AH71" i="3"/>
  <c r="AI71" i="3"/>
  <c r="AH72" i="3"/>
  <c r="AI72" i="3"/>
  <c r="AH73" i="3"/>
  <c r="AI73" i="3"/>
  <c r="AH74" i="3"/>
  <c r="AI74" i="3"/>
  <c r="AH75" i="3"/>
  <c r="AI75" i="3"/>
  <c r="AH76" i="3"/>
  <c r="AI76" i="3"/>
  <c r="AH77" i="3"/>
  <c r="AI77" i="3"/>
  <c r="AH78" i="3"/>
  <c r="AI78" i="3"/>
  <c r="AH5" i="3"/>
  <c r="AI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E52" i="3"/>
  <c r="AF52" i="3"/>
  <c r="AE53" i="3"/>
  <c r="AF53" i="3"/>
  <c r="AE54" i="3"/>
  <c r="AF54" i="3"/>
  <c r="AE55" i="3"/>
  <c r="AF55" i="3"/>
  <c r="AE56" i="3"/>
  <c r="AF56" i="3"/>
  <c r="AE57" i="3"/>
  <c r="AF57" i="3"/>
  <c r="AE58" i="3"/>
  <c r="AF58" i="3"/>
  <c r="AE59" i="3"/>
  <c r="AF59" i="3"/>
  <c r="AE60" i="3"/>
  <c r="AF60" i="3"/>
  <c r="AE61" i="3"/>
  <c r="AF61" i="3"/>
  <c r="AE62" i="3"/>
  <c r="AF62" i="3"/>
  <c r="AE63" i="3"/>
  <c r="AF63" i="3"/>
  <c r="AE64" i="3"/>
  <c r="AF64" i="3"/>
  <c r="AE65" i="3"/>
  <c r="AF65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73" i="3"/>
  <c r="AF73" i="3"/>
  <c r="AE74" i="3"/>
  <c r="AF74" i="3"/>
  <c r="AE75" i="3"/>
  <c r="AF75" i="3"/>
  <c r="AE76" i="3"/>
  <c r="AF76" i="3"/>
  <c r="AE77" i="3"/>
  <c r="AF77" i="3"/>
  <c r="AE78" i="3"/>
  <c r="AF78" i="3"/>
  <c r="AE5" i="3"/>
  <c r="AG5" i="3"/>
  <c r="AO5" i="3" s="1"/>
  <c r="AF5" i="3"/>
  <c r="AG78" i="3"/>
  <c r="AO78" i="3" s="1"/>
  <c r="AG77" i="3"/>
  <c r="AO77" i="3" s="1"/>
  <c r="AG76" i="3"/>
  <c r="AO76" i="3" s="1"/>
  <c r="AG75" i="3"/>
  <c r="AO75" i="3" s="1"/>
  <c r="AG74" i="3"/>
  <c r="AO74" i="3" s="1"/>
  <c r="AG73" i="3"/>
  <c r="AO73" i="3" s="1"/>
  <c r="AG72" i="3"/>
  <c r="AO72" i="3" s="1"/>
  <c r="AG71" i="3"/>
  <c r="AO71" i="3" s="1"/>
  <c r="AG70" i="3"/>
  <c r="AO70" i="3" s="1"/>
  <c r="AG69" i="3"/>
  <c r="AO69" i="3" s="1"/>
  <c r="AG68" i="3"/>
  <c r="AO68" i="3" s="1"/>
  <c r="AG67" i="3"/>
  <c r="AO67" i="3" s="1"/>
  <c r="AG66" i="3"/>
  <c r="AO66" i="3" s="1"/>
  <c r="AG65" i="3"/>
  <c r="AO65" i="3" s="1"/>
  <c r="AG64" i="3"/>
  <c r="AO64" i="3" s="1"/>
  <c r="AG63" i="3"/>
  <c r="AO63" i="3" s="1"/>
  <c r="AG62" i="3"/>
  <c r="AO62" i="3" s="1"/>
  <c r="AG61" i="3"/>
  <c r="AO61" i="3" s="1"/>
  <c r="AG60" i="3"/>
  <c r="AO60" i="3" s="1"/>
  <c r="AG59" i="3"/>
  <c r="AO59" i="3" s="1"/>
  <c r="AG58" i="3"/>
  <c r="AO58" i="3" s="1"/>
  <c r="AG57" i="3"/>
  <c r="AO57" i="3" s="1"/>
  <c r="AG56" i="3"/>
  <c r="AO56" i="3" s="1"/>
  <c r="AG55" i="3"/>
  <c r="AO55" i="3" s="1"/>
  <c r="AG54" i="3"/>
  <c r="AO54" i="3" s="1"/>
  <c r="AG53" i="3"/>
  <c r="AO53" i="3" s="1"/>
  <c r="AG52" i="3"/>
  <c r="AO52" i="3" s="1"/>
  <c r="AG51" i="3"/>
  <c r="AO51" i="3" s="1"/>
  <c r="AG50" i="3"/>
  <c r="AO50" i="3" s="1"/>
  <c r="AG49" i="3"/>
  <c r="AO49" i="3" s="1"/>
  <c r="AG48" i="3"/>
  <c r="AO48" i="3" s="1"/>
  <c r="AG47" i="3"/>
  <c r="AO47" i="3" s="1"/>
  <c r="AG46" i="3"/>
  <c r="AO46" i="3" s="1"/>
  <c r="AG45" i="3"/>
  <c r="AO45" i="3" s="1"/>
  <c r="AG44" i="3"/>
  <c r="AO44" i="3" s="1"/>
  <c r="AG43" i="3"/>
  <c r="AO43" i="3" s="1"/>
  <c r="AG42" i="3"/>
  <c r="AO42" i="3" s="1"/>
  <c r="AG41" i="3"/>
  <c r="AO41" i="3" s="1"/>
  <c r="AG40" i="3"/>
  <c r="AO40" i="3" s="1"/>
  <c r="AG39" i="3"/>
  <c r="AO39" i="3" s="1"/>
  <c r="AG38" i="3"/>
  <c r="AO38" i="3" s="1"/>
  <c r="AG37" i="3"/>
  <c r="AO37" i="3" s="1"/>
  <c r="AG36" i="3"/>
  <c r="AO36" i="3" s="1"/>
  <c r="AG35" i="3"/>
  <c r="AO35" i="3" s="1"/>
  <c r="AG34" i="3"/>
  <c r="AO34" i="3" s="1"/>
  <c r="AG33" i="3"/>
  <c r="AO33" i="3" s="1"/>
  <c r="AG32" i="3"/>
  <c r="AO32" i="3" s="1"/>
  <c r="AG31" i="3"/>
  <c r="AO31" i="3" s="1"/>
  <c r="AG30" i="3"/>
  <c r="AO30" i="3" s="1"/>
  <c r="AG29" i="3"/>
  <c r="AO29" i="3" s="1"/>
  <c r="AG28" i="3"/>
  <c r="AO28" i="3" s="1"/>
  <c r="AG27" i="3"/>
  <c r="AO27" i="3" s="1"/>
  <c r="AG26" i="3"/>
  <c r="AO26" i="3" s="1"/>
  <c r="AG25" i="3"/>
  <c r="AO25" i="3" s="1"/>
  <c r="AG24" i="3"/>
  <c r="AO24" i="3" s="1"/>
  <c r="AG23" i="3"/>
  <c r="AO23" i="3" s="1"/>
  <c r="AG22" i="3"/>
  <c r="AO22" i="3" s="1"/>
  <c r="AG21" i="3"/>
  <c r="AO21" i="3" s="1"/>
  <c r="AG20" i="3"/>
  <c r="AO20" i="3" s="1"/>
  <c r="AG19" i="3"/>
  <c r="AO19" i="3" s="1"/>
  <c r="AG18" i="3"/>
  <c r="AO18" i="3" s="1"/>
  <c r="AG17" i="3"/>
  <c r="AO17" i="3" s="1"/>
  <c r="AG16" i="3"/>
  <c r="AO16" i="3" s="1"/>
  <c r="AG15" i="3"/>
  <c r="AO15" i="3" s="1"/>
  <c r="AG14" i="3"/>
  <c r="AO14" i="3" s="1"/>
  <c r="AG13" i="3"/>
  <c r="AO13" i="3" s="1"/>
  <c r="AG12" i="3"/>
  <c r="AO12" i="3" s="1"/>
  <c r="AG11" i="3"/>
  <c r="AO11" i="3" s="1"/>
  <c r="AG10" i="3"/>
  <c r="AO10" i="3" s="1"/>
  <c r="AG9" i="3"/>
  <c r="AO9" i="3" s="1"/>
  <c r="AG8" i="3"/>
  <c r="AO8" i="3" s="1"/>
  <c r="AG7" i="3"/>
  <c r="AO7" i="3" s="1"/>
  <c r="AG6" i="3"/>
  <c r="AO6" i="3" s="1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5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3" i="1"/>
  <c r="B7" i="2"/>
  <c r="B8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7" i="1" s="1"/>
  <c r="I28" i="1"/>
  <c r="I29" i="1"/>
  <c r="I30" i="1"/>
  <c r="I31" i="1"/>
  <c r="I32" i="1"/>
  <c r="I33" i="1"/>
  <c r="I34" i="1"/>
  <c r="I35" i="1"/>
  <c r="K35" i="1" s="1"/>
  <c r="I36" i="1"/>
  <c r="I37" i="1"/>
  <c r="I38" i="1"/>
  <c r="I39" i="1"/>
  <c r="I40" i="1"/>
  <c r="I41" i="1"/>
  <c r="I42" i="1"/>
  <c r="I43" i="1"/>
  <c r="K43" i="1" s="1"/>
  <c r="I44" i="1"/>
  <c r="I45" i="1"/>
  <c r="I46" i="1"/>
  <c r="I47" i="1"/>
  <c r="I48" i="1"/>
  <c r="I49" i="1"/>
  <c r="I50" i="1"/>
  <c r="I51" i="1"/>
  <c r="K51" i="1" s="1"/>
  <c r="I52" i="1"/>
  <c r="I53" i="1"/>
  <c r="I54" i="1"/>
  <c r="I55" i="1"/>
  <c r="I56" i="1"/>
  <c r="I57" i="1"/>
  <c r="I58" i="1"/>
  <c r="I59" i="1"/>
  <c r="K59" i="1" s="1"/>
  <c r="I60" i="1"/>
  <c r="I61" i="1"/>
  <c r="I62" i="1"/>
  <c r="I63" i="1"/>
  <c r="I64" i="1"/>
  <c r="I65" i="1"/>
  <c r="I66" i="1"/>
  <c r="I67" i="1"/>
  <c r="K67" i="1" s="1"/>
  <c r="I68" i="1"/>
  <c r="I69" i="1"/>
  <c r="I70" i="1"/>
  <c r="I71" i="1"/>
  <c r="I72" i="1"/>
  <c r="I73" i="1"/>
  <c r="I74" i="1"/>
  <c r="I75" i="1"/>
  <c r="K75" i="1" s="1"/>
  <c r="I76" i="1"/>
  <c r="I77" i="1"/>
  <c r="I78" i="1"/>
  <c r="I79" i="1"/>
  <c r="I80" i="1"/>
  <c r="I81" i="1"/>
  <c r="I82" i="1"/>
  <c r="I83" i="1"/>
  <c r="K83" i="1" s="1"/>
  <c r="I84" i="1"/>
  <c r="I85" i="1"/>
  <c r="I86" i="1"/>
  <c r="I87" i="1"/>
  <c r="I88" i="1"/>
  <c r="I89" i="1"/>
  <c r="I90" i="1"/>
  <c r="I91" i="1"/>
  <c r="K91" i="1" s="1"/>
  <c r="I92" i="1"/>
  <c r="I93" i="1"/>
  <c r="I94" i="1"/>
  <c r="I95" i="1"/>
  <c r="I96" i="1"/>
  <c r="I97" i="1"/>
  <c r="I98" i="1"/>
  <c r="I99" i="1"/>
  <c r="K99" i="1" s="1"/>
  <c r="I100" i="1"/>
  <c r="I101" i="1"/>
  <c r="I102" i="1"/>
  <c r="I103" i="1"/>
  <c r="I104" i="1"/>
  <c r="I105" i="1"/>
  <c r="I106" i="1"/>
  <c r="I107" i="1"/>
  <c r="K107" i="1" s="1"/>
  <c r="I108" i="1"/>
  <c r="I109" i="1"/>
  <c r="I110" i="1"/>
  <c r="I111" i="1"/>
  <c r="I112" i="1"/>
  <c r="I113" i="1"/>
  <c r="I114" i="1"/>
  <c r="I115" i="1"/>
  <c r="K115" i="1" s="1"/>
  <c r="I116" i="1"/>
  <c r="I117" i="1"/>
  <c r="I118" i="1"/>
  <c r="I119" i="1"/>
  <c r="I120" i="1"/>
  <c r="I121" i="1"/>
  <c r="I122" i="1"/>
  <c r="I123" i="1"/>
  <c r="K123" i="1" s="1"/>
  <c r="I124" i="1"/>
  <c r="I125" i="1"/>
  <c r="I126" i="1"/>
  <c r="I127" i="1"/>
  <c r="I128" i="1"/>
  <c r="I129" i="1"/>
  <c r="I130" i="1"/>
  <c r="I131" i="1"/>
  <c r="K131" i="1" s="1"/>
  <c r="I132" i="1"/>
  <c r="I133" i="1"/>
  <c r="I134" i="1"/>
  <c r="I135" i="1"/>
  <c r="I136" i="1"/>
  <c r="I137" i="1"/>
  <c r="I138" i="1"/>
  <c r="I139" i="1"/>
  <c r="K139" i="1" s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K155" i="1" s="1"/>
  <c r="I156" i="1"/>
  <c r="I157" i="1"/>
  <c r="I158" i="1"/>
  <c r="I159" i="1"/>
  <c r="I160" i="1"/>
  <c r="I161" i="1"/>
  <c r="I162" i="1"/>
  <c r="I163" i="1"/>
  <c r="K163" i="1" s="1"/>
  <c r="I164" i="1"/>
  <c r="I165" i="1"/>
  <c r="I166" i="1"/>
  <c r="I167" i="1"/>
  <c r="I168" i="1"/>
  <c r="I169" i="1"/>
  <c r="I170" i="1"/>
  <c r="I171" i="1"/>
  <c r="K171" i="1" s="1"/>
  <c r="I172" i="1"/>
  <c r="I173" i="1"/>
  <c r="I174" i="1"/>
  <c r="I175" i="1"/>
  <c r="I176" i="1"/>
  <c r="I177" i="1"/>
  <c r="I178" i="1"/>
  <c r="I179" i="1"/>
  <c r="K179" i="1" s="1"/>
  <c r="I180" i="1"/>
  <c r="I181" i="1"/>
  <c r="I182" i="1"/>
  <c r="I183" i="1"/>
  <c r="I184" i="1"/>
  <c r="I185" i="1"/>
  <c r="I186" i="1"/>
  <c r="I187" i="1"/>
  <c r="K187" i="1" s="1"/>
  <c r="I188" i="1"/>
  <c r="I189" i="1"/>
  <c r="I190" i="1"/>
  <c r="I191" i="1"/>
  <c r="I192" i="1"/>
  <c r="I193" i="1"/>
  <c r="I194" i="1"/>
  <c r="I195" i="1"/>
  <c r="K195" i="1" s="1"/>
  <c r="I196" i="1"/>
  <c r="K196" i="1" s="1"/>
  <c r="I197" i="1"/>
  <c r="I198" i="1"/>
  <c r="I199" i="1"/>
  <c r="I200" i="1"/>
  <c r="I201" i="1"/>
  <c r="I202" i="1"/>
  <c r="I203" i="1"/>
  <c r="K203" i="1" s="1"/>
  <c r="I204" i="1"/>
  <c r="K204" i="1" s="1"/>
  <c r="I205" i="1"/>
  <c r="I206" i="1"/>
  <c r="I207" i="1"/>
  <c r="I208" i="1"/>
  <c r="I209" i="1"/>
  <c r="I210" i="1"/>
  <c r="I211" i="1"/>
  <c r="K211" i="1" s="1"/>
  <c r="I212" i="1"/>
  <c r="I213" i="1"/>
  <c r="I214" i="1"/>
  <c r="I215" i="1"/>
  <c r="I216" i="1"/>
  <c r="I217" i="1"/>
  <c r="I218" i="1"/>
  <c r="I219" i="1"/>
  <c r="K219" i="1" s="1"/>
  <c r="I220" i="1"/>
  <c r="K220" i="1" s="1"/>
  <c r="I221" i="1"/>
  <c r="I222" i="1"/>
  <c r="I223" i="1"/>
  <c r="I224" i="1"/>
  <c r="I225" i="1"/>
  <c r="I226" i="1"/>
  <c r="I3" i="1"/>
  <c r="K3" i="1" s="1"/>
  <c r="AL29" i="3" l="1"/>
  <c r="AD68" i="3"/>
  <c r="AQ68" i="3" s="1"/>
  <c r="AD60" i="3"/>
  <c r="AQ60" i="3" s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44" i="1"/>
  <c r="K36" i="1"/>
  <c r="K20" i="1"/>
  <c r="K12" i="1"/>
  <c r="K226" i="1"/>
  <c r="K186" i="1"/>
  <c r="K138" i="1"/>
  <c r="K82" i="1"/>
  <c r="K42" i="1"/>
  <c r="K217" i="1"/>
  <c r="K185" i="1"/>
  <c r="K153" i="1"/>
  <c r="K113" i="1"/>
  <c r="K33" i="1"/>
  <c r="AL35" i="3" s="1"/>
  <c r="K11" i="1"/>
  <c r="K210" i="1"/>
  <c r="K178" i="1"/>
  <c r="K130" i="1"/>
  <c r="K90" i="1"/>
  <c r="K58" i="1"/>
  <c r="K26" i="1"/>
  <c r="AL28" i="3" s="1"/>
  <c r="K209" i="1"/>
  <c r="K177" i="1"/>
  <c r="K145" i="1"/>
  <c r="K121" i="1"/>
  <c r="K97" i="1"/>
  <c r="K81" i="1"/>
  <c r="K65" i="1"/>
  <c r="K41" i="1"/>
  <c r="K25" i="1"/>
  <c r="AL27" i="3" s="1"/>
  <c r="K9" i="1"/>
  <c r="K224" i="1"/>
  <c r="K208" i="1"/>
  <c r="K200" i="1"/>
  <c r="K192" i="1"/>
  <c r="K184" i="1"/>
  <c r="K218" i="1"/>
  <c r="K170" i="1"/>
  <c r="K146" i="1"/>
  <c r="K106" i="1"/>
  <c r="K74" i="1"/>
  <c r="K50" i="1"/>
  <c r="K10" i="1"/>
  <c r="K225" i="1"/>
  <c r="K201" i="1"/>
  <c r="K161" i="1"/>
  <c r="K137" i="1"/>
  <c r="K129" i="1"/>
  <c r="K105" i="1"/>
  <c r="K89" i="1"/>
  <c r="K73" i="1"/>
  <c r="K57" i="1"/>
  <c r="K49" i="1"/>
  <c r="K17" i="1"/>
  <c r="AL19" i="3" s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AL58" i="3" s="1"/>
  <c r="K111" i="1"/>
  <c r="K103" i="1"/>
  <c r="K95" i="1"/>
  <c r="K87" i="1"/>
  <c r="K79" i="1"/>
  <c r="K71" i="1"/>
  <c r="K63" i="1"/>
  <c r="K55" i="1"/>
  <c r="K47" i="1"/>
  <c r="K39" i="1"/>
  <c r="AL41" i="3" s="1"/>
  <c r="K31" i="1"/>
  <c r="K23" i="1"/>
  <c r="K15" i="1"/>
  <c r="K7" i="1"/>
  <c r="K202" i="1"/>
  <c r="K154" i="1"/>
  <c r="K122" i="1"/>
  <c r="K34" i="1"/>
  <c r="AL36" i="3" s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AL57" i="3" s="1"/>
  <c r="K110" i="1"/>
  <c r="K102" i="1"/>
  <c r="K94" i="1"/>
  <c r="K86" i="1"/>
  <c r="K78" i="1"/>
  <c r="K70" i="1"/>
  <c r="K62" i="1"/>
  <c r="K46" i="1"/>
  <c r="K38" i="1"/>
  <c r="AL40" i="3" s="1"/>
  <c r="K30" i="1"/>
  <c r="AL32" i="3" s="1"/>
  <c r="K22" i="1"/>
  <c r="K6" i="1"/>
  <c r="K19" i="1"/>
  <c r="K194" i="1"/>
  <c r="K162" i="1"/>
  <c r="K114" i="1"/>
  <c r="AL56" i="3" s="1"/>
  <c r="K66" i="1"/>
  <c r="K18" i="1"/>
  <c r="K221" i="1"/>
  <c r="K213" i="1"/>
  <c r="K205" i="1"/>
  <c r="K197" i="1"/>
  <c r="K189" i="1"/>
  <c r="K181" i="1"/>
  <c r="K173" i="1"/>
  <c r="AL71" i="3" s="1"/>
  <c r="K165" i="1"/>
  <c r="AL69" i="3" s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AL43" i="3" s="1"/>
  <c r="K37" i="1"/>
  <c r="AL39" i="3" s="1"/>
  <c r="K29" i="1"/>
  <c r="K21" i="1"/>
  <c r="K13" i="1"/>
  <c r="K5" i="1"/>
  <c r="AD44" i="3"/>
  <c r="AQ44" i="3" s="1"/>
  <c r="AD30" i="3"/>
  <c r="AQ30" i="3" s="1"/>
  <c r="AP69" i="3"/>
  <c r="AP45" i="3"/>
  <c r="AP76" i="3"/>
  <c r="AP68" i="3"/>
  <c r="AP60" i="3"/>
  <c r="AP52" i="3"/>
  <c r="AP44" i="3"/>
  <c r="AP36" i="3"/>
  <c r="AP28" i="3"/>
  <c r="AP20" i="3"/>
  <c r="AP12" i="3"/>
  <c r="AP75" i="3"/>
  <c r="AP67" i="3"/>
  <c r="AP59" i="3"/>
  <c r="AP51" i="3"/>
  <c r="AP43" i="3"/>
  <c r="AP35" i="3"/>
  <c r="AP27" i="3"/>
  <c r="AP19" i="3"/>
  <c r="AP11" i="3"/>
  <c r="AP77" i="3"/>
  <c r="AP53" i="3"/>
  <c r="AP21" i="3"/>
  <c r="AP74" i="3"/>
  <c r="AP66" i="3"/>
  <c r="AP58" i="3"/>
  <c r="AP50" i="3"/>
  <c r="AP42" i="3"/>
  <c r="AP34" i="3"/>
  <c r="AP26" i="3"/>
  <c r="AP18" i="3"/>
  <c r="AP10" i="3"/>
  <c r="AP61" i="3"/>
  <c r="AP37" i="3"/>
  <c r="AP29" i="3"/>
  <c r="AP13" i="3"/>
  <c r="AP73" i="3"/>
  <c r="AP65" i="3"/>
  <c r="AP57" i="3"/>
  <c r="AP49" i="3"/>
  <c r="AP41" i="3"/>
  <c r="AP33" i="3"/>
  <c r="AP25" i="3"/>
  <c r="AP17" i="3"/>
  <c r="AP9" i="3"/>
  <c r="AP5" i="3"/>
  <c r="AP72" i="3"/>
  <c r="AP64" i="3"/>
  <c r="AP56" i="3"/>
  <c r="AP48" i="3"/>
  <c r="AP40" i="3"/>
  <c r="AP32" i="3"/>
  <c r="AP24" i="3"/>
  <c r="AP16" i="3"/>
  <c r="AP8" i="3"/>
  <c r="AP71" i="3"/>
  <c r="AP63" i="3"/>
  <c r="AP55" i="3"/>
  <c r="AP47" i="3"/>
  <c r="AP39" i="3"/>
  <c r="AP31" i="3"/>
  <c r="AP23" i="3"/>
  <c r="AP15" i="3"/>
  <c r="AP7" i="3"/>
  <c r="AP78" i="3"/>
  <c r="AP70" i="3"/>
  <c r="AP62" i="3"/>
  <c r="AP54" i="3"/>
  <c r="AP46" i="3"/>
  <c r="AP38" i="3"/>
  <c r="AP30" i="3"/>
  <c r="AP22" i="3"/>
  <c r="AP14" i="3"/>
  <c r="AP6" i="3"/>
  <c r="AJ17" i="3"/>
  <c r="AJ13" i="3"/>
  <c r="AJ9" i="3"/>
  <c r="AJ69" i="3"/>
  <c r="AJ65" i="3"/>
  <c r="AJ61" i="3"/>
  <c r="AJ7" i="3"/>
  <c r="AJ78" i="3"/>
  <c r="AJ23" i="3"/>
  <c r="AJ15" i="3"/>
  <c r="AJ63" i="3"/>
  <c r="AJ19" i="3"/>
  <c r="AJ21" i="3"/>
  <c r="AJ36" i="3"/>
  <c r="AJ77" i="3"/>
  <c r="AJ56" i="3"/>
  <c r="AJ55" i="3"/>
  <c r="AJ47" i="3"/>
  <c r="AJ39" i="3"/>
  <c r="AJ27" i="3"/>
  <c r="AJ12" i="3"/>
  <c r="AJ70" i="3"/>
  <c r="AJ10" i="3"/>
  <c r="K176" i="1"/>
  <c r="K168" i="1"/>
  <c r="K160" i="1"/>
  <c r="K152" i="1"/>
  <c r="K144" i="1"/>
  <c r="K136" i="1"/>
  <c r="K128" i="1"/>
  <c r="AL60" i="3" s="1"/>
  <c r="K112" i="1"/>
  <c r="K104" i="1"/>
  <c r="K96" i="1"/>
  <c r="K88" i="1"/>
  <c r="K80" i="1"/>
  <c r="K64" i="1"/>
  <c r="K56" i="1"/>
  <c r="K48" i="1"/>
  <c r="K40" i="1"/>
  <c r="K32" i="1"/>
  <c r="K24" i="1"/>
  <c r="K16" i="1"/>
  <c r="K8" i="1"/>
  <c r="K52" i="1"/>
  <c r="K4" i="1"/>
  <c r="AL6" i="3" s="1"/>
  <c r="AJ5" i="3"/>
  <c r="AJ71" i="3"/>
  <c r="AJ68" i="3"/>
  <c r="AJ48" i="3"/>
  <c r="AJ24" i="3"/>
  <c r="AJ67" i="3"/>
  <c r="AJ16" i="3"/>
  <c r="AJ66" i="3"/>
  <c r="AJ62" i="3"/>
  <c r="AJ58" i="3"/>
  <c r="AJ51" i="3"/>
  <c r="AJ31" i="3"/>
  <c r="AB8" i="3"/>
  <c r="AJ42" i="3"/>
  <c r="AJ34" i="3"/>
  <c r="AJ30" i="3"/>
  <c r="AJ72" i="3"/>
  <c r="AJ53" i="3"/>
  <c r="AJ49" i="3"/>
  <c r="AJ45" i="3"/>
  <c r="AJ41" i="3"/>
  <c r="AJ37" i="3"/>
  <c r="AJ29" i="3"/>
  <c r="AJ59" i="3"/>
  <c r="AJ52" i="3"/>
  <c r="AJ20" i="3"/>
  <c r="AJ76" i="3"/>
  <c r="AJ40" i="3"/>
  <c r="AJ33" i="3"/>
  <c r="AJ26" i="3"/>
  <c r="AJ8" i="3"/>
  <c r="AJ75" i="3"/>
  <c r="AJ54" i="3"/>
  <c r="AJ44" i="3"/>
  <c r="AJ22" i="3"/>
  <c r="AJ64" i="3"/>
  <c r="AJ57" i="3"/>
  <c r="AJ50" i="3"/>
  <c r="AJ43" i="3"/>
  <c r="AJ32" i="3"/>
  <c r="AJ25" i="3"/>
  <c r="AJ18" i="3"/>
  <c r="AJ11" i="3"/>
  <c r="AJ74" i="3"/>
  <c r="AJ46" i="3"/>
  <c r="AJ14" i="3"/>
  <c r="AJ73" i="3"/>
  <c r="AJ60" i="3"/>
  <c r="AJ38" i="3"/>
  <c r="AJ35" i="3"/>
  <c r="AJ28" i="3"/>
  <c r="AJ6" i="3"/>
  <c r="AD52" i="3"/>
  <c r="AD36" i="3"/>
  <c r="AD28" i="3"/>
  <c r="AD20" i="3"/>
  <c r="AD12" i="3"/>
  <c r="AD75" i="3"/>
  <c r="AR75" i="3" s="1"/>
  <c r="AD67" i="3"/>
  <c r="AR67" i="3" s="1"/>
  <c r="AD59" i="3"/>
  <c r="AR59" i="3" s="1"/>
  <c r="AD51" i="3"/>
  <c r="AR51" i="3" s="1"/>
  <c r="AD43" i="3"/>
  <c r="AR43" i="3" s="1"/>
  <c r="AD35" i="3"/>
  <c r="AR35" i="3" s="1"/>
  <c r="AD27" i="3"/>
  <c r="AR27" i="3" s="1"/>
  <c r="AD19" i="3"/>
  <c r="AR19" i="3" s="1"/>
  <c r="AD11" i="3"/>
  <c r="AD74" i="3"/>
  <c r="AD66" i="3"/>
  <c r="AD58" i="3"/>
  <c r="AD50" i="3"/>
  <c r="AD42" i="3"/>
  <c r="AD34" i="3"/>
  <c r="AD26" i="3"/>
  <c r="AD18" i="3"/>
  <c r="AD10" i="3"/>
  <c r="AD76" i="3"/>
  <c r="AB59" i="3"/>
  <c r="AB51" i="3"/>
  <c r="AB43" i="3"/>
  <c r="AD73" i="3"/>
  <c r="AD65" i="3"/>
  <c r="AD57" i="3"/>
  <c r="AD49" i="3"/>
  <c r="AD41" i="3"/>
  <c r="AD33" i="3"/>
  <c r="AD25" i="3"/>
  <c r="AD17" i="3"/>
  <c r="AD9" i="3"/>
  <c r="AD72" i="3"/>
  <c r="AD64" i="3"/>
  <c r="AD56" i="3"/>
  <c r="AD48" i="3"/>
  <c r="AD40" i="3"/>
  <c r="AD32" i="3"/>
  <c r="AD24" i="3"/>
  <c r="AD16" i="3"/>
  <c r="AD8" i="3"/>
  <c r="AD5" i="3"/>
  <c r="AD71" i="3"/>
  <c r="AD63" i="3"/>
  <c r="AD55" i="3"/>
  <c r="AD47" i="3"/>
  <c r="AD39" i="3"/>
  <c r="AD31" i="3"/>
  <c r="AD23" i="3"/>
  <c r="AD15" i="3"/>
  <c r="AD7" i="3"/>
  <c r="AB72" i="3"/>
  <c r="AB64" i="3"/>
  <c r="AB56" i="3"/>
  <c r="AB48" i="3"/>
  <c r="AB40" i="3"/>
  <c r="AB32" i="3"/>
  <c r="AB24" i="3"/>
  <c r="AB16" i="3"/>
  <c r="AD78" i="3"/>
  <c r="AD70" i="3"/>
  <c r="AD62" i="3"/>
  <c r="AD54" i="3"/>
  <c r="AD46" i="3"/>
  <c r="AD38" i="3"/>
  <c r="AD22" i="3"/>
  <c r="AD14" i="3"/>
  <c r="AD6" i="3"/>
  <c r="AR6" i="3" s="1"/>
  <c r="J187" i="1"/>
  <c r="AB57" i="3"/>
  <c r="AB49" i="3"/>
  <c r="AB41" i="3"/>
  <c r="AB33" i="3"/>
  <c r="AB25" i="3"/>
  <c r="AB17" i="3"/>
  <c r="AB9" i="3"/>
  <c r="AD77" i="3"/>
  <c r="AD69" i="3"/>
  <c r="AD61" i="3"/>
  <c r="AD53" i="3"/>
  <c r="AD45" i="3"/>
  <c r="AD37" i="3"/>
  <c r="AD29" i="3"/>
  <c r="AD21" i="3"/>
  <c r="AD13" i="3"/>
  <c r="AB35" i="3"/>
  <c r="AB27" i="3"/>
  <c r="AB19" i="3"/>
  <c r="AB11" i="3"/>
  <c r="AB73" i="3"/>
  <c r="AB65" i="3"/>
  <c r="AB13" i="3"/>
  <c r="AB71" i="3"/>
  <c r="AB63" i="3"/>
  <c r="AB55" i="3"/>
  <c r="AB47" i="3"/>
  <c r="AB39" i="3"/>
  <c r="AB31" i="3"/>
  <c r="AB23" i="3"/>
  <c r="AB15" i="3"/>
  <c r="AB7" i="3"/>
  <c r="AB78" i="3"/>
  <c r="AB70" i="3"/>
  <c r="AB62" i="3"/>
  <c r="AB54" i="3"/>
  <c r="AB46" i="3"/>
  <c r="AB38" i="3"/>
  <c r="AB30" i="3"/>
  <c r="AB22" i="3"/>
  <c r="AB14" i="3"/>
  <c r="AB6" i="3"/>
  <c r="AB75" i="3"/>
  <c r="AB67" i="3"/>
  <c r="AB77" i="3"/>
  <c r="AB69" i="3"/>
  <c r="AB61" i="3"/>
  <c r="AB53" i="3"/>
  <c r="AB45" i="3"/>
  <c r="AB37" i="3"/>
  <c r="AB29" i="3"/>
  <c r="AB21" i="3"/>
  <c r="AB76" i="3"/>
  <c r="AB68" i="3"/>
  <c r="AB60" i="3"/>
  <c r="AB52" i="3"/>
  <c r="AB44" i="3"/>
  <c r="AB36" i="3"/>
  <c r="AB28" i="3"/>
  <c r="AB20" i="3"/>
  <c r="AB12" i="3"/>
  <c r="AB74" i="3"/>
  <c r="AB66" i="3"/>
  <c r="AB58" i="3"/>
  <c r="AB50" i="3"/>
  <c r="AB42" i="3"/>
  <c r="AB34" i="3"/>
  <c r="AB26" i="3"/>
  <c r="AB18" i="3"/>
  <c r="AB10" i="3"/>
  <c r="AB5" i="3"/>
  <c r="J35" i="1"/>
  <c r="AL37" i="3" s="1"/>
  <c r="J53" i="1"/>
  <c r="J140" i="1"/>
  <c r="A140" i="1" s="1"/>
  <c r="J52" i="1"/>
  <c r="A52" i="1" s="1"/>
  <c r="J164" i="1"/>
  <c r="M164" i="1" s="1"/>
  <c r="J75" i="1"/>
  <c r="A75" i="1" s="1"/>
  <c r="J205" i="1"/>
  <c r="A205" i="1" s="1"/>
  <c r="J4" i="1"/>
  <c r="J76" i="1"/>
  <c r="A76" i="1" s="1"/>
  <c r="J11" i="1"/>
  <c r="J93" i="1"/>
  <c r="A93" i="1" s="1"/>
  <c r="J12" i="1"/>
  <c r="J99" i="1"/>
  <c r="A99" i="1" s="1"/>
  <c r="J29" i="1"/>
  <c r="J117" i="1"/>
  <c r="A117" i="1" s="1"/>
  <c r="J116" i="1"/>
  <c r="A116" i="1" s="1"/>
  <c r="J139" i="1"/>
  <c r="J163" i="1"/>
  <c r="J181" i="1"/>
  <c r="M181" i="1" s="1"/>
  <c r="J204" i="1"/>
  <c r="A204" i="1" s="1"/>
  <c r="J13" i="1"/>
  <c r="J36" i="1"/>
  <c r="J59" i="1"/>
  <c r="A59" i="1" s="1"/>
  <c r="J77" i="1"/>
  <c r="A77" i="1" s="1"/>
  <c r="J100" i="1"/>
  <c r="J123" i="1"/>
  <c r="J141" i="1"/>
  <c r="A141" i="1" s="1"/>
  <c r="J165" i="1"/>
  <c r="J188" i="1"/>
  <c r="A188" i="1" s="1"/>
  <c r="J211" i="1"/>
  <c r="M211" i="1" s="1"/>
  <c r="J19" i="1"/>
  <c r="J37" i="1"/>
  <c r="J60" i="1"/>
  <c r="J83" i="1"/>
  <c r="J101" i="1"/>
  <c r="A101" i="1" s="1"/>
  <c r="J124" i="1"/>
  <c r="A124" i="1" s="1"/>
  <c r="J147" i="1"/>
  <c r="A147" i="1" s="1"/>
  <c r="J171" i="1"/>
  <c r="A171" i="1" s="1"/>
  <c r="J189" i="1"/>
  <c r="A189" i="1" s="1"/>
  <c r="J212" i="1"/>
  <c r="A212" i="1" s="1"/>
  <c r="J20" i="1"/>
  <c r="J43" i="1"/>
  <c r="A43" i="1" s="1"/>
  <c r="J61" i="1"/>
  <c r="J84" i="1"/>
  <c r="A84" i="1" s="1"/>
  <c r="J107" i="1"/>
  <c r="A107" i="1" s="1"/>
  <c r="J125" i="1"/>
  <c r="A125" i="1" s="1"/>
  <c r="J149" i="1"/>
  <c r="A149" i="1" s="1"/>
  <c r="J172" i="1"/>
  <c r="A172" i="1" s="1"/>
  <c r="J195" i="1"/>
  <c r="A195" i="1" s="1"/>
  <c r="J213" i="1"/>
  <c r="J3" i="1"/>
  <c r="AL5" i="3" s="1"/>
  <c r="J21" i="1"/>
  <c r="J44" i="1"/>
  <c r="J67" i="1"/>
  <c r="A67" i="1" s="1"/>
  <c r="J85" i="1"/>
  <c r="A85" i="1" s="1"/>
  <c r="J108" i="1"/>
  <c r="A108" i="1" s="1"/>
  <c r="J131" i="1"/>
  <c r="J155" i="1"/>
  <c r="J173" i="1"/>
  <c r="J196" i="1"/>
  <c r="M196" i="1" s="1"/>
  <c r="J219" i="1"/>
  <c r="M219" i="1" s="1"/>
  <c r="J27" i="1"/>
  <c r="J45" i="1"/>
  <c r="J68" i="1"/>
  <c r="J91" i="1"/>
  <c r="A91" i="1" s="1"/>
  <c r="J109" i="1"/>
  <c r="A109" i="1" s="1"/>
  <c r="J132" i="1"/>
  <c r="A132" i="1" s="1"/>
  <c r="J156" i="1"/>
  <c r="J179" i="1"/>
  <c r="A179" i="1" s="1"/>
  <c r="J197" i="1"/>
  <c r="A197" i="1" s="1"/>
  <c r="J220" i="1"/>
  <c r="A220" i="1" s="1"/>
  <c r="J5" i="1"/>
  <c r="J28" i="1"/>
  <c r="J51" i="1"/>
  <c r="AL45" i="3" s="1"/>
  <c r="J69" i="1"/>
  <c r="A69" i="1" s="1"/>
  <c r="J92" i="1"/>
  <c r="A92" i="1" s="1"/>
  <c r="J115" i="1"/>
  <c r="A115" i="1" s="1"/>
  <c r="J133" i="1"/>
  <c r="A133" i="1" s="1"/>
  <c r="J157" i="1"/>
  <c r="A157" i="1" s="1"/>
  <c r="J180" i="1"/>
  <c r="J203" i="1"/>
  <c r="A203" i="1" s="1"/>
  <c r="J221" i="1"/>
  <c r="A221" i="1" s="1"/>
  <c r="J148" i="1"/>
  <c r="A148" i="1" s="1"/>
  <c r="J6" i="1"/>
  <c r="J14" i="1"/>
  <c r="J22" i="1"/>
  <c r="J30" i="1"/>
  <c r="J38" i="1"/>
  <c r="J46" i="1"/>
  <c r="A46" i="1" s="1"/>
  <c r="J54" i="1"/>
  <c r="A54" i="1" s="1"/>
  <c r="J62" i="1"/>
  <c r="A62" i="1" s="1"/>
  <c r="J70" i="1"/>
  <c r="J78" i="1"/>
  <c r="A78" i="1" s="1"/>
  <c r="J86" i="1"/>
  <c r="A86" i="1" s="1"/>
  <c r="J94" i="1"/>
  <c r="A94" i="1" s="1"/>
  <c r="J102" i="1"/>
  <c r="J110" i="1"/>
  <c r="J118" i="1"/>
  <c r="J126" i="1"/>
  <c r="A126" i="1" s="1"/>
  <c r="J134" i="1"/>
  <c r="A134" i="1" s="1"/>
  <c r="J142" i="1"/>
  <c r="J150" i="1"/>
  <c r="A150" i="1" s="1"/>
  <c r="J158" i="1"/>
  <c r="J166" i="1"/>
  <c r="A166" i="1" s="1"/>
  <c r="J174" i="1"/>
  <c r="A174" i="1" s="1"/>
  <c r="J182" i="1"/>
  <c r="J190" i="1"/>
  <c r="A190" i="1" s="1"/>
  <c r="J198" i="1"/>
  <c r="J206" i="1"/>
  <c r="A206" i="1" s="1"/>
  <c r="J214" i="1"/>
  <c r="A214" i="1" s="1"/>
  <c r="J222" i="1"/>
  <c r="A222" i="1" s="1"/>
  <c r="J7" i="1"/>
  <c r="J15" i="1"/>
  <c r="J23" i="1"/>
  <c r="J31" i="1"/>
  <c r="J39" i="1"/>
  <c r="J47" i="1"/>
  <c r="A47" i="1" s="1"/>
  <c r="J55" i="1"/>
  <c r="A55" i="1" s="1"/>
  <c r="J63" i="1"/>
  <c r="J71" i="1"/>
  <c r="J79" i="1"/>
  <c r="J87" i="1"/>
  <c r="A87" i="1" s="1"/>
  <c r="J95" i="1"/>
  <c r="A95" i="1" s="1"/>
  <c r="J103" i="1"/>
  <c r="A103" i="1" s="1"/>
  <c r="J111" i="1"/>
  <c r="A111" i="1" s="1"/>
  <c r="J119" i="1"/>
  <c r="M119" i="1" s="1"/>
  <c r="J127" i="1"/>
  <c r="M127" i="1" s="1"/>
  <c r="J135" i="1"/>
  <c r="A135" i="1" s="1"/>
  <c r="J143" i="1"/>
  <c r="A143" i="1" s="1"/>
  <c r="J151" i="1"/>
  <c r="A151" i="1" s="1"/>
  <c r="J159" i="1"/>
  <c r="A159" i="1" s="1"/>
  <c r="J167" i="1"/>
  <c r="A167" i="1" s="1"/>
  <c r="J175" i="1"/>
  <c r="A175" i="1" s="1"/>
  <c r="J183" i="1"/>
  <c r="A183" i="1" s="1"/>
  <c r="J191" i="1"/>
  <c r="M191" i="1" s="1"/>
  <c r="J199" i="1"/>
  <c r="A199" i="1" s="1"/>
  <c r="J207" i="1"/>
  <c r="A207" i="1" s="1"/>
  <c r="J215" i="1"/>
  <c r="J223" i="1"/>
  <c r="A223" i="1" s="1"/>
  <c r="J8" i="1"/>
  <c r="J16" i="1"/>
  <c r="J24" i="1"/>
  <c r="J32" i="1"/>
  <c r="J40" i="1"/>
  <c r="A40" i="1" s="1"/>
  <c r="J48" i="1"/>
  <c r="J56" i="1"/>
  <c r="J64" i="1"/>
  <c r="A64" i="1" s="1"/>
  <c r="J72" i="1"/>
  <c r="A72" i="1" s="1"/>
  <c r="J80" i="1"/>
  <c r="A80" i="1" s="1"/>
  <c r="J88" i="1"/>
  <c r="A88" i="1" s="1"/>
  <c r="J96" i="1"/>
  <c r="A96" i="1" s="1"/>
  <c r="J104" i="1"/>
  <c r="J112" i="1"/>
  <c r="A112" i="1" s="1"/>
  <c r="J120" i="1"/>
  <c r="A120" i="1" s="1"/>
  <c r="J128" i="1"/>
  <c r="M128" i="1" s="1"/>
  <c r="J136" i="1"/>
  <c r="J144" i="1"/>
  <c r="J152" i="1"/>
  <c r="A152" i="1" s="1"/>
  <c r="J160" i="1"/>
  <c r="A160" i="1" s="1"/>
  <c r="J168" i="1"/>
  <c r="J176" i="1"/>
  <c r="A176" i="1" s="1"/>
  <c r="J184" i="1"/>
  <c r="A184" i="1" s="1"/>
  <c r="J192" i="1"/>
  <c r="M192" i="1" s="1"/>
  <c r="J200" i="1"/>
  <c r="A200" i="1" s="1"/>
  <c r="J208" i="1"/>
  <c r="A208" i="1" s="1"/>
  <c r="J216" i="1"/>
  <c r="A216" i="1" s="1"/>
  <c r="J224" i="1"/>
  <c r="M224" i="1" s="1"/>
  <c r="J9" i="1"/>
  <c r="J17" i="1"/>
  <c r="J25" i="1"/>
  <c r="M25" i="1" s="1"/>
  <c r="J33" i="1"/>
  <c r="J41" i="1"/>
  <c r="A41" i="1" s="1"/>
  <c r="J49" i="1"/>
  <c r="J57" i="1"/>
  <c r="J65" i="1"/>
  <c r="A65" i="1" s="1"/>
  <c r="J73" i="1"/>
  <c r="A73" i="1" s="1"/>
  <c r="J81" i="1"/>
  <c r="J89" i="1"/>
  <c r="A89" i="1" s="1"/>
  <c r="J97" i="1"/>
  <c r="A97" i="1" s="1"/>
  <c r="J105" i="1"/>
  <c r="A105" i="1" s="1"/>
  <c r="J113" i="1"/>
  <c r="A113" i="1" s="1"/>
  <c r="J121" i="1"/>
  <c r="A121" i="1" s="1"/>
  <c r="J129" i="1"/>
  <c r="A129" i="1" s="1"/>
  <c r="J137" i="1"/>
  <c r="M137" i="1" s="1"/>
  <c r="J145" i="1"/>
  <c r="J153" i="1"/>
  <c r="A153" i="1" s="1"/>
  <c r="J161" i="1"/>
  <c r="A161" i="1" s="1"/>
  <c r="J169" i="1"/>
  <c r="A169" i="1" s="1"/>
  <c r="J177" i="1"/>
  <c r="A177" i="1" s="1"/>
  <c r="J185" i="1"/>
  <c r="A185" i="1" s="1"/>
  <c r="J193" i="1"/>
  <c r="A193" i="1" s="1"/>
  <c r="J201" i="1"/>
  <c r="A201" i="1" s="1"/>
  <c r="J209" i="1"/>
  <c r="A209" i="1" s="1"/>
  <c r="J217" i="1"/>
  <c r="A217" i="1" s="1"/>
  <c r="J225" i="1"/>
  <c r="A225" i="1" s="1"/>
  <c r="J10" i="1"/>
  <c r="J18" i="1"/>
  <c r="J26" i="1"/>
  <c r="M26" i="1" s="1"/>
  <c r="J34" i="1"/>
  <c r="J42" i="1"/>
  <c r="A42" i="1" s="1"/>
  <c r="J50" i="1"/>
  <c r="J58" i="1"/>
  <c r="A58" i="1" s="1"/>
  <c r="J66" i="1"/>
  <c r="A66" i="1" s="1"/>
  <c r="J74" i="1"/>
  <c r="J82" i="1"/>
  <c r="J90" i="1"/>
  <c r="A90" i="1" s="1"/>
  <c r="J98" i="1"/>
  <c r="A98" i="1" s="1"/>
  <c r="J106" i="1"/>
  <c r="A106" i="1" s="1"/>
  <c r="J114" i="1"/>
  <c r="J122" i="1"/>
  <c r="A122" i="1" s="1"/>
  <c r="J130" i="1"/>
  <c r="A130" i="1" s="1"/>
  <c r="J138" i="1"/>
  <c r="A138" i="1" s="1"/>
  <c r="J146" i="1"/>
  <c r="A146" i="1" s="1"/>
  <c r="J154" i="1"/>
  <c r="A154" i="1" s="1"/>
  <c r="J162" i="1"/>
  <c r="J170" i="1"/>
  <c r="A170" i="1" s="1"/>
  <c r="J178" i="1"/>
  <c r="J186" i="1"/>
  <c r="A186" i="1" s="1"/>
  <c r="J194" i="1"/>
  <c r="A194" i="1" s="1"/>
  <c r="J202" i="1"/>
  <c r="A202" i="1" s="1"/>
  <c r="J210" i="1"/>
  <c r="A210" i="1" s="1"/>
  <c r="J218" i="1"/>
  <c r="A218" i="1" s="1"/>
  <c r="J226" i="1"/>
  <c r="A226" i="1" s="1"/>
  <c r="A60" i="1"/>
  <c r="A102" i="1"/>
  <c r="A79" i="1"/>
  <c r="A178" i="1"/>
  <c r="A198" i="1"/>
  <c r="A213" i="1"/>
  <c r="A158" i="1"/>
  <c r="A182" i="1"/>
  <c r="A110" i="1"/>
  <c r="A187" i="1"/>
  <c r="A163" i="1"/>
  <c r="A155" i="1"/>
  <c r="A139" i="1"/>
  <c r="A131" i="1"/>
  <c r="A123" i="1"/>
  <c r="A83" i="1"/>
  <c r="A81" i="1"/>
  <c r="A56" i="1"/>
  <c r="A48" i="1"/>
  <c r="A215" i="1"/>
  <c r="A53" i="1"/>
  <c r="M5" i="1"/>
  <c r="B9" i="2"/>
  <c r="K98" i="1" s="1"/>
  <c r="AR60" i="3" l="1"/>
  <c r="AL20" i="3"/>
  <c r="AL44" i="3"/>
  <c r="AL10" i="3"/>
  <c r="AL47" i="3"/>
  <c r="AL67" i="3"/>
  <c r="AL48" i="3"/>
  <c r="AL59" i="3"/>
  <c r="AL73" i="3"/>
  <c r="AL12" i="3"/>
  <c r="AL74" i="3"/>
  <c r="AL22" i="3"/>
  <c r="AL54" i="3"/>
  <c r="AL68" i="3"/>
  <c r="AL75" i="3"/>
  <c r="K60" i="3"/>
  <c r="AL46" i="3"/>
  <c r="AL14" i="3"/>
  <c r="AL66" i="3"/>
  <c r="AL77" i="3"/>
  <c r="AL18" i="3"/>
  <c r="AL7" i="3"/>
  <c r="AL50" i="3"/>
  <c r="AL9" i="3"/>
  <c r="AL51" i="3"/>
  <c r="AL38" i="3"/>
  <c r="AL64" i="3"/>
  <c r="M3" i="1"/>
  <c r="AL26" i="3"/>
  <c r="AL70" i="3"/>
  <c r="AL15" i="3"/>
  <c r="AL21" i="3"/>
  <c r="AL63" i="3"/>
  <c r="AL17" i="3"/>
  <c r="AL52" i="3"/>
  <c r="AL42" i="3"/>
  <c r="AL72" i="3"/>
  <c r="AL76" i="3"/>
  <c r="AL34" i="3"/>
  <c r="AL55" i="3"/>
  <c r="AL23" i="3"/>
  <c r="AL8" i="3"/>
  <c r="AL25" i="3"/>
  <c r="AL78" i="3"/>
  <c r="AL65" i="3"/>
  <c r="AL53" i="3"/>
  <c r="AL61" i="3"/>
  <c r="AR68" i="3"/>
  <c r="AL31" i="3"/>
  <c r="AL24" i="3"/>
  <c r="AL33" i="3"/>
  <c r="AL62" i="3"/>
  <c r="AL11" i="3"/>
  <c r="AL13" i="3"/>
  <c r="AL49" i="3"/>
  <c r="AZ6" i="3"/>
  <c r="AY6" i="3"/>
  <c r="AZ74" i="3"/>
  <c r="AY74" i="3"/>
  <c r="AZ64" i="3"/>
  <c r="AY64" i="3"/>
  <c r="AZ40" i="3"/>
  <c r="AY40" i="3"/>
  <c r="AY45" i="3"/>
  <c r="AZ45" i="3"/>
  <c r="AZ31" i="3"/>
  <c r="AY31" i="3"/>
  <c r="AZ48" i="3"/>
  <c r="AY48" i="3"/>
  <c r="AZ55" i="3"/>
  <c r="AY55" i="3"/>
  <c r="AZ23" i="3"/>
  <c r="AY23" i="3"/>
  <c r="AZ17" i="3"/>
  <c r="AY17" i="3"/>
  <c r="AY28" i="3"/>
  <c r="AZ28" i="3"/>
  <c r="AY11" i="3"/>
  <c r="AZ11" i="3"/>
  <c r="AZ22" i="3"/>
  <c r="AY22" i="3"/>
  <c r="AY76" i="3"/>
  <c r="AZ76" i="3"/>
  <c r="AZ49" i="3"/>
  <c r="AY49" i="3"/>
  <c r="AY51" i="3"/>
  <c r="AZ51" i="3"/>
  <c r="AY68" i="3"/>
  <c r="AZ68" i="3"/>
  <c r="AZ56" i="3"/>
  <c r="AY56" i="3"/>
  <c r="AZ78" i="3"/>
  <c r="AY78" i="3"/>
  <c r="AZ41" i="3"/>
  <c r="AY41" i="3"/>
  <c r="AZ47" i="3"/>
  <c r="AY47" i="3"/>
  <c r="AY35" i="3"/>
  <c r="AZ35" i="3"/>
  <c r="AZ18" i="3"/>
  <c r="AY18" i="3"/>
  <c r="AY44" i="3"/>
  <c r="AZ44" i="3"/>
  <c r="AY20" i="3"/>
  <c r="AZ20" i="3"/>
  <c r="AY53" i="3"/>
  <c r="AZ53" i="3"/>
  <c r="AZ58" i="3"/>
  <c r="AY58" i="3"/>
  <c r="AZ71" i="3"/>
  <c r="AY71" i="3"/>
  <c r="AZ10" i="3"/>
  <c r="AY10" i="3"/>
  <c r="AY77" i="3"/>
  <c r="AZ77" i="3"/>
  <c r="AZ7" i="3"/>
  <c r="AY7" i="3"/>
  <c r="AZ46" i="3"/>
  <c r="AY46" i="3"/>
  <c r="AZ38" i="3"/>
  <c r="AY38" i="3"/>
  <c r="AZ25" i="3"/>
  <c r="AY25" i="3"/>
  <c r="AZ54" i="3"/>
  <c r="AY54" i="3"/>
  <c r="AY52" i="3"/>
  <c r="AZ52" i="3"/>
  <c r="AZ72" i="3"/>
  <c r="AY72" i="3"/>
  <c r="AZ62" i="3"/>
  <c r="AY62" i="3"/>
  <c r="AZ5" i="3"/>
  <c r="AY5" i="3"/>
  <c r="AZ70" i="3"/>
  <c r="AY70" i="3"/>
  <c r="AY36" i="3"/>
  <c r="AZ36" i="3"/>
  <c r="AY61" i="3"/>
  <c r="AZ61" i="3"/>
  <c r="AZ57" i="3"/>
  <c r="AY57" i="3"/>
  <c r="AZ33" i="3"/>
  <c r="AY33" i="3"/>
  <c r="AZ24" i="3"/>
  <c r="AY24" i="3"/>
  <c r="AZ15" i="3"/>
  <c r="AY15" i="3"/>
  <c r="AY13" i="3"/>
  <c r="AZ13" i="3"/>
  <c r="AY60" i="3"/>
  <c r="AZ60" i="3"/>
  <c r="AZ32" i="3"/>
  <c r="AY32" i="3"/>
  <c r="AY75" i="3"/>
  <c r="AZ75" i="3"/>
  <c r="AY59" i="3"/>
  <c r="AZ59" i="3"/>
  <c r="AZ30" i="3"/>
  <c r="AY30" i="3"/>
  <c r="AZ66" i="3"/>
  <c r="AY66" i="3"/>
  <c r="AY12" i="3"/>
  <c r="AZ12" i="3"/>
  <c r="AY21" i="3"/>
  <c r="AZ21" i="3"/>
  <c r="AZ65" i="3"/>
  <c r="AY65" i="3"/>
  <c r="AZ73" i="3"/>
  <c r="AY73" i="3"/>
  <c r="AY43" i="3"/>
  <c r="AZ43" i="3"/>
  <c r="AZ8" i="3"/>
  <c r="AY8" i="3"/>
  <c r="AY29" i="3"/>
  <c r="AZ29" i="3"/>
  <c r="AZ34" i="3"/>
  <c r="AY34" i="3"/>
  <c r="AZ16" i="3"/>
  <c r="AY16" i="3"/>
  <c r="AY27" i="3"/>
  <c r="AZ27" i="3"/>
  <c r="AY19" i="3"/>
  <c r="AZ19" i="3"/>
  <c r="AY69" i="3"/>
  <c r="AZ69" i="3"/>
  <c r="AZ14" i="3"/>
  <c r="AY14" i="3"/>
  <c r="AZ50" i="3"/>
  <c r="AY50" i="3"/>
  <c r="AZ26" i="3"/>
  <c r="AY26" i="3"/>
  <c r="AY37" i="3"/>
  <c r="AZ37" i="3"/>
  <c r="AZ42" i="3"/>
  <c r="AY42" i="3"/>
  <c r="AY67" i="3"/>
  <c r="AZ67" i="3"/>
  <c r="AZ39" i="3"/>
  <c r="AY39" i="3"/>
  <c r="AZ63" i="3"/>
  <c r="AY63" i="3"/>
  <c r="AZ9" i="3"/>
  <c r="AY9" i="3"/>
  <c r="AR44" i="3"/>
  <c r="AR30" i="3"/>
  <c r="AQ13" i="3"/>
  <c r="AR13" i="3"/>
  <c r="AQ78" i="3"/>
  <c r="AR78" i="3"/>
  <c r="AS72" i="3"/>
  <c r="AT72" i="3"/>
  <c r="AQ41" i="3"/>
  <c r="AR41" i="3"/>
  <c r="AQ66" i="3"/>
  <c r="AR66" i="3"/>
  <c r="AS74" i="3"/>
  <c r="AT74" i="3"/>
  <c r="AS68" i="3"/>
  <c r="AT68" i="3"/>
  <c r="AS69" i="3"/>
  <c r="AT69" i="3"/>
  <c r="AS38" i="3"/>
  <c r="AT38" i="3"/>
  <c r="AS23" i="3"/>
  <c r="AT23" i="3"/>
  <c r="AS65" i="3"/>
  <c r="AT65" i="3"/>
  <c r="AQ14" i="3"/>
  <c r="AR14" i="3"/>
  <c r="AQ7" i="3"/>
  <c r="AR7" i="3"/>
  <c r="AQ71" i="3"/>
  <c r="AR71" i="3"/>
  <c r="AQ56" i="3"/>
  <c r="AR56" i="3"/>
  <c r="AQ49" i="3"/>
  <c r="AR49" i="3"/>
  <c r="AQ10" i="3"/>
  <c r="AR10" i="3"/>
  <c r="AQ74" i="3"/>
  <c r="AR74" i="3"/>
  <c r="AQ55" i="3"/>
  <c r="AR55" i="3"/>
  <c r="AS66" i="3"/>
  <c r="AT66" i="3"/>
  <c r="AS61" i="3"/>
  <c r="AT61" i="3"/>
  <c r="AS15" i="3"/>
  <c r="AT15" i="3"/>
  <c r="AQ29" i="3"/>
  <c r="AR29" i="3"/>
  <c r="AS17" i="3"/>
  <c r="AT17" i="3"/>
  <c r="AS16" i="3"/>
  <c r="AT16" i="3"/>
  <c r="AS18" i="3"/>
  <c r="AT18" i="3"/>
  <c r="AS12" i="3"/>
  <c r="AT12" i="3"/>
  <c r="AS76" i="3"/>
  <c r="AT76" i="3"/>
  <c r="AS77" i="3"/>
  <c r="AT77" i="3"/>
  <c r="AS46" i="3"/>
  <c r="AT46" i="3"/>
  <c r="AS31" i="3"/>
  <c r="AT31" i="3"/>
  <c r="AS73" i="3"/>
  <c r="AT73" i="3"/>
  <c r="AQ37" i="3"/>
  <c r="AR37" i="3"/>
  <c r="AS25" i="3"/>
  <c r="AT25" i="3"/>
  <c r="AQ22" i="3"/>
  <c r="AR22" i="3"/>
  <c r="AS24" i="3"/>
  <c r="AT24" i="3"/>
  <c r="AQ15" i="3"/>
  <c r="AR15" i="3"/>
  <c r="AR5" i="3"/>
  <c r="AQ5" i="3"/>
  <c r="AQ64" i="3"/>
  <c r="AR64" i="3"/>
  <c r="AQ57" i="3"/>
  <c r="AR57" i="3"/>
  <c r="AQ18" i="3"/>
  <c r="AR18" i="3"/>
  <c r="AQ11" i="3"/>
  <c r="AR11" i="3"/>
  <c r="AQ76" i="3"/>
  <c r="AR76" i="3"/>
  <c r="AS10" i="3"/>
  <c r="AT10" i="3"/>
  <c r="AS26" i="3"/>
  <c r="AT26" i="3"/>
  <c r="AS20" i="3"/>
  <c r="AT20" i="3"/>
  <c r="AS21" i="3"/>
  <c r="AT21" i="3"/>
  <c r="AS67" i="3"/>
  <c r="AT67" i="3"/>
  <c r="AU67" i="3" s="1"/>
  <c r="AV67" i="3" s="1"/>
  <c r="AS54" i="3"/>
  <c r="AT54" i="3"/>
  <c r="AS39" i="3"/>
  <c r="AT39" i="3"/>
  <c r="AS11" i="3"/>
  <c r="AT11" i="3"/>
  <c r="AQ45" i="3"/>
  <c r="AR45" i="3"/>
  <c r="AS33" i="3"/>
  <c r="AT33" i="3"/>
  <c r="AQ38" i="3"/>
  <c r="AR38" i="3"/>
  <c r="AS32" i="3"/>
  <c r="AT32" i="3"/>
  <c r="AQ23" i="3"/>
  <c r="AR23" i="3"/>
  <c r="AQ8" i="3"/>
  <c r="AR8" i="3"/>
  <c r="AQ72" i="3"/>
  <c r="AR72" i="3"/>
  <c r="AQ65" i="3"/>
  <c r="AR65" i="3"/>
  <c r="AQ26" i="3"/>
  <c r="AR26" i="3"/>
  <c r="AQ12" i="3"/>
  <c r="AR12" i="3"/>
  <c r="AS58" i="3"/>
  <c r="AT58" i="3"/>
  <c r="AS52" i="3"/>
  <c r="AT52" i="3"/>
  <c r="AS53" i="3"/>
  <c r="AT53" i="3"/>
  <c r="AS22" i="3"/>
  <c r="AT22" i="3"/>
  <c r="AS7" i="3"/>
  <c r="AT7" i="3"/>
  <c r="AS71" i="3"/>
  <c r="AT71" i="3"/>
  <c r="AQ58" i="3"/>
  <c r="AR58" i="3"/>
  <c r="AT5" i="3"/>
  <c r="AS5" i="3"/>
  <c r="AQ21" i="3"/>
  <c r="AR21" i="3"/>
  <c r="AS9" i="3"/>
  <c r="AT9" i="3"/>
  <c r="AQ48" i="3"/>
  <c r="AR48" i="3"/>
  <c r="AS34" i="3"/>
  <c r="AT34" i="3"/>
  <c r="AS28" i="3"/>
  <c r="AT28" i="3"/>
  <c r="AS29" i="3"/>
  <c r="AT29" i="3"/>
  <c r="AU29" i="3" s="1"/>
  <c r="AV29" i="3" s="1"/>
  <c r="AS75" i="3"/>
  <c r="AT75" i="3"/>
  <c r="AU75" i="3" s="1"/>
  <c r="AV75" i="3" s="1"/>
  <c r="AS62" i="3"/>
  <c r="AT62" i="3"/>
  <c r="AS47" i="3"/>
  <c r="AT47" i="3"/>
  <c r="AS19" i="3"/>
  <c r="AT19" i="3"/>
  <c r="AU19" i="3" s="1"/>
  <c r="AV19" i="3" s="1"/>
  <c r="AQ53" i="3"/>
  <c r="AR53" i="3"/>
  <c r="AU53" i="3" s="1"/>
  <c r="AV53" i="3" s="1"/>
  <c r="AS41" i="3"/>
  <c r="AT41" i="3"/>
  <c r="AQ46" i="3"/>
  <c r="AR46" i="3"/>
  <c r="AS40" i="3"/>
  <c r="AT40" i="3"/>
  <c r="AQ31" i="3"/>
  <c r="AR31" i="3"/>
  <c r="AQ16" i="3"/>
  <c r="AR16" i="3"/>
  <c r="AQ9" i="3"/>
  <c r="AR9" i="3"/>
  <c r="AQ73" i="3"/>
  <c r="AR73" i="3"/>
  <c r="AQ34" i="3"/>
  <c r="AR34" i="3"/>
  <c r="AQ20" i="3"/>
  <c r="AR20" i="3"/>
  <c r="AQ70" i="3"/>
  <c r="AR70" i="3"/>
  <c r="AS64" i="3"/>
  <c r="AT64" i="3"/>
  <c r="AQ33" i="3"/>
  <c r="AR33" i="3"/>
  <c r="AS59" i="3"/>
  <c r="AT59" i="3"/>
  <c r="AU59" i="3" s="1"/>
  <c r="AV59" i="3" s="1"/>
  <c r="AS60" i="3"/>
  <c r="AT60" i="3"/>
  <c r="AU60" i="3" s="1"/>
  <c r="AV60" i="3" s="1"/>
  <c r="AS30" i="3"/>
  <c r="AT30" i="3"/>
  <c r="AS13" i="3"/>
  <c r="AT13" i="3"/>
  <c r="AQ63" i="3"/>
  <c r="AR63" i="3"/>
  <c r="AQ61" i="3"/>
  <c r="AR61" i="3"/>
  <c r="AS49" i="3"/>
  <c r="AT49" i="3"/>
  <c r="AQ54" i="3"/>
  <c r="AR54" i="3"/>
  <c r="AS48" i="3"/>
  <c r="AT48" i="3"/>
  <c r="AQ39" i="3"/>
  <c r="AR39" i="3"/>
  <c r="AU39" i="3" s="1"/>
  <c r="AV39" i="3" s="1"/>
  <c r="AQ24" i="3"/>
  <c r="AR24" i="3"/>
  <c r="AQ17" i="3"/>
  <c r="AR17" i="3"/>
  <c r="AS43" i="3"/>
  <c r="AT43" i="3"/>
  <c r="AU43" i="3" s="1"/>
  <c r="AV43" i="3" s="1"/>
  <c r="AQ42" i="3"/>
  <c r="AR42" i="3"/>
  <c r="AQ28" i="3"/>
  <c r="AR28" i="3"/>
  <c r="AQ77" i="3"/>
  <c r="AR77" i="3"/>
  <c r="AQ40" i="3"/>
  <c r="AR40" i="3"/>
  <c r="AQ52" i="3"/>
  <c r="AR52" i="3"/>
  <c r="AS8" i="3"/>
  <c r="AT8" i="3"/>
  <c r="AS42" i="3"/>
  <c r="AT42" i="3"/>
  <c r="AS36" i="3"/>
  <c r="AT36" i="3"/>
  <c r="AS37" i="3"/>
  <c r="AT37" i="3"/>
  <c r="AS6" i="3"/>
  <c r="AT6" i="3"/>
  <c r="AU6" i="3" s="1"/>
  <c r="AV6" i="3" s="1"/>
  <c r="AS70" i="3"/>
  <c r="AT70" i="3"/>
  <c r="AS55" i="3"/>
  <c r="AT55" i="3"/>
  <c r="AS27" i="3"/>
  <c r="AT27" i="3"/>
  <c r="AU27" i="3" s="1"/>
  <c r="AV27" i="3" s="1"/>
  <c r="AS50" i="3"/>
  <c r="AT50" i="3"/>
  <c r="AS44" i="3"/>
  <c r="AT44" i="3"/>
  <c r="AS45" i="3"/>
  <c r="AT45" i="3"/>
  <c r="AS14" i="3"/>
  <c r="AT14" i="3"/>
  <c r="AS78" i="3"/>
  <c r="AT78" i="3"/>
  <c r="AS63" i="3"/>
  <c r="AT63" i="3"/>
  <c r="AS35" i="3"/>
  <c r="AT35" i="3"/>
  <c r="AU35" i="3" s="1"/>
  <c r="AV35" i="3" s="1"/>
  <c r="AQ69" i="3"/>
  <c r="AR69" i="3"/>
  <c r="AS57" i="3"/>
  <c r="AT57" i="3"/>
  <c r="AQ62" i="3"/>
  <c r="AR62" i="3"/>
  <c r="AS56" i="3"/>
  <c r="AT56" i="3"/>
  <c r="AQ47" i="3"/>
  <c r="AR47" i="3"/>
  <c r="AQ32" i="3"/>
  <c r="AR32" i="3"/>
  <c r="AQ25" i="3"/>
  <c r="AR25" i="3"/>
  <c r="AS51" i="3"/>
  <c r="AT51" i="3"/>
  <c r="AU51" i="3" s="1"/>
  <c r="AV51" i="3" s="1"/>
  <c r="AQ50" i="3"/>
  <c r="AR50" i="3"/>
  <c r="AQ36" i="3"/>
  <c r="AR36" i="3"/>
  <c r="AQ75" i="3"/>
  <c r="AQ19" i="3"/>
  <c r="AQ27" i="3"/>
  <c r="AQ43" i="3"/>
  <c r="AQ51" i="3"/>
  <c r="AQ35" i="3"/>
  <c r="AQ6" i="3"/>
  <c r="AQ59" i="3"/>
  <c r="AQ67" i="3"/>
  <c r="K72" i="1"/>
  <c r="K28" i="1"/>
  <c r="AL30" i="3" s="1"/>
  <c r="K212" i="1"/>
  <c r="K14" i="1"/>
  <c r="AL16" i="3" s="1"/>
  <c r="K54" i="1"/>
  <c r="K193" i="1"/>
  <c r="K120" i="1"/>
  <c r="K216" i="1"/>
  <c r="K147" i="1"/>
  <c r="K169" i="1"/>
  <c r="A61" i="1"/>
  <c r="M107" i="1"/>
  <c r="M61" i="1"/>
  <c r="A31" i="1"/>
  <c r="M31" i="1"/>
  <c r="M217" i="1"/>
  <c r="M170" i="1"/>
  <c r="M76" i="1"/>
  <c r="M124" i="1"/>
  <c r="A12" i="1"/>
  <c r="M190" i="1"/>
  <c r="M12" i="1"/>
  <c r="A23" i="1"/>
  <c r="M206" i="1"/>
  <c r="M23" i="1"/>
  <c r="M112" i="1"/>
  <c r="M160" i="1"/>
  <c r="M66" i="1"/>
  <c r="A27" i="1"/>
  <c r="M27" i="1"/>
  <c r="M115" i="1"/>
  <c r="M69" i="1"/>
  <c r="A14" i="1"/>
  <c r="M14" i="1"/>
  <c r="M54" i="1"/>
  <c r="M193" i="1"/>
  <c r="M98" i="1"/>
  <c r="M147" i="1"/>
  <c r="M52" i="1"/>
  <c r="A33" i="1"/>
  <c r="M78" i="1"/>
  <c r="M126" i="1"/>
  <c r="M33" i="1"/>
  <c r="M172" i="1"/>
  <c r="M218" i="1"/>
  <c r="A35" i="1"/>
  <c r="M222" i="1"/>
  <c r="M175" i="1"/>
  <c r="M80" i="1"/>
  <c r="M130" i="1"/>
  <c r="M35" i="1"/>
  <c r="A39" i="1"/>
  <c r="M39" i="1"/>
  <c r="M135" i="1"/>
  <c r="M225" i="1"/>
  <c r="M178" i="1"/>
  <c r="M85" i="1"/>
  <c r="A8" i="1"/>
  <c r="M140" i="1"/>
  <c r="M8" i="1"/>
  <c r="M89" i="1"/>
  <c r="M43" i="1"/>
  <c r="M184" i="1"/>
  <c r="A136" i="1"/>
  <c r="M179" i="1"/>
  <c r="M136" i="1"/>
  <c r="A10" i="1"/>
  <c r="M47" i="1"/>
  <c r="M143" i="1"/>
  <c r="M10" i="1"/>
  <c r="M187" i="1"/>
  <c r="M93" i="1"/>
  <c r="A74" i="1"/>
  <c r="M214" i="1"/>
  <c r="M167" i="1"/>
  <c r="M74" i="1"/>
  <c r="M122" i="1"/>
  <c r="A4" i="1"/>
  <c r="M86" i="1"/>
  <c r="M40" i="1"/>
  <c r="M4" i="1"/>
  <c r="A44" i="1"/>
  <c r="M90" i="1"/>
  <c r="M44" i="1"/>
  <c r="A6" i="1"/>
  <c r="M6" i="1"/>
  <c r="M87" i="1"/>
  <c r="M183" i="1"/>
  <c r="M41" i="1"/>
  <c r="M138" i="1"/>
  <c r="A145" i="1"/>
  <c r="M188" i="1"/>
  <c r="M145" i="1"/>
  <c r="A50" i="1"/>
  <c r="M96" i="1"/>
  <c r="M146" i="1"/>
  <c r="M50" i="1"/>
  <c r="A19" i="1"/>
  <c r="M201" i="1"/>
  <c r="M106" i="1"/>
  <c r="M19" i="1"/>
  <c r="M155" i="1"/>
  <c r="M60" i="1"/>
  <c r="A13" i="1"/>
  <c r="M194" i="1"/>
  <c r="M99" i="1"/>
  <c r="M13" i="1"/>
  <c r="M53" i="1"/>
  <c r="M149" i="1"/>
  <c r="A16" i="1"/>
  <c r="M102" i="1"/>
  <c r="M150" i="1"/>
  <c r="M198" i="1"/>
  <c r="M16" i="1"/>
  <c r="M56" i="1"/>
  <c r="A144" i="1"/>
  <c r="M144" i="1"/>
  <c r="M189" i="1"/>
  <c r="A49" i="1"/>
  <c r="M95" i="1"/>
  <c r="M49" i="1"/>
  <c r="A18" i="1"/>
  <c r="M105" i="1"/>
  <c r="M18" i="1"/>
  <c r="M154" i="1"/>
  <c r="M59" i="1"/>
  <c r="M200" i="1"/>
  <c r="A82" i="1"/>
  <c r="M223" i="1"/>
  <c r="M176" i="1"/>
  <c r="M82" i="1"/>
  <c r="M132" i="1"/>
  <c r="A51" i="1"/>
  <c r="M97" i="1"/>
  <c r="M51" i="1"/>
  <c r="A36" i="1"/>
  <c r="M81" i="1"/>
  <c r="M131" i="1"/>
  <c r="M36" i="1"/>
  <c r="A180" i="1"/>
  <c r="M180" i="1"/>
  <c r="M226" i="1"/>
  <c r="A28" i="1"/>
  <c r="M120" i="1"/>
  <c r="M72" i="1"/>
  <c r="M212" i="1"/>
  <c r="M28" i="1"/>
  <c r="A29" i="1"/>
  <c r="M166" i="1"/>
  <c r="M73" i="1"/>
  <c r="M121" i="1"/>
  <c r="M29" i="1"/>
  <c r="K31" i="3" s="1"/>
  <c r="M213" i="1"/>
  <c r="A63" i="1"/>
  <c r="M158" i="1"/>
  <c r="M63" i="1"/>
  <c r="M109" i="1"/>
  <c r="M205" i="1"/>
  <c r="A173" i="1"/>
  <c r="M173" i="1"/>
  <c r="M220" i="1"/>
  <c r="A17" i="1"/>
  <c r="M17" i="1"/>
  <c r="M58" i="1"/>
  <c r="A114" i="1"/>
  <c r="M207" i="1"/>
  <c r="M161" i="1"/>
  <c r="M114" i="1"/>
  <c r="A38" i="1"/>
  <c r="M38" i="1"/>
  <c r="M134" i="1"/>
  <c r="M84" i="1"/>
  <c r="A21" i="1"/>
  <c r="M110" i="1"/>
  <c r="M64" i="1"/>
  <c r="M21" i="1"/>
  <c r="A24" i="1"/>
  <c r="M24" i="1"/>
  <c r="M67" i="1"/>
  <c r="A57" i="1"/>
  <c r="M103" i="1"/>
  <c r="M151" i="1"/>
  <c r="M199" i="1"/>
  <c r="M57" i="1"/>
  <c r="K46" i="3" s="1"/>
  <c r="A68" i="1"/>
  <c r="M113" i="1"/>
  <c r="M68" i="1"/>
  <c r="A142" i="1"/>
  <c r="M142" i="1"/>
  <c r="M186" i="1"/>
  <c r="A22" i="1"/>
  <c r="M22" i="1"/>
  <c r="K24" i="3" s="1"/>
  <c r="M111" i="1"/>
  <c r="M159" i="1"/>
  <c r="M65" i="1"/>
  <c r="M204" i="1"/>
  <c r="A32" i="1"/>
  <c r="M32" i="1"/>
  <c r="M171" i="1"/>
  <c r="M77" i="1"/>
  <c r="M125" i="1"/>
  <c r="A34" i="1"/>
  <c r="M174" i="1"/>
  <c r="M79" i="1"/>
  <c r="M129" i="1"/>
  <c r="M34" i="1"/>
  <c r="M221" i="1"/>
  <c r="A162" i="1"/>
  <c r="M162" i="1"/>
  <c r="M208" i="1"/>
  <c r="A100" i="1"/>
  <c r="M195" i="1"/>
  <c r="M100" i="1"/>
  <c r="M148" i="1"/>
  <c r="A20" i="1"/>
  <c r="M62" i="1"/>
  <c r="M203" i="1"/>
  <c r="M20" i="1"/>
  <c r="M108" i="1"/>
  <c r="M157" i="1"/>
  <c r="A37" i="1"/>
  <c r="M177" i="1"/>
  <c r="M83" i="1"/>
  <c r="M37" i="1"/>
  <c r="K39" i="3" s="1"/>
  <c r="M133" i="1"/>
  <c r="A165" i="1"/>
  <c r="M210" i="1"/>
  <c r="M165" i="1"/>
  <c r="A7" i="1"/>
  <c r="M182" i="1"/>
  <c r="M7" i="1"/>
  <c r="K9" i="3" s="1"/>
  <c r="M88" i="1"/>
  <c r="M42" i="1"/>
  <c r="M139" i="1"/>
  <c r="A71" i="1"/>
  <c r="M71" i="1"/>
  <c r="M163" i="1"/>
  <c r="M117" i="1"/>
  <c r="A104" i="1"/>
  <c r="M152" i="1"/>
  <c r="M104" i="1"/>
  <c r="A168" i="1"/>
  <c r="M215" i="1"/>
  <c r="M168" i="1"/>
  <c r="A9" i="1"/>
  <c r="M46" i="1"/>
  <c r="M9" i="1"/>
  <c r="M92" i="1"/>
  <c r="A11" i="1"/>
  <c r="M94" i="1"/>
  <c r="M48" i="1"/>
  <c r="M11" i="1"/>
  <c r="A30" i="1"/>
  <c r="M30" i="1"/>
  <c r="M216" i="1"/>
  <c r="M169" i="1"/>
  <c r="M75" i="1"/>
  <c r="M123" i="1"/>
  <c r="A70" i="1"/>
  <c r="M70" i="1"/>
  <c r="M116" i="1"/>
  <c r="A45" i="1"/>
  <c r="M185" i="1"/>
  <c r="M91" i="1"/>
  <c r="M45" i="1"/>
  <c r="M141" i="1"/>
  <c r="A15" i="1"/>
  <c r="M15" i="1"/>
  <c r="M55" i="1"/>
  <c r="M153" i="1"/>
  <c r="M101" i="1"/>
  <c r="M197" i="1"/>
  <c r="A118" i="1"/>
  <c r="M118" i="1"/>
  <c r="M209" i="1"/>
  <c r="A156" i="1"/>
  <c r="M202" i="1"/>
  <c r="M156" i="1"/>
  <c r="L26" i="1"/>
  <c r="J28" i="3" s="1"/>
  <c r="A26" i="1"/>
  <c r="L137" i="1"/>
  <c r="J62" i="3" s="1"/>
  <c r="A137" i="1"/>
  <c r="L127" i="1"/>
  <c r="J59" i="3" s="1"/>
  <c r="A127" i="1"/>
  <c r="L191" i="1"/>
  <c r="J73" i="3" s="1"/>
  <c r="A191" i="1"/>
  <c r="L181" i="1"/>
  <c r="A181" i="1"/>
  <c r="L25" i="1"/>
  <c r="J27" i="3" s="1"/>
  <c r="A25" i="1"/>
  <c r="L219" i="1"/>
  <c r="J77" i="3" s="1"/>
  <c r="A219" i="1"/>
  <c r="L196" i="1"/>
  <c r="J75" i="3" s="1"/>
  <c r="A196" i="1"/>
  <c r="L5" i="1"/>
  <c r="J7" i="3" s="1"/>
  <c r="A5" i="1"/>
  <c r="L119" i="1"/>
  <c r="J58" i="3" s="1"/>
  <c r="A119" i="1"/>
  <c r="L224" i="1"/>
  <c r="J78" i="3" s="1"/>
  <c r="A224" i="1"/>
  <c r="L211" i="1"/>
  <c r="J76" i="3" s="1"/>
  <c r="A211" i="1"/>
  <c r="L164" i="1"/>
  <c r="J68" i="3" s="1"/>
  <c r="A164" i="1"/>
  <c r="L128" i="1"/>
  <c r="J60" i="3" s="1"/>
  <c r="A128" i="1"/>
  <c r="L192" i="1"/>
  <c r="J74" i="3" s="1"/>
  <c r="A192" i="1"/>
  <c r="L3" i="1"/>
  <c r="J5" i="3" s="1"/>
  <c r="A3" i="1"/>
  <c r="L12" i="1"/>
  <c r="J14" i="3" s="1"/>
  <c r="L190" i="1"/>
  <c r="L85" i="1"/>
  <c r="L225" i="1"/>
  <c r="L39" i="1"/>
  <c r="J41" i="3" s="1"/>
  <c r="L135" i="1"/>
  <c r="L178" i="1"/>
  <c r="L140" i="1"/>
  <c r="L89" i="1"/>
  <c r="L8" i="1"/>
  <c r="J10" i="3" s="1"/>
  <c r="L184" i="1"/>
  <c r="L43" i="1"/>
  <c r="L136" i="1"/>
  <c r="J61" i="3" s="1"/>
  <c r="L179" i="1"/>
  <c r="L93" i="1"/>
  <c r="L47" i="1"/>
  <c r="L143" i="1"/>
  <c r="L10" i="1"/>
  <c r="J12" i="3" s="1"/>
  <c r="L187" i="1"/>
  <c r="L214" i="1"/>
  <c r="L167" i="1"/>
  <c r="L74" i="1"/>
  <c r="J52" i="3" s="1"/>
  <c r="L122" i="1"/>
  <c r="L4" i="1"/>
  <c r="J6" i="3" s="1"/>
  <c r="L86" i="1"/>
  <c r="L40" i="1"/>
  <c r="L44" i="1"/>
  <c r="J42" i="3" s="1"/>
  <c r="L90" i="1"/>
  <c r="L6" i="1"/>
  <c r="J8" i="3" s="1"/>
  <c r="L41" i="1"/>
  <c r="L87" i="1"/>
  <c r="L183" i="1"/>
  <c r="L138" i="1"/>
  <c r="L21" i="1"/>
  <c r="J23" i="3" s="1"/>
  <c r="L110" i="1"/>
  <c r="L64" i="1"/>
  <c r="L57" i="1"/>
  <c r="J46" i="3" s="1"/>
  <c r="L103" i="1"/>
  <c r="L151" i="1"/>
  <c r="L199" i="1"/>
  <c r="L68" i="1"/>
  <c r="J49" i="3" s="1"/>
  <c r="L113" i="1"/>
  <c r="L69" i="1"/>
  <c r="L27" i="1"/>
  <c r="J29" i="3" s="1"/>
  <c r="L115" i="1"/>
  <c r="L61" i="1"/>
  <c r="J47" i="3" s="1"/>
  <c r="L107" i="1"/>
  <c r="L76" i="1"/>
  <c r="L124" i="1"/>
  <c r="L31" i="1"/>
  <c r="J33" i="3" s="1"/>
  <c r="L170" i="1"/>
  <c r="L217" i="1"/>
  <c r="L13" i="1"/>
  <c r="J15" i="3" s="1"/>
  <c r="L53" i="1"/>
  <c r="L149" i="1"/>
  <c r="L194" i="1"/>
  <c r="L99" i="1"/>
  <c r="L102" i="1"/>
  <c r="L150" i="1"/>
  <c r="L198" i="1"/>
  <c r="L16" i="1"/>
  <c r="J18" i="3" s="1"/>
  <c r="L56" i="1"/>
  <c r="L189" i="1"/>
  <c r="L144" i="1"/>
  <c r="J64" i="3" s="1"/>
  <c r="L95" i="1"/>
  <c r="L49" i="1"/>
  <c r="J44" i="3" s="1"/>
  <c r="L105" i="1"/>
  <c r="L200" i="1"/>
  <c r="L18" i="1"/>
  <c r="J20" i="3" s="1"/>
  <c r="L154" i="1"/>
  <c r="L59" i="1"/>
  <c r="L132" i="1"/>
  <c r="L223" i="1"/>
  <c r="L176" i="1"/>
  <c r="L82" i="1"/>
  <c r="J53" i="3" s="1"/>
  <c r="L97" i="1"/>
  <c r="L51" i="1"/>
  <c r="J45" i="3" s="1"/>
  <c r="L36" i="1"/>
  <c r="J38" i="3" s="1"/>
  <c r="L81" i="1"/>
  <c r="L131" i="1"/>
  <c r="L180" i="1"/>
  <c r="J72" i="3" s="1"/>
  <c r="L226" i="1"/>
  <c r="L28" i="1"/>
  <c r="J30" i="3" s="1"/>
  <c r="L212" i="1"/>
  <c r="L72" i="1"/>
  <c r="L120" i="1"/>
  <c r="L142" i="1"/>
  <c r="J63" i="3" s="1"/>
  <c r="L186" i="1"/>
  <c r="L22" i="1"/>
  <c r="J24" i="3" s="1"/>
  <c r="L65" i="1"/>
  <c r="L111" i="1"/>
  <c r="L159" i="1"/>
  <c r="L204" i="1"/>
  <c r="L29" i="1"/>
  <c r="J31" i="3" s="1"/>
  <c r="L213" i="1"/>
  <c r="L166" i="1"/>
  <c r="L73" i="1"/>
  <c r="L121" i="1"/>
  <c r="L109" i="1"/>
  <c r="L205" i="1"/>
  <c r="L158" i="1"/>
  <c r="L63" i="1"/>
  <c r="J48" i="3" s="1"/>
  <c r="L94" i="1"/>
  <c r="L48" i="1"/>
  <c r="L11" i="1"/>
  <c r="J13" i="3" s="1"/>
  <c r="L216" i="1"/>
  <c r="L30" i="1"/>
  <c r="J32" i="3" s="1"/>
  <c r="L169" i="1"/>
  <c r="L75" i="1"/>
  <c r="L123" i="1"/>
  <c r="L116" i="1"/>
  <c r="L70" i="1"/>
  <c r="J50" i="3" s="1"/>
  <c r="L100" i="1"/>
  <c r="J54" i="3" s="1"/>
  <c r="L148" i="1"/>
  <c r="L195" i="1"/>
  <c r="L20" i="1"/>
  <c r="J22" i="3" s="1"/>
  <c r="L108" i="1"/>
  <c r="L157" i="1"/>
  <c r="L62" i="1"/>
  <c r="L203" i="1"/>
  <c r="L37" i="1"/>
  <c r="J39" i="3" s="1"/>
  <c r="L133" i="1"/>
  <c r="L177" i="1"/>
  <c r="L83" i="1"/>
  <c r="L165" i="1"/>
  <c r="J69" i="3" s="1"/>
  <c r="L210" i="1"/>
  <c r="L182" i="1"/>
  <c r="L7" i="1"/>
  <c r="J9" i="3" s="1"/>
  <c r="L88" i="1"/>
  <c r="L42" i="1"/>
  <c r="L139" i="1"/>
  <c r="L117" i="1"/>
  <c r="L71" i="1"/>
  <c r="J51" i="3" s="1"/>
  <c r="L163" i="1"/>
  <c r="L104" i="1"/>
  <c r="J55" i="3" s="1"/>
  <c r="L152" i="1"/>
  <c r="L215" i="1"/>
  <c r="L168" i="1"/>
  <c r="J70" i="3" s="1"/>
  <c r="L92" i="1"/>
  <c r="L46" i="1"/>
  <c r="L9" i="1"/>
  <c r="J11" i="3" s="1"/>
  <c r="L45" i="1"/>
  <c r="J43" i="3" s="1"/>
  <c r="L141" i="1"/>
  <c r="L185" i="1"/>
  <c r="L91" i="1"/>
  <c r="L173" i="1"/>
  <c r="J71" i="3" s="1"/>
  <c r="L220" i="1"/>
  <c r="L101" i="1"/>
  <c r="L197" i="1"/>
  <c r="L15" i="1"/>
  <c r="J17" i="3" s="1"/>
  <c r="L55" i="1"/>
  <c r="L153" i="1"/>
  <c r="L17" i="1"/>
  <c r="J19" i="3" s="1"/>
  <c r="L58" i="1"/>
  <c r="L188" i="1"/>
  <c r="L145" i="1"/>
  <c r="J65" i="3" s="1"/>
  <c r="L96" i="1"/>
  <c r="L50" i="1"/>
  <c r="L146" i="1"/>
  <c r="L207" i="1"/>
  <c r="L161" i="1"/>
  <c r="L114" i="1"/>
  <c r="J56" i="3" s="1"/>
  <c r="L60" i="1"/>
  <c r="L201" i="1"/>
  <c r="L106" i="1"/>
  <c r="L19" i="1"/>
  <c r="J21" i="3" s="1"/>
  <c r="L155" i="1"/>
  <c r="L209" i="1"/>
  <c r="L118" i="1"/>
  <c r="J57" i="3" s="1"/>
  <c r="L156" i="1"/>
  <c r="J66" i="3" s="1"/>
  <c r="L202" i="1"/>
  <c r="L24" i="1"/>
  <c r="J26" i="3" s="1"/>
  <c r="L67" i="1"/>
  <c r="L206" i="1"/>
  <c r="L23" i="1"/>
  <c r="J25" i="3" s="1"/>
  <c r="L112" i="1"/>
  <c r="L160" i="1"/>
  <c r="L66" i="1"/>
  <c r="L52" i="1"/>
  <c r="L193" i="1"/>
  <c r="L14" i="1"/>
  <c r="J16" i="3" s="1"/>
  <c r="L54" i="1"/>
  <c r="L98" i="1"/>
  <c r="L147" i="1"/>
  <c r="L84" i="1"/>
  <c r="L38" i="1"/>
  <c r="J40" i="3" s="1"/>
  <c r="L134" i="1"/>
  <c r="L77" i="1"/>
  <c r="L125" i="1"/>
  <c r="L32" i="1"/>
  <c r="J34" i="3" s="1"/>
  <c r="L171" i="1"/>
  <c r="L221" i="1"/>
  <c r="L174" i="1"/>
  <c r="L79" i="1"/>
  <c r="L34" i="1"/>
  <c r="J36" i="3" s="1"/>
  <c r="L129" i="1"/>
  <c r="L208" i="1"/>
  <c r="L162" i="1"/>
  <c r="J67" i="3" s="1"/>
  <c r="L172" i="1"/>
  <c r="L78" i="1"/>
  <c r="L126" i="1"/>
  <c r="L33" i="1"/>
  <c r="J35" i="3" s="1"/>
  <c r="L218" i="1"/>
  <c r="L222" i="1"/>
  <c r="L175" i="1"/>
  <c r="L80" i="1"/>
  <c r="L130" i="1"/>
  <c r="L35" i="1"/>
  <c r="J37" i="3" s="1"/>
  <c r="AU48" i="3" l="1"/>
  <c r="AV48" i="3" s="1"/>
  <c r="AU74" i="3"/>
  <c r="AV74" i="3" s="1"/>
  <c r="AU68" i="3"/>
  <c r="AV68" i="3" s="1"/>
  <c r="K56" i="3"/>
  <c r="K11" i="3"/>
  <c r="U11" i="3" s="1"/>
  <c r="K45" i="3"/>
  <c r="U45" i="3" s="1"/>
  <c r="K33" i="3"/>
  <c r="S33" i="3" s="1"/>
  <c r="K75" i="3"/>
  <c r="S75" i="3" s="1"/>
  <c r="K66" i="3"/>
  <c r="U66" i="3" s="1"/>
  <c r="K32" i="3"/>
  <c r="U32" i="3" s="1"/>
  <c r="K36" i="3"/>
  <c r="U36" i="3" s="1"/>
  <c r="K34" i="3"/>
  <c r="K8" i="3"/>
  <c r="K12" i="3"/>
  <c r="K29" i="3"/>
  <c r="K14" i="3"/>
  <c r="U14" i="3" s="1"/>
  <c r="K68" i="3"/>
  <c r="U68" i="3" s="1"/>
  <c r="K62" i="3"/>
  <c r="U62" i="3" s="1"/>
  <c r="K71" i="3"/>
  <c r="S71" i="3" s="1"/>
  <c r="K54" i="3"/>
  <c r="K63" i="3"/>
  <c r="U63" i="3" s="1"/>
  <c r="K72" i="3"/>
  <c r="K64" i="3"/>
  <c r="S64" i="3" s="1"/>
  <c r="K21" i="3"/>
  <c r="U21" i="3" s="1"/>
  <c r="K65" i="3"/>
  <c r="U65" i="3" s="1"/>
  <c r="K41" i="3"/>
  <c r="S41" i="3" s="1"/>
  <c r="K47" i="3"/>
  <c r="U47" i="3" s="1"/>
  <c r="K59" i="3"/>
  <c r="U59" i="3" s="1"/>
  <c r="K5" i="3"/>
  <c r="U5" i="3" s="1"/>
  <c r="K23" i="3"/>
  <c r="K17" i="3"/>
  <c r="U17" i="3" s="1"/>
  <c r="K50" i="3"/>
  <c r="S50" i="3" s="1"/>
  <c r="K13" i="3"/>
  <c r="U13" i="3" s="1"/>
  <c r="K70" i="3"/>
  <c r="S70" i="3" s="1"/>
  <c r="K51" i="3"/>
  <c r="U51" i="3" s="1"/>
  <c r="K69" i="3"/>
  <c r="K48" i="3"/>
  <c r="U48" i="3" s="1"/>
  <c r="K20" i="3"/>
  <c r="K42" i="3"/>
  <c r="U42" i="3" s="1"/>
  <c r="K52" i="3"/>
  <c r="U52" i="3" s="1"/>
  <c r="K10" i="3"/>
  <c r="U10" i="3" s="1"/>
  <c r="K76" i="3"/>
  <c r="S76" i="3" s="1"/>
  <c r="K73" i="3"/>
  <c r="U73" i="3" s="1"/>
  <c r="K49" i="3"/>
  <c r="U49" i="3" s="1"/>
  <c r="K19" i="3"/>
  <c r="S19" i="3" s="1"/>
  <c r="K30" i="3"/>
  <c r="U30" i="3" s="1"/>
  <c r="K38" i="3"/>
  <c r="S38" i="3" s="1"/>
  <c r="K53" i="3"/>
  <c r="S53" i="3" s="1"/>
  <c r="K15" i="3"/>
  <c r="U15" i="3" s="1"/>
  <c r="K37" i="3"/>
  <c r="S37" i="3" s="1"/>
  <c r="K35" i="3"/>
  <c r="U35" i="3" s="1"/>
  <c r="K58" i="3"/>
  <c r="U58" i="3" s="1"/>
  <c r="K78" i="3"/>
  <c r="U78" i="3" s="1"/>
  <c r="K74" i="3"/>
  <c r="U74" i="3" s="1"/>
  <c r="K27" i="3"/>
  <c r="U27" i="3" s="1"/>
  <c r="K57" i="3"/>
  <c r="U57" i="3" s="1"/>
  <c r="K22" i="3"/>
  <c r="U22" i="3" s="1"/>
  <c r="K26" i="3"/>
  <c r="S26" i="3" s="1"/>
  <c r="K40" i="3"/>
  <c r="U40" i="3" s="1"/>
  <c r="K18" i="3"/>
  <c r="U18" i="3" s="1"/>
  <c r="K61" i="3"/>
  <c r="U61" i="3" s="1"/>
  <c r="K16" i="3"/>
  <c r="U16" i="3" s="1"/>
  <c r="K28" i="3"/>
  <c r="U28" i="3" s="1"/>
  <c r="K7" i="3"/>
  <c r="U7" i="3" s="1"/>
  <c r="K43" i="3"/>
  <c r="S43" i="3" s="1"/>
  <c r="K55" i="3"/>
  <c r="U55" i="3" s="1"/>
  <c r="K67" i="3"/>
  <c r="U67" i="3" s="1"/>
  <c r="K44" i="3"/>
  <c r="S44" i="3" s="1"/>
  <c r="K6" i="3"/>
  <c r="S6" i="3" s="1"/>
  <c r="K25" i="3"/>
  <c r="U25" i="3" s="1"/>
  <c r="AU44" i="3"/>
  <c r="AV44" i="3" s="1"/>
  <c r="K77" i="3"/>
  <c r="U77" i="3" s="1"/>
  <c r="AU13" i="3"/>
  <c r="AV13" i="3" s="1"/>
  <c r="AU73" i="3"/>
  <c r="AV73" i="3" s="1"/>
  <c r="AU50" i="3"/>
  <c r="AV50" i="3" s="1"/>
  <c r="AU69" i="3"/>
  <c r="AV69" i="3" s="1"/>
  <c r="AU71" i="3"/>
  <c r="AV71" i="3" s="1"/>
  <c r="AU38" i="3"/>
  <c r="AV38" i="3" s="1"/>
  <c r="U8" i="3"/>
  <c r="AU21" i="3"/>
  <c r="AV21" i="3" s="1"/>
  <c r="AU31" i="3"/>
  <c r="AV31" i="3" s="1"/>
  <c r="AU18" i="3"/>
  <c r="AV18" i="3" s="1"/>
  <c r="AU15" i="3"/>
  <c r="AV15" i="3" s="1"/>
  <c r="AU62" i="3"/>
  <c r="AV62" i="3" s="1"/>
  <c r="U20" i="3"/>
  <c r="AU54" i="3"/>
  <c r="AV54" i="3" s="1"/>
  <c r="U69" i="3"/>
  <c r="AU55" i="3"/>
  <c r="AV55" i="3" s="1"/>
  <c r="AU8" i="3"/>
  <c r="AV8" i="3" s="1"/>
  <c r="AU33" i="3"/>
  <c r="AV33" i="3" s="1"/>
  <c r="AU10" i="3"/>
  <c r="AV10" i="3" s="1"/>
  <c r="AU72" i="3"/>
  <c r="AV72" i="3" s="1"/>
  <c r="AU78" i="3"/>
  <c r="AV78" i="3" s="1"/>
  <c r="AU12" i="3"/>
  <c r="AV12" i="3" s="1"/>
  <c r="AU5" i="3"/>
  <c r="AV5" i="3" s="1"/>
  <c r="AU56" i="3"/>
  <c r="AV56" i="3" s="1"/>
  <c r="AU47" i="3"/>
  <c r="AV47" i="3" s="1"/>
  <c r="AU23" i="3"/>
  <c r="AV23" i="3" s="1"/>
  <c r="AU76" i="3"/>
  <c r="AV76" i="3" s="1"/>
  <c r="AU41" i="3"/>
  <c r="AV41" i="3" s="1"/>
  <c r="U46" i="3"/>
  <c r="AU64" i="3"/>
  <c r="AV64" i="3" s="1"/>
  <c r="U29" i="3"/>
  <c r="AU17" i="3"/>
  <c r="AV17" i="3" s="1"/>
  <c r="AU11" i="3"/>
  <c r="AV11" i="3" s="1"/>
  <c r="AU46" i="3"/>
  <c r="AV46" i="3" s="1"/>
  <c r="U60" i="3"/>
  <c r="AU52" i="3"/>
  <c r="AV52" i="3" s="1"/>
  <c r="U56" i="3"/>
  <c r="U23" i="3"/>
  <c r="U12" i="3"/>
  <c r="AU30" i="3"/>
  <c r="AV30" i="3" s="1"/>
  <c r="U39" i="3"/>
  <c r="U54" i="3"/>
  <c r="U24" i="3"/>
  <c r="U72" i="3"/>
  <c r="AU40" i="3"/>
  <c r="AV40" i="3" s="1"/>
  <c r="AU58" i="3"/>
  <c r="AV58" i="3" s="1"/>
  <c r="AU26" i="3"/>
  <c r="AV26" i="3" s="1"/>
  <c r="AU45" i="3"/>
  <c r="AV45" i="3" s="1"/>
  <c r="U9" i="3"/>
  <c r="L6" i="3"/>
  <c r="S5" i="3"/>
  <c r="AU70" i="3"/>
  <c r="AV70" i="3" s="1"/>
  <c r="AU65" i="3"/>
  <c r="AV65" i="3" s="1"/>
  <c r="AU14" i="3"/>
  <c r="AV14" i="3" s="1"/>
  <c r="U34" i="3"/>
  <c r="U31" i="3"/>
  <c r="AU25" i="3"/>
  <c r="AV25" i="3" s="1"/>
  <c r="AU28" i="3"/>
  <c r="AV28" i="3" s="1"/>
  <c r="AU24" i="3"/>
  <c r="AV24" i="3" s="1"/>
  <c r="AU49" i="3"/>
  <c r="AV49" i="3" s="1"/>
  <c r="AU20" i="3"/>
  <c r="AV20" i="3" s="1"/>
  <c r="AU16" i="3"/>
  <c r="AV16" i="3" s="1"/>
  <c r="AU34" i="3"/>
  <c r="AV34" i="3" s="1"/>
  <c r="AU36" i="3"/>
  <c r="AV36" i="3" s="1"/>
  <c r="AU32" i="3"/>
  <c r="AV32" i="3" s="1"/>
  <c r="AU42" i="3"/>
  <c r="AV42" i="3" s="1"/>
  <c r="AU61" i="3"/>
  <c r="AV61" i="3" s="1"/>
  <c r="AU77" i="3"/>
  <c r="AV77" i="3" s="1"/>
  <c r="AU57" i="3"/>
  <c r="AV57" i="3" s="1"/>
  <c r="AU37" i="3"/>
  <c r="AV37" i="3" s="1"/>
  <c r="AU63" i="3"/>
  <c r="AV63" i="3" s="1"/>
  <c r="AU9" i="3"/>
  <c r="AV9" i="3" s="1"/>
  <c r="AU22" i="3"/>
  <c r="AV22" i="3" s="1"/>
  <c r="AU7" i="3"/>
  <c r="AV7" i="3" s="1"/>
  <c r="AU66" i="3"/>
  <c r="AV66" i="3" s="1"/>
  <c r="O32" i="3"/>
  <c r="L7" i="3"/>
  <c r="L36" i="3"/>
  <c r="L32" i="3"/>
  <c r="L30" i="3"/>
  <c r="L53" i="3"/>
  <c r="L42" i="3"/>
  <c r="L60" i="3"/>
  <c r="L58" i="3"/>
  <c r="L27" i="3"/>
  <c r="L62" i="3"/>
  <c r="L12" i="3"/>
  <c r="L10" i="3"/>
  <c r="L66" i="3"/>
  <c r="L19" i="3"/>
  <c r="L39" i="3"/>
  <c r="L72" i="3"/>
  <c r="L49" i="3"/>
  <c r="L14" i="3"/>
  <c r="L28" i="3"/>
  <c r="L37" i="3"/>
  <c r="L9" i="3"/>
  <c r="L64" i="3"/>
  <c r="L25" i="3"/>
  <c r="L55" i="3"/>
  <c r="L63" i="3"/>
  <c r="L5" i="3"/>
  <c r="L76" i="3"/>
  <c r="L75" i="3"/>
  <c r="L73" i="3"/>
  <c r="L40" i="3"/>
  <c r="L70" i="3"/>
  <c r="L23" i="3"/>
  <c r="L57" i="3"/>
  <c r="L54" i="3"/>
  <c r="L68" i="3"/>
  <c r="L50" i="3"/>
  <c r="L67" i="3"/>
  <c r="L34" i="3"/>
  <c r="L21" i="3"/>
  <c r="L17" i="3"/>
  <c r="L43" i="3"/>
  <c r="L48" i="3"/>
  <c r="L31" i="3"/>
  <c r="L38" i="3"/>
  <c r="L47" i="3"/>
  <c r="L52" i="3"/>
  <c r="L71" i="3"/>
  <c r="L33" i="3"/>
  <c r="L13" i="3"/>
  <c r="L16" i="3"/>
  <c r="L11" i="3"/>
  <c r="L51" i="3"/>
  <c r="L69" i="3"/>
  <c r="L45" i="3"/>
  <c r="L20" i="3"/>
  <c r="L18" i="3"/>
  <c r="L15" i="3"/>
  <c r="L46" i="3"/>
  <c r="L8" i="3"/>
  <c r="L61" i="3"/>
  <c r="L41" i="3"/>
  <c r="L74" i="3"/>
  <c r="L78" i="3"/>
  <c r="L77" i="3"/>
  <c r="L59" i="3"/>
  <c r="L35" i="3"/>
  <c r="L56" i="3"/>
  <c r="L44" i="3"/>
  <c r="L24" i="3"/>
  <c r="L26" i="3"/>
  <c r="L65" i="3"/>
  <c r="L22" i="3"/>
  <c r="L29" i="3"/>
  <c r="S40" i="3"/>
  <c r="P40" i="3"/>
  <c r="I40" i="3" s="1"/>
  <c r="O40" i="3"/>
  <c r="N40" i="3"/>
  <c r="M40" i="3"/>
  <c r="P19" i="3"/>
  <c r="I19" i="3" s="1"/>
  <c r="O19" i="3"/>
  <c r="N19" i="3"/>
  <c r="M19" i="3"/>
  <c r="S39" i="3"/>
  <c r="P39" i="3"/>
  <c r="I39" i="3" s="1"/>
  <c r="O39" i="3"/>
  <c r="N39" i="3"/>
  <c r="M39" i="3"/>
  <c r="N13" i="3"/>
  <c r="P13" i="3"/>
  <c r="I13" i="3" s="1"/>
  <c r="M13" i="3"/>
  <c r="O13" i="3"/>
  <c r="S24" i="3"/>
  <c r="P24" i="3"/>
  <c r="I24" i="3" s="1"/>
  <c r="O24" i="3"/>
  <c r="N24" i="3"/>
  <c r="M24" i="3"/>
  <c r="N14" i="3"/>
  <c r="M14" i="3"/>
  <c r="P14" i="3"/>
  <c r="I14" i="3" s="1"/>
  <c r="O14" i="3"/>
  <c r="P37" i="3"/>
  <c r="I37" i="3" s="1"/>
  <c r="N37" i="3"/>
  <c r="O37" i="3"/>
  <c r="M37" i="3"/>
  <c r="S9" i="3"/>
  <c r="N9" i="3"/>
  <c r="P9" i="3"/>
  <c r="I9" i="3" s="1"/>
  <c r="O9" i="3"/>
  <c r="M9" i="3"/>
  <c r="P50" i="3"/>
  <c r="I50" i="3" s="1"/>
  <c r="O50" i="3"/>
  <c r="N50" i="3"/>
  <c r="M50" i="3"/>
  <c r="P64" i="3"/>
  <c r="I64" i="3" s="1"/>
  <c r="N64" i="3"/>
  <c r="O64" i="3"/>
  <c r="M64" i="3"/>
  <c r="M6" i="3"/>
  <c r="N6" i="3"/>
  <c r="P6" i="3"/>
  <c r="I6" i="3" s="1"/>
  <c r="O6" i="3"/>
  <c r="S25" i="3"/>
  <c r="P25" i="3"/>
  <c r="I25" i="3" s="1"/>
  <c r="N25" i="3"/>
  <c r="M25" i="3"/>
  <c r="O25" i="3"/>
  <c r="P55" i="3"/>
  <c r="I55" i="3" s="1"/>
  <c r="N55" i="3"/>
  <c r="O55" i="3"/>
  <c r="M55" i="3"/>
  <c r="S63" i="3"/>
  <c r="P63" i="3"/>
  <c r="I63" i="3" s="1"/>
  <c r="N63" i="3"/>
  <c r="O63" i="3"/>
  <c r="M63" i="3"/>
  <c r="P5" i="3"/>
  <c r="I5" i="3" s="1"/>
  <c r="M5" i="3"/>
  <c r="O5" i="3"/>
  <c r="N5" i="3"/>
  <c r="N76" i="3"/>
  <c r="M76" i="3"/>
  <c r="P76" i="3"/>
  <c r="I76" i="3" s="1"/>
  <c r="O76" i="3"/>
  <c r="P75" i="3"/>
  <c r="I75" i="3" s="1"/>
  <c r="N75" i="3"/>
  <c r="O75" i="3"/>
  <c r="M75" i="3"/>
  <c r="P73" i="3"/>
  <c r="I73" i="3" s="1"/>
  <c r="O73" i="3"/>
  <c r="N73" i="3"/>
  <c r="M73" i="3"/>
  <c r="S56" i="3"/>
  <c r="P56" i="3"/>
  <c r="I56" i="3" s="1"/>
  <c r="N56" i="3"/>
  <c r="M56" i="3"/>
  <c r="O56" i="3"/>
  <c r="P67" i="3"/>
  <c r="I67" i="3" s="1"/>
  <c r="N67" i="3"/>
  <c r="O67" i="3"/>
  <c r="S67" i="3"/>
  <c r="M67" i="3"/>
  <c r="P21" i="3"/>
  <c r="I21" i="3" s="1"/>
  <c r="N21" i="3"/>
  <c r="O21" i="3"/>
  <c r="M21" i="3"/>
  <c r="P43" i="3"/>
  <c r="I43" i="3" s="1"/>
  <c r="O43" i="3"/>
  <c r="N43" i="3"/>
  <c r="M43" i="3"/>
  <c r="S31" i="3"/>
  <c r="P31" i="3"/>
  <c r="I31" i="3" s="1"/>
  <c r="O31" i="3"/>
  <c r="N31" i="3"/>
  <c r="M31" i="3"/>
  <c r="P47" i="3"/>
  <c r="I47" i="3" s="1"/>
  <c r="N47" i="3"/>
  <c r="O47" i="3"/>
  <c r="M47" i="3"/>
  <c r="P51" i="3"/>
  <c r="I51" i="3" s="1"/>
  <c r="N51" i="3"/>
  <c r="O51" i="3"/>
  <c r="M51" i="3"/>
  <c r="P20" i="3"/>
  <c r="I20" i="3" s="1"/>
  <c r="O20" i="3"/>
  <c r="N20" i="3"/>
  <c r="S20" i="3"/>
  <c r="M20" i="3"/>
  <c r="S46" i="3"/>
  <c r="P46" i="3"/>
  <c r="I46" i="3" s="1"/>
  <c r="O46" i="3"/>
  <c r="N46" i="3"/>
  <c r="M46" i="3"/>
  <c r="S8" i="3"/>
  <c r="P8" i="3"/>
  <c r="I8" i="3" s="1"/>
  <c r="O8" i="3"/>
  <c r="M8" i="3"/>
  <c r="N8" i="3"/>
  <c r="P78" i="3"/>
  <c r="I78" i="3" s="1"/>
  <c r="N78" i="3"/>
  <c r="O78" i="3"/>
  <c r="M78" i="3"/>
  <c r="P35" i="3"/>
  <c r="I35" i="3" s="1"/>
  <c r="O35" i="3"/>
  <c r="N35" i="3"/>
  <c r="M35" i="3"/>
  <c r="S35" i="3"/>
  <c r="P66" i="3"/>
  <c r="I66" i="3" s="1"/>
  <c r="O66" i="3"/>
  <c r="N66" i="3"/>
  <c r="M66" i="3"/>
  <c r="N57" i="3"/>
  <c r="M57" i="3"/>
  <c r="P57" i="3"/>
  <c r="I57" i="3" s="1"/>
  <c r="O57" i="3"/>
  <c r="S54" i="3"/>
  <c r="P54" i="3"/>
  <c r="I54" i="3" s="1"/>
  <c r="O54" i="3"/>
  <c r="N54" i="3"/>
  <c r="M54" i="3"/>
  <c r="N49" i="3"/>
  <c r="M49" i="3"/>
  <c r="S49" i="3"/>
  <c r="P49" i="3"/>
  <c r="I49" i="3" s="1"/>
  <c r="O49" i="3"/>
  <c r="S48" i="3"/>
  <c r="P48" i="3"/>
  <c r="I48" i="3" s="1"/>
  <c r="N48" i="3"/>
  <c r="O48" i="3"/>
  <c r="M48" i="3"/>
  <c r="N69" i="3"/>
  <c r="M69" i="3"/>
  <c r="P69" i="3"/>
  <c r="I69" i="3" s="1"/>
  <c r="O69" i="3"/>
  <c r="S69" i="3"/>
  <c r="N18" i="3"/>
  <c r="M18" i="3"/>
  <c r="P18" i="3"/>
  <c r="I18" i="3" s="1"/>
  <c r="O18" i="3"/>
  <c r="N61" i="3"/>
  <c r="M61" i="3"/>
  <c r="P61" i="3"/>
  <c r="I61" i="3" s="1"/>
  <c r="O61" i="3"/>
  <c r="S61" i="3"/>
  <c r="P41" i="3"/>
  <c r="I41" i="3" s="1"/>
  <c r="N41" i="3"/>
  <c r="M41" i="3"/>
  <c r="O41" i="3"/>
  <c r="P74" i="3"/>
  <c r="I74" i="3" s="1"/>
  <c r="O74" i="3"/>
  <c r="N74" i="3"/>
  <c r="S74" i="3"/>
  <c r="M74" i="3"/>
  <c r="P77" i="3"/>
  <c r="I77" i="3" s="1"/>
  <c r="O77" i="3"/>
  <c r="N77" i="3"/>
  <c r="M77" i="3"/>
  <c r="P59" i="3"/>
  <c r="I59" i="3" s="1"/>
  <c r="N59" i="3"/>
  <c r="O59" i="3"/>
  <c r="S59" i="3"/>
  <c r="M59" i="3"/>
  <c r="N26" i="3"/>
  <c r="M26" i="3"/>
  <c r="P26" i="3"/>
  <c r="I26" i="3" s="1"/>
  <c r="O26" i="3"/>
  <c r="N65" i="3"/>
  <c r="M65" i="3"/>
  <c r="P65" i="3"/>
  <c r="I65" i="3" s="1"/>
  <c r="O65" i="3"/>
  <c r="N22" i="3"/>
  <c r="M22" i="3"/>
  <c r="P22" i="3"/>
  <c r="I22" i="3" s="1"/>
  <c r="O22" i="3"/>
  <c r="P29" i="3"/>
  <c r="I29" i="3" s="1"/>
  <c r="S29" i="3"/>
  <c r="N29" i="3"/>
  <c r="O29" i="3"/>
  <c r="M29" i="3"/>
  <c r="P71" i="3"/>
  <c r="I71" i="3" s="1"/>
  <c r="N71" i="3"/>
  <c r="O71" i="3"/>
  <c r="M71" i="3"/>
  <c r="S72" i="3"/>
  <c r="Y72" i="3" s="1"/>
  <c r="P72" i="3"/>
  <c r="I72" i="3" s="1"/>
  <c r="N72" i="3"/>
  <c r="M72" i="3"/>
  <c r="O72" i="3"/>
  <c r="N34" i="3"/>
  <c r="M34" i="3"/>
  <c r="S34" i="3"/>
  <c r="P34" i="3"/>
  <c r="I34" i="3" s="1"/>
  <c r="O34" i="3"/>
  <c r="S17" i="3"/>
  <c r="P17" i="3"/>
  <c r="I17" i="3" s="1"/>
  <c r="N17" i="3"/>
  <c r="O17" i="3"/>
  <c r="M17" i="3"/>
  <c r="N38" i="3"/>
  <c r="M38" i="3"/>
  <c r="P38" i="3"/>
  <c r="I38" i="3" s="1"/>
  <c r="O38" i="3"/>
  <c r="P52" i="3"/>
  <c r="I52" i="3" s="1"/>
  <c r="N52" i="3"/>
  <c r="O52" i="3"/>
  <c r="M52" i="3"/>
  <c r="S16" i="3"/>
  <c r="P16" i="3"/>
  <c r="I16" i="3" s="1"/>
  <c r="O16" i="3"/>
  <c r="N16" i="3"/>
  <c r="M16" i="3"/>
  <c r="P11" i="3"/>
  <c r="I11" i="3" s="1"/>
  <c r="O11" i="3"/>
  <c r="N11" i="3"/>
  <c r="M11" i="3"/>
  <c r="S11" i="3"/>
  <c r="N45" i="3"/>
  <c r="M45" i="3"/>
  <c r="P45" i="3"/>
  <c r="I45" i="3" s="1"/>
  <c r="O45" i="3"/>
  <c r="S45" i="3"/>
  <c r="P15" i="3"/>
  <c r="I15" i="3" s="1"/>
  <c r="O15" i="3"/>
  <c r="N15" i="3"/>
  <c r="M15" i="3"/>
  <c r="P36" i="3"/>
  <c r="I36" i="3" s="1"/>
  <c r="O36" i="3"/>
  <c r="N36" i="3"/>
  <c r="M36" i="3"/>
  <c r="P32" i="3"/>
  <c r="I32" i="3" s="1"/>
  <c r="N32" i="3"/>
  <c r="M32" i="3"/>
  <c r="N30" i="3"/>
  <c r="M30" i="3"/>
  <c r="I30" i="3"/>
  <c r="O30" i="3"/>
  <c r="S30" i="3"/>
  <c r="N53" i="3"/>
  <c r="M53" i="3"/>
  <c r="P53" i="3"/>
  <c r="I53" i="3" s="1"/>
  <c r="O53" i="3"/>
  <c r="N42" i="3"/>
  <c r="M42" i="3"/>
  <c r="P42" i="3"/>
  <c r="I42" i="3" s="1"/>
  <c r="O42" i="3"/>
  <c r="P60" i="3"/>
  <c r="I60" i="3" s="1"/>
  <c r="S60" i="3"/>
  <c r="N60" i="3"/>
  <c r="O60" i="3"/>
  <c r="M60" i="3"/>
  <c r="P58" i="3"/>
  <c r="I58" i="3" s="1"/>
  <c r="O58" i="3"/>
  <c r="N58" i="3"/>
  <c r="M58" i="3"/>
  <c r="S58" i="3"/>
  <c r="P27" i="3"/>
  <c r="I27" i="3" s="1"/>
  <c r="O27" i="3"/>
  <c r="N27" i="3"/>
  <c r="M27" i="3"/>
  <c r="P62" i="3"/>
  <c r="I62" i="3" s="1"/>
  <c r="O62" i="3"/>
  <c r="N62" i="3"/>
  <c r="M62" i="3"/>
  <c r="P70" i="3"/>
  <c r="I70" i="3" s="1"/>
  <c r="O70" i="3"/>
  <c r="N70" i="3"/>
  <c r="M70" i="3"/>
  <c r="P44" i="3"/>
  <c r="I44" i="3" s="1"/>
  <c r="N44" i="3"/>
  <c r="O44" i="3"/>
  <c r="M44" i="3"/>
  <c r="P33" i="3"/>
  <c r="I33" i="3" s="1"/>
  <c r="N33" i="3"/>
  <c r="O33" i="3"/>
  <c r="M33" i="3"/>
  <c r="S23" i="3"/>
  <c r="P23" i="3"/>
  <c r="I23" i="3" s="1"/>
  <c r="O23" i="3"/>
  <c r="N23" i="3"/>
  <c r="M23" i="3"/>
  <c r="P12" i="3"/>
  <c r="I12" i="3" s="1"/>
  <c r="N12" i="3"/>
  <c r="O12" i="3"/>
  <c r="S12" i="3"/>
  <c r="M12" i="3"/>
  <c r="N10" i="3"/>
  <c r="M10" i="3"/>
  <c r="P10" i="3"/>
  <c r="I10" i="3" s="1"/>
  <c r="O10" i="3"/>
  <c r="P68" i="3"/>
  <c r="I68" i="3" s="1"/>
  <c r="N68" i="3"/>
  <c r="O68" i="3"/>
  <c r="M68" i="3"/>
  <c r="P7" i="3"/>
  <c r="I7" i="3" s="1"/>
  <c r="N7" i="3"/>
  <c r="M7" i="3"/>
  <c r="O7" i="3"/>
  <c r="P28" i="3"/>
  <c r="I28" i="3" s="1"/>
  <c r="O28" i="3"/>
  <c r="N28" i="3"/>
  <c r="M28" i="3"/>
  <c r="U33" i="3" l="1"/>
  <c r="Y33" i="3" s="1"/>
  <c r="S27" i="3"/>
  <c r="S42" i="3"/>
  <c r="Y42" i="3" s="1"/>
  <c r="S52" i="3"/>
  <c r="Y52" i="3" s="1"/>
  <c r="AW52" i="3" s="1"/>
  <c r="U64" i="3"/>
  <c r="Y23" i="3"/>
  <c r="S21" i="3"/>
  <c r="U44" i="3"/>
  <c r="Y44" i="3" s="1"/>
  <c r="AW44" i="3" s="1"/>
  <c r="U50" i="3"/>
  <c r="Y50" i="3" s="1"/>
  <c r="AW50" i="3" s="1"/>
  <c r="U38" i="3"/>
  <c r="Y38" i="3" s="1"/>
  <c r="U75" i="3"/>
  <c r="Y75" i="3" s="1"/>
  <c r="AW75" i="3" s="1"/>
  <c r="Y63" i="3"/>
  <c r="AX63" i="3" s="1"/>
  <c r="BA63" i="3" s="1"/>
  <c r="S10" i="3"/>
  <c r="Y10" i="3" s="1"/>
  <c r="S28" i="3"/>
  <c r="Y28" i="3" s="1"/>
  <c r="S7" i="3"/>
  <c r="Y7" i="3" s="1"/>
  <c r="AW7" i="3" s="1"/>
  <c r="S14" i="3"/>
  <c r="Y14" i="3" s="1"/>
  <c r="Y11" i="3"/>
  <c r="AW11" i="3" s="1"/>
  <c r="S55" i="3"/>
  <c r="Y55" i="3" s="1"/>
  <c r="Y9" i="3"/>
  <c r="AW9" i="3" s="1"/>
  <c r="Y27" i="3"/>
  <c r="AX27" i="3" s="1"/>
  <c r="BA27" i="3" s="1"/>
  <c r="Y30" i="3"/>
  <c r="AW30" i="3" s="1"/>
  <c r="U26" i="3"/>
  <c r="Y26" i="3" s="1"/>
  <c r="Y56" i="3"/>
  <c r="AX56" i="3" s="1"/>
  <c r="BA56" i="3" s="1"/>
  <c r="S57" i="3"/>
  <c r="Y57" i="3" s="1"/>
  <c r="U53" i="3"/>
  <c r="Y53" i="3" s="1"/>
  <c r="S66" i="3"/>
  <c r="Y66" i="3" s="1"/>
  <c r="S68" i="3"/>
  <c r="Y68" i="3" s="1"/>
  <c r="AW68" i="3" s="1"/>
  <c r="S13" i="3"/>
  <c r="Y13" i="3" s="1"/>
  <c r="AW13" i="3" s="1"/>
  <c r="Y12" i="3"/>
  <c r="AW12" i="3" s="1"/>
  <c r="S65" i="3"/>
  <c r="Y65" i="3" s="1"/>
  <c r="AW65" i="3" s="1"/>
  <c r="S77" i="3"/>
  <c r="Y77" i="3" s="1"/>
  <c r="Y25" i="3"/>
  <c r="AW25" i="3" s="1"/>
  <c r="S15" i="3"/>
  <c r="Y15" i="3" s="1"/>
  <c r="Y24" i="3"/>
  <c r="AW24" i="3" s="1"/>
  <c r="U6" i="3"/>
  <c r="Y6" i="3" s="1"/>
  <c r="S78" i="3"/>
  <c r="Y78" i="3" s="1"/>
  <c r="AW78" i="3" s="1"/>
  <c r="U76" i="3"/>
  <c r="Y76" i="3" s="1"/>
  <c r="AW76" i="3" s="1"/>
  <c r="U70" i="3"/>
  <c r="Y70" i="3" s="1"/>
  <c r="Y17" i="3"/>
  <c r="AW17" i="3" s="1"/>
  <c r="U19" i="3"/>
  <c r="Y19" i="3" s="1"/>
  <c r="S62" i="3"/>
  <c r="Y62" i="3" s="1"/>
  <c r="AX62" i="3" s="1"/>
  <c r="BA62" i="3" s="1"/>
  <c r="S32" i="3"/>
  <c r="Y32" i="3" s="1"/>
  <c r="AW32" i="3" s="1"/>
  <c r="Y16" i="3"/>
  <c r="AW16" i="3" s="1"/>
  <c r="Y48" i="3"/>
  <c r="AW48" i="3" s="1"/>
  <c r="Y45" i="3"/>
  <c r="AW45" i="3" s="1"/>
  <c r="Y59" i="3"/>
  <c r="AW59" i="3" s="1"/>
  <c r="Y39" i="3"/>
  <c r="AW39" i="3" s="1"/>
  <c r="U41" i="3"/>
  <c r="Y41" i="3" s="1"/>
  <c r="Y67" i="3"/>
  <c r="AW67" i="3" s="1"/>
  <c r="Y58" i="3"/>
  <c r="AW58" i="3" s="1"/>
  <c r="S18" i="3"/>
  <c r="Y18" i="3" s="1"/>
  <c r="S36" i="3"/>
  <c r="Y36" i="3" s="1"/>
  <c r="AW36" i="3" s="1"/>
  <c r="S51" i="3"/>
  <c r="Y51" i="3" s="1"/>
  <c r="AW51" i="3" s="1"/>
  <c r="S47" i="3"/>
  <c r="Y47" i="3" s="1"/>
  <c r="AW47" i="3" s="1"/>
  <c r="U71" i="3"/>
  <c r="Y71" i="3" s="1"/>
  <c r="S73" i="3"/>
  <c r="Y73" i="3" s="1"/>
  <c r="AW73" i="3" s="1"/>
  <c r="U37" i="3"/>
  <c r="Y37" i="3" s="1"/>
  <c r="S22" i="3"/>
  <c r="Y22" i="3" s="1"/>
  <c r="AW22" i="3" s="1"/>
  <c r="Y74" i="3"/>
  <c r="AW74" i="3" s="1"/>
  <c r="Y64" i="3"/>
  <c r="AW64" i="3" s="1"/>
  <c r="U43" i="3"/>
  <c r="Y43" i="3" s="1"/>
  <c r="Y61" i="3"/>
  <c r="AX61" i="3" s="1"/>
  <c r="BA61" i="3" s="1"/>
  <c r="Y35" i="3"/>
  <c r="AW35" i="3" s="1"/>
  <c r="Y21" i="3"/>
  <c r="AW21" i="3" s="1"/>
  <c r="Y34" i="3"/>
  <c r="AW34" i="3" s="1"/>
  <c r="Y46" i="3"/>
  <c r="AW46" i="3" s="1"/>
  <c r="Y8" i="3"/>
  <c r="AX8" i="3" s="1"/>
  <c r="BA8" i="3" s="1"/>
  <c r="Y69" i="3"/>
  <c r="AW69" i="3" s="1"/>
  <c r="Y54" i="3"/>
  <c r="AW54" i="3" s="1"/>
  <c r="AW23" i="3"/>
  <c r="AX23" i="3"/>
  <c r="BA23" i="3" s="1"/>
  <c r="AW72" i="3"/>
  <c r="AX72" i="3"/>
  <c r="BA72" i="3" s="1"/>
  <c r="Y20" i="3"/>
  <c r="Y49" i="3"/>
  <c r="Y31" i="3"/>
  <c r="Y29" i="3"/>
  <c r="Y60" i="3"/>
  <c r="Y40" i="3"/>
  <c r="Y5" i="3"/>
  <c r="Q53" i="3"/>
  <c r="Q7" i="3"/>
  <c r="Q30" i="3"/>
  <c r="Q62" i="3"/>
  <c r="Q36" i="3"/>
  <c r="Q58" i="3"/>
  <c r="Q32" i="3"/>
  <c r="Q10" i="3"/>
  <c r="Q27" i="3"/>
  <c r="Q12" i="3"/>
  <c r="Q60" i="3"/>
  <c r="Q42" i="3"/>
  <c r="Q6" i="3"/>
  <c r="Q26" i="3"/>
  <c r="Q46" i="3"/>
  <c r="Q16" i="3"/>
  <c r="Q38" i="3"/>
  <c r="Q67" i="3"/>
  <c r="Q25" i="3"/>
  <c r="Q49" i="3"/>
  <c r="Q24" i="3"/>
  <c r="Q59" i="3"/>
  <c r="Q15" i="3"/>
  <c r="Q13" i="3"/>
  <c r="Q31" i="3"/>
  <c r="Q50" i="3"/>
  <c r="Q72" i="3"/>
  <c r="Q77" i="3"/>
  <c r="Q18" i="3"/>
  <c r="Q33" i="3"/>
  <c r="Q48" i="3"/>
  <c r="Q68" i="3"/>
  <c r="Q73" i="3"/>
  <c r="Q39" i="3"/>
  <c r="Q44" i="3"/>
  <c r="Q78" i="3"/>
  <c r="Q20" i="3"/>
  <c r="Q71" i="3"/>
  <c r="Q43" i="3"/>
  <c r="Q54" i="3"/>
  <c r="Q75" i="3"/>
  <c r="Q64" i="3"/>
  <c r="Q19" i="3"/>
  <c r="Q56" i="3"/>
  <c r="Q74" i="3"/>
  <c r="Q45" i="3"/>
  <c r="Q17" i="3"/>
  <c r="Q57" i="3"/>
  <c r="Q76" i="3"/>
  <c r="Q9" i="3"/>
  <c r="Q29" i="3"/>
  <c r="Q35" i="3"/>
  <c r="Q41" i="3"/>
  <c r="Q69" i="3"/>
  <c r="Q23" i="3"/>
  <c r="Q5" i="3"/>
  <c r="Q37" i="3"/>
  <c r="Q66" i="3"/>
  <c r="Q22" i="3"/>
  <c r="Q61" i="3"/>
  <c r="Q51" i="3"/>
  <c r="Q52" i="3"/>
  <c r="Q21" i="3"/>
  <c r="Q70" i="3"/>
  <c r="Q63" i="3"/>
  <c r="Q28" i="3"/>
  <c r="Q65" i="3"/>
  <c r="Q8" i="3"/>
  <c r="Q11" i="3"/>
  <c r="Q47" i="3"/>
  <c r="Q34" i="3"/>
  <c r="Q40" i="3"/>
  <c r="Q55" i="3"/>
  <c r="Q14" i="3"/>
  <c r="R75" i="3"/>
  <c r="AN75" i="3" s="1"/>
  <c r="R33" i="3"/>
  <c r="AN33" i="3" s="1"/>
  <c r="R62" i="3"/>
  <c r="R36" i="3"/>
  <c r="R15" i="3"/>
  <c r="R52" i="3"/>
  <c r="AN52" i="3" s="1"/>
  <c r="R77" i="3"/>
  <c r="R61" i="3"/>
  <c r="AN61" i="3" s="1"/>
  <c r="R10" i="3"/>
  <c r="AN10" i="3" s="1"/>
  <c r="R70" i="3"/>
  <c r="AN70" i="3" s="1"/>
  <c r="R9" i="3"/>
  <c r="AN9" i="3" s="1"/>
  <c r="R24" i="3"/>
  <c r="AN24" i="3" s="1"/>
  <c r="R5" i="3"/>
  <c r="AN5" i="3" s="1"/>
  <c r="R67" i="3"/>
  <c r="AN67" i="3" s="1"/>
  <c r="R55" i="3"/>
  <c r="R32" i="3"/>
  <c r="R34" i="3"/>
  <c r="AN34" i="3" s="1"/>
  <c r="R41" i="3"/>
  <c r="AN41" i="3" s="1"/>
  <c r="R8" i="3"/>
  <c r="AN8" i="3" s="1"/>
  <c r="R68" i="3"/>
  <c r="R16" i="3"/>
  <c r="AN16" i="3" s="1"/>
  <c r="R72" i="3"/>
  <c r="AN72" i="3" s="1"/>
  <c r="R64" i="3"/>
  <c r="AN64" i="3" s="1"/>
  <c r="R56" i="3"/>
  <c r="AN56" i="3" s="1"/>
  <c r="R49" i="3"/>
  <c r="AN49" i="3" s="1"/>
  <c r="R78" i="3"/>
  <c r="R12" i="3"/>
  <c r="AN12" i="3" s="1"/>
  <c r="R23" i="3"/>
  <c r="AN23" i="3" s="1"/>
  <c r="R30" i="3"/>
  <c r="R11" i="3"/>
  <c r="AN11" i="3" s="1"/>
  <c r="R38" i="3"/>
  <c r="AN38" i="3" s="1"/>
  <c r="R26" i="3"/>
  <c r="AN26" i="3" s="1"/>
  <c r="R43" i="3"/>
  <c r="AN43" i="3" s="1"/>
  <c r="R53" i="3"/>
  <c r="AN53" i="3" s="1"/>
  <c r="R17" i="3"/>
  <c r="AN17" i="3" s="1"/>
  <c r="R71" i="3"/>
  <c r="AN71" i="3" s="1"/>
  <c r="R65" i="3"/>
  <c r="R69" i="3"/>
  <c r="AN69" i="3" s="1"/>
  <c r="R66" i="3"/>
  <c r="R35" i="3"/>
  <c r="AN35" i="3" s="1"/>
  <c r="R47" i="3"/>
  <c r="R31" i="3"/>
  <c r="AN31" i="3" s="1"/>
  <c r="R7" i="3"/>
  <c r="R58" i="3"/>
  <c r="AN58" i="3" s="1"/>
  <c r="R42" i="3"/>
  <c r="AN42" i="3" s="1"/>
  <c r="R22" i="3"/>
  <c r="R74" i="3"/>
  <c r="AN74" i="3" s="1"/>
  <c r="R18" i="3"/>
  <c r="R48" i="3"/>
  <c r="AN48" i="3" s="1"/>
  <c r="R54" i="3"/>
  <c r="AN54" i="3" s="1"/>
  <c r="R51" i="3"/>
  <c r="R25" i="3"/>
  <c r="AN25" i="3" s="1"/>
  <c r="R14" i="3"/>
  <c r="R13" i="3"/>
  <c r="R40" i="3"/>
  <c r="AN40" i="3" s="1"/>
  <c r="R20" i="3"/>
  <c r="AN20" i="3" s="1"/>
  <c r="R21" i="3"/>
  <c r="AN21" i="3" s="1"/>
  <c r="R6" i="3"/>
  <c r="AN6" i="3" s="1"/>
  <c r="R50" i="3"/>
  <c r="AN50" i="3" s="1"/>
  <c r="R27" i="3"/>
  <c r="AN27" i="3" s="1"/>
  <c r="R59" i="3"/>
  <c r="AN59" i="3" s="1"/>
  <c r="R57" i="3"/>
  <c r="R46" i="3"/>
  <c r="AN46" i="3" s="1"/>
  <c r="R76" i="3"/>
  <c r="AN76" i="3" s="1"/>
  <c r="R28" i="3"/>
  <c r="R45" i="3"/>
  <c r="AN45" i="3" s="1"/>
  <c r="R44" i="3"/>
  <c r="AN44" i="3" s="1"/>
  <c r="R60" i="3"/>
  <c r="AN60" i="3" s="1"/>
  <c r="R29" i="3"/>
  <c r="AN29" i="3" s="1"/>
  <c r="R73" i="3"/>
  <c r="R37" i="3"/>
  <c r="AN37" i="3" s="1"/>
  <c r="R39" i="3"/>
  <c r="AN39" i="3" s="1"/>
  <c r="R19" i="3"/>
  <c r="AN19" i="3" s="1"/>
  <c r="R63" i="3"/>
  <c r="AN63" i="3" s="1"/>
  <c r="T30" i="3" l="1"/>
  <c r="AN30" i="3" s="1"/>
  <c r="AW42" i="3"/>
  <c r="AX42" i="3"/>
  <c r="BA42" i="3" s="1"/>
  <c r="AW33" i="3"/>
  <c r="AX33" i="3"/>
  <c r="BA33" i="3" s="1"/>
  <c r="AN66" i="3"/>
  <c r="AN28" i="3"/>
  <c r="AX12" i="3"/>
  <c r="BA12" i="3" s="1"/>
  <c r="AW56" i="3"/>
  <c r="AW27" i="3"/>
  <c r="AX11" i="3"/>
  <c r="BA11" i="3" s="1"/>
  <c r="AN68" i="3"/>
  <c r="AW63" i="3"/>
  <c r="AX30" i="3"/>
  <c r="BA30" i="3" s="1"/>
  <c r="AN15" i="3"/>
  <c r="AN78" i="3"/>
  <c r="AX48" i="3"/>
  <c r="BA48" i="3" s="1"/>
  <c r="AN18" i="3"/>
  <c r="AN55" i="3"/>
  <c r="AW62" i="3"/>
  <c r="AN62" i="3"/>
  <c r="AX25" i="3"/>
  <c r="BA25" i="3" s="1"/>
  <c r="AX39" i="3"/>
  <c r="BA39" i="3" s="1"/>
  <c r="AX9" i="3"/>
  <c r="BA9" i="3" s="1"/>
  <c r="AX17" i="3"/>
  <c r="BA17" i="3" s="1"/>
  <c r="AX28" i="3"/>
  <c r="BA28" i="3" s="1"/>
  <c r="AW28" i="3"/>
  <c r="AX38" i="3"/>
  <c r="BA38" i="3" s="1"/>
  <c r="AW38" i="3"/>
  <c r="AX75" i="3"/>
  <c r="BA75" i="3" s="1"/>
  <c r="AN14" i="3"/>
  <c r="AN65" i="3"/>
  <c r="AX78" i="3"/>
  <c r="BA78" i="3" s="1"/>
  <c r="AN7" i="3"/>
  <c r="AW26" i="3"/>
  <c r="AX26" i="3"/>
  <c r="BA26" i="3" s="1"/>
  <c r="AW77" i="3"/>
  <c r="AX77" i="3"/>
  <c r="BA77" i="3" s="1"/>
  <c r="AN51" i="3"/>
  <c r="AX65" i="3"/>
  <c r="BA65" i="3" s="1"/>
  <c r="AX16" i="3"/>
  <c r="BA16" i="3" s="1"/>
  <c r="AX58" i="3"/>
  <c r="BA58" i="3" s="1"/>
  <c r="AN77" i="3"/>
  <c r="AX51" i="3"/>
  <c r="BA51" i="3" s="1"/>
  <c r="AN57" i="3"/>
  <c r="AW53" i="3"/>
  <c r="AX53" i="3"/>
  <c r="BA53" i="3" s="1"/>
  <c r="AW6" i="3"/>
  <c r="AX6" i="3"/>
  <c r="BA6" i="3" s="1"/>
  <c r="AN13" i="3"/>
  <c r="AX13" i="3"/>
  <c r="BA13" i="3" s="1"/>
  <c r="AX24" i="3"/>
  <c r="BA24" i="3" s="1"/>
  <c r="AX67" i="3"/>
  <c r="BA67" i="3" s="1"/>
  <c r="AX44" i="3"/>
  <c r="BA44" i="3" s="1"/>
  <c r="AX32" i="3"/>
  <c r="BA32" i="3" s="1"/>
  <c r="AN32" i="3"/>
  <c r="AW8" i="3"/>
  <c r="AW61" i="3"/>
  <c r="AW15" i="3"/>
  <c r="AX15" i="3"/>
  <c r="BA15" i="3" s="1"/>
  <c r="AX7" i="3"/>
  <c r="BA7" i="3" s="1"/>
  <c r="AX34" i="3"/>
  <c r="BA34" i="3" s="1"/>
  <c r="AX68" i="3"/>
  <c r="BA68" i="3" s="1"/>
  <c r="AX74" i="3"/>
  <c r="BA74" i="3" s="1"/>
  <c r="AX36" i="3"/>
  <c r="BA36" i="3" s="1"/>
  <c r="AN36" i="3"/>
  <c r="AX70" i="3"/>
  <c r="BA70" i="3" s="1"/>
  <c r="AW70" i="3"/>
  <c r="AW41" i="3"/>
  <c r="AX41" i="3"/>
  <c r="BA41" i="3" s="1"/>
  <c r="AW19" i="3"/>
  <c r="AX19" i="3"/>
  <c r="BA19" i="3" s="1"/>
  <c r="AW18" i="3"/>
  <c r="AX18" i="3"/>
  <c r="BA18" i="3" s="1"/>
  <c r="AN47" i="3"/>
  <c r="AX45" i="3"/>
  <c r="BA45" i="3" s="1"/>
  <c r="AX69" i="3"/>
  <c r="BA69" i="3" s="1"/>
  <c r="AX22" i="3"/>
  <c r="BA22" i="3" s="1"/>
  <c r="AX59" i="3"/>
  <c r="BA59" i="3" s="1"/>
  <c r="AN22" i="3"/>
  <c r="AX21" i="3"/>
  <c r="BA21" i="3" s="1"/>
  <c r="AX47" i="3"/>
  <c r="BA47" i="3" s="1"/>
  <c r="AX35" i="3"/>
  <c r="BA35" i="3" s="1"/>
  <c r="AW43" i="3"/>
  <c r="AX43" i="3"/>
  <c r="BA43" i="3" s="1"/>
  <c r="AW71" i="3"/>
  <c r="AX71" i="3"/>
  <c r="BA71" i="3" s="1"/>
  <c r="AX52" i="3"/>
  <c r="BA52" i="3" s="1"/>
  <c r="AX64" i="3"/>
  <c r="BA64" i="3" s="1"/>
  <c r="AX73" i="3"/>
  <c r="BA73" i="3" s="1"/>
  <c r="AX46" i="3"/>
  <c r="BA46" i="3" s="1"/>
  <c r="AX76" i="3"/>
  <c r="BA76" i="3" s="1"/>
  <c r="AN73" i="3"/>
  <c r="AX54" i="3"/>
  <c r="BA54" i="3" s="1"/>
  <c r="AX50" i="3"/>
  <c r="BA50" i="3" s="1"/>
  <c r="AW29" i="3"/>
  <c r="AX29" i="3"/>
  <c r="BA29" i="3" s="1"/>
  <c r="AW57" i="3"/>
  <c r="AX57" i="3"/>
  <c r="BA57" i="3" s="1"/>
  <c r="AX5" i="3"/>
  <c r="BA5" i="3" s="1"/>
  <c r="AW5" i="3"/>
  <c r="AW31" i="3"/>
  <c r="AX31" i="3"/>
  <c r="BA31" i="3" s="1"/>
  <c r="AW20" i="3"/>
  <c r="AX20" i="3"/>
  <c r="BA20" i="3" s="1"/>
  <c r="AW14" i="3"/>
  <c r="AX14" i="3"/>
  <c r="BA14" i="3" s="1"/>
  <c r="AW55" i="3"/>
  <c r="AX55" i="3"/>
  <c r="BA55" i="3" s="1"/>
  <c r="AW49" i="3"/>
  <c r="AX49" i="3"/>
  <c r="BA49" i="3" s="1"/>
  <c r="AW40" i="3"/>
  <c r="AX40" i="3"/>
  <c r="BA40" i="3" s="1"/>
  <c r="AW10" i="3"/>
  <c r="AX10" i="3"/>
  <c r="BA10" i="3" s="1"/>
  <c r="AW60" i="3"/>
  <c r="AX60" i="3"/>
  <c r="BA60" i="3" s="1"/>
  <c r="AW66" i="3"/>
  <c r="AX66" i="3"/>
  <c r="BA66" i="3" s="1"/>
  <c r="AW37" i="3"/>
  <c r="AX37" i="3"/>
  <c r="BA37" i="3" s="1"/>
  <c r="AK40" i="3"/>
  <c r="AK70" i="3"/>
  <c r="AK5" i="3"/>
  <c r="AK54" i="3"/>
  <c r="AK68" i="3"/>
  <c r="AK16" i="3"/>
  <c r="AK10" i="3"/>
  <c r="AK34" i="3"/>
  <c r="AK21" i="3"/>
  <c r="AK23" i="3"/>
  <c r="AK17" i="3"/>
  <c r="AK43" i="3"/>
  <c r="AK48" i="3"/>
  <c r="AK32" i="3"/>
  <c r="AK8" i="3"/>
  <c r="AK61" i="3"/>
  <c r="AK56" i="3"/>
  <c r="AK49" i="3"/>
  <c r="AK62" i="3"/>
  <c r="AK75" i="3"/>
  <c r="AK57" i="3"/>
  <c r="AK46" i="3"/>
  <c r="AK47" i="3"/>
  <c r="AK52" i="3"/>
  <c r="AK69" i="3"/>
  <c r="AK45" i="3"/>
  <c r="AK71" i="3"/>
  <c r="AK33" i="3"/>
  <c r="AK59" i="3"/>
  <c r="AK26" i="3"/>
  <c r="AK58" i="3"/>
  <c r="AK15" i="3"/>
  <c r="AK11" i="3"/>
  <c r="AK51" i="3"/>
  <c r="AK41" i="3"/>
  <c r="AK74" i="3"/>
  <c r="AK20" i="3"/>
  <c r="AK18" i="3"/>
  <c r="AK24" i="3"/>
  <c r="AK6" i="3"/>
  <c r="AK36" i="3"/>
  <c r="AK13" i="3"/>
  <c r="AK35" i="3"/>
  <c r="AK78" i="3"/>
  <c r="AK77" i="3"/>
  <c r="AK42" i="3"/>
  <c r="AK65" i="3"/>
  <c r="AK22" i="3"/>
  <c r="AK29" i="3"/>
  <c r="AK19" i="3"/>
  <c r="AK44" i="3"/>
  <c r="AK72" i="3"/>
  <c r="AK25" i="3"/>
  <c r="AK60" i="3"/>
  <c r="AK30" i="3"/>
  <c r="AK14" i="3"/>
  <c r="AK28" i="3"/>
  <c r="AK66" i="3"/>
  <c r="AK9" i="3"/>
  <c r="AK64" i="3"/>
  <c r="AK39" i="3"/>
  <c r="AK50" i="3"/>
  <c r="AK67" i="3"/>
  <c r="AK12" i="3"/>
  <c r="AK7" i="3"/>
  <c r="AK55" i="3"/>
  <c r="AK63" i="3"/>
  <c r="AK37" i="3"/>
  <c r="AK76" i="3"/>
  <c r="AK73" i="3"/>
  <c r="AK31" i="3"/>
  <c r="AK38" i="3"/>
  <c r="AK27" i="3"/>
  <c r="AK53" i="3"/>
  <c r="W63" i="3"/>
  <c r="X63" i="3" s="1"/>
  <c r="AM63" i="3"/>
  <c r="BB63" i="3" s="1"/>
  <c r="W75" i="3"/>
  <c r="X75" i="3" s="1"/>
  <c r="AM75" i="3"/>
  <c r="BB75" i="3" s="1"/>
  <c r="W31" i="3"/>
  <c r="X31" i="3" s="1"/>
  <c r="AM31" i="3"/>
  <c r="W27" i="3"/>
  <c r="X27" i="3" s="1"/>
  <c r="AM27" i="3"/>
  <c r="W70" i="3"/>
  <c r="X70" i="3" s="1"/>
  <c r="AM70" i="3"/>
  <c r="W57" i="3"/>
  <c r="X57" i="3" s="1"/>
  <c r="AM57" i="3"/>
  <c r="W54" i="3"/>
  <c r="X54" i="3" s="1"/>
  <c r="AM54" i="3"/>
  <c r="BB54" i="3" s="1"/>
  <c r="W13" i="3"/>
  <c r="X13" i="3" s="1"/>
  <c r="AM13" i="3"/>
  <c r="BB13" i="3" s="1"/>
  <c r="W16" i="3"/>
  <c r="X16" i="3" s="1"/>
  <c r="AM16" i="3"/>
  <c r="BB16" i="3" s="1"/>
  <c r="W10" i="3"/>
  <c r="X10" i="3" s="1"/>
  <c r="AM10" i="3"/>
  <c r="W34" i="3"/>
  <c r="X34" i="3" s="1"/>
  <c r="AM34" i="3"/>
  <c r="BB34" i="3" s="1"/>
  <c r="W21" i="3"/>
  <c r="X21" i="3" s="1"/>
  <c r="AM21" i="3"/>
  <c r="BB21" i="3" s="1"/>
  <c r="W23" i="3"/>
  <c r="X23" i="3" s="1"/>
  <c r="AM23" i="3"/>
  <c r="BB23" i="3" s="1"/>
  <c r="W17" i="3"/>
  <c r="X17" i="3" s="1"/>
  <c r="AM17" i="3"/>
  <c r="BB17" i="3" s="1"/>
  <c r="W43" i="3"/>
  <c r="X43" i="3" s="1"/>
  <c r="AM43" i="3"/>
  <c r="W48" i="3"/>
  <c r="X48" i="3" s="1"/>
  <c r="AM48" i="3"/>
  <c r="BB48" i="3" s="1"/>
  <c r="W15" i="3"/>
  <c r="X15" i="3" s="1"/>
  <c r="AM15" i="3"/>
  <c r="W46" i="3"/>
  <c r="X46" i="3" s="1"/>
  <c r="AM46" i="3"/>
  <c r="BB46" i="3" s="1"/>
  <c r="W32" i="3"/>
  <c r="X32" i="3" s="1"/>
  <c r="AM32" i="3"/>
  <c r="BB32" i="3" s="1"/>
  <c r="W55" i="3"/>
  <c r="X55" i="3" s="1"/>
  <c r="AM55" i="3"/>
  <c r="W37" i="3"/>
  <c r="X37" i="3" s="1"/>
  <c r="AM37" i="3"/>
  <c r="W73" i="3"/>
  <c r="X73" i="3" s="1"/>
  <c r="AM73" i="3"/>
  <c r="BB73" i="3" s="1"/>
  <c r="W38" i="3"/>
  <c r="X38" i="3" s="1"/>
  <c r="AM38" i="3"/>
  <c r="W53" i="3"/>
  <c r="X53" i="3" s="1"/>
  <c r="AM53" i="3"/>
  <c r="W40" i="3"/>
  <c r="X40" i="3" s="1"/>
  <c r="AM40" i="3"/>
  <c r="W5" i="3"/>
  <c r="X5" i="3" s="1"/>
  <c r="AM5" i="3"/>
  <c r="W68" i="3"/>
  <c r="AM68" i="3"/>
  <c r="BB68" i="3" s="1"/>
  <c r="W47" i="3"/>
  <c r="X47" i="3" s="1"/>
  <c r="AM47" i="3"/>
  <c r="BB47" i="3" s="1"/>
  <c r="W52" i="3"/>
  <c r="X52" i="3" s="1"/>
  <c r="AM52" i="3"/>
  <c r="BB52" i="3" s="1"/>
  <c r="W69" i="3"/>
  <c r="X69" i="3" s="1"/>
  <c r="AM69" i="3"/>
  <c r="BB69" i="3" s="1"/>
  <c r="W45" i="3"/>
  <c r="X45" i="3" s="1"/>
  <c r="AM45" i="3"/>
  <c r="BB45" i="3" s="1"/>
  <c r="W71" i="3"/>
  <c r="X71" i="3" s="1"/>
  <c r="AM71" i="3"/>
  <c r="W33" i="3"/>
  <c r="X33" i="3" s="1"/>
  <c r="AM33" i="3"/>
  <c r="BB33" i="3" s="1"/>
  <c r="W59" i="3"/>
  <c r="X59" i="3" s="1"/>
  <c r="AM59" i="3"/>
  <c r="BB59" i="3" s="1"/>
  <c r="W26" i="3"/>
  <c r="X26" i="3" s="1"/>
  <c r="AM26" i="3"/>
  <c r="W58" i="3"/>
  <c r="X58" i="3" s="1"/>
  <c r="AM58" i="3"/>
  <c r="BB58" i="3" s="1"/>
  <c r="W11" i="3"/>
  <c r="X11" i="3" s="1"/>
  <c r="AM11" i="3"/>
  <c r="BB11" i="3" s="1"/>
  <c r="W51" i="3"/>
  <c r="X51" i="3" s="1"/>
  <c r="AM51" i="3"/>
  <c r="BB51" i="3" s="1"/>
  <c r="W41" i="3"/>
  <c r="X41" i="3" s="1"/>
  <c r="AM41" i="3"/>
  <c r="W74" i="3"/>
  <c r="X74" i="3" s="1"/>
  <c r="AM74" i="3"/>
  <c r="BB74" i="3" s="1"/>
  <c r="W20" i="3"/>
  <c r="X20" i="3" s="1"/>
  <c r="AM20" i="3"/>
  <c r="W18" i="3"/>
  <c r="X18" i="3" s="1"/>
  <c r="AM18" i="3"/>
  <c r="W24" i="3"/>
  <c r="X24" i="3" s="1"/>
  <c r="AM24" i="3"/>
  <c r="BB24" i="3" s="1"/>
  <c r="W6" i="3"/>
  <c r="X6" i="3" s="1"/>
  <c r="AM6" i="3"/>
  <c r="W36" i="3"/>
  <c r="X36" i="3" s="1"/>
  <c r="AM36" i="3"/>
  <c r="BB36" i="3" s="1"/>
  <c r="W8" i="3"/>
  <c r="X8" i="3" s="1"/>
  <c r="AM8" i="3"/>
  <c r="W61" i="3"/>
  <c r="X61" i="3" s="1"/>
  <c r="AM61" i="3"/>
  <c r="W35" i="3"/>
  <c r="X35" i="3" s="1"/>
  <c r="AM35" i="3"/>
  <c r="BB35" i="3" s="1"/>
  <c r="W56" i="3"/>
  <c r="X56" i="3" s="1"/>
  <c r="AM56" i="3"/>
  <c r="W78" i="3"/>
  <c r="X78" i="3" s="1"/>
  <c r="AM78" i="3"/>
  <c r="BB78" i="3" s="1"/>
  <c r="W77" i="3"/>
  <c r="X77" i="3" s="1"/>
  <c r="AM77" i="3"/>
  <c r="BB77" i="3" s="1"/>
  <c r="W49" i="3"/>
  <c r="X49" i="3" s="1"/>
  <c r="AM49" i="3"/>
  <c r="W42" i="3"/>
  <c r="X42" i="3" s="1"/>
  <c r="AM42" i="3"/>
  <c r="BB42" i="3" s="1"/>
  <c r="W62" i="3"/>
  <c r="X62" i="3" s="1"/>
  <c r="AM62" i="3"/>
  <c r="BB62" i="3" s="1"/>
  <c r="W65" i="3"/>
  <c r="X65" i="3" s="1"/>
  <c r="AM65" i="3"/>
  <c r="BB65" i="3" s="1"/>
  <c r="W22" i="3"/>
  <c r="X22" i="3" s="1"/>
  <c r="AM22" i="3"/>
  <c r="BB22" i="3" s="1"/>
  <c r="W29" i="3"/>
  <c r="X29" i="3" s="1"/>
  <c r="AM29" i="3"/>
  <c r="W19" i="3"/>
  <c r="X19" i="3" s="1"/>
  <c r="AM19" i="3"/>
  <c r="BB19" i="3" s="1"/>
  <c r="W44" i="3"/>
  <c r="X44" i="3" s="1"/>
  <c r="AM44" i="3"/>
  <c r="BB44" i="3" s="1"/>
  <c r="W72" i="3"/>
  <c r="X72" i="3" s="1"/>
  <c r="AM72" i="3"/>
  <c r="BB72" i="3" s="1"/>
  <c r="W25" i="3"/>
  <c r="X25" i="3" s="1"/>
  <c r="AM25" i="3"/>
  <c r="BB25" i="3" s="1"/>
  <c r="W60" i="3"/>
  <c r="X60" i="3" s="1"/>
  <c r="AM60" i="3"/>
  <c r="W30" i="3"/>
  <c r="X30" i="3" s="1"/>
  <c r="AM30" i="3"/>
  <c r="BB30" i="3" s="1"/>
  <c r="W14" i="3"/>
  <c r="X14" i="3" s="1"/>
  <c r="AM14" i="3"/>
  <c r="W28" i="3"/>
  <c r="X28" i="3" s="1"/>
  <c r="AM28" i="3"/>
  <c r="W66" i="3"/>
  <c r="X66" i="3" s="1"/>
  <c r="AM66" i="3"/>
  <c r="W9" i="3"/>
  <c r="X9" i="3" s="1"/>
  <c r="AM9" i="3"/>
  <c r="BB9" i="3" s="1"/>
  <c r="W64" i="3"/>
  <c r="X64" i="3" s="1"/>
  <c r="AM64" i="3"/>
  <c r="BB64" i="3" s="1"/>
  <c r="W39" i="3"/>
  <c r="X39" i="3" s="1"/>
  <c r="AM39" i="3"/>
  <c r="BB39" i="3" s="1"/>
  <c r="W50" i="3"/>
  <c r="X50" i="3" s="1"/>
  <c r="AM50" i="3"/>
  <c r="BB50" i="3" s="1"/>
  <c r="W67" i="3"/>
  <c r="X67" i="3" s="1"/>
  <c r="AM67" i="3"/>
  <c r="BB67" i="3" s="1"/>
  <c r="W12" i="3"/>
  <c r="X12" i="3" s="1"/>
  <c r="AM12" i="3"/>
  <c r="BB12" i="3" s="1"/>
  <c r="W7" i="3"/>
  <c r="X7" i="3" s="1"/>
  <c r="AM7" i="3"/>
  <c r="BB7" i="3" s="1"/>
  <c r="W76" i="3"/>
  <c r="X76" i="3" s="1"/>
  <c r="AM76" i="3"/>
  <c r="BB76" i="3" s="1"/>
  <c r="X68" i="3"/>
  <c r="BB66" i="3" l="1"/>
  <c r="BB27" i="3"/>
  <c r="BB60" i="3"/>
  <c r="BB56" i="3"/>
  <c r="BB28" i="3"/>
  <c r="BB38" i="3"/>
  <c r="BB53" i="3"/>
  <c r="BB49" i="3"/>
  <c r="BB26" i="3"/>
  <c r="BB15" i="3"/>
  <c r="BB70" i="3"/>
  <c r="BB71" i="3"/>
  <c r="BB41" i="3"/>
  <c r="BB31" i="3"/>
  <c r="BB55" i="3"/>
  <c r="BB8" i="3"/>
  <c r="BB18" i="3"/>
  <c r="BB6" i="3"/>
  <c r="BB61" i="3"/>
  <c r="BB43" i="3"/>
  <c r="BB5" i="3"/>
  <c r="BB29" i="3"/>
  <c r="BB10" i="3"/>
  <c r="BB57" i="3"/>
  <c r="BB20" i="3"/>
  <c r="BB40" i="3"/>
  <c r="BB14" i="3"/>
  <c r="BB37" i="3"/>
</calcChain>
</file>

<file path=xl/sharedStrings.xml><?xml version="1.0" encoding="utf-8"?>
<sst xmlns="http://schemas.openxmlformats.org/spreadsheetml/2006/main" count="1300" uniqueCount="261">
  <si>
    <t>SUCURSAL</t>
  </si>
  <si>
    <t>ID</t>
  </si>
  <si>
    <t>NOMBRE DEL EMPLEADO</t>
  </si>
  <si>
    <t>FECHA DE INGRESO</t>
  </si>
  <si>
    <t>Cartera 0 Mora</t>
  </si>
  <si>
    <t>CREDITOS_POR_RENOVAR</t>
  </si>
  <si>
    <t>CREDITOS_RENOVADOS</t>
  </si>
  <si>
    <t>Total incentivos</t>
  </si>
  <si>
    <t>MES</t>
  </si>
  <si>
    <t>AMECAMECA</t>
  </si>
  <si>
    <t>YESICA MERIC OSNAYA SORIANO</t>
  </si>
  <si>
    <t>DIANA ELIZABETH GONZALEZ LEON</t>
  </si>
  <si>
    <t>MARIA ISABEL MUÑOZ SANCHEZ</t>
  </si>
  <si>
    <t>CHALCO</t>
  </si>
  <si>
    <t>JHOVANNY AGUILAR GARCIA</t>
  </si>
  <si>
    <t>LETICIA MESINAS ACEVEDO</t>
  </si>
  <si>
    <t>CARLOS EMANUEL FLORES ACOSTA</t>
  </si>
  <si>
    <t>IXTAPALUCA</t>
  </si>
  <si>
    <t>MARISELA HERNANDEZ MORINCHEL</t>
  </si>
  <si>
    <t>BRENDA DANIELA RODRIGUEZ REYES</t>
  </si>
  <si>
    <t>ARIAN AGUILAR PLATA</t>
  </si>
  <si>
    <t>MARIA ANGELICA VILLA MARTINEZ</t>
  </si>
  <si>
    <t>MILPA ALTA</t>
  </si>
  <si>
    <t>JENIFER QUETZALLI REMOLINO</t>
  </si>
  <si>
    <t>BRAULIO GUZMAN JIMENEZ</t>
  </si>
  <si>
    <t>TEXCOCO</t>
  </si>
  <si>
    <t>MARIA IVONNE CRUZ TRUJANO</t>
  </si>
  <si>
    <t>ELIZABETH PEREZ PERALTA</t>
  </si>
  <si>
    <t>ROBERTO MERAZ GUTIERREZ</t>
  </si>
  <si>
    <t>ROSARIO EDITH LINAJE GONZALEZ</t>
  </si>
  <si>
    <t>TLAHUAC</t>
  </si>
  <si>
    <t>OLIVIA LOPEZ HERNANDEZ</t>
  </si>
  <si>
    <t>ISAAC VINICIO BACILIO ESPITIA</t>
  </si>
  <si>
    <t>HECTOR CORONEL VENTURA</t>
  </si>
  <si>
    <t>TONALA</t>
  </si>
  <si>
    <t>LAURA PATRICIA CARRERA QUINTERO</t>
  </si>
  <si>
    <t>MIRIAM PATRICIA ROSAS AREVALO</t>
  </si>
  <si>
    <t>TONALA 2</t>
  </si>
  <si>
    <t>EULALIO MARQUEZ ROJAS</t>
  </si>
  <si>
    <t>ARMANDO ALEJANDRO TOVAR BRACAMONTES</t>
  </si>
  <si>
    <t>CHIMALHUACAN 2</t>
  </si>
  <si>
    <t>MARIBEL RODRIGUEZ CARRIZOZA</t>
  </si>
  <si>
    <t>KARINA TERRAZAS OLVERA</t>
  </si>
  <si>
    <t>LIZBETH GUADALUPE MUJICA HERNANDEZ</t>
  </si>
  <si>
    <t>ANDRES DE JESUS PALOMARES PASTRANA</t>
  </si>
  <si>
    <t>GUADALUPE CARMONA ANTONIO</t>
  </si>
  <si>
    <t>FORTIN</t>
  </si>
  <si>
    <t>JULIAN MARTINEZ CORTES</t>
  </si>
  <si>
    <t>JESSICA MARIN DURON</t>
  </si>
  <si>
    <t>IZTAPALAPA</t>
  </si>
  <si>
    <t>RODOLFO ALBERTO SORIANO MEJIA</t>
  </si>
  <si>
    <t>NEZAHUALCOYOTL</t>
  </si>
  <si>
    <t>NADINE GUADALUPE URIBE SANTIAGO</t>
  </si>
  <si>
    <t>JONNY ROMAN GARCIA VALENTINO</t>
  </si>
  <si>
    <t>NEZAHUALCOYOTL 2</t>
  </si>
  <si>
    <t>DENISSE FUENTES CASTRO</t>
  </si>
  <si>
    <t>NELLYE SAAVEDRA SALVADOR</t>
  </si>
  <si>
    <t>JORGE ALBERTO CONTRERAS SEGUNDO</t>
  </si>
  <si>
    <t>ORIZABA</t>
  </si>
  <si>
    <t>MARCELO TZITZIHUA TZITZIHUA</t>
  </si>
  <si>
    <t>FERNANDO MANUEL VELASCO RIVERA</t>
  </si>
  <si>
    <t>ELSA FERNANDEZ REYES</t>
  </si>
  <si>
    <t>JAEL BRAVO REYES</t>
  </si>
  <si>
    <t>SURESTE</t>
  </si>
  <si>
    <t>COATZACOALCOS</t>
  </si>
  <si>
    <t>ISABEL MONSERRAT RAZO MENDEZ</t>
  </si>
  <si>
    <t>MONSERRAT DE LA CRUZ MARTINEZ ALVARADO</t>
  </si>
  <si>
    <t>JULIO CESAR GONZALEZ ESPINOZA</t>
  </si>
  <si>
    <t>VILLAHERMOSA</t>
  </si>
  <si>
    <t>YADIRA LIZBETH RODRIGUEZ COLLADO</t>
  </si>
  <si>
    <t>HASLEY RODRIGUEZ GARCIA</t>
  </si>
  <si>
    <t/>
  </si>
  <si>
    <t>EDUARDO ABEL CARBAJAL BALDERAS</t>
  </si>
  <si>
    <t>VICTOR MANUEL SANCHEZ PEREZ</t>
  </si>
  <si>
    <t>CRISTIAN MANUEL TENORIO CORELLA</t>
  </si>
  <si>
    <t>OSCAR MELENDEZ GONZALEZ</t>
  </si>
  <si>
    <t>ANA CRISTINA HERNANDEZ PEREZ</t>
  </si>
  <si>
    <t>ULISES URIEL PARTIDA MENDEZ</t>
  </si>
  <si>
    <t>HUGO ENRIQUE SEVILLANO ONOFRE</t>
  </si>
  <si>
    <t>ANAHI JIMENEZ RAMOS</t>
  </si>
  <si>
    <t>EDUARDO ABEL CARBAJAL</t>
  </si>
  <si>
    <t>RAUL RODRIGUEZ PEREZ</t>
  </si>
  <si>
    <t>TANIA NAVARRETE SILVA</t>
  </si>
  <si>
    <t>DULCE YURIKO NISHIKAWA MOLINA</t>
  </si>
  <si>
    <t>MARI JOSE TLAPANCO SANTIAGO</t>
  </si>
  <si>
    <t>YESSICA ADELAIDA DELGADILLO MIRANDA</t>
  </si>
  <si>
    <t>MARIO GUILLERMO PEREZ MORALES</t>
  </si>
  <si>
    <t xml:space="preserve">BRENDA BERENICE CASTRO HERNÁNDEZ </t>
  </si>
  <si>
    <t>JULLIET MONTILLO GANG</t>
  </si>
  <si>
    <t>MARIA DE JESUS DIAZ LOPEZ</t>
  </si>
  <si>
    <t>CARDENAS</t>
  </si>
  <si>
    <t>AGUSTIN DAVID ACEVEDO DELGADO</t>
  </si>
  <si>
    <t>GILBERTO REYES GONZALEZ</t>
  </si>
  <si>
    <t>LAURA LORENA PEREZ MENDOZA</t>
  </si>
  <si>
    <t>BENITO ARTURO TORRUCO LOPEZ</t>
  </si>
  <si>
    <t>LUIS OMAR DE LA CRUZ JIMENEZ</t>
  </si>
  <si>
    <t>Bolsa de incentivo</t>
  </si>
  <si>
    <t>Región F</t>
  </si>
  <si>
    <t>Región O</t>
  </si>
  <si>
    <t>Sureste</t>
  </si>
  <si>
    <t>PAOLA GRISELL ROMERO SANCHEZ</t>
  </si>
  <si>
    <t>JENIFER QUETZALLI AVILA REMOLINO</t>
  </si>
  <si>
    <t>OLIVIA  LOPEZ HERNANDEZ</t>
  </si>
  <si>
    <t>JUAN ANTONIO POZOS VALVERDE</t>
  </si>
  <si>
    <t>JUAN MANUEL HERNANDEZ HERNANDEZ</t>
  </si>
  <si>
    <t>ANA LIZBETH MORA RAMIREZ</t>
  </si>
  <si>
    <t xml:space="preserve">MARÍA DE JESÚS DÍAZ LÓPEZ </t>
  </si>
  <si>
    <t>REGION</t>
  </si>
  <si>
    <t>REGIÓN F</t>
  </si>
  <si>
    <t>REGIÓN O</t>
  </si>
  <si>
    <t>Meta de colocación</t>
  </si>
  <si>
    <t>colocación real</t>
  </si>
  <si>
    <t>NUM DE PROSPECTOS</t>
  </si>
  <si>
    <t>Quebrantos</t>
  </si>
  <si>
    <t>Antigüedad</t>
  </si>
  <si>
    <t>Antigüedad (días)</t>
  </si>
  <si>
    <t>3 a 6 Meses</t>
  </si>
  <si>
    <t>&lt; 3 Meses</t>
  </si>
  <si>
    <t>6 a 12 Meses</t>
  </si>
  <si>
    <t>1 a 1.5 años</t>
  </si>
  <si>
    <t>1.5 a 2 años</t>
  </si>
  <si>
    <t>2 a 2.5 años</t>
  </si>
  <si>
    <t>2.5 a 3 años</t>
  </si>
  <si>
    <t>Mas de 3 años</t>
  </si>
  <si>
    <t>Etiqueta Antigüedad</t>
  </si>
  <si>
    <t>Etiquetas de fila</t>
  </si>
  <si>
    <t>Total general</t>
  </si>
  <si>
    <t>Etiquetas de columna</t>
  </si>
  <si>
    <t>jul</t>
  </si>
  <si>
    <t>ago</t>
  </si>
  <si>
    <t>sep</t>
  </si>
  <si>
    <t>oct</t>
  </si>
  <si>
    <t>nov</t>
  </si>
  <si>
    <t>Cuenta de NOMBRE DEL EMPLEADO</t>
  </si>
  <si>
    <t>(Todas)</t>
  </si>
  <si>
    <t>Total REGIÓN F</t>
  </si>
  <si>
    <t>Total REGIÓN O</t>
  </si>
  <si>
    <t>Total SURESTE</t>
  </si>
  <si>
    <t>No Mes</t>
  </si>
  <si>
    <t>Antigüedad (Meses)</t>
  </si>
  <si>
    <t>Cartera inicio de Mes</t>
  </si>
  <si>
    <t>Cartera cierre de Mes</t>
  </si>
  <si>
    <t>% Cartera 0 Mora</t>
  </si>
  <si>
    <t>% Quebranto / Cartera</t>
  </si>
  <si>
    <t>Mes 1</t>
  </si>
  <si>
    <t>Mes 2</t>
  </si>
  <si>
    <t>Mes 3</t>
  </si>
  <si>
    <t>Mes 4</t>
  </si>
  <si>
    <t>Mes 5</t>
  </si>
  <si>
    <t>Antigüedad Primer Mes de Evaluación</t>
  </si>
  <si>
    <t>Llave</t>
  </si>
  <si>
    <t>¿Cartera en ceros en mes 5?</t>
  </si>
  <si>
    <t>Fecha de Ingreso</t>
  </si>
  <si>
    <t>Nombre del empleado</t>
  </si>
  <si>
    <t>Sucursal</t>
  </si>
  <si>
    <t>Región</t>
  </si>
  <si>
    <t>Num Meses Laborados</t>
  </si>
  <si>
    <t>Promedio Cartera</t>
  </si>
  <si>
    <t>Mes para evaluación</t>
  </si>
  <si>
    <t>CAGR (Ritmo Mensual)</t>
  </si>
  <si>
    <t># Meses Completos Laborados</t>
  </si>
  <si>
    <t>Última Cartera para Evaluación</t>
  </si>
  <si>
    <t>% Cartera Quebrantada</t>
  </si>
  <si>
    <t>% Cartera Quebrantada Anualizada</t>
  </si>
  <si>
    <t>Meta Colocación</t>
  </si>
  <si>
    <t>Colocación Real</t>
  </si>
  <si>
    <t>% Alcance Colocación</t>
  </si>
  <si>
    <t>Prospectos</t>
  </si>
  <si>
    <t>Prospectos Diarios</t>
  </si>
  <si>
    <t>Prospectos por Día</t>
  </si>
  <si>
    <t>% Renovación</t>
  </si>
  <si>
    <t>Créditos por Renovar</t>
  </si>
  <si>
    <t>Créditos Renovados</t>
  </si>
  <si>
    <t>Bolsa Incentivos</t>
  </si>
  <si>
    <t>Incentivos Ganados</t>
  </si>
  <si>
    <t>% Incentivos Ganados</t>
  </si>
  <si>
    <t>Etiqueta Crecimiento</t>
  </si>
  <si>
    <t>Etiqueta Calidad</t>
  </si>
  <si>
    <t>Etiqueta Prospección</t>
  </si>
  <si>
    <t>Etiqueta Cumplimiento Meta Colocación</t>
  </si>
  <si>
    <t>Etiqueta Incentivos</t>
  </si>
  <si>
    <t>Etiqueta Renovaciones</t>
  </si>
  <si>
    <t>% Crecimiento</t>
  </si>
  <si>
    <t>Cartera</t>
  </si>
  <si>
    <t>Etiqueta Tamaño Cartera</t>
  </si>
  <si>
    <t>NA</t>
  </si>
  <si>
    <t>Ventas</t>
  </si>
  <si>
    <t>Tamaño</t>
  </si>
  <si>
    <t>Ritmo</t>
  </si>
  <si>
    <t>Calidad</t>
  </si>
  <si>
    <t>Calificación Ventas</t>
  </si>
  <si>
    <t>Ganancias</t>
  </si>
  <si>
    <t>Calificación Total</t>
  </si>
  <si>
    <t>Rentabilidad Mensual</t>
  </si>
  <si>
    <t>% Renovaciones</t>
  </si>
  <si>
    <t>Puntaje</t>
  </si>
  <si>
    <t>% Cumplimiento Meta Colocación</t>
  </si>
  <si>
    <t>Etiqueta Meta Colocación</t>
  </si>
  <si>
    <t>Puntaje Renovaciones</t>
  </si>
  <si>
    <t>Puntaje Prospección</t>
  </si>
  <si>
    <t>Puntaje Cumplimiento Meta Colocación</t>
  </si>
  <si>
    <t>% Calidad Ajustada (1-IMOR)</t>
  </si>
  <si>
    <t>Calidad (1-% IMOR)</t>
  </si>
  <si>
    <t>Puntaje Calidad</t>
  </si>
  <si>
    <t>% Alcance Incentivos</t>
  </si>
  <si>
    <t>Puntaje Incentivos</t>
  </si>
  <si>
    <t>Total</t>
  </si>
  <si>
    <t>Etiqueta Global</t>
  </si>
  <si>
    <t>Puntaje Ventas</t>
  </si>
  <si>
    <t>Etiqueta Ventas</t>
  </si>
  <si>
    <t>Promedio de Calificación Total</t>
  </si>
  <si>
    <t>Valores</t>
  </si>
  <si>
    <t>Total Promedio de Calificación Total</t>
  </si>
  <si>
    <t>Total Cuenta de Nombre del empleado</t>
  </si>
  <si>
    <t>Cuenta de Nombre del empleado</t>
  </si>
  <si>
    <r>
      <t xml:space="preserve">1 Decrecimiento </t>
    </r>
    <r>
      <rPr>
        <sz val="10"/>
        <color theme="1"/>
        <rFont val="Calibri"/>
        <family val="2"/>
      </rPr>
      <t xml:space="preserve">≥ </t>
    </r>
    <r>
      <rPr>
        <sz val="10"/>
        <color theme="1"/>
        <rFont val="Calibri"/>
        <family val="2"/>
        <scheme val="minor"/>
      </rPr>
      <t>50%</t>
    </r>
  </si>
  <si>
    <r>
      <t xml:space="preserve">2 Decrecimiento </t>
    </r>
    <r>
      <rPr>
        <sz val="10"/>
        <color theme="1"/>
        <rFont val="Calibri"/>
        <family val="2"/>
      </rPr>
      <t>entre 0.1% y 50%</t>
    </r>
  </si>
  <si>
    <t>3 0 Crecimiento</t>
  </si>
  <si>
    <t>4 Crecimiento Muy Bajo</t>
  </si>
  <si>
    <t>5 Crecimiento Medio</t>
  </si>
  <si>
    <t>6 Crecimiento Alto</t>
  </si>
  <si>
    <t>7 Crecimiento Muy Alto</t>
  </si>
  <si>
    <t>8 Crecimiento Exponencial</t>
  </si>
  <si>
    <t>2 Decrecimiento entre 0.1% y 50%</t>
  </si>
  <si>
    <t>1 Decrecimiento ≥ 50%</t>
  </si>
  <si>
    <r>
      <t xml:space="preserve">1 Pequeño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500k</t>
    </r>
  </si>
  <si>
    <r>
      <t xml:space="preserve">2 Mediana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1MM</t>
    </r>
  </si>
  <si>
    <r>
      <t xml:space="preserve">3 Mediana </t>
    </r>
    <r>
      <rPr>
        <sz val="10"/>
        <color theme="1"/>
        <rFont val="Calibri"/>
        <family val="2"/>
      </rPr>
      <t>≥</t>
    </r>
    <r>
      <rPr>
        <sz val="8"/>
        <color theme="1"/>
        <rFont val="Calibri"/>
        <family val="2"/>
      </rPr>
      <t xml:space="preserve"> 1MM</t>
    </r>
  </si>
  <si>
    <r>
      <t xml:space="preserve">4 Grande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1.5MM</t>
    </r>
  </si>
  <si>
    <r>
      <t xml:space="preserve">5 Grande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2MM</t>
    </r>
  </si>
  <si>
    <r>
      <t xml:space="preserve">6 Grande </t>
    </r>
    <r>
      <rPr>
        <sz val="10"/>
        <color theme="1"/>
        <rFont val="Calibri"/>
        <family val="2"/>
      </rPr>
      <t>≥ 2MM</t>
    </r>
  </si>
  <si>
    <t>1 Pequeño ≤ 500k</t>
  </si>
  <si>
    <t>3 Mediana ≥ 1MM</t>
  </si>
  <si>
    <t>2 Mediana ≤ 1MM</t>
  </si>
  <si>
    <t>5 Grande ≤ 2MM</t>
  </si>
  <si>
    <t>4 Grande ≤ 1.5MM</t>
  </si>
  <si>
    <t>Fecha de Baja</t>
  </si>
  <si>
    <t>Etiqueta Activo/Baja</t>
  </si>
  <si>
    <t>1 Bajo Extremo</t>
  </si>
  <si>
    <t>2 Bajo</t>
  </si>
  <si>
    <t>3 Medio Bajo</t>
  </si>
  <si>
    <t>4 Medio Alto</t>
  </si>
  <si>
    <t>5 Alto</t>
  </si>
  <si>
    <t>6 Muy Alto</t>
  </si>
  <si>
    <t>7 Sobresaliente</t>
  </si>
  <si>
    <t>1 Mal Vendedor</t>
  </si>
  <si>
    <t>2 Medio Vendedor</t>
  </si>
  <si>
    <t>3 Buen Vendedor</t>
  </si>
  <si>
    <t>4 Gran Vendedor</t>
  </si>
  <si>
    <t>1 Bajo</t>
  </si>
  <si>
    <t>2 Medio</t>
  </si>
  <si>
    <t>3 Medio Alto</t>
  </si>
  <si>
    <t>4 Alto</t>
  </si>
  <si>
    <t>5 Sobresaliente</t>
  </si>
  <si>
    <t>Promedio de Puntaje Renovaciones</t>
  </si>
  <si>
    <t>Promedio de Puntaje Prospección</t>
  </si>
  <si>
    <t>Promedio de Puntaje Cumplimiento Meta Colocación</t>
  </si>
  <si>
    <t>Promedio de Calificación Ventas</t>
  </si>
  <si>
    <t>Promedio de Puntaje Calidad</t>
  </si>
  <si>
    <t>Promedio de Puntaje Incentivos</t>
  </si>
  <si>
    <t>Promedio de Promedio 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</si>
</sst>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[$-80A]General"/>
    <numFmt numFmtId="165" formatCode="[$-80A]dd/mm/yyyy"/>
    <numFmt numFmtId="166" formatCode="&quot;$&quot;#,##0.00"/>
    <numFmt numFmtId="167" formatCode="_-* #,##0.0_-;\-* #,##0.0_-;_-* &quot;-&quot;??_-;_-@_-"/>
    <numFmt numFmtId="168" formatCode="_-* #,##0_-;\-* #,##0_-;_-* &quot;-&quot;??_-;_-@_-"/>
    <numFmt numFmtId="169" formatCode="0.0%"/>
    <numFmt numFmtId="170" formatCode="0.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8">
    <xf numFmtId="0" fontId="0" fillId="0" borderId="0" xfId="0"/>
    <xf numFmtId="164" fontId="2" fillId="0" borderId="0" xfId="1" applyFont="1" applyProtection="1">
      <protection locked="0"/>
    </xf>
    <xf numFmtId="0" fontId="3" fillId="0" borderId="0" xfId="0" applyFont="1"/>
    <xf numFmtId="165" fontId="2" fillId="0" borderId="0" xfId="1" applyNumberFormat="1" applyFont="1" applyAlignment="1" applyProtection="1">
      <alignment horizontal="center"/>
      <protection locked="0"/>
    </xf>
    <xf numFmtId="3" fontId="2" fillId="0" borderId="0" xfId="0" applyNumberFormat="1" applyFont="1" applyAlignment="1">
      <alignment horizontal="right"/>
    </xf>
    <xf numFmtId="6" fontId="3" fillId="0" borderId="0" xfId="0" applyNumberFormat="1" applyFont="1"/>
    <xf numFmtId="6" fontId="2" fillId="0" borderId="0" xfId="0" applyNumberFormat="1" applyFont="1" applyAlignment="1">
      <alignment horizontal="right"/>
    </xf>
    <xf numFmtId="6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3" fillId="2" borderId="1" xfId="0" applyFont="1" applyFill="1" applyBorder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6" fontId="2" fillId="0" borderId="0" xfId="0" applyNumberFormat="1" applyFont="1"/>
    <xf numFmtId="0" fontId="2" fillId="0" borderId="0" xfId="0" applyFont="1"/>
    <xf numFmtId="14" fontId="6" fillId="0" borderId="0" xfId="0" applyNumberFormat="1" applyFont="1" applyAlignment="1">
      <alignment horizontal="center"/>
    </xf>
    <xf numFmtId="166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2" fillId="0" borderId="0" xfId="1" applyFont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0" fontId="3" fillId="0" borderId="0" xfId="0" applyFont="1" applyAlignment="1">
      <alignment vertical="center"/>
    </xf>
    <xf numFmtId="164" fontId="3" fillId="0" borderId="0" xfId="1" applyFont="1" applyAlignment="1" applyProtection="1">
      <alignment horizontal="left"/>
      <protection locked="0"/>
    </xf>
    <xf numFmtId="164" fontId="3" fillId="0" borderId="0" xfId="1" applyFont="1" applyAlignment="1" applyProtection="1">
      <alignment horizontal="center"/>
      <protection locked="0"/>
    </xf>
    <xf numFmtId="14" fontId="3" fillId="0" borderId="0" xfId="1" applyNumberFormat="1" applyFont="1" applyAlignment="1" applyProtection="1">
      <alignment horizontal="center"/>
      <protection locked="0"/>
    </xf>
    <xf numFmtId="8" fontId="3" fillId="0" borderId="0" xfId="0" applyNumberFormat="1" applyFont="1"/>
    <xf numFmtId="3" fontId="3" fillId="0" borderId="0" xfId="0" applyNumberFormat="1" applyFont="1"/>
    <xf numFmtId="8" fontId="3" fillId="0" borderId="0" xfId="0" applyNumberFormat="1" applyFont="1" applyAlignment="1">
      <alignment horizontal="right"/>
    </xf>
    <xf numFmtId="43" fontId="2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9" fontId="2" fillId="0" borderId="0" xfId="3" applyFont="1" applyAlignment="1">
      <alignment horizontal="center"/>
    </xf>
    <xf numFmtId="169" fontId="2" fillId="0" borderId="0" xfId="3" applyNumberFormat="1" applyFont="1" applyAlignment="1">
      <alignment horizontal="center"/>
    </xf>
    <xf numFmtId="170" fontId="2" fillId="0" borderId="0" xfId="2" applyNumberFormat="1" applyFont="1" applyAlignment="1">
      <alignment horizontal="center" vertical="center"/>
    </xf>
    <xf numFmtId="165" fontId="2" fillId="2" borderId="0" xfId="1" applyNumberFormat="1" applyFont="1" applyFill="1" applyAlignment="1" applyProtection="1">
      <alignment horizontal="center"/>
      <protection locked="0"/>
    </xf>
    <xf numFmtId="0" fontId="8" fillId="0" borderId="0" xfId="0" applyFont="1"/>
    <xf numFmtId="0" fontId="8" fillId="0" borderId="0" xfId="0" applyFont="1" applyAlignment="1">
      <alignment horizontal="center"/>
    </xf>
    <xf numFmtId="169" fontId="8" fillId="0" borderId="0" xfId="3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169" fontId="9" fillId="0" borderId="0" xfId="3" applyNumberFormat="1" applyFont="1" applyAlignment="1">
      <alignment horizontal="center" vertical="center" wrapText="1"/>
    </xf>
    <xf numFmtId="164" fontId="10" fillId="0" borderId="0" xfId="1" applyFont="1" applyProtection="1">
      <protection locked="0"/>
    </xf>
    <xf numFmtId="0" fontId="8" fillId="0" borderId="0" xfId="0" applyFont="1" applyAlignment="1">
      <alignment vertical="center"/>
    </xf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168" fontId="10" fillId="0" borderId="0" xfId="2" applyNumberFormat="1" applyFont="1"/>
    <xf numFmtId="0" fontId="10" fillId="0" borderId="0" xfId="2" applyNumberFormat="1" applyFont="1" applyAlignment="1">
      <alignment horizontal="center"/>
    </xf>
    <xf numFmtId="169" fontId="10" fillId="0" borderId="0" xfId="3" applyNumberFormat="1" applyFont="1" applyAlignment="1">
      <alignment horizontal="center"/>
    </xf>
    <xf numFmtId="167" fontId="10" fillId="0" borderId="0" xfId="2" applyNumberFormat="1" applyFont="1"/>
    <xf numFmtId="168" fontId="10" fillId="2" borderId="0" xfId="2" applyNumberFormat="1" applyFont="1" applyFill="1"/>
    <xf numFmtId="165" fontId="10" fillId="0" borderId="0" xfId="1" applyNumberFormat="1" applyFont="1" applyAlignment="1" applyProtection="1">
      <alignment horizontal="center"/>
      <protection locked="0"/>
    </xf>
    <xf numFmtId="0" fontId="11" fillId="0" borderId="0" xfId="0" applyFont="1" applyAlignment="1">
      <alignment horizontal="left"/>
    </xf>
    <xf numFmtId="164" fontId="10" fillId="0" borderId="0" xfId="1" applyFont="1" applyAlignment="1" applyProtection="1">
      <alignment horizontal="left"/>
      <protection locked="0"/>
    </xf>
    <xf numFmtId="43" fontId="10" fillId="0" borderId="0" xfId="2" applyFont="1"/>
    <xf numFmtId="167" fontId="8" fillId="0" borderId="0" xfId="0" applyNumberFormat="1" applyFont="1"/>
    <xf numFmtId="169" fontId="9" fillId="3" borderId="0" xfId="3" applyNumberFormat="1" applyFont="1" applyFill="1" applyAlignment="1">
      <alignment horizontal="center" vertical="center" wrapText="1"/>
    </xf>
    <xf numFmtId="169" fontId="10" fillId="3" borderId="0" xfId="3" applyNumberFormat="1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168" fontId="10" fillId="3" borderId="0" xfId="2" applyNumberFormat="1" applyFont="1" applyFill="1"/>
    <xf numFmtId="167" fontId="10" fillId="3" borderId="0" xfId="2" applyNumberFormat="1" applyFont="1" applyFill="1"/>
    <xf numFmtId="164" fontId="10" fillId="0" borderId="0" xfId="1" applyFont="1" applyAlignment="1" applyProtection="1">
      <alignment horizontal="center"/>
      <protection locked="0"/>
    </xf>
    <xf numFmtId="164" fontId="10" fillId="0" borderId="0" xfId="1" applyFont="1" applyAlignment="1" applyProtection="1">
      <alignment horizontal="left" indent="1"/>
      <protection locked="0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indent="1"/>
    </xf>
    <xf numFmtId="9" fontId="8" fillId="0" borderId="0" xfId="0" applyNumberFormat="1" applyFont="1" applyAlignment="1">
      <alignment horizontal="left" indent="1"/>
    </xf>
    <xf numFmtId="0" fontId="14" fillId="3" borderId="0" xfId="0" applyFont="1" applyFill="1" applyAlignment="1">
      <alignment horizontal="center"/>
    </xf>
    <xf numFmtId="9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left" indent="1"/>
    </xf>
    <xf numFmtId="0" fontId="9" fillId="4" borderId="0" xfId="0" applyFont="1" applyFill="1" applyAlignment="1">
      <alignment horizontal="center" vertical="center" wrapText="1"/>
    </xf>
    <xf numFmtId="1" fontId="10" fillId="4" borderId="0" xfId="1" applyNumberFormat="1" applyFont="1" applyFill="1" applyAlignment="1" applyProtection="1">
      <alignment horizontal="center"/>
      <protection locked="0"/>
    </xf>
    <xf numFmtId="43" fontId="8" fillId="0" borderId="0" xfId="2" applyFont="1" applyAlignment="1">
      <alignment horizontal="left" indent="1"/>
    </xf>
    <xf numFmtId="1" fontId="0" fillId="0" borderId="0" xfId="0" applyNumberFormat="1" applyAlignment="1">
      <alignment horizontal="center"/>
    </xf>
    <xf numFmtId="0" fontId="8" fillId="0" borderId="0" xfId="0" pivotButton="1" applyFont="1"/>
    <xf numFmtId="0" fontId="8" fillId="0" borderId="0" xfId="0" applyFont="1" applyAlignment="1">
      <alignment horizontal="center" vertical="center" wrapText="1"/>
    </xf>
    <xf numFmtId="0" fontId="8" fillId="0" borderId="0" xfId="0" pivotButton="1" applyFont="1" applyAlignment="1">
      <alignment horizontal="center" vertical="center" wrapText="1"/>
    </xf>
    <xf numFmtId="170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0" fontId="8" fillId="0" borderId="0" xfId="3" applyNumberFormat="1" applyFont="1"/>
  </cellXfs>
  <cellStyles count="4">
    <cellStyle name="Excel Built-in Normal" xfId="1" xr:uid="{00000000-0005-0000-0000-000000000000}"/>
    <cellStyle name="Millares" xfId="2" builtinId="3"/>
    <cellStyle name="Normal" xfId="0" builtinId="0"/>
    <cellStyle name="Porcentaje" xfId="3" builtinId="5"/>
  </cellStyles>
  <dxfs count="99">
    <dxf>
      <numFmt numFmtId="0" formatCode="General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numFmt numFmtId="3" formatCode="#,##0"/>
    </dxf>
    <dxf>
      <numFmt numFmtId="170" formatCode="0.0"/>
    </dxf>
    <dxf>
      <alignment horizontal="center"/>
    </dxf>
    <dxf>
      <numFmt numFmtId="1" formatCode="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numFmt numFmtId="14" formatCode="0.00%"/>
    </dxf>
    <dxf>
      <alignment vertical="center"/>
    </dxf>
    <dxf>
      <alignment horizontal="center"/>
    </dxf>
    <dxf>
      <alignment wrapText="1"/>
    </dxf>
    <dxf>
      <numFmt numFmtId="1" formatCode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da" refreshedDate="45278.721449537035" createdVersion="8" refreshedVersion="8" minRefreshableVersion="3" recordCount="224" xr:uid="{432F9626-CEA0-4E0E-AE6A-0E9E431AD13A}">
  <cacheSource type="worksheet">
    <worksheetSource ref="D2:AA226" sheet="BD Original"/>
  </cacheSource>
  <cacheFields count="21">
    <cacheField name="REGION" numFmtId="0">
      <sharedItems count="3">
        <s v="SURESTE"/>
        <s v="REGIÓN O"/>
        <s v="REGIÓN F"/>
      </sharedItems>
    </cacheField>
    <cacheField name="SUCURSAL" numFmtId="0">
      <sharedItems/>
    </cacheField>
    <cacheField name="ID" numFmtId="0">
      <sharedItems containsString="0" containsBlank="1" containsNumber="1" containsInteger="1" minValue="2376" maxValue="36305"/>
    </cacheField>
    <cacheField name="NOMBRE DEL EMPLEADO" numFmtId="0">
      <sharedItems/>
    </cacheField>
    <cacheField name="FECHA DE INGRESO" numFmtId="0">
      <sharedItems containsSemiMixedTypes="0" containsNonDate="0" containsDate="1" containsString="0" minDate="2020-01-20T00:00:00" maxDate="2023-11-11T00:00:00"/>
    </cacheField>
    <cacheField name="Antigüedad (días)" numFmtId="43">
      <sharedItems containsSemiMixedTypes="0" containsString="0" containsNumber="1" containsInteger="1" minValue="4" maxValue="1410"/>
    </cacheField>
    <cacheField name="Etiqueta Antigüedad" numFmtId="43">
      <sharedItems count="7">
        <s v="&lt; 3 Meses"/>
        <s v="3 a 6 Meses"/>
        <s v="1 a 1.5 años"/>
        <s v="6 a 12 Meses"/>
        <s v="Mas de 3 años"/>
        <s v="2 a 2.5 años"/>
        <s v="1.5 a 2 años"/>
      </sharedItems>
    </cacheField>
    <cacheField name="Cartera inicial" numFmtId="0">
      <sharedItems containsSemiMixedTypes="0" containsString="0" containsNumber="1" minValue="0" maxValue="2581285.0400000005"/>
    </cacheField>
    <cacheField name="Cartera cierre" numFmtId="6">
      <sharedItems containsSemiMixedTypes="0" containsString="0" containsNumber="1" minValue="0" maxValue="2581285.0400000005"/>
    </cacheField>
    <cacheField name="Cartera 0 Mora" numFmtId="0">
      <sharedItems containsSemiMixedTypes="0" containsString="0" containsNumber="1" minValue="0" maxValue="2581285.0400000005"/>
    </cacheField>
    <cacheField name="Quebrantos" numFmtId="3">
      <sharedItems containsSemiMixedTypes="0" containsString="0" containsNumber="1" minValue="0" maxValue="170549.7"/>
    </cacheField>
    <cacheField name="Meta de colocación" numFmtId="6">
      <sharedItems containsString="0" containsBlank="1" containsNumber="1" minValue="35000" maxValue="1233213.2402499998"/>
    </cacheField>
    <cacheField name="colocación real" numFmtId="0">
      <sharedItems containsSemiMixedTypes="0" containsString="0" containsNumber="1" minValue="0" maxValue="1559000"/>
    </cacheField>
    <cacheField name="NUM DE PROSPECTOS" numFmtId="0">
      <sharedItems containsSemiMixedTypes="0" containsString="0" containsNumber="1" containsInteger="1" minValue="0" maxValue="94"/>
    </cacheField>
    <cacheField name="CREDITOS_POR_RENOVAR" numFmtId="0">
      <sharedItems containsSemiMixedTypes="0" containsString="0" containsNumber="1" containsInteger="1" minValue="0" maxValue="120"/>
    </cacheField>
    <cacheField name="CREDITOS_RENOVADOS" numFmtId="0">
      <sharedItems containsSemiMixedTypes="0" containsString="0" containsNumber="1" containsInteger="1" minValue="0" maxValue="76"/>
    </cacheField>
    <cacheField name="Bolsa de incentivo" numFmtId="0">
      <sharedItems containsSemiMixedTypes="0" containsString="0" containsNumber="1" minValue="1512.5" maxValue="26068.041738319102"/>
    </cacheField>
    <cacheField name="Total incentivos" numFmtId="0">
      <sharedItems containsMixedTypes="1" containsNumber="1" minValue="0" maxValue="25443.75"/>
    </cacheField>
    <cacheField name="MES" numFmtId="0">
      <sharedItems containsSemiMixedTypes="0" containsNonDate="0" containsDate="1" containsString="0" minDate="2023-07-31T00:00:00" maxDate="2023-12-01T00:00:00" count="5">
        <d v="2023-07-31T00:00:00"/>
        <d v="2023-08-31T00:00:00"/>
        <d v="2023-09-30T00:00:00"/>
        <d v="2023-10-31T00:00:00"/>
        <d v="2023-11-30T00:00:00"/>
      </sharedItems>
      <fieldGroup par="20"/>
    </cacheField>
    <cacheField name="Días (MES)" numFmtId="0" databaseField="0">
      <fieldGroup base="18">
        <rangePr groupBy="days" startDate="2023-07-31T00:00:00" endDate="2023-12-01T00:00:00"/>
        <groupItems count="368">
          <s v="&lt;31/07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12/2023"/>
        </groupItems>
      </fieldGroup>
    </cacheField>
    <cacheField name="Meses (MES)" numFmtId="0" databaseField="0">
      <fieldGroup base="18">
        <rangePr groupBy="months" startDate="2023-07-31T00:00:00" endDate="2023-12-01T00:00:00"/>
        <groupItems count="14">
          <s v="&lt;31/07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da" refreshedDate="45279.61205358796" createdVersion="8" refreshedVersion="8" minRefreshableVersion="3" recordCount="74" xr:uid="{9E6337D6-10AE-4A9B-A20A-D846D193F336}">
  <cacheSource type="worksheet">
    <worksheetSource ref="B4:BB78" sheet="BD Análisis"/>
  </cacheSource>
  <cacheFields count="53">
    <cacheField name="Región" numFmtId="0">
      <sharedItems count="3">
        <s v="SURESTE"/>
        <s v="REGIÓN O"/>
        <s v="REGIÓN F"/>
      </sharedItems>
    </cacheField>
    <cacheField name="Sucursal" numFmtId="0">
      <sharedItems count="17">
        <s v="CARDENAS"/>
        <s v="VILLAHERMOSA"/>
        <s v="CHIMALHUACAN 2"/>
        <s v="IXTAPALUCA"/>
        <s v="IZTAPALAPA"/>
        <s v="NEZAHUALCOYOTL"/>
        <s v="NEZAHUALCOYOTL 2"/>
        <s v="TEXCOCO"/>
        <s v="TONALA"/>
        <s v="TONALA 2"/>
        <s v="AMECAMECA"/>
        <s v="CHALCO"/>
        <s v="COATZACOALCOS"/>
        <s v="FORTIN"/>
        <s v="MILPA ALTA"/>
        <s v="ORIZABA"/>
        <s v="TLAHUAC"/>
      </sharedItems>
    </cacheField>
    <cacheField name="ID" numFmtId="0">
      <sharedItems containsString="0" containsBlank="1" containsNumber="1" containsInteger="1" minValue="14019" maxValue="36305"/>
    </cacheField>
    <cacheField name="Nombre del empleado" numFmtId="0">
      <sharedItems/>
    </cacheField>
    <cacheField name="Fecha de Ingreso" numFmtId="0">
      <sharedItems containsSemiMixedTypes="0" containsNonDate="0" containsDate="1" containsString="0" minDate="2020-01-20T00:00:00" maxDate="2023-11-11T00:00:00"/>
    </cacheField>
    <cacheField name="Fecha de Baja" numFmtId="14">
      <sharedItems containsDate="1" containsMixedTypes="1" minDate="1899-12-30T00:00:00" maxDate="2023-12-16T00:00:00"/>
    </cacheField>
    <cacheField name="Etiqueta Activo/Baja" numFmtId="14">
      <sharedItems count="3">
        <s v="ACTIVO"/>
        <s v="BAJA"/>
        <e v="#N/A"/>
      </sharedItems>
    </cacheField>
    <cacheField name="¿Cartera en ceros en mes 5?" numFmtId="14">
      <sharedItems/>
    </cacheField>
    <cacheField name="Antigüedad Primer Mes de Evaluación" numFmtId="0">
      <sharedItems containsSemiMixedTypes="0" containsString="0" containsNumber="1" containsInteger="1" minValue="0" maxValue="42"/>
    </cacheField>
    <cacheField name="# Meses Completos Laborados" numFmtId="0">
      <sharedItems containsSemiMixedTypes="0" containsString="0" containsNumber="1" containsInteger="1" minValue="0" maxValue="47"/>
    </cacheField>
    <cacheField name="Mes 1" numFmtId="168">
      <sharedItems containsMixedTypes="1" containsNumber="1" minValue="27488.06" maxValue="2176958.62"/>
    </cacheField>
    <cacheField name="Mes 2" numFmtId="168">
      <sharedItems containsMixedTypes="1" containsNumber="1" minValue="29880.66" maxValue="2581285.0400000005"/>
    </cacheField>
    <cacheField name="Mes 3" numFmtId="168">
      <sharedItems containsMixedTypes="1" containsNumber="1" minValue="20668.97" maxValue="2300683.11"/>
    </cacheField>
    <cacheField name="Mes 4" numFmtId="168">
      <sharedItems containsMixedTypes="1" containsNumber="1" minValue="107017.94" maxValue="2198186.8200000003"/>
    </cacheField>
    <cacheField name="Mes 5" numFmtId="168">
      <sharedItems containsMixedTypes="1" containsNumber="1" minValue="0" maxValue="2260776.13"/>
    </cacheField>
    <cacheField name="Promedio Cartera" numFmtId="168">
      <sharedItems containsSemiMixedTypes="0" containsString="0" containsNumber="1" minValue="0" maxValue="2352975.59"/>
    </cacheField>
    <cacheField name="Mes para evaluación" numFmtId="0">
      <sharedItems containsSemiMixedTypes="0" containsString="0" containsNumber="1" containsInteger="1" minValue="0" maxValue="5"/>
    </cacheField>
    <cacheField name="Última Cartera para Evaluación" numFmtId="168">
      <sharedItems containsSemiMixedTypes="0" containsString="0" containsNumber="1" minValue="0" maxValue="2300683.11"/>
    </cacheField>
    <cacheField name="CAGR (Ritmo Mensual)" numFmtId="169">
      <sharedItems containsMixedTypes="1" containsNumber="1" minValue="-1" maxValue="5.5197555197555204"/>
    </cacheField>
    <cacheField name="Cartera 0 Mora" numFmtId="168">
      <sharedItems containsSemiMixedTypes="0" containsString="0" containsNumber="1" minValue="0" maxValue="2295178.48"/>
    </cacheField>
    <cacheField name="Quebrantos" numFmtId="167">
      <sharedItems containsSemiMixedTypes="0" containsString="0" containsNumber="1" minValue="0" maxValue="275965.71000000002"/>
    </cacheField>
    <cacheField name="% Cartera Quebrantada" numFmtId="169">
      <sharedItems containsMixedTypes="1" containsNumber="1" minValue="0" maxValue="0.21357758847864741"/>
    </cacheField>
    <cacheField name="% Cartera Quebrantada Anualizada" numFmtId="169">
      <sharedItems containsMixedTypes="1" containsNumber="1" minValue="0" maxValue="1.8241298073872696"/>
    </cacheField>
    <cacheField name="% Calidad Ajustada (1-IMOR)" numFmtId="169">
      <sharedItems containsSemiMixedTypes="0" containsString="0" containsNumber="1" minValue="0" maxValue="1"/>
    </cacheField>
    <cacheField name="Meta Colocación" numFmtId="168">
      <sharedItems containsSemiMixedTypes="0" containsString="0" containsNumber="1" minValue="0" maxValue="4019084.6620499999"/>
    </cacheField>
    <cacheField name="Colocación Real" numFmtId="168">
      <sharedItems containsSemiMixedTypes="0" containsString="0" containsNumber="1" minValue="0" maxValue="4078499.3799999994"/>
    </cacheField>
    <cacheField name="% Alcance Colocación" numFmtId="169">
      <sharedItems containsMixedTypes="1" containsNumber="1" minValue="0" maxValue="11.457159428571432"/>
    </cacheField>
    <cacheField name="Prospectos" numFmtId="168">
      <sharedItems containsSemiMixedTypes="0" containsString="0" containsNumber="1" containsInteger="1" minValue="0" maxValue="302"/>
    </cacheField>
    <cacheField name="Prospectos por Día" numFmtId="167">
      <sharedItems containsSemiMixedTypes="0" containsString="0" containsNumber="1" minValue="0" maxValue="9.8000000000000007"/>
    </cacheField>
    <cacheField name="Créditos por Renovar" numFmtId="167">
      <sharedItems containsSemiMixedTypes="0" containsString="0" containsNumber="1" containsInteger="1" minValue="0" maxValue="511"/>
    </cacheField>
    <cacheField name="Créditos Renovados" numFmtId="167">
      <sharedItems containsSemiMixedTypes="0" containsString="0" containsNumber="1" containsInteger="1" minValue="0" maxValue="279"/>
    </cacheField>
    <cacheField name="% Renovación" numFmtId="169">
      <sharedItems containsSemiMixedTypes="0" containsString="0" containsNumber="1" minValue="0" maxValue="1"/>
    </cacheField>
    <cacheField name="Bolsa Incentivos" numFmtId="167">
      <sharedItems containsSemiMixedTypes="0" containsString="0" containsNumber="1" minValue="2162.5" maxValue="80226.425442680833"/>
    </cacheField>
    <cacheField name="Incentivos Ganados" numFmtId="167">
      <sharedItems containsSemiMixedTypes="0" containsString="0" containsNumber="1" minValue="926.72268800000006" maxValue="49248.074999999997"/>
    </cacheField>
    <cacheField name="% Incentivos Ganados" numFmtId="169">
      <sharedItems containsSemiMixedTypes="0" containsString="0" containsNumber="1" minValue="2.0259270938328893E-2" maxValue="3.9884393063583814"/>
    </cacheField>
    <cacheField name="Rentabilidad Mensual" numFmtId="167">
      <sharedItems containsSemiMixedTypes="0" containsString="0" containsNumber="1" minValue="-6868.0994416666663" maxValue="297693.64400000003"/>
    </cacheField>
    <cacheField name="Etiqueta Antigüedad" numFmtId="164">
      <sharedItems count="7">
        <s v="&lt; 3 Meses"/>
        <s v="3 a 6 Meses"/>
        <s v="1 a 1.5 años"/>
        <s v="6 a 12 Meses"/>
        <s v="Mas de 3 años"/>
        <s v="2 a 2.5 años"/>
        <s v="1.5 a 2 años"/>
      </sharedItems>
    </cacheField>
    <cacheField name="Etiqueta Tamaño Cartera" numFmtId="164">
      <sharedItems count="10">
        <s v="1 Pequeño ≤ 500k"/>
        <s v="3 Mediana ≥ 1MM"/>
        <s v="2 Mediana ≤ 1MM"/>
        <s v="5 Grande ≤ 2MM"/>
        <s v="4 Grande ≤ 1.5MM"/>
        <s v="Pequeño ≤ 500k" u="1"/>
        <s v="Mediana ≥ 1MM" u="1"/>
        <s v="Mediana ≤ 1MM" u="1"/>
        <s v="Grande ≤ 2MM" u="1"/>
        <s v="Grande ≤ 1.5MM" u="1"/>
      </sharedItems>
    </cacheField>
    <cacheField name="Etiqueta Crecimiento" numFmtId="164">
      <sharedItems count="29">
        <s v="NA"/>
        <s v="2 Decrecimiento entre 0.1% y 50%"/>
        <s v="4 Crecimiento Muy Bajo"/>
        <s v="5 Crecimiento Medio"/>
        <s v="8 Crecimiento Exponencial"/>
        <s v="1 Decrecimiento ≥ 50%"/>
        <s v="6 Crecimiento Alto"/>
        <s v="3 0 Crecimiento" u="1"/>
        <s v="C 0 Crecimiento" u="1"/>
        <s v="B Decrecimiento entre 0.1% y 50%" u="1"/>
        <s v="D Crecimiento Muy Bajo" u="1"/>
        <s v="E Crecimiento Medio" u="1"/>
        <s v="H Crecimiento Exponencial" u="1"/>
        <s v="A Decrecimiento ≥ 50%" u="1"/>
        <s v="F Crecimiento Alto" u="1"/>
        <s v="3. 0 Crecimiento" u="1"/>
        <s v="2. Decrecimiento entre 0.1% y 50%" u="1"/>
        <s v="4. Crecimiento Muy Bajo" u="1"/>
        <s v="5. Crecimiento Medio" u="1"/>
        <s v="8. Crecimiento Exponencial" u="1"/>
        <s v="1. Decrecimiento ≥ 50%" u="1"/>
        <s v="6. Crecimiento Alto" u="1"/>
        <s v="0 Crecimiento" u="1"/>
        <s v="Decrecimiento entre 0.1% y 50%" u="1"/>
        <s v="Crecimiento Muy Bajo" u="1"/>
        <s v="Crecimiento Medio" u="1"/>
        <s v="Crecimiento Exponencial" u="1"/>
        <s v="Decrecimiento ≥ 50%" u="1"/>
        <s v="Crecimiento Alto" u="1"/>
      </sharedItems>
    </cacheField>
    <cacheField name="Etiqueta Renovaciones" numFmtId="164">
      <sharedItems/>
    </cacheField>
    <cacheField name="Puntaje Renovaciones" numFmtId="164">
      <sharedItems containsSemiMixedTypes="0" containsString="0" containsNumber="1" containsInteger="1" minValue="30" maxValue="110"/>
    </cacheField>
    <cacheField name="Etiqueta Prospección" numFmtId="164">
      <sharedItems/>
    </cacheField>
    <cacheField name="Puntaje Prospección" numFmtId="164">
      <sharedItems containsSemiMixedTypes="0" containsString="0" containsNumber="1" containsInteger="1" minValue="30" maxValue="100"/>
    </cacheField>
    <cacheField name="Etiqueta Cumplimiento Meta Colocación" numFmtId="164">
      <sharedItems/>
    </cacheField>
    <cacheField name="Puntaje Cumplimiento Meta Colocación" numFmtId="164">
      <sharedItems containsSemiMixedTypes="0" containsString="0" containsNumber="1" containsInteger="1" minValue="0" maxValue="110"/>
    </cacheField>
    <cacheField name="Calificación Ventas" numFmtId="164">
      <sharedItems containsSemiMixedTypes="0" containsString="0" containsNumber="1" containsInteger="1" minValue="18" maxValue="102"/>
    </cacheField>
    <cacheField name="Etiqueta Ventas" numFmtId="164">
      <sharedItems count="8">
        <s v="1 Mal Vendedor"/>
        <s v="2 Medio Vendedor"/>
        <s v="3 Buen Vendedor"/>
        <s v="4 Gran Vendedor"/>
        <s v="Mal Vendedor" u="1"/>
        <s v="Medio Vendedor" u="1"/>
        <s v="Buen Vendedor" u="1"/>
        <s v="Gran Vendedor" u="1"/>
      </sharedItems>
    </cacheField>
    <cacheField name="Etiqueta Calidad" numFmtId="164">
      <sharedItems/>
    </cacheField>
    <cacheField name="Puntaje Calidad" numFmtId="164">
      <sharedItems containsSemiMixedTypes="0" containsString="0" containsNumber="1" containsInteger="1" minValue="30" maxValue="110"/>
    </cacheField>
    <cacheField name="Etiqueta Incentivos" numFmtId="164">
      <sharedItems/>
    </cacheField>
    <cacheField name="Puntaje Incentivos" numFmtId="164">
      <sharedItems containsSemiMixedTypes="0" containsString="0" containsNumber="1" containsInteger="1" minValue="30" maxValue="90"/>
    </cacheField>
    <cacheField name="Calificación Total" numFmtId="1">
      <sharedItems containsSemiMixedTypes="0" containsString="0" containsNumber="1" containsInteger="1" minValue="29" maxValue="101"/>
    </cacheField>
    <cacheField name="Etiqueta Glob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CARDENAS"/>
    <n v="32633"/>
    <s v="BENITO ARTURO TORRUCO LOPEZ"/>
    <d v="2023-06-21T00:00:00"/>
    <n v="40"/>
    <x v="0"/>
    <n v="10719.05"/>
    <n v="147782.72"/>
    <n v="147782.72"/>
    <n v="0"/>
    <m/>
    <n v="152999.4"/>
    <n v="2"/>
    <n v="0"/>
    <n v="0"/>
    <n v="2387.5"/>
    <n v="3737.5"/>
    <x v="0"/>
  </r>
  <r>
    <x v="0"/>
    <s v="VILLAHERMOSA"/>
    <n v="31096"/>
    <s v="YADIRA LIZBETH RODRIGUEZ COLLADO"/>
    <d v="2023-04-25T00:00:00"/>
    <n v="97"/>
    <x v="1"/>
    <n v="1240390.4399999997"/>
    <n v="1318217.7500000005"/>
    <n v="1183712.7100000004"/>
    <n v="2324.0700000000002"/>
    <n v="663750.22500000009"/>
    <n v="343500.24"/>
    <n v="20"/>
    <n v="46"/>
    <n v="17"/>
    <n v="15058.560228121807"/>
    <n v="1725.0000000000005"/>
    <x v="0"/>
  </r>
  <r>
    <x v="0"/>
    <s v="VILLAHERMOSA"/>
    <n v="32491"/>
    <s v="LUIS OMAR DE LA CRUZ JIMENEZ"/>
    <d v="2023-06-14T00:00:00"/>
    <n v="47"/>
    <x v="0"/>
    <n v="443877.33000000007"/>
    <n v="472340.91"/>
    <n v="402486.84"/>
    <n v="0"/>
    <m/>
    <n v="130500.37999999999"/>
    <n v="20"/>
    <n v="47"/>
    <n v="29"/>
    <n v="2812.5"/>
    <n v="2000"/>
    <x v="0"/>
  </r>
  <r>
    <x v="1"/>
    <s v="CHIMALHUACAN 2"/>
    <n v="20314"/>
    <s v="MARIBEL RODRIGUEZ CARRIZOZA"/>
    <d v="2022-03-14T00:00:00"/>
    <n v="504"/>
    <x v="2"/>
    <n v="1240824.7300000002"/>
    <n v="1361066.6299999997"/>
    <n v="1289656.6499999997"/>
    <n v="0"/>
    <n v="1044470.1423000001"/>
    <n v="569000.71999999986"/>
    <n v="1"/>
    <n v="78"/>
    <n v="42"/>
    <n v="25177.806020146585"/>
    <n v="3955"/>
    <x v="0"/>
  </r>
  <r>
    <x v="1"/>
    <s v="CHIMALHUACAN 2"/>
    <n v="20315"/>
    <s v="KARINA TERRAZAS OLVERA"/>
    <d v="2022-03-14T00:00:00"/>
    <n v="504"/>
    <x v="2"/>
    <n v="943731.19000000006"/>
    <n v="880824.51"/>
    <n v="820343.4800000001"/>
    <n v="9805.2099999999991"/>
    <n v="444450.17610000004"/>
    <n v="257500.31000000003"/>
    <n v="22"/>
    <n v="25"/>
    <n v="13"/>
    <n v="6285.4967311977434"/>
    <n v="975"/>
    <x v="0"/>
  </r>
  <r>
    <x v="1"/>
    <s v="CHIMALHUACAN 2"/>
    <n v="30967"/>
    <s v="LIZBETH GUADALUPE MUJICA HERNANDEZ"/>
    <d v="2023-04-20T00:00:00"/>
    <n v="102"/>
    <x v="1"/>
    <n v="2281868.9300000006"/>
    <n v="2126434.3900000006"/>
    <n v="1937994.9300000006"/>
    <n v="3952.3"/>
    <n v="800290.14600000007"/>
    <n v="655001.35000000021"/>
    <n v="6"/>
    <n v="91"/>
    <n v="55"/>
    <n v="23414.699946235174"/>
    <n v="1500"/>
    <x v="0"/>
  </r>
  <r>
    <x v="1"/>
    <s v="IXTAPALUCA"/>
    <n v="25237"/>
    <s v="MARISELA HERNANDEZ MORINCHEL"/>
    <d v="2022-09-20T00:00:00"/>
    <n v="314"/>
    <x v="3"/>
    <n v="1973686.5999999999"/>
    <n v="1655077.1099999999"/>
    <n v="1563638.57"/>
    <n v="9310.14"/>
    <n v="822585.26190000004"/>
    <n v="468000.11"/>
    <n v="11"/>
    <n v="37"/>
    <n v="15"/>
    <n v="5407.3912152310495"/>
    <n v="1820"/>
    <x v="0"/>
  </r>
  <r>
    <x v="1"/>
    <s v="IXTAPALUCA"/>
    <n v="28239"/>
    <s v="BRENDA DANIELA RODRIGUEZ REYES"/>
    <d v="2023-01-17T00:00:00"/>
    <n v="195"/>
    <x v="3"/>
    <n v="364451.29000000004"/>
    <n v="418787.11"/>
    <n v="411847.58999999997"/>
    <n v="0"/>
    <n v="304500"/>
    <n v="181000.08000000002"/>
    <n v="22"/>
    <n v="0"/>
    <n v="0"/>
    <n v="5758.4695575511378"/>
    <n v="1983.75"/>
    <x v="0"/>
  </r>
  <r>
    <x v="1"/>
    <s v="IXTAPALUCA"/>
    <n v="28894"/>
    <s v="ARIAN AGUILAR PLATA"/>
    <d v="2023-02-09T00:00:00"/>
    <n v="172"/>
    <x v="1"/>
    <n v="459510.52"/>
    <n v="716322.08000000007"/>
    <n v="713879.08000000007"/>
    <n v="0"/>
    <n v="533694.71785000002"/>
    <n v="482500.48"/>
    <n v="31"/>
    <n v="44"/>
    <n v="27"/>
    <n v="11153.483921520463"/>
    <n v="7532.5"/>
    <x v="0"/>
  </r>
  <r>
    <x v="1"/>
    <s v="IZTAPALAPA"/>
    <n v="31346"/>
    <s v="LAURA LORENA PEREZ MENDOZA"/>
    <d v="2023-05-08T00:00:00"/>
    <n v="84"/>
    <x v="0"/>
    <n v="491995.22000000003"/>
    <n v="695230.2699999999"/>
    <n v="670180.53999999992"/>
    <n v="0"/>
    <n v="367379.5699"/>
    <n v="397498.66000000003"/>
    <n v="68"/>
    <n v="13"/>
    <n v="12"/>
    <n v="10567.574305410062"/>
    <n v="5175"/>
    <x v="0"/>
  </r>
  <r>
    <x v="1"/>
    <s v="NEZAHUALCOYOTL"/>
    <n v="33385"/>
    <s v="NADINE GUADALUPE URIBE SANTIAGO"/>
    <d v="2023-02-01T00:00:00"/>
    <n v="180"/>
    <x v="3"/>
    <n v="917638.17"/>
    <n v="1188527.68"/>
    <n v="1075874.0699999998"/>
    <n v="6440.6200000000008"/>
    <n v="343000.09750000003"/>
    <n v="512999.37000000011"/>
    <n v="0"/>
    <n v="0"/>
    <n v="0"/>
    <n v="5242.4172185881744"/>
    <n v="3172.5000000000009"/>
    <x v="0"/>
  </r>
  <r>
    <x v="1"/>
    <s v="NEZAHUALCOYOTL 2"/>
    <n v="26898"/>
    <s v="JONNY ROMAN GARCIA VALENTINO"/>
    <d v="2020-01-20T00:00:00"/>
    <n v="1288"/>
    <x v="4"/>
    <n v="613874.71999999986"/>
    <n v="612085.23"/>
    <n v="604479.43000000005"/>
    <n v="3985.73"/>
    <n v="247000.01500000001"/>
    <n v="115999.68999999999"/>
    <n v="0"/>
    <n v="27"/>
    <n v="11"/>
    <n v="3521.4882818233627"/>
    <n v="2645"/>
    <x v="0"/>
  </r>
  <r>
    <x v="1"/>
    <s v="NEZAHUALCOYOTL 2"/>
    <n v="25227"/>
    <s v="DENISSE FUENTES CASTRO"/>
    <d v="2022-09-19T00:00:00"/>
    <n v="315"/>
    <x v="3"/>
    <n v="1306035.08"/>
    <n v="1406302.81"/>
    <n v="1217946.99"/>
    <n v="13072.75"/>
    <n v="470929.97194999992"/>
    <n v="510000.9599999999"/>
    <n v="30"/>
    <n v="30"/>
    <n v="21"/>
    <n v="5947.5"/>
    <n v="1710.0000000000005"/>
    <x v="0"/>
  </r>
  <r>
    <x v="1"/>
    <s v="NEZAHUALCOYOTL 2"/>
    <n v="30049"/>
    <s v="NELLYE SAAVEDRA SALVADOR"/>
    <d v="2023-03-21T00:00:00"/>
    <n v="132"/>
    <x v="1"/>
    <n v="406962.17000000004"/>
    <n v="703234.08"/>
    <n v="703234.08"/>
    <n v="0"/>
    <n v="348270.13089999999"/>
    <n v="479998.0299999998"/>
    <n v="27"/>
    <n v="7"/>
    <n v="7"/>
    <n v="8108.6046670974592"/>
    <n v="9545"/>
    <x v="0"/>
  </r>
  <r>
    <x v="1"/>
    <s v="TEXCOCO"/>
    <n v="21057"/>
    <s v="MARIA IVONNE CRUZ TRUJANO"/>
    <d v="2022-04-25T00:00:00"/>
    <n v="462"/>
    <x v="2"/>
    <n v="1424644.5000000002"/>
    <n v="1424667.6400000001"/>
    <n v="1344054.4300000002"/>
    <n v="12586.720000000001"/>
    <n v="615195.27484999993"/>
    <n v="450000.3800000003"/>
    <n v="0"/>
    <n v="0"/>
    <n v="0"/>
    <n v="9710.5836074248873"/>
    <n v="1592.5"/>
    <x v="0"/>
  </r>
  <r>
    <x v="1"/>
    <s v="TEXCOCO"/>
    <n v="33373"/>
    <s v="ROBERTO MERAZ GUTIERREZ"/>
    <d v="2023-04-17T00:00:00"/>
    <n v="105"/>
    <x v="1"/>
    <n v="441055.81"/>
    <n v="835765.31999999983"/>
    <n v="835765.31999999983"/>
    <n v="0"/>
    <n v="300000"/>
    <n v="627001.28000000026"/>
    <n v="0"/>
    <n v="0"/>
    <n v="0"/>
    <n v="9065.5015912662366"/>
    <n v="17106.25"/>
    <x v="0"/>
  </r>
  <r>
    <x v="1"/>
    <s v="TEXCOCO"/>
    <n v="32596"/>
    <s v="ELIZABETH PEREZ PERALTA"/>
    <d v="2023-06-16T00:00:00"/>
    <n v="45"/>
    <x v="0"/>
    <n v="0"/>
    <n v="102968.23999999999"/>
    <n v="102968.23999999999"/>
    <n v="0"/>
    <m/>
    <n v="105999.37000000001"/>
    <n v="22"/>
    <n v="0"/>
    <n v="0"/>
    <n v="2275"/>
    <n v="2875"/>
    <x v="0"/>
  </r>
  <r>
    <x v="1"/>
    <s v="TONALA"/>
    <n v="30869"/>
    <s v="LAURA PATRICIA CARRERA QUINTERO"/>
    <d v="2023-04-18T00:00:00"/>
    <n v="104"/>
    <x v="1"/>
    <n v="1213599.7599999998"/>
    <n v="1291001.27"/>
    <n v="1286435.58"/>
    <n v="0"/>
    <n v="487500.40499999991"/>
    <n v="550501.13000000035"/>
    <n v="36"/>
    <n v="50"/>
    <n v="36"/>
    <n v="7581.6571661053758"/>
    <n v="6612.5"/>
    <x v="0"/>
  </r>
  <r>
    <x v="1"/>
    <s v="TONALA 2"/>
    <n v="20173"/>
    <s v="EULALIO MARQUEZ ROJAS"/>
    <d v="2022-03-07T00:00:00"/>
    <n v="511"/>
    <x v="2"/>
    <n v="2173006.0999999996"/>
    <n v="2176958.62"/>
    <n v="2176958.62"/>
    <n v="0"/>
    <n v="688889.90094999992"/>
    <n v="979999.82"/>
    <n v="13"/>
    <n v="47"/>
    <n v="40"/>
    <n v="9525"/>
    <n v="5520"/>
    <x v="0"/>
  </r>
  <r>
    <x v="1"/>
    <s v="TONALA 2"/>
    <n v="20612"/>
    <s v="ARMANDO ALEJANDRO TOVAR BRACAMONTES"/>
    <d v="2022-03-28T00:00:00"/>
    <n v="490"/>
    <x v="2"/>
    <n v="2055945.7999999998"/>
    <n v="1977158.1099999999"/>
    <n v="1977158.1099999999"/>
    <n v="0"/>
    <n v="521695.26745000004"/>
    <n v="730500.04999999993"/>
    <n v="23"/>
    <n v="39"/>
    <n v="35"/>
    <n v="8225"/>
    <n v="4600"/>
    <x v="0"/>
  </r>
  <r>
    <x v="2"/>
    <s v="AMECAMECA"/>
    <n v="27539"/>
    <s v="MARIA ISABEL MUÑOZ SANCHEZ"/>
    <d v="2022-12-07T00:00:00"/>
    <n v="236"/>
    <x v="3"/>
    <n v="1299900.6400000001"/>
    <n v="1242782.1599999999"/>
    <n v="1168981.94"/>
    <n v="15672.970000000001"/>
    <n v="882509.92520000006"/>
    <n v="505499.63000000006"/>
    <n v="46"/>
    <n v="17"/>
    <n v="11"/>
    <n v="5193.75"/>
    <n v="1365"/>
    <x v="0"/>
  </r>
  <r>
    <x v="2"/>
    <s v="AMECAMECA"/>
    <n v="32635"/>
    <s v="YESICA MERIC OSNAYA SORIANO"/>
    <d v="2023-06-21T00:00:00"/>
    <n v="40"/>
    <x v="0"/>
    <n v="1419874.75"/>
    <n v="1520242.17"/>
    <n v="1501917.97"/>
    <n v="0"/>
    <n v="80000"/>
    <n v="627000.18000000005"/>
    <n v="30"/>
    <n v="25"/>
    <n v="14"/>
    <n v="6894.8259921886984"/>
    <n v="7187.5"/>
    <x v="0"/>
  </r>
  <r>
    <x v="2"/>
    <s v="CHALCO"/>
    <n v="31219"/>
    <s v="AGUSTIN DAVID ACEVEDO DELGADO"/>
    <d v="2023-05-02T00:00:00"/>
    <n v="90"/>
    <x v="1"/>
    <n v="1057379.1199999996"/>
    <n v="947617.83000000007"/>
    <n v="919070.94000000006"/>
    <n v="0"/>
    <n v="463375.3000000001"/>
    <n v="230001.83000000002"/>
    <n v="0"/>
    <n v="63"/>
    <n v="31"/>
    <n v="7089.6021546831271"/>
    <n v="2000"/>
    <x v="0"/>
  </r>
  <r>
    <x v="2"/>
    <s v="CHALCO"/>
    <n v="31645"/>
    <s v="GILBERTO REYES GONZALEZ"/>
    <d v="2023-05-17T00:00:00"/>
    <n v="75"/>
    <x v="0"/>
    <n v="1172440.4099999999"/>
    <n v="1204512.31"/>
    <n v="948591.35000000021"/>
    <n v="0"/>
    <n v="389815.25244999997"/>
    <n v="316500.05"/>
    <n v="36"/>
    <n v="30"/>
    <n v="15"/>
    <n v="5193.75"/>
    <n v="2000"/>
    <x v="0"/>
  </r>
  <r>
    <x v="2"/>
    <s v="CHALCO"/>
    <n v="32305"/>
    <s v="LETICIA MESINAS ACEVEDO"/>
    <d v="2023-06-06T00:00:00"/>
    <n v="55"/>
    <x v="0"/>
    <n v="1419497.61"/>
    <n v="1718635.0599999996"/>
    <n v="1718635.0599999996"/>
    <n v="0"/>
    <n v="339125.13500000001"/>
    <n v="738000.73000000033"/>
    <n v="26"/>
    <n v="72"/>
    <n v="44"/>
    <n v="7675"/>
    <n v="14950"/>
    <x v="0"/>
  </r>
  <r>
    <x v="2"/>
    <s v="COATZACOALCOS"/>
    <n v="14019"/>
    <s v="ISABEL MONSERRAT RAZO MENDEZ"/>
    <d v="2021-07-08T00:00:00"/>
    <n v="753"/>
    <x v="5"/>
    <n v="1427348.9300000002"/>
    <n v="1288885.8300000003"/>
    <n v="1191595.7100000002"/>
    <n v="17514.23"/>
    <n v="695780.39894999994"/>
    <n v="262499.90999999997"/>
    <n v="17"/>
    <n v="52"/>
    <n v="18"/>
    <n v="10866.535997988485"/>
    <n v="1724.9999999999998"/>
    <x v="0"/>
  </r>
  <r>
    <x v="2"/>
    <s v="COATZACOALCOS"/>
    <n v="26859"/>
    <s v="MONSERRAT DE LA CRUZ MARTINEZ ALVARADO"/>
    <d v="2022-11-16T00:00:00"/>
    <n v="257"/>
    <x v="3"/>
    <n v="744939.28999999992"/>
    <n v="1001774.7200000001"/>
    <n v="909409.50000000012"/>
    <n v="10377.32"/>
    <n v="663349.07610000006"/>
    <n v="450997.4099999998"/>
    <n v="77"/>
    <n v="72"/>
    <n v="26"/>
    <n v="18119.700348583174"/>
    <n v="3225.0000000000009"/>
    <x v="0"/>
  </r>
  <r>
    <x v="2"/>
    <s v="FORTIN"/>
    <n v="17299"/>
    <s v="JULIAN MARTINEZ CORTES"/>
    <d v="2021-11-10T00:00:00"/>
    <n v="628"/>
    <x v="6"/>
    <n v="558548.25"/>
    <n v="519926.24999999994"/>
    <n v="484941.30999999994"/>
    <n v="68187.990000000005"/>
    <n v="640164.79429999995"/>
    <n v="308999.84000000003"/>
    <n v="13"/>
    <n v="27"/>
    <n v="12"/>
    <n v="10173.493892514265"/>
    <n v="780"/>
    <x v="0"/>
  </r>
  <r>
    <x v="2"/>
    <s v="FORTIN"/>
    <n v="29508"/>
    <s v="JESSICA MARIN DURON"/>
    <d v="2023-03-02T00:00:00"/>
    <n v="151"/>
    <x v="1"/>
    <n v="757906.95"/>
    <n v="649191.03000000014"/>
    <n v="649191.03000000014"/>
    <n v="0"/>
    <n v="462515.02804999996"/>
    <n v="137000.01"/>
    <n v="8"/>
    <n v="19"/>
    <n v="10"/>
    <n v="5148.3167274358457"/>
    <n v="1495"/>
    <x v="0"/>
  </r>
  <r>
    <x v="2"/>
    <s v="MILPA ALTA"/>
    <n v="31036"/>
    <s v="JENIFER QUETZALLI REMOLINO"/>
    <d v="2023-04-24T00:00:00"/>
    <n v="98"/>
    <x v="1"/>
    <n v="531961.34"/>
    <n v="654948.19000000006"/>
    <n v="591654.24"/>
    <n v="0"/>
    <n v="300000"/>
    <n v="317000.06000000006"/>
    <n v="21"/>
    <n v="7"/>
    <n v="0"/>
    <n v="4972.3050413548108"/>
    <n v="1275"/>
    <x v="0"/>
  </r>
  <r>
    <x v="2"/>
    <s v="MILPA ALTA"/>
    <n v="31037"/>
    <s v="BRAULIO GUZMAN JIMENEZ"/>
    <d v="2023-04-24T00:00:00"/>
    <n v="98"/>
    <x v="1"/>
    <n v="363074.4"/>
    <n v="558836.07999999996"/>
    <n v="511765.87"/>
    <n v="0"/>
    <n v="407350.13089999999"/>
    <n v="289500.26"/>
    <n v="20"/>
    <n v="7"/>
    <n v="0"/>
    <n v="9189.6112441991881"/>
    <n v="1725.0000000000005"/>
    <x v="0"/>
  </r>
  <r>
    <x v="2"/>
    <s v="ORIZABA"/>
    <n v="25225"/>
    <s v="MARCELO TZITZIHUA TZITZIHUA"/>
    <d v="2022-09-19T00:00:00"/>
    <n v="315"/>
    <x v="3"/>
    <n v="1528241.0199999998"/>
    <n v="1478613.0799999996"/>
    <n v="1289367.2799999998"/>
    <n v="80326.64"/>
    <n v="906534.20699999994"/>
    <n v="496500.05999999982"/>
    <n v="28"/>
    <n v="69"/>
    <n v="35"/>
    <n v="19145.340570760753"/>
    <n v="682.5"/>
    <x v="0"/>
  </r>
  <r>
    <x v="2"/>
    <s v="ORIZABA"/>
    <n v="27027"/>
    <s v="FERNANDO MANUEL VELASCO RIVERA"/>
    <d v="2022-11-22T00:00:00"/>
    <n v="251"/>
    <x v="3"/>
    <n v="1585437.7000000002"/>
    <n v="1571890.0499999996"/>
    <n v="1283339.7099999995"/>
    <n v="51392.759999999995"/>
    <n v="810450.11990000005"/>
    <n v="459501.11999999988"/>
    <n v="19"/>
    <n v="91"/>
    <n v="49"/>
    <n v="16079.240641580183"/>
    <n v="682.5"/>
    <x v="0"/>
  </r>
  <r>
    <x v="2"/>
    <s v="ORIZABA"/>
    <n v="32999"/>
    <s v="ELSA FERNANDEZ REYES"/>
    <d v="2023-07-03T00:00:00"/>
    <n v="28"/>
    <x v="0"/>
    <n v="0"/>
    <n v="33288.660000000003"/>
    <n v="33288.660000000003"/>
    <n v="0"/>
    <m/>
    <n v="35000.03"/>
    <n v="20"/>
    <n v="0"/>
    <n v="0"/>
    <n v="1512.5"/>
    <n v="2000"/>
    <x v="0"/>
  </r>
  <r>
    <x v="2"/>
    <s v="TLAHUAC"/>
    <n v="28375"/>
    <s v="OLIVIA LOPEZ HERNANDEZ"/>
    <d v="2023-01-23T00:00:00"/>
    <n v="189"/>
    <x v="3"/>
    <n v="779708.25000000012"/>
    <n v="720804.60000000009"/>
    <n v="683784.70000000007"/>
    <n v="0"/>
    <n v="432014.84855"/>
    <n v="204999.65000000008"/>
    <n v="7"/>
    <n v="25"/>
    <n v="18"/>
    <n v="6634.9542477863679"/>
    <n v="1120"/>
    <x v="0"/>
  </r>
  <r>
    <x v="2"/>
    <s v="TLAHUAC"/>
    <n v="33376"/>
    <s v="ISAAC VINICIO BACILIO ESPITIA"/>
    <d v="2023-07-17T00:00:00"/>
    <n v="14"/>
    <x v="0"/>
    <n v="299080.36"/>
    <n v="303473.75"/>
    <n v="303473.75"/>
    <n v="0"/>
    <m/>
    <n v="121000.29"/>
    <n v="14"/>
    <n v="2"/>
    <n v="1"/>
    <n v="2812.5"/>
    <n v="2000"/>
    <x v="0"/>
  </r>
  <r>
    <x v="2"/>
    <s v="TLAHUAC"/>
    <n v="33499"/>
    <s v="HECTOR CORONEL VENTURA"/>
    <d v="2023-07-21T00:00:00"/>
    <n v="10"/>
    <x v="0"/>
    <n v="240741.16999999998"/>
    <n v="533654.06999999995"/>
    <n v="533654.06999999995"/>
    <n v="0"/>
    <m/>
    <n v="363500.16999999987"/>
    <n v="20"/>
    <n v="3"/>
    <n v="3"/>
    <n v="4250"/>
    <n v="9200"/>
    <x v="0"/>
  </r>
  <r>
    <x v="0"/>
    <s v="VILLAHERMOSA"/>
    <n v="31096"/>
    <s v="YADIRA LIZBETH RODRIGUEZ COLLADO"/>
    <d v="2023-04-25T00:00:00"/>
    <n v="128"/>
    <x v="1"/>
    <n v="1318217.7500000005"/>
    <n v="1240496.8400000001"/>
    <n v="1074800.8799999999"/>
    <n v="0"/>
    <n v="759995.45739999996"/>
    <n v="299500"/>
    <n v="15"/>
    <n v="53"/>
    <n v="17"/>
    <n v="18420.518201925912"/>
    <n v="2047.5"/>
    <x v="1"/>
  </r>
  <r>
    <x v="1"/>
    <s v="CHIMALHUACAN 2"/>
    <n v="20314"/>
    <s v="MARIBEL RODRIGUEZ CARRIZOZA"/>
    <d v="2022-03-14T00:00:00"/>
    <n v="535"/>
    <x v="2"/>
    <n v="1361066.6299999997"/>
    <n v="1170570.54"/>
    <n v="1072603.6200000001"/>
    <n v="5252.25"/>
    <n v="553360.48544999992"/>
    <n v="200000"/>
    <n v="7"/>
    <n v="35"/>
    <n v="25"/>
    <n v="5733.4064385404126"/>
    <n v="0"/>
    <x v="1"/>
  </r>
  <r>
    <x v="1"/>
    <s v="CHIMALHUACAN 2"/>
    <n v="20315"/>
    <s v="KARINA TERRAZAS OLVERA"/>
    <d v="2022-03-14T00:00:00"/>
    <n v="535"/>
    <x v="2"/>
    <n v="880824.51"/>
    <n v="905327.28999999992"/>
    <n v="858144.94999999984"/>
    <n v="0"/>
    <n v="812555.26260000002"/>
    <n v="368000"/>
    <n v="13"/>
    <n v="46"/>
    <n v="30"/>
    <n v="21360.338323273991"/>
    <n v="1137.5"/>
    <x v="1"/>
  </r>
  <r>
    <x v="1"/>
    <s v="CHIMALHUACAN 2"/>
    <n v="30967"/>
    <s v="LIZBETH GUADALUPE MUJICA HERNANDEZ"/>
    <d v="2023-04-20T00:00:00"/>
    <n v="133"/>
    <x v="1"/>
    <n v="2266065.0700000008"/>
    <n v="2179159.9500000002"/>
    <n v="1964774.1300000001"/>
    <n v="95114.61"/>
    <n v="1167245.2262000004"/>
    <n v="829000"/>
    <n v="28"/>
    <n v="116"/>
    <n v="76"/>
    <n v="23097.346140718215"/>
    <n v="1170"/>
    <x v="1"/>
  </r>
  <r>
    <x v="1"/>
    <s v="CHIMALHUACAN 2"/>
    <n v="33543"/>
    <s v="ANDRES DE JESUS PALOMARES PASTRANA"/>
    <d v="2023-07-21T00:00:00"/>
    <n v="41"/>
    <x v="0"/>
    <n v="490340.45999999996"/>
    <n v="489022.56"/>
    <n v="368645.32"/>
    <n v="80043.260000000009"/>
    <n v="83331.945889698225"/>
    <n v="78500"/>
    <n v="17"/>
    <n v="10"/>
    <n v="3"/>
    <n v="4003.537237996135"/>
    <n v="450"/>
    <x v="1"/>
  </r>
  <r>
    <x v="1"/>
    <s v="CHIMALHUACAN 2"/>
    <n v="33878"/>
    <s v="GUADALUPE CARMONA ANTONIO"/>
    <d v="2023-08-02T00:00:00"/>
    <n v="29"/>
    <x v="0"/>
    <n v="0"/>
    <n v="129111.69"/>
    <n v="129111.69"/>
    <n v="0"/>
    <n v="35000"/>
    <n v="136000"/>
    <n v="31"/>
    <n v="0"/>
    <n v="0"/>
    <n v="2162.5"/>
    <n v="3737.5"/>
    <x v="1"/>
  </r>
  <r>
    <x v="1"/>
    <s v="IXTAPALUCA"/>
    <n v="25237"/>
    <s v="MARISELA HERNANDEZ MORINCHEL"/>
    <d v="2022-09-20T00:00:00"/>
    <n v="345"/>
    <x v="3"/>
    <n v="1655077.1099999999"/>
    <n v="1674124.0600000005"/>
    <n v="1556997.0600000005"/>
    <n v="9077.59"/>
    <n v="1202865.1926499999"/>
    <n v="904000"/>
    <n v="19"/>
    <n v="86"/>
    <n v="34"/>
    <n v="21865.840262943762"/>
    <n v="1560"/>
    <x v="1"/>
  </r>
  <r>
    <x v="1"/>
    <s v="IXTAPALUCA"/>
    <n v="28239"/>
    <s v="BRENDA DANIELA RODRIGUEZ REYES"/>
    <d v="2023-01-17T00:00:00"/>
    <n v="226"/>
    <x v="3"/>
    <n v="418787.11"/>
    <n v="396423.34000000008"/>
    <n v="382007.62000000005"/>
    <n v="0"/>
    <n v="330644.63535"/>
    <n v="139000"/>
    <n v="9"/>
    <n v="28"/>
    <n v="6"/>
    <n v="5465.5790361783065"/>
    <n v="877.5"/>
    <x v="1"/>
  </r>
  <r>
    <x v="1"/>
    <s v="IXTAPALUCA"/>
    <n v="28894"/>
    <s v="ARIAN AGUILAR PLATA"/>
    <d v="2023-02-09T00:00:00"/>
    <n v="203"/>
    <x v="3"/>
    <n v="716322.08000000007"/>
    <n v="694011.52"/>
    <n v="666537.59000000008"/>
    <n v="0"/>
    <n v="396594.99804999999"/>
    <n v="232000"/>
    <n v="4"/>
    <n v="38"/>
    <n v="24"/>
    <n v="4449.5758542826206"/>
    <n v="3870"/>
    <x v="1"/>
  </r>
  <r>
    <x v="1"/>
    <s v="IXTAPALUCA"/>
    <n v="33995"/>
    <s v="MARIA ANGELICA VILLA MARTINEZ"/>
    <d v="2023-08-08T00:00:00"/>
    <n v="23"/>
    <x v="0"/>
    <n v="0"/>
    <n v="99999.8"/>
    <n v="99999.8"/>
    <n v="0"/>
    <n v="35000"/>
    <n v="100000"/>
    <n v="17"/>
    <n v="0"/>
    <n v="0"/>
    <n v="2162.5"/>
    <n v="2875"/>
    <x v="1"/>
  </r>
  <r>
    <x v="1"/>
    <s v="IZTAPALAPA"/>
    <n v="31346"/>
    <s v="LAURA LORENA PéREZ MENDOZA"/>
    <d v="2023-05-08T00:00:00"/>
    <n v="115"/>
    <x v="1"/>
    <n v="599270.66"/>
    <n v="744844.04999999981"/>
    <n v="735195.21"/>
    <n v="0"/>
    <n v="364554.4203"/>
    <n v="479500"/>
    <n v="28"/>
    <n v="7"/>
    <n v="0"/>
    <n v="4786.8812938865094"/>
    <n v="12650"/>
    <x v="1"/>
  </r>
  <r>
    <x v="1"/>
    <s v="IZTAPALAPA"/>
    <n v="33877"/>
    <s v="RODOLFO ALBERTO SORIANO MEJIA"/>
    <d v="2023-08-02T00:00:00"/>
    <n v="29"/>
    <x v="0"/>
    <n v="137646.94"/>
    <n v="393589.62999999995"/>
    <n v="392966.62999999995"/>
    <n v="0"/>
    <n v="35000"/>
    <n v="112000"/>
    <n v="19"/>
    <n v="0"/>
    <n v="0"/>
    <n v="2812.5"/>
    <n v="2587.5"/>
    <x v="1"/>
  </r>
  <r>
    <x v="1"/>
    <s v="NEZAHUALCOYOTL"/>
    <n v="34012"/>
    <s v="JONNY ROMAN GARCIA VALENTINO"/>
    <d v="2020-01-20T00:00:00"/>
    <n v="1319"/>
    <x v="4"/>
    <n v="456446.52"/>
    <n v="858428.65999999992"/>
    <n v="858428.65999999992"/>
    <n v="6954.86"/>
    <n v="448125.34499999997"/>
    <n v="278000"/>
    <n v="7"/>
    <n v="0"/>
    <n v="0"/>
    <n v="12723.870548977318"/>
    <n v="2587.5"/>
    <x v="1"/>
  </r>
  <r>
    <x v="1"/>
    <s v="NEZAHUALCOYOTL"/>
    <n v="33385"/>
    <s v="NADINE GUADALUPE URIBE SANTIAGO"/>
    <d v="2023-02-01T00:00:00"/>
    <n v="211"/>
    <x v="3"/>
    <n v="1325230.6099999999"/>
    <n v="1958828.22"/>
    <n v="1643269.88"/>
    <n v="30049.29"/>
    <n v="611375.28450000007"/>
    <n v="916000"/>
    <n v="7"/>
    <n v="41"/>
    <n v="32"/>
    <n v="11324.513973367517"/>
    <n v="5850"/>
    <x v="1"/>
  </r>
  <r>
    <x v="1"/>
    <s v="NEZAHUALCOYOTL 2"/>
    <n v="26898"/>
    <s v="JONNY ROMAN GARCIA VALENTINO"/>
    <d v="2020-01-20T00:00:00"/>
    <n v="1319"/>
    <x v="4"/>
    <n v="39160.020000000004"/>
    <n v="5443.83"/>
    <n v="0"/>
    <n v="2161.9699999999998"/>
    <n v="448125.34499999997"/>
    <n v="97000"/>
    <n v="2"/>
    <n v="33"/>
    <n v="12"/>
    <n v="6965.9136993182128"/>
    <n v="57.5"/>
    <x v="1"/>
  </r>
  <r>
    <x v="1"/>
    <s v="NEZAHUALCOYOTL 2"/>
    <n v="25227"/>
    <s v="DENISSE FUENTES CASTRO"/>
    <d v="2022-09-19T00:00:00"/>
    <n v="346"/>
    <x v="3"/>
    <n v="1419167.22"/>
    <n v="1599896.2999999998"/>
    <n v="1447571.69"/>
    <n v="170549.7"/>
    <n v="991470.08415000001"/>
    <n v="898000"/>
    <n v="60"/>
    <n v="57"/>
    <n v="36"/>
    <n v="18786.890770494392"/>
    <n v="6607.5000000000018"/>
    <x v="1"/>
  </r>
  <r>
    <x v="1"/>
    <s v="NEZAHUALCOYOTL 2"/>
    <n v="30049"/>
    <s v="NELLYE SAAVEDRA SALVADOR"/>
    <d v="2023-03-21T00:00:00"/>
    <n v="163"/>
    <x v="1"/>
    <n v="687403.42999999982"/>
    <n v="527589.53"/>
    <n v="527589.53"/>
    <n v="0"/>
    <n v="332879.94390000007"/>
    <n v="59000"/>
    <n v="13"/>
    <n v="21"/>
    <n v="20"/>
    <n v="5433.1999755910165"/>
    <n v="2645"/>
    <x v="1"/>
  </r>
  <r>
    <x v="1"/>
    <s v="NEZAHUALCOYOTL 2"/>
    <n v="34226"/>
    <s v="JORGE ALBERTO CONTRERAS SEGUNDO"/>
    <d v="2023-08-16T00:00:00"/>
    <n v="15"/>
    <x v="0"/>
    <n v="575891.45000000007"/>
    <n v="540791.86"/>
    <n v="540791.86"/>
    <n v="0"/>
    <n v="35000"/>
    <n v="24000"/>
    <n v="0"/>
    <n v="4"/>
    <n v="1"/>
    <n v="3462.5"/>
    <n v="2300"/>
    <x v="1"/>
  </r>
  <r>
    <x v="1"/>
    <s v="TEXCOCO"/>
    <n v="21057"/>
    <s v="MARIA IVONNE CRUZ TRUJANO"/>
    <d v="2022-04-25T00:00:00"/>
    <n v="493"/>
    <x v="2"/>
    <n v="500875.08999999997"/>
    <n v="1300046.5"/>
    <n v="1142769.22"/>
    <n v="0"/>
    <n v="638894.89140000008"/>
    <n v="352500"/>
    <n v="6"/>
    <n v="66"/>
    <n v="42"/>
    <n v="4774.0753335679574"/>
    <n v="195"/>
    <x v="1"/>
  </r>
  <r>
    <x v="1"/>
    <s v="TEXCOCO"/>
    <n v="33373"/>
    <s v="ROBERTO MERAZ GUTIERREZ"/>
    <d v="2023-04-17T00:00:00"/>
    <n v="136"/>
    <x v="1"/>
    <n v="1249698.67"/>
    <n v="1128241.7000000002"/>
    <n v="1032166.6500000001"/>
    <n v="0"/>
    <n v="560670.31420000002"/>
    <n v="469000"/>
    <n v="5"/>
    <n v="21"/>
    <n v="17"/>
    <n v="11283.310140120731"/>
    <n v="1590"/>
    <x v="1"/>
  </r>
  <r>
    <x v="1"/>
    <s v="TEXCOCO"/>
    <n v="32596"/>
    <s v="ELIZABETH PEREZ PERALTA"/>
    <d v="2023-06-16T00:00:00"/>
    <n v="76"/>
    <x v="0"/>
    <n v="1162405.6199999999"/>
    <n v="417720.51"/>
    <n v="417720.51"/>
    <n v="0"/>
    <n v="121500"/>
    <n v="247000"/>
    <n v="18"/>
    <n v="4"/>
    <n v="3"/>
    <n v="3848.3071622470707"/>
    <n v="5175"/>
    <x v="1"/>
  </r>
  <r>
    <x v="1"/>
    <s v="TEXCOCO"/>
    <n v="33403"/>
    <s v="ROSARIO EDITH LINAJE GONZALEZ"/>
    <d v="2023-07-19T00:00:00"/>
    <n v="43"/>
    <x v="0"/>
    <n v="36032.74"/>
    <n v="49999.95"/>
    <n v="49999.95"/>
    <n v="0"/>
    <n v="94485.952133194587"/>
    <n v="50000"/>
    <n v="9"/>
    <n v="0"/>
    <n v="0"/>
    <n v="2978.4038204251519"/>
    <n v="1437.5"/>
    <x v="1"/>
  </r>
  <r>
    <x v="1"/>
    <s v="TONALA"/>
    <n v="30869"/>
    <s v="LAURA PATRICIA CARRERA QUINTERO"/>
    <d v="2023-04-18T00:00:00"/>
    <n v="135"/>
    <x v="1"/>
    <n v="1291001.27"/>
    <n v="1283919.5700000005"/>
    <n v="1262263.1800000004"/>
    <n v="0"/>
    <n v="584700.6148000001"/>
    <n v="396500"/>
    <n v="18"/>
    <n v="81"/>
    <n v="60"/>
    <n v="8795.4353237543619"/>
    <n v="5203.75"/>
    <x v="1"/>
  </r>
  <r>
    <x v="1"/>
    <s v="TONALA"/>
    <n v="33967"/>
    <s v="MIRIAM PATRICIA ROSAS AREVALO"/>
    <d v="2023-08-07T00:00:00"/>
    <n v="24"/>
    <x v="0"/>
    <n v="299437.43000000005"/>
    <n v="315967.48"/>
    <n v="315967.48"/>
    <n v="0"/>
    <n v="35000"/>
    <n v="94500"/>
    <n v="16"/>
    <n v="0"/>
    <n v="0"/>
    <n v="2812.5"/>
    <n v="1725"/>
    <x v="1"/>
  </r>
  <r>
    <x v="1"/>
    <s v="TONALA 2"/>
    <n v="20173"/>
    <s v="EULALIO MARQUEZ ROJAS"/>
    <d v="2022-03-07T00:00:00"/>
    <n v="542"/>
    <x v="6"/>
    <n v="2176958.62"/>
    <n v="2581285.0400000005"/>
    <n v="2581285.0400000005"/>
    <n v="0"/>
    <n v="1061939.8035499998"/>
    <n v="1559000"/>
    <n v="13"/>
    <n v="47"/>
    <n v="39"/>
    <n v="13128.744291858764"/>
    <n v="19435"/>
    <x v="1"/>
  </r>
  <r>
    <x v="1"/>
    <s v="TONALA 2"/>
    <n v="20612"/>
    <s v="ARMANDO ALEJANDRO TOVAR BRACAMONTES"/>
    <d v="2022-03-28T00:00:00"/>
    <n v="521"/>
    <x v="2"/>
    <n v="1977158.1099999999"/>
    <n v="1585912.3200000003"/>
    <n v="1585912.3200000003"/>
    <n v="0"/>
    <n v="626155.33485000033"/>
    <n v="514000"/>
    <n v="7"/>
    <n v="42"/>
    <n v="23"/>
    <n v="6493.75"/>
    <n v="3040"/>
    <x v="1"/>
  </r>
  <r>
    <x v="2"/>
    <s v="AMECAMECA"/>
    <n v="27539"/>
    <s v="MARIA ISABEL MUÑOZ SANCHEZ"/>
    <d v="2022-12-07T00:00:00"/>
    <n v="267"/>
    <x v="3"/>
    <n v="1242782.1599999999"/>
    <n v="1209642.7500000002"/>
    <n v="1115673.75"/>
    <n v="13635.470000000001"/>
    <n v="622590.25060000014"/>
    <n v="457000"/>
    <n v="16"/>
    <n v="48"/>
    <n v="29"/>
    <n v="5285.1653760219378"/>
    <n v="975"/>
    <x v="1"/>
  </r>
  <r>
    <x v="2"/>
    <s v="AMECAMECA"/>
    <n v="32635"/>
    <s v="YESICA MERIC OSNAYA SORIANO"/>
    <d v="2023-06-21T00:00:00"/>
    <n v="71"/>
    <x v="0"/>
    <n v="936906.13"/>
    <n v="1386290.6900000002"/>
    <n v="1354806.7800000003"/>
    <n v="0"/>
    <n v="471775.28799999977"/>
    <n v="569000"/>
    <n v="8"/>
    <n v="39"/>
    <n v="21"/>
    <n v="5843.75"/>
    <n v="3150"/>
    <x v="1"/>
  </r>
  <r>
    <x v="2"/>
    <s v="AMECAMECA"/>
    <n v="33645"/>
    <s v="DIANA ELIZABETH GONZALEZ LEON"/>
    <d v="2023-07-25T00:00:00"/>
    <n v="37"/>
    <x v="0"/>
    <n v="536874.1"/>
    <n v="180034.97"/>
    <n v="180034.97"/>
    <n v="0"/>
    <n v="70585.84807492196"/>
    <n v="199000"/>
    <n v="39"/>
    <n v="0"/>
    <n v="0"/>
    <n v="3039.4369704177202"/>
    <n v="5462.5"/>
    <x v="1"/>
  </r>
  <r>
    <x v="2"/>
    <s v="CHALCO"/>
    <n v="32305"/>
    <s v="LETICIA MESINAS ACEVEDO"/>
    <d v="2023-06-06T00:00:00"/>
    <n v="86"/>
    <x v="0"/>
    <n v="1306442.7299999997"/>
    <n v="1601493.2000000002"/>
    <n v="1563772.4000000004"/>
    <n v="0"/>
    <n v="196875.64500000008"/>
    <n v="476500"/>
    <n v="17"/>
    <n v="80"/>
    <n v="47"/>
    <n v="6493.75"/>
    <n v="3600"/>
    <x v="1"/>
  </r>
  <r>
    <x v="2"/>
    <s v="CHALCO"/>
    <n v="34232"/>
    <s v="CARLOS EMANUEL FLORES ACOSTA"/>
    <d v="2023-08-16T00:00:00"/>
    <n v="15"/>
    <x v="0"/>
    <n v="111912.04"/>
    <n v="189999.77000000002"/>
    <n v="189999.77000000002"/>
    <n v="0"/>
    <n v="35000"/>
    <n v="92000"/>
    <n v="25"/>
    <n v="0"/>
    <n v="0"/>
    <n v="2162.5"/>
    <n v="5462.5"/>
    <x v="1"/>
  </r>
  <r>
    <x v="2"/>
    <s v="CHALCO"/>
    <n v="34479"/>
    <s v="JHOVANNY AGUILAR GARCIA"/>
    <d v="2023-08-24T00:00:00"/>
    <n v="7"/>
    <x v="0"/>
    <n v="194844.87"/>
    <n v="71835.66"/>
    <n v="71835.66"/>
    <n v="0"/>
    <n v="35000"/>
    <n v="57000"/>
    <n v="2"/>
    <n v="0"/>
    <n v="0"/>
    <n v="2162.5"/>
    <n v="2012.5"/>
    <x v="1"/>
  </r>
  <r>
    <x v="2"/>
    <s v="COATZACOALCOS"/>
    <n v="14019"/>
    <s v="ISABEL MONSERRAT RAZO MENDEZ"/>
    <d v="2021-07-08T00:00:00"/>
    <n v="784"/>
    <x v="5"/>
    <n v="1209670.1500000001"/>
    <n v="1250844.9700000002"/>
    <n v="1089057.5300000003"/>
    <n v="33390.080000000002"/>
    <n v="600750.53249999997"/>
    <n v="472500"/>
    <n v="26"/>
    <n v="44"/>
    <n v="17"/>
    <n v="10696.785432825331"/>
    <n v="1035"/>
    <x v="1"/>
  </r>
  <r>
    <x v="2"/>
    <s v="COATZACOALCOS"/>
    <n v="26859"/>
    <s v="MONSERRAT DE LA CRUZ MARTINEZ ALVARADO"/>
    <d v="2022-11-16T00:00:00"/>
    <n v="288"/>
    <x v="3"/>
    <n v="899518.58000000007"/>
    <n v="1009050.7000000002"/>
    <n v="822680.57999999984"/>
    <n v="3000"/>
    <n v="357000.0675"/>
    <n v="275500"/>
    <n v="94"/>
    <n v="28"/>
    <n v="8"/>
    <n v="5317.7463833535867"/>
    <n v="862.50000000000023"/>
    <x v="1"/>
  </r>
  <r>
    <x v="2"/>
    <s v="COATZACOALCOS"/>
    <n v="33951"/>
    <s v="JULIO CESAR GONZALEZ ESPINOZA"/>
    <d v="2023-08-07T00:00:00"/>
    <n v="24"/>
    <x v="0"/>
    <n v="162835.17000000001"/>
    <n v="69999.199999999997"/>
    <n v="69999.199999999997"/>
    <n v="0"/>
    <n v="35000"/>
    <n v="70000"/>
    <n v="36"/>
    <n v="0"/>
    <n v="0"/>
    <n v="2162.5"/>
    <n v="2012.5"/>
    <x v="1"/>
  </r>
  <r>
    <x v="2"/>
    <s v="FORTIN"/>
    <n v="17299"/>
    <s v="JULIAN MARTINEZ CORTES"/>
    <d v="2021-11-10T00:00:00"/>
    <n v="659"/>
    <x v="6"/>
    <n v="519926.24999999994"/>
    <n v="825468.8"/>
    <n v="770881.96000000008"/>
    <n v="0"/>
    <n v="748019.8036499999"/>
    <n v="641000"/>
    <n v="38"/>
    <n v="21"/>
    <n v="17"/>
    <n v="22537.272958083042"/>
    <n v="0"/>
    <x v="1"/>
  </r>
  <r>
    <x v="2"/>
    <s v="FORTIN"/>
    <n v="29508"/>
    <s v="JESSICA MARIN DURON"/>
    <d v="2023-03-02T00:00:00"/>
    <n v="182"/>
    <x v="3"/>
    <n v="649191.03000000014"/>
    <n v="809230.59999999974"/>
    <n v="797278.59999999974"/>
    <n v="0"/>
    <n v="499309.97194999998"/>
    <n v="374000"/>
    <n v="19"/>
    <n v="13"/>
    <n v="7"/>
    <n v="11264.734558912958"/>
    <n v="3162.5"/>
    <x v="1"/>
  </r>
  <r>
    <x v="2"/>
    <s v="MILPA ALTA"/>
    <n v="31036"/>
    <s v="JENIFER QUETZALLI REMOLINO"/>
    <d v="2023-04-24T00:00:00"/>
    <n v="129"/>
    <x v="1"/>
    <n v="654948.19000000006"/>
    <n v="530981.46"/>
    <n v="509468.43999999994"/>
    <n v="0"/>
    <n v="437045.05425000004"/>
    <n v="208000"/>
    <n v="16"/>
    <n v="12"/>
    <n v="7"/>
    <n v="7746.2028381703758"/>
    <n v="4120"/>
    <x v="1"/>
  </r>
  <r>
    <x v="2"/>
    <s v="MILPA ALTA"/>
    <n v="31037"/>
    <s v="BRAULIO GUZMAN JIMENEZ"/>
    <d v="2023-04-24T00:00:00"/>
    <n v="129"/>
    <x v="1"/>
    <n v="558836.07999999996"/>
    <n v="485813.00999999995"/>
    <n v="436099.26999999996"/>
    <n v="0"/>
    <n v="408624.82800000004"/>
    <n v="164000"/>
    <n v="8"/>
    <n v="5"/>
    <n v="4"/>
    <n v="7871.1319988027772"/>
    <n v="420.00000000000011"/>
    <x v="1"/>
  </r>
  <r>
    <x v="2"/>
    <s v="ORIZABA"/>
    <n v="25225"/>
    <s v="MARCELO TZITZIHUA TZITZIHUA"/>
    <d v="2022-09-19T00:00:00"/>
    <n v="346"/>
    <x v="3"/>
    <n v="1474241.2899999996"/>
    <n v="1404558.1600000001"/>
    <n v="1142413.2700000003"/>
    <n v="17188.34"/>
    <n v="817690.57064999989"/>
    <n v="423500"/>
    <n v="10"/>
    <n v="66"/>
    <n v="34"/>
    <n v="13940.082828684905"/>
    <n v="585"/>
    <x v="1"/>
  </r>
  <r>
    <x v="2"/>
    <s v="ORIZABA"/>
    <n v="27027"/>
    <s v="FERNANDO MANUEL VELASCO RIVERA"/>
    <d v="2022-11-22T00:00:00"/>
    <n v="282"/>
    <x v="3"/>
    <n v="1569240.0399999996"/>
    <n v="1545810.5099999998"/>
    <n v="1283095.9299999997"/>
    <n v="73324.45"/>
    <n v="878145.92835000064"/>
    <n v="433000"/>
    <n v="4"/>
    <n v="93"/>
    <n v="48"/>
    <n v="13516.452307257905"/>
    <n v="682.5"/>
    <x v="1"/>
  </r>
  <r>
    <x v="2"/>
    <s v="ORIZABA"/>
    <n v="32999"/>
    <s v="ELSA FERNANDEZ REYES"/>
    <d v="2023-07-03T00:00:00"/>
    <n v="59"/>
    <x v="0"/>
    <n v="37660.450000000004"/>
    <n v="29880.66"/>
    <n v="29880.66"/>
    <n v="0"/>
    <n v="121500"/>
    <n v="4000"/>
    <n v="7"/>
    <n v="0"/>
    <n v="0"/>
    <n v="3350.6833810265694"/>
    <n v="575"/>
    <x v="1"/>
  </r>
  <r>
    <x v="2"/>
    <s v="ORIZABA"/>
    <n v="33874"/>
    <s v="JAEL BRAVO REYES"/>
    <d v="2023-08-02T00:00:00"/>
    <n v="29"/>
    <x v="0"/>
    <n v="2650.01"/>
    <n v="105948.41"/>
    <n v="105948.41"/>
    <n v="0"/>
    <n v="35000"/>
    <n v="112000"/>
    <n v="48"/>
    <n v="0"/>
    <n v="0"/>
    <n v="2162.5"/>
    <n v="3737.5"/>
    <x v="1"/>
  </r>
  <r>
    <x v="2"/>
    <s v="TLAHUAC"/>
    <n v="28375"/>
    <s v="OLIVIA LOPEZ HERNANDEZ"/>
    <d v="2023-01-23T00:00:00"/>
    <n v="220"/>
    <x v="3"/>
    <n v="845339.12000000011"/>
    <n v="796736.29999999993"/>
    <n v="722878.28"/>
    <n v="0"/>
    <n v="555665.45455000002"/>
    <n v="424000"/>
    <n v="34"/>
    <n v="32"/>
    <n v="19"/>
    <n v="13247.989418712485"/>
    <n v="862.50000000000023"/>
    <x v="1"/>
  </r>
  <r>
    <x v="2"/>
    <s v="TLAHUAC"/>
    <n v="33376"/>
    <s v="ISAAC VINICIO BACILIO ESPITIA"/>
    <d v="2023-07-17T00:00:00"/>
    <n v="45"/>
    <x v="0"/>
    <n v="178939.23"/>
    <n v="508040.27999999997"/>
    <n v="490994.8"/>
    <n v="0"/>
    <n v="189258.81533428718"/>
    <n v="381000"/>
    <n v="11"/>
    <n v="20"/>
    <n v="15"/>
    <n v="4305.0032928929195"/>
    <n v="5175"/>
    <x v="1"/>
  </r>
  <r>
    <x v="2"/>
    <s v="TLAHUAC"/>
    <n v="33499"/>
    <s v="HECTOR CORONEL VENTURA"/>
    <d v="2023-07-21T00:00:00"/>
    <n v="41"/>
    <x v="0"/>
    <n v="533654.06999999995"/>
    <n v="1143374.9300000002"/>
    <n v="1143374.9300000002"/>
    <n v="0"/>
    <n v="85031.73777315297"/>
    <n v="809500"/>
    <n v="31"/>
    <n v="2"/>
    <n v="1"/>
    <n v="5193.75"/>
    <n v="25443.75"/>
    <x v="1"/>
  </r>
  <r>
    <x v="0"/>
    <s v="VILLAHERMOSA"/>
    <n v="31096"/>
    <s v="YADIRA LIZBETH RODRIGUEZ COLLADO"/>
    <d v="2023-04-25T00:00:00"/>
    <n v="158"/>
    <x v="1"/>
    <n v="1240496.8400000001"/>
    <n v="1044506.0099999999"/>
    <n v="824039.17999999993"/>
    <n v="27937.97"/>
    <n v="664875.64500000025"/>
    <n v="128500"/>
    <n v="1"/>
    <n v="62"/>
    <n v="8"/>
    <n v="17770.518201925912"/>
    <n v="675"/>
    <x v="2"/>
  </r>
  <r>
    <x v="1"/>
    <s v="CHIMALHUACAN 2"/>
    <n v="20314"/>
    <s v="MARIBEL RODRIGUEZ CARRIZOZA"/>
    <d v="2022-03-14T00:00:00"/>
    <n v="565"/>
    <x v="6"/>
    <n v="1170570.54"/>
    <n v="1064137.6600000001"/>
    <n v="974220.06"/>
    <n v="0"/>
    <n v="564135.60739999998"/>
    <n v="274500"/>
    <n v="0"/>
    <n v="54"/>
    <n v="30"/>
    <n v="11463.596691557113"/>
    <n v="0"/>
    <x v="2"/>
  </r>
  <r>
    <x v="1"/>
    <s v="CHIMALHUACAN 2"/>
    <n v="20315"/>
    <s v="KARINA TERRAZAS OLVERA"/>
    <d v="2022-03-14T00:00:00"/>
    <n v="565"/>
    <x v="6"/>
    <n v="905327.28999999992"/>
    <n v="842405.35000000009"/>
    <n v="755546.18"/>
    <n v="14499.54"/>
    <n v="613719.56825000001"/>
    <n v="256500"/>
    <n v="8"/>
    <n v="39"/>
    <n v="7"/>
    <n v="15269.010854329199"/>
    <n v="487.5"/>
    <x v="2"/>
  </r>
  <r>
    <x v="1"/>
    <s v="CHIMALHUACAN 2"/>
    <n v="30967"/>
    <s v="LIZBETH GUADALUPE MUJICA HERNANDEZ"/>
    <d v="2023-04-20T00:00:00"/>
    <n v="163"/>
    <x v="1"/>
    <n v="2179159.9500000002"/>
    <n v="2072482.76"/>
    <n v="1830304.5500000003"/>
    <n v="45491.19"/>
    <n v="581965.22609999997"/>
    <n v="564000"/>
    <n v="6"/>
    <n v="75"/>
    <n v="52"/>
    <n v="9525"/>
    <n v="975"/>
    <x v="2"/>
  </r>
  <r>
    <x v="1"/>
    <s v="CHIMALHUACAN 2"/>
    <n v="33543"/>
    <s v="ANDRES DE JESUS PALOMARES PASTRANA"/>
    <d v="2023-07-21T00:00:00"/>
    <n v="71"/>
    <x v="0"/>
    <n v="489022.56"/>
    <n v="465823.65999999986"/>
    <n v="337395.12999999995"/>
    <n v="12849.640000000001"/>
    <n v="278430.20629999996"/>
    <n v="111500"/>
    <n v="0"/>
    <n v="0"/>
    <n v="0"/>
    <n v="5262.443690769248"/>
    <n v="2000"/>
    <x v="2"/>
  </r>
  <r>
    <x v="1"/>
    <s v="CHIMALHUACAN 2"/>
    <n v="33878"/>
    <s v="GUADALUPE CARMONA ANTONIO"/>
    <d v="2023-08-02T00:00:00"/>
    <n v="59"/>
    <x v="0"/>
    <n v="129111.69"/>
    <n v="212272.25999999998"/>
    <n v="212272.25999999998"/>
    <n v="0"/>
    <n v="121500"/>
    <n v="130000"/>
    <n v="22"/>
    <n v="0"/>
    <n v="0"/>
    <n v="3919.1237161224813"/>
    <n v="3450"/>
    <x v="2"/>
  </r>
  <r>
    <x v="1"/>
    <s v="IXTAPALUCA"/>
    <n v="25237"/>
    <s v="MARISELA HERNANDEZ MORINCHEL"/>
    <d v="2022-09-20T00:00:00"/>
    <n v="375"/>
    <x v="2"/>
    <n v="1674124.0600000005"/>
    <n v="1781623.3099999998"/>
    <n v="1557807.92"/>
    <n v="32300.42"/>
    <n v="1233213.2402499998"/>
    <n v="918000"/>
    <n v="12"/>
    <n v="84"/>
    <n v="64"/>
    <n v="26068.041738319102"/>
    <n v="780.00000000000023"/>
    <x v="2"/>
  </r>
  <r>
    <x v="1"/>
    <s v="IXTAPALUCA"/>
    <n v="28239"/>
    <s v="BRENDA DANIELA RODRIGUEZ REYES"/>
    <d v="2023-01-17T00:00:00"/>
    <n v="256"/>
    <x v="3"/>
    <n v="396423.34000000008"/>
    <n v="500316.26999999996"/>
    <n v="467932.39999999997"/>
    <n v="0"/>
    <n v="345269.57165"/>
    <n v="318000"/>
    <n v="9"/>
    <n v="16"/>
    <n v="13"/>
    <n v="6984.5986956018714"/>
    <n v="2130"/>
    <x v="2"/>
  </r>
  <r>
    <x v="1"/>
    <s v="IXTAPALUCA"/>
    <n v="28894"/>
    <s v="ARIAN AGUILAR PLATA"/>
    <d v="2023-02-09T00:00:00"/>
    <n v="233"/>
    <x v="3"/>
    <n v="694011.52"/>
    <n v="634245.62"/>
    <n v="571013.06999999995"/>
    <n v="0"/>
    <n v="416614.89900000003"/>
    <n v="150000"/>
    <n v="16"/>
    <n v="25"/>
    <n v="16"/>
    <n v="6297.063158107977"/>
    <n v="1065"/>
    <x v="2"/>
  </r>
  <r>
    <x v="1"/>
    <s v="IXTAPALUCA"/>
    <n v="33995"/>
    <s v="MARIA ANGELICA VILLA MARTINEZ"/>
    <d v="2023-08-08T00:00:00"/>
    <n v="53"/>
    <x v="0"/>
    <n v="99999.8"/>
    <n v="200810.02999999997"/>
    <n v="200810.02999999997"/>
    <n v="0"/>
    <n v="121500"/>
    <n v="142000"/>
    <n v="27"/>
    <n v="0"/>
    <n v="0"/>
    <n v="3253.8500816345395"/>
    <n v="3450"/>
    <x v="2"/>
  </r>
  <r>
    <x v="1"/>
    <s v="IZTAPALAPA"/>
    <n v="31346"/>
    <s v="LAURA LORENA PéREZ MENDOZA"/>
    <d v="2023-05-08T00:00:00"/>
    <n v="145"/>
    <x v="1"/>
    <n v="762765.2"/>
    <n v="1074855.1599999999"/>
    <n v="1015171.8600000002"/>
    <n v="0"/>
    <n v="475518.95814999996"/>
    <n v="572000"/>
    <n v="36"/>
    <n v="61"/>
    <n v="42"/>
    <n v="11514.877062150777"/>
    <n v="18007.5"/>
    <x v="2"/>
  </r>
  <r>
    <x v="1"/>
    <s v="IZTAPALAPA"/>
    <n v="33877"/>
    <s v="RODOLFO ALBERTO SORIANO MEJIA"/>
    <d v="2023-08-02T00:00:00"/>
    <n v="59"/>
    <x v="0"/>
    <n v="410462.61999999994"/>
    <n v="287325.49"/>
    <n v="265951.44"/>
    <n v="0"/>
    <n v="121500"/>
    <n v="81000"/>
    <n v="3"/>
    <n v="0"/>
    <n v="0"/>
    <n v="2812.5"/>
    <n v="2000"/>
    <x v="2"/>
  </r>
  <r>
    <x v="1"/>
    <s v="NEZAHUALCOYOTL"/>
    <n v="34012"/>
    <s v="JONNY ROMAN GARCIA VALENTINO"/>
    <d v="2020-01-20T00:00:00"/>
    <n v="1349"/>
    <x v="4"/>
    <n v="1274313.6500000001"/>
    <n v="1485091.73"/>
    <n v="1368427.69"/>
    <n v="0"/>
    <n v="655805.02805000008"/>
    <n v="674000"/>
    <n v="6"/>
    <n v="0"/>
    <n v="0"/>
    <n v="16606.835268328221"/>
    <n v="7025"/>
    <x v="2"/>
  </r>
  <r>
    <x v="1"/>
    <s v="NEZAHUALCOYOTL"/>
    <n v="33385"/>
    <s v="NADINE GUADALUPE URIBE SANTIAGO"/>
    <d v="2023-02-01T00:00:00"/>
    <n v="241"/>
    <x v="3"/>
    <n v="1659826.48"/>
    <n v="1795144.8599999996"/>
    <n v="1518395.77"/>
    <n v="63527.03"/>
    <n v="1124406.0352500002"/>
    <n v="853000"/>
    <n v="0"/>
    <n v="56"/>
    <n v="34"/>
    <n v="21994.263172011237"/>
    <n v="8385"/>
    <x v="2"/>
  </r>
  <r>
    <x v="1"/>
    <s v="NEZAHUALCOYOTL"/>
    <n v="35102"/>
    <s v="ULISES URIEL PARTIDA MENDEZ"/>
    <d v="2023-09-18T00:00:00"/>
    <n v="12"/>
    <x v="0"/>
    <n v="0"/>
    <n v="0"/>
    <n v="0"/>
    <n v="0"/>
    <n v="35000"/>
    <n v="0"/>
    <n v="5"/>
    <n v="0"/>
    <n v="0"/>
    <n v="2162.5"/>
    <n v="2000"/>
    <x v="2"/>
  </r>
  <r>
    <x v="1"/>
    <s v="NEZAHUALCOYOTL 2"/>
    <n v="25227"/>
    <s v="DENISSE FUENTES CASTRO"/>
    <d v="2022-09-19T00:00:00"/>
    <n v="376"/>
    <x v="2"/>
    <n v="1599896.2999999998"/>
    <n v="1090773.07"/>
    <n v="849632.9"/>
    <n v="13290.72"/>
    <n v="415745.03739999997"/>
    <n v="89000"/>
    <n v="21"/>
    <n v="25"/>
    <n v="5"/>
    <n v="5843.75"/>
    <n v="1537.5000000000005"/>
    <x v="2"/>
  </r>
  <r>
    <x v="1"/>
    <s v="NEZAHUALCOYOTL 2"/>
    <n v="30049"/>
    <s v="NELLYE SAAVEDRA SALVADOR"/>
    <d v="2023-03-21T00:00:00"/>
    <n v="193"/>
    <x v="3"/>
    <n v="537514.53"/>
    <n v="499608.65"/>
    <n v="499608.65"/>
    <n v="0"/>
    <n v="384654.59795000002"/>
    <n v="193000"/>
    <n v="6"/>
    <n v="16"/>
    <n v="11"/>
    <n v="6911.1570936676289"/>
    <n v="2645"/>
    <x v="2"/>
  </r>
  <r>
    <x v="1"/>
    <s v="NEZAHUALCOYOTL 2"/>
    <n v="34226"/>
    <s v="JORGE ALBERTO CONTRERAS SEGUNDO"/>
    <d v="2023-08-16T00:00:00"/>
    <n v="45"/>
    <x v="0"/>
    <n v="530866.86"/>
    <n v="533139.66"/>
    <n v="372616.19000000006"/>
    <n v="0"/>
    <n v="187730.42749999999"/>
    <n v="114000"/>
    <n v="20"/>
    <n v="0"/>
    <n v="0"/>
    <n v="3462.5"/>
    <n v="2000"/>
    <x v="2"/>
  </r>
  <r>
    <x v="1"/>
    <s v="NEZAHUALCOYOTL 2"/>
    <n v="34786"/>
    <s v="HUGO ENRIQUE SEVILLANO ONOFRE"/>
    <d v="2023-09-04T00:00:00"/>
    <n v="26"/>
    <x v="0"/>
    <n v="0"/>
    <n v="83866.45"/>
    <n v="83866.45"/>
    <n v="0"/>
    <n v="35000"/>
    <n v="94000"/>
    <n v="22"/>
    <n v="0"/>
    <n v="0"/>
    <n v="2162.5"/>
    <n v="2000"/>
    <x v="2"/>
  </r>
  <r>
    <x v="1"/>
    <s v="TEXCOCO"/>
    <n v="33373"/>
    <s v="ROBERTO MERAZ GUTIERREZ"/>
    <d v="2023-04-17T00:00:00"/>
    <n v="166"/>
    <x v="1"/>
    <n v="1410681.9299999997"/>
    <n v="1400508.2900000003"/>
    <n v="1388104.6100000003"/>
    <n v="0"/>
    <n v="376390.0486000001"/>
    <n v="420500"/>
    <n v="1"/>
    <n v="12"/>
    <n v="9"/>
    <n v="6582.6858310042035"/>
    <n v="2616.25"/>
    <x v="2"/>
  </r>
  <r>
    <x v="1"/>
    <s v="TEXCOCO"/>
    <n v="32596"/>
    <s v="ELIZABETH PEREZ PERALTA"/>
    <d v="2023-06-16T00:00:00"/>
    <n v="106"/>
    <x v="1"/>
    <n v="1328148.5799999998"/>
    <n v="1237666.1099999996"/>
    <n v="1189361.3399999999"/>
    <n v="0"/>
    <n v="318269.55119999999"/>
    <n v="309000"/>
    <n v="19"/>
    <n v="0"/>
    <n v="0"/>
    <n v="10206.69605373756"/>
    <n v="4725"/>
    <x v="2"/>
  </r>
  <r>
    <x v="1"/>
    <s v="TEXCOCO"/>
    <n v="33403"/>
    <s v="ROSARIO EDITH LINAJE GONZALEZ"/>
    <d v="2023-07-19T00:00:00"/>
    <n v="73"/>
    <x v="0"/>
    <n v="136481.84999999998"/>
    <n v="325987.45"/>
    <n v="325987.45"/>
    <n v="0"/>
    <n v="121500"/>
    <n v="232000"/>
    <n v="32"/>
    <n v="0"/>
    <n v="0"/>
    <n v="3962.3138094736837"/>
    <n v="6037.5"/>
    <x v="2"/>
  </r>
  <r>
    <x v="1"/>
    <s v="TONALA"/>
    <n v="30869"/>
    <s v="LAURA PATRICIA CARRERA QUINTERO"/>
    <d v="2023-04-18T00:00:00"/>
    <n v="165"/>
    <x v="1"/>
    <n v="1283919.5700000005"/>
    <n v="1390725.68"/>
    <n v="1381772.8699999999"/>
    <n v="0"/>
    <n v="837540.80939999979"/>
    <n v="610500"/>
    <n v="15"/>
    <n v="94"/>
    <n v="63"/>
    <n v="21523.020441310597"/>
    <n v="9085"/>
    <x v="2"/>
  </r>
  <r>
    <x v="1"/>
    <s v="TONALA"/>
    <n v="33967"/>
    <s v="MIRIAM PATRICIA ROSAS AREVALO"/>
    <d v="2023-08-07T00:00:00"/>
    <n v="54"/>
    <x v="0"/>
    <n v="387715.89999999991"/>
    <n v="423493.14"/>
    <n v="423493.14"/>
    <n v="0"/>
    <n v="160500.2175"/>
    <n v="133500"/>
    <n v="34"/>
    <n v="0"/>
    <n v="0"/>
    <n v="3503.9304671989221"/>
    <n v="2587.5"/>
    <x v="2"/>
  </r>
  <r>
    <x v="1"/>
    <s v="TONALA 2"/>
    <n v="20173"/>
    <s v="EULALIO MARQUEZ ROJAS"/>
    <d v="2022-03-07T00:00:00"/>
    <n v="572"/>
    <x v="6"/>
    <n v="2581285.0400000005"/>
    <n v="2300683.11"/>
    <n v="2295178.48"/>
    <n v="0"/>
    <n v="522120.15145"/>
    <n v="675500"/>
    <n v="6"/>
    <n v="46"/>
    <n v="38"/>
    <n v="8225"/>
    <n v="5635"/>
    <x v="2"/>
  </r>
  <r>
    <x v="1"/>
    <s v="TONALA 2"/>
    <n v="20612"/>
    <s v="ARMANDO ALEJANDRO TOVAR BRACAMONTES"/>
    <d v="2022-03-28T00:00:00"/>
    <n v="551"/>
    <x v="6"/>
    <n v="1585912.3200000003"/>
    <n v="2025186.81"/>
    <n v="1964710.9899999998"/>
    <n v="0"/>
    <n v="354839.91390000004"/>
    <n v="1324000"/>
    <n v="7"/>
    <n v="47"/>
    <n v="41"/>
    <n v="5625"/>
    <n v="3500"/>
    <x v="2"/>
  </r>
  <r>
    <x v="2"/>
    <s v="AMECAMECA"/>
    <n v="27539"/>
    <s v="MARIA ISABEL MUÑOZ SANCHEZ"/>
    <d v="2022-12-07T00:00:00"/>
    <n v="297"/>
    <x v="3"/>
    <n v="1209642.7500000002"/>
    <n v="1051330.49"/>
    <n v="773199.91"/>
    <n v="0"/>
    <n v="624280.15350000001"/>
    <n v="309000"/>
    <n v="9"/>
    <n v="45"/>
    <n v="18"/>
    <n v="9184.1161090667138"/>
    <n v="487.5"/>
    <x v="2"/>
  </r>
  <r>
    <x v="2"/>
    <s v="AMECAMECA"/>
    <n v="33645"/>
    <s v="DIANA ELIZABETH GONZALEZ LEON"/>
    <d v="2023-07-25T00:00:00"/>
    <n v="67"/>
    <x v="0"/>
    <n v="882169.9"/>
    <n v="184924.64"/>
    <n v="184924.64"/>
    <n v="0"/>
    <n v="121500"/>
    <n v="55000"/>
    <n v="19"/>
    <n v="0"/>
    <n v="0"/>
    <n v="3114.2574574874011"/>
    <n v="2000"/>
    <x v="2"/>
  </r>
  <r>
    <x v="2"/>
    <s v="AMECAMECA"/>
    <n v="34963"/>
    <s v="HASLEY RODRIGUEZ GARCIA"/>
    <d v="2023-09-08T00:00:00"/>
    <n v="22"/>
    <x v="0"/>
    <n v="0"/>
    <n v="0"/>
    <n v="0"/>
    <n v="0"/>
    <n v="35000"/>
    <n v="0"/>
    <n v="0"/>
    <n v="0"/>
    <n v="0"/>
    <n v="2162.5"/>
    <n v="2000"/>
    <x v="2"/>
  </r>
  <r>
    <x v="2"/>
    <s v="CHALCO"/>
    <n v="32305"/>
    <s v="LETICIA MESINAS ACEVEDO"/>
    <d v="2023-06-06T00:00:00"/>
    <n v="116"/>
    <x v="1"/>
    <n v="1242300.47"/>
    <n v="1077362.5899999999"/>
    <n v="1048529.1199999999"/>
    <n v="0"/>
    <n v="728251.01250000019"/>
    <n v="328000"/>
    <n v="0"/>
    <n v="80"/>
    <n v="38"/>
    <n v="14519.021231180699"/>
    <n v="2700"/>
    <x v="2"/>
  </r>
  <r>
    <x v="2"/>
    <s v="CHALCO"/>
    <n v="34232"/>
    <s v="CARLOS EMANUEL FLORES ACOSTA"/>
    <d v="2023-08-16T00:00:00"/>
    <n v="45"/>
    <x v="0"/>
    <n v="274843.96000000002"/>
    <n v="641112.62"/>
    <n v="614216.88"/>
    <n v="0"/>
    <n v="106900"/>
    <n v="142000"/>
    <n v="15"/>
    <n v="0"/>
    <n v="0"/>
    <n v="3233.6746116276317"/>
    <n v="2000"/>
    <x v="2"/>
  </r>
  <r>
    <x v="2"/>
    <s v="CHALCO"/>
    <n v="34479"/>
    <s v="JHOVANNY AGUILAR GARCIA"/>
    <d v="2023-08-24T00:00:00"/>
    <n v="37"/>
    <x v="0"/>
    <n v="467536.38"/>
    <n v="539135.69999999995"/>
    <n v="528995.05999999994"/>
    <n v="0"/>
    <n v="71910"/>
    <n v="166000"/>
    <n v="17"/>
    <n v="0"/>
    <n v="0"/>
    <n v="2524.9868367503805"/>
    <n v="2300"/>
    <x v="2"/>
  </r>
  <r>
    <x v="2"/>
    <s v="CHALCO"/>
    <n v="34961"/>
    <s v="EDUARDO ABEL CARBAJAL BALDERAS"/>
    <d v="2023-09-08T00:00:00"/>
    <n v="22"/>
    <x v="0"/>
    <n v="0"/>
    <n v="0"/>
    <n v="0"/>
    <n v="0"/>
    <n v="35000"/>
    <n v="0"/>
    <n v="0"/>
    <n v="0"/>
    <n v="0"/>
    <n v="2162.5"/>
    <n v="2000"/>
    <x v="2"/>
  </r>
  <r>
    <x v="2"/>
    <s v="CHALCO"/>
    <m/>
    <s v="VICTOR MANUEL SANCHEZ PEREZ"/>
    <d v="2023-09-25T00:00:00"/>
    <n v="5"/>
    <x v="0"/>
    <n v="0"/>
    <n v="0"/>
    <n v="0"/>
    <n v="0"/>
    <n v="35000"/>
    <n v="0"/>
    <n v="0"/>
    <n v="0"/>
    <n v="0"/>
    <n v="2162.5"/>
    <n v="2000"/>
    <x v="2"/>
  </r>
  <r>
    <x v="2"/>
    <s v="COATZACOALCOS"/>
    <n v="14019"/>
    <s v="ISABEL MONSERRAT RAZO MENDEZ"/>
    <d v="2021-07-08T00:00:00"/>
    <n v="814"/>
    <x v="5"/>
    <n v="916201.06"/>
    <n v="888577.54"/>
    <n v="652482.48999999987"/>
    <n v="9013.9699999999993"/>
    <n v="827115.58285000001"/>
    <n v="67500"/>
    <n v="12"/>
    <n v="82"/>
    <n v="26"/>
    <n v="2162.5"/>
    <n v="2000"/>
    <x v="2"/>
  </r>
  <r>
    <x v="2"/>
    <s v="COATZACOALCOS"/>
    <n v="26859"/>
    <s v="MONSERRAT DE LA CRUZ MARTINEZ ALVARADO"/>
    <d v="2022-11-16T00:00:00"/>
    <n v="318"/>
    <x v="3"/>
    <n v="925998.67"/>
    <n v="719485.41999999993"/>
    <n v="437180.23"/>
    <n v="4681.07"/>
    <n v="425460.37685"/>
    <n v="8500"/>
    <n v="41"/>
    <n v="24"/>
    <n v="10"/>
    <n v="2162.5"/>
    <n v="2000"/>
    <x v="2"/>
  </r>
  <r>
    <x v="2"/>
    <s v="COATZACOALCOS"/>
    <n v="33951"/>
    <s v="JULIO CESAR GONZALEZ ESPINOZA"/>
    <d v="2023-08-07T00:00:00"/>
    <n v="54"/>
    <x v="0"/>
    <n v="441601.98"/>
    <n v="191521.13"/>
    <n v="191521.13"/>
    <n v="0"/>
    <n v="121500"/>
    <n v="18500"/>
    <n v="15"/>
    <n v="0"/>
    <n v="0"/>
    <n v="2162.5"/>
    <n v="2000"/>
    <x v="2"/>
  </r>
  <r>
    <x v="2"/>
    <s v="FORTIN"/>
    <n v="17299"/>
    <s v="JULIAN MARTINEZ CORTES"/>
    <d v="2021-11-10T00:00:00"/>
    <n v="689"/>
    <x v="6"/>
    <n v="825468.8"/>
    <n v="733878.24000000011"/>
    <n v="679291.40000000014"/>
    <n v="0"/>
    <n v="427520.13644999993"/>
    <n v="163000"/>
    <n v="14"/>
    <n v="31"/>
    <n v="15"/>
    <n v="4112.5"/>
    <n v="0"/>
    <x v="2"/>
  </r>
  <r>
    <x v="2"/>
    <s v="FORTIN"/>
    <n v="29508"/>
    <s v="JESSICA MARIN DURON"/>
    <d v="2023-03-02T00:00:00"/>
    <n v="212"/>
    <x v="3"/>
    <n v="809230.59999999974"/>
    <n v="892166.98"/>
    <n v="732890.07000000007"/>
    <n v="0"/>
    <n v="422465.01870000002"/>
    <n v="407000"/>
    <n v="0"/>
    <n v="13"/>
    <n v="7"/>
    <n v="4543.75"/>
    <n v="1500"/>
    <x v="2"/>
  </r>
  <r>
    <x v="2"/>
    <s v="MILPA ALTA"/>
    <n v="31036"/>
    <s v="JENIFER QUETZALLI REMOLINO"/>
    <d v="2023-04-24T00:00:00"/>
    <n v="159"/>
    <x v="1"/>
    <n v="530981.46"/>
    <n v="560430.12"/>
    <n v="560430.12"/>
    <n v="0"/>
    <n v="610289.91215000011"/>
    <n v="271500"/>
    <n v="19"/>
    <n v="49"/>
    <n v="25"/>
    <n v="13775.116280660142"/>
    <n v="6785"/>
    <x v="2"/>
  </r>
  <r>
    <x v="2"/>
    <s v="MILPA ALTA"/>
    <n v="31037"/>
    <s v="BRAULIO GUZMAN JIMENEZ"/>
    <d v="2023-04-24T00:00:00"/>
    <n v="159"/>
    <x v="1"/>
    <n v="485813.00999999995"/>
    <n v="436167.04000000004"/>
    <n v="364192.37"/>
    <n v="0"/>
    <n v="392924.85790000006"/>
    <n v="126500"/>
    <n v="8"/>
    <n v="15"/>
    <n v="6"/>
    <n v="8152.6225971401673"/>
    <n v="315"/>
    <x v="2"/>
  </r>
  <r>
    <x v="2"/>
    <s v="MILPA ALTA"/>
    <n v="34424"/>
    <s v="CRISTIAN MANUEL TENORIO CORELLA"/>
    <d v="2023-08-21T00:00:00"/>
    <n v="40"/>
    <x v="0"/>
    <n v="0"/>
    <n v="27488.06"/>
    <n v="27488.06"/>
    <n v="0"/>
    <n v="83025"/>
    <n v="35000"/>
    <n v="9"/>
    <n v="0"/>
    <n v="0"/>
    <n v="3345.9732142857147"/>
    <n v="2000"/>
    <x v="2"/>
  </r>
  <r>
    <x v="2"/>
    <s v="MILPA ALTA"/>
    <m/>
    <s v="OSCAR MELENDEZ GONZALEZ"/>
    <d v="2023-09-19T00:00:00"/>
    <n v="11"/>
    <x v="0"/>
    <n v="0"/>
    <n v="0"/>
    <n v="0"/>
    <n v="0"/>
    <n v="35000"/>
    <n v="0"/>
    <n v="0"/>
    <n v="0"/>
    <n v="0"/>
    <n v="2162.5"/>
    <n v="2000"/>
    <x v="2"/>
  </r>
  <r>
    <x v="2"/>
    <s v="ORIZABA"/>
    <n v="25225"/>
    <s v="MARCELO TZITZIHUA TZITZIHUA"/>
    <d v="2022-09-19T00:00:00"/>
    <n v="376"/>
    <x v="2"/>
    <n v="1401241.43"/>
    <n v="1152167.2899999998"/>
    <n v="790451.65999999992"/>
    <n v="54378.92"/>
    <n v="934224.71825000003"/>
    <n v="212500"/>
    <n v="3"/>
    <n v="87"/>
    <n v="21"/>
    <n v="23995.3500029719"/>
    <n v="325"/>
    <x v="2"/>
  </r>
  <r>
    <x v="2"/>
    <s v="ORIZABA"/>
    <n v="27027"/>
    <s v="FERNANDO MANUEL VELASCO RIVERA"/>
    <d v="2022-11-22T00:00:00"/>
    <n v="312"/>
    <x v="3"/>
    <n v="1541353.7099999997"/>
    <n v="1240101.8700000001"/>
    <n v="963610.61999999976"/>
    <n v="63906.170000000006"/>
    <n v="734570.99144999997"/>
    <n v="184000"/>
    <n v="0"/>
    <n v="80"/>
    <n v="32"/>
    <n v="14751.850259299516"/>
    <n v="585"/>
    <x v="2"/>
  </r>
  <r>
    <x v="2"/>
    <s v="ORIZABA"/>
    <n v="32999"/>
    <s v="ELSA FERNANDEZ REYES"/>
    <d v="2023-07-03T00:00:00"/>
    <n v="89"/>
    <x v="0"/>
    <n v="33197.39"/>
    <n v="20668.97"/>
    <n v="20668.97"/>
    <n v="0"/>
    <n v="279000"/>
    <n v="0"/>
    <n v="17"/>
    <n v="0"/>
    <n v="0"/>
    <n v="2162.5"/>
    <n v="2000"/>
    <x v="2"/>
  </r>
  <r>
    <x v="2"/>
    <s v="ORIZABA"/>
    <n v="33874"/>
    <s v="JAEL BRAVO REYES"/>
    <d v="2023-08-02T00:00:00"/>
    <n v="59"/>
    <x v="0"/>
    <n v="110405.20999999999"/>
    <n v="179489.19"/>
    <n v="179489.19"/>
    <n v="0"/>
    <n v="121500"/>
    <n v="110000"/>
    <n v="18"/>
    <n v="0"/>
    <n v="0"/>
    <n v="2162.5"/>
    <n v="2875"/>
    <x v="2"/>
  </r>
  <r>
    <x v="2"/>
    <s v="TLAHUAC"/>
    <n v="28375"/>
    <s v="OLIVIA LOPEZ HERNANDEZ"/>
    <d v="2023-01-23T00:00:00"/>
    <n v="250"/>
    <x v="3"/>
    <n v="1207162.49"/>
    <n v="739415.01"/>
    <n v="651404.42999999993"/>
    <n v="0"/>
    <n v="619749.74600000004"/>
    <n v="312000"/>
    <n v="33"/>
    <n v="63"/>
    <n v="24"/>
    <n v="10838.365689353539"/>
    <n v="540"/>
    <x v="2"/>
  </r>
  <r>
    <x v="2"/>
    <s v="TLAHUAC"/>
    <n v="33376"/>
    <s v="ISAAC VINICIO BACILIO ESPITIA"/>
    <d v="2023-07-17T00:00:00"/>
    <n v="75"/>
    <x v="0"/>
    <n v="97614.09"/>
    <n v="594277.58000000007"/>
    <n v="577232.10000000009"/>
    <n v="0"/>
    <n v="221030.17200000002"/>
    <n v="268000"/>
    <n v="3"/>
    <n v="20"/>
    <n v="16"/>
    <n v="3462.5"/>
    <n v="8000"/>
    <x v="2"/>
  </r>
  <r>
    <x v="2"/>
    <s v="TLAHUAC"/>
    <n v="33499"/>
    <s v="HECTOR CORONEL VENTURA"/>
    <d v="2023-07-21T00:00:00"/>
    <n v="71"/>
    <x v="0"/>
    <n v="1143374.9300000002"/>
    <n v="1114403.3900000001"/>
    <n v="1114403.3900000001"/>
    <n v="0"/>
    <n v="129375"/>
    <n v="305000"/>
    <n v="14"/>
    <n v="13"/>
    <n v="9"/>
    <n v="4543.75"/>
    <n v="3450"/>
    <x v="2"/>
  </r>
  <r>
    <x v="2"/>
    <s v="TLAHUAC"/>
    <n v="34962"/>
    <s v="ANA CRISTINA HERNANDEZ PEREZ"/>
    <d v="2023-09-08T00:00:00"/>
    <n v="22"/>
    <x v="0"/>
    <n v="0"/>
    <n v="56000"/>
    <n v="56000"/>
    <n v="0"/>
    <n v="35000"/>
    <n v="56000"/>
    <n v="6"/>
    <n v="0"/>
    <n v="0"/>
    <n v="2162.5"/>
    <n v="2000"/>
    <x v="2"/>
  </r>
  <r>
    <x v="0"/>
    <s v="VILLAHERMOSA"/>
    <n v="35429"/>
    <s v="MARIA DE JESUS DIAZ LOPEZ"/>
    <d v="2023-10-02T00:00:00"/>
    <n v="29"/>
    <x v="0"/>
    <n v="365848.01"/>
    <n v="458864.25"/>
    <n v="364978.08"/>
    <n v="0"/>
    <n v="35000"/>
    <n v="87999.87"/>
    <n v="2"/>
    <n v="0"/>
    <n v="0"/>
    <n v="2162.5"/>
    <n v="2000"/>
    <x v="3"/>
  </r>
  <r>
    <x v="1"/>
    <s v="CHIMALHUACAN 2"/>
    <n v="20314"/>
    <s v="MARIBEL RODRIGUEZ CARRIZOZA"/>
    <d v="2022-03-14T00:00:00"/>
    <n v="596"/>
    <x v="6"/>
    <n v="1064137.6600000001"/>
    <n v="1238700.4699999997"/>
    <n v="1129795.4099999997"/>
    <n v="15010.15"/>
    <n v="493910.13504999998"/>
    <n v="581642.99000000022"/>
    <n v="5"/>
    <n v="42"/>
    <n v="26"/>
    <n v="11003.90510495659"/>
    <n v="0"/>
    <x v="3"/>
  </r>
  <r>
    <x v="1"/>
    <s v="CHIMALHUACAN 2"/>
    <n v="20315"/>
    <s v="KARINA TERRAZAS OLVERA"/>
    <d v="2022-03-14T00:00:00"/>
    <n v="596"/>
    <x v="6"/>
    <n v="842405.35000000009"/>
    <n v="858344.55000000016"/>
    <n v="776365.67"/>
    <n v="0"/>
    <n v="476115.5675"/>
    <n v="305500.21000000014"/>
    <n v="14"/>
    <n v="42"/>
    <n v="16"/>
    <n v="11051.083469027542"/>
    <n v="487.5"/>
    <x v="3"/>
  </r>
  <r>
    <x v="1"/>
    <s v="CHIMALHUACAN 2"/>
    <n v="30967"/>
    <s v="LIZBETH GUADALUPE MUJICA HERNANDEZ"/>
    <d v="2023-04-20T00:00:00"/>
    <n v="194"/>
    <x v="3"/>
    <n v="2072482.76"/>
    <n v="2001855.1199999999"/>
    <n v="1677368.03"/>
    <n v="0"/>
    <n v="612905.61790000007"/>
    <n v="596539.08000000019"/>
    <n v="9"/>
    <n v="120"/>
    <n v="52"/>
    <n v="6275"/>
    <n v="975"/>
    <x v="3"/>
  </r>
  <r>
    <x v="1"/>
    <s v="CHIMALHUACAN 2"/>
    <n v="33878"/>
    <s v="GUADALUPE CARMONA ANTONIO"/>
    <d v="2023-08-02T00:00:00"/>
    <n v="90"/>
    <x v="1"/>
    <n v="212272.25999999998"/>
    <n v="196949.75"/>
    <n v="196949.75"/>
    <n v="0"/>
    <n v="204000"/>
    <n v="54500.520000000004"/>
    <n v="0"/>
    <n v="0"/>
    <n v="0"/>
    <n v="7171.9620408456813"/>
    <n v="2012.5"/>
    <x v="3"/>
  </r>
  <r>
    <x v="1"/>
    <s v="CHIMALHUACAN 2"/>
    <n v="35609"/>
    <s v="BRENDA BERENICE CASTRO HERNÁNDEZ "/>
    <d v="2023-10-09T00:00:00"/>
    <n v="22"/>
    <x v="0"/>
    <n v="0"/>
    <n v="0"/>
    <n v="0"/>
    <n v="0"/>
    <n v="35000"/>
    <n v="0"/>
    <n v="0"/>
    <n v="0"/>
    <n v="0"/>
    <n v="8662.5"/>
    <s v=""/>
    <x v="3"/>
  </r>
  <r>
    <x v="1"/>
    <s v="IXTAPALUCA"/>
    <n v="28239"/>
    <s v="BRENDA DANIELA RODRIGUEZ REYES"/>
    <d v="2023-01-17T00:00:00"/>
    <n v="287"/>
    <x v="3"/>
    <n v="500316.26999999996"/>
    <n v="395042.07"/>
    <n v="359208.76"/>
    <n v="0"/>
    <n v="408065.53294999985"/>
    <n v="71000.19"/>
    <n v="6"/>
    <n v="26"/>
    <n v="17"/>
    <n v="5519.2737493247387"/>
    <n v="0"/>
    <x v="3"/>
  </r>
  <r>
    <x v="1"/>
    <s v="IXTAPALUCA"/>
    <n v="35971"/>
    <s v="TANIA NAVARRETE SILVA"/>
    <d v="2023-10-23T00:00:00"/>
    <n v="8"/>
    <x v="0"/>
    <n v="0"/>
    <n v="123999.45000000001"/>
    <n v="123999.45000000001"/>
    <n v="0"/>
    <n v="35000"/>
    <n v="123999.45"/>
    <n v="6"/>
    <n v="0"/>
    <n v="0"/>
    <n v="8662.5"/>
    <n v="3737.5"/>
    <x v="3"/>
  </r>
  <r>
    <x v="1"/>
    <s v="IXTAPALUCA"/>
    <n v="35961"/>
    <s v="DULCE YURIKO NISHIKAWA MOLINA"/>
    <d v="2023-10-23T00:00:00"/>
    <n v="8"/>
    <x v="0"/>
    <n v="0"/>
    <n v="0"/>
    <n v="0"/>
    <n v="0"/>
    <n v="35000"/>
    <n v="0"/>
    <n v="0"/>
    <n v="0"/>
    <n v="0"/>
    <n v="3462.5"/>
    <s v=""/>
    <x v="3"/>
  </r>
  <r>
    <x v="1"/>
    <s v="IZTAPALAPA"/>
    <n v="31346"/>
    <s v="LAURA LORENA PéREZ MENDOZA"/>
    <d v="2023-05-08T00:00:00"/>
    <n v="176"/>
    <x v="1"/>
    <n v="1074855.1599999999"/>
    <n v="1311278.8"/>
    <n v="1256139.9400000002"/>
    <n v="0"/>
    <n v="276399.97200000001"/>
    <n v="549998.68999999983"/>
    <n v="35"/>
    <n v="25"/>
    <n v="9"/>
    <n v="4543.75"/>
    <n v="7360"/>
    <x v="3"/>
  </r>
  <r>
    <x v="1"/>
    <s v="NEZAHUALCOYOTL"/>
    <n v="34012"/>
    <s v="JONNY ROMAN GARCIA VALENTINO"/>
    <d v="2020-01-20T00:00:00"/>
    <n v="1380"/>
    <x v="4"/>
    <n v="1485091.73"/>
    <n v="1481288.89"/>
    <n v="1378601.8499999999"/>
    <n v="0"/>
    <n v="1084885.4114000001"/>
    <n v="644000.28"/>
    <n v="3"/>
    <n v="0"/>
    <n v="0"/>
    <n v="18447.063802798621"/>
    <n v="4845"/>
    <x v="3"/>
  </r>
  <r>
    <x v="1"/>
    <s v="NEZAHUALCOYOTL"/>
    <n v="35102"/>
    <s v="ULISES URIEL PARTIDA MENDEZ"/>
    <d v="2022-09-19T00:00:00"/>
    <n v="407"/>
    <x v="2"/>
    <n v="0"/>
    <n v="65991.66"/>
    <n v="65991.66"/>
    <n v="0"/>
    <n v="68954.214360041617"/>
    <n v="73999.710000000006"/>
    <n v="12"/>
    <n v="0"/>
    <n v="0"/>
    <n v="3649.2288538724547"/>
    <n v="1667.5"/>
    <x v="3"/>
  </r>
  <r>
    <x v="1"/>
    <s v="NEZAHUALCOYOTL"/>
    <n v="33385"/>
    <s v="NADINE GUADALUPE URIBE SANTIAGO"/>
    <d v="2023-02-01T00:00:00"/>
    <n v="272"/>
    <x v="3"/>
    <n v="1807599.4199999997"/>
    <n v="1911661.51"/>
    <n v="1623493.82"/>
    <n v="845.78"/>
    <n v="652790.06285000034"/>
    <n v="512500.21000000014"/>
    <n v="0"/>
    <n v="44"/>
    <n v="16"/>
    <n v="4543.75"/>
    <n v="9615"/>
    <x v="3"/>
  </r>
  <r>
    <x v="1"/>
    <s v="NEZAHUALCOYOTL 2"/>
    <n v="30049"/>
    <s v="NELLYE SAAVEDRA SALVADOR"/>
    <d v="2023-03-21T00:00:00"/>
    <n v="224"/>
    <x v="3"/>
    <n v="504757.98"/>
    <n v="655471.85"/>
    <n v="597818.32000000007"/>
    <n v="0"/>
    <n v="509569.28939999989"/>
    <n v="425500.53999999992"/>
    <n v="51"/>
    <n v="27"/>
    <n v="20"/>
    <n v="11752.778622064572"/>
    <n v="690"/>
    <x v="3"/>
  </r>
  <r>
    <x v="1"/>
    <s v="NEZAHUALCOYOTL 2"/>
    <n v="34226"/>
    <s v="JORGE ALBERTO CONTRERAS SEGUNDO"/>
    <d v="2023-08-16T00:00:00"/>
    <n v="76"/>
    <x v="0"/>
    <n v="527990.33000000007"/>
    <n v="533168.67000000004"/>
    <n v="533168.67000000004"/>
    <n v="0"/>
    <n v="188625.17499999999"/>
    <n v="144500.24999999997"/>
    <n v="35"/>
    <n v="0"/>
    <n v="0"/>
    <n v="2162.5"/>
    <n v="2000"/>
    <x v="3"/>
  </r>
  <r>
    <x v="1"/>
    <s v="NEZAHUALCOYOTL 2"/>
    <n v="34786"/>
    <s v="HUGO ENRIQUE SEVILLANO ONOFRE"/>
    <d v="2023-09-04T00:00:00"/>
    <n v="57"/>
    <x v="0"/>
    <n v="83866.45"/>
    <n v="62312.639999999999"/>
    <n v="62312.639999999999"/>
    <n v="0"/>
    <n v="97000"/>
    <n v="0"/>
    <n v="13"/>
    <n v="0"/>
    <n v="0"/>
    <n v="6150.6455484726539"/>
    <n v="2000"/>
    <x v="3"/>
  </r>
  <r>
    <x v="1"/>
    <s v="NEZAHUALCOYOTL 2"/>
    <n v="25227"/>
    <s v="DENISSE FUENTES CASTRO"/>
    <d v="2023-09-18T00:00:00"/>
    <n v="43"/>
    <x v="0"/>
    <n v="1090773.07"/>
    <n v="1399575.2000000004"/>
    <n v="1194708.5600000003"/>
    <n v="0"/>
    <n v="608154.84105000005"/>
    <n v="831535.17999999982"/>
    <n v="7"/>
    <n v="25"/>
    <n v="15"/>
    <n v="16173.440760706768"/>
    <n v="4612.5"/>
    <x v="3"/>
  </r>
  <r>
    <x v="1"/>
    <s v="TEXCOCO"/>
    <n v="33373"/>
    <s v="ROBERTO MERAZ GUTIERREZ"/>
    <d v="2023-04-17T00:00:00"/>
    <n v="197"/>
    <x v="3"/>
    <n v="1400508.2900000003"/>
    <n v="1376339.9999999995"/>
    <n v="1291066.31"/>
    <n v="0"/>
    <n v="485549.82924999995"/>
    <n v="518999.96000000008"/>
    <n v="7"/>
    <n v="20"/>
    <n v="10"/>
    <n v="3106.2504176951011"/>
    <n v="3390"/>
    <x v="3"/>
  </r>
  <r>
    <x v="1"/>
    <s v="TEXCOCO"/>
    <n v="32596"/>
    <s v="ELIZABETH PEREZ PERALTA"/>
    <d v="2023-06-16T00:00:00"/>
    <n v="137"/>
    <x v="1"/>
    <n v="1237666.1099999996"/>
    <n v="1029276.8400000002"/>
    <n v="958143.37999999977"/>
    <n v="0"/>
    <n v="473180.13524999993"/>
    <n v="281874.26"/>
    <n v="9"/>
    <n v="0"/>
    <n v="0"/>
    <n v="3377.0293223283606"/>
    <n v="0"/>
    <x v="3"/>
  </r>
  <r>
    <x v="1"/>
    <s v="TEXCOCO"/>
    <n v="36042"/>
    <s v="YESSICA ADELAIDA DELGADILLO MIRANDA"/>
    <d v="2023-10-24T00:00:00"/>
    <n v="7"/>
    <x v="0"/>
    <n v="0"/>
    <n v="0"/>
    <n v="0"/>
    <n v="0"/>
    <n v="35000"/>
    <n v="0"/>
    <n v="0"/>
    <n v="0"/>
    <n v="0"/>
    <n v="4762.5"/>
    <s v=""/>
    <x v="3"/>
  </r>
  <r>
    <x v="1"/>
    <s v="TONALA"/>
    <n v="30869"/>
    <s v="LAURA PATRICIA CARRERA QUINTERO"/>
    <d v="2023-04-18T00:00:00"/>
    <n v="196"/>
    <x v="3"/>
    <n v="1390725.68"/>
    <n v="1147073.1199999999"/>
    <n v="1129228.75"/>
    <n v="0"/>
    <n v="615819.89484999992"/>
    <n v="241001.0100000001"/>
    <n v="21"/>
    <n v="69"/>
    <n v="29"/>
    <n v="5306.1299235304232"/>
    <n v="2242.5"/>
    <x v="3"/>
  </r>
  <r>
    <x v="1"/>
    <s v="TONALA"/>
    <n v="33967"/>
    <s v="MIRIAM PATRICIA ROSAS AREVALO"/>
    <d v="2023-08-07T00:00:00"/>
    <n v="85"/>
    <x v="0"/>
    <n v="423493.14"/>
    <n v="355936.92000000004"/>
    <n v="355936.92000000004"/>
    <n v="0"/>
    <n v="339500.12599999993"/>
    <n v="93000.12999999999"/>
    <n v="12"/>
    <n v="2"/>
    <n v="0"/>
    <n v="9758.3845542690942"/>
    <n v="2000"/>
    <x v="3"/>
  </r>
  <r>
    <x v="1"/>
    <s v="TONALA 2"/>
    <n v="20612"/>
    <s v="ARMANDO ALEJANDRO TOVAR BRACAMONTES"/>
    <d v="2022-03-28T00:00:00"/>
    <n v="582"/>
    <x v="6"/>
    <n v="2025186.81"/>
    <n v="2198186.8200000003"/>
    <n v="2129521.5599999996"/>
    <n v="0"/>
    <n v="649984.89004999993"/>
    <n v="1036499.2199999997"/>
    <n v="21"/>
    <n v="25"/>
    <n v="23"/>
    <n v="3675"/>
    <n v="8910"/>
    <x v="3"/>
  </r>
  <r>
    <x v="2"/>
    <s v="AMECAMECA"/>
    <n v="27539"/>
    <s v="MARIA ISABEL MUÑOZ SANCHEZ"/>
    <d v="2022-12-07T00:00:00"/>
    <n v="328"/>
    <x v="3"/>
    <n v="1051330.49"/>
    <n v="968250.62"/>
    <n v="749763.19"/>
    <n v="7792.63"/>
    <n v="701994.62589999998"/>
    <n v="274999.71999999997"/>
    <n v="6"/>
    <n v="33"/>
    <n v="22"/>
    <n v="10869.718061712916"/>
    <n v="487.5"/>
    <x v="3"/>
  </r>
  <r>
    <x v="2"/>
    <s v="AMECAMECA"/>
    <n v="34963"/>
    <s v="HASLEY RODRIGUEZ GARCIA"/>
    <d v="2023-09-08T00:00:00"/>
    <n v="53"/>
    <x v="0"/>
    <n v="580055.13"/>
    <n v="776696.58000000007"/>
    <n v="776696.58000000007"/>
    <n v="0"/>
    <n v="97000"/>
    <n v="481000.03000000009"/>
    <n v="1"/>
    <n v="0"/>
    <n v="0"/>
    <n v="8135.5357142857147"/>
    <n v="9343.75"/>
    <x v="3"/>
  </r>
  <r>
    <x v="2"/>
    <s v="AMECAMECA"/>
    <n v="36084"/>
    <s v="ANAHI JIMENEZ RAMOS"/>
    <d v="2023-10-27T00:00:00"/>
    <n v="4"/>
    <x v="0"/>
    <n v="0"/>
    <n v="0"/>
    <n v="0"/>
    <n v="0"/>
    <n v="35000"/>
    <n v="0"/>
    <n v="0"/>
    <n v="0"/>
    <n v="0"/>
    <n v="2162.5"/>
    <n v="2000"/>
    <x v="3"/>
  </r>
  <r>
    <x v="2"/>
    <s v="CHALCO"/>
    <n v="34479"/>
    <s v="JHOVANNY AGUILAR GARCIA"/>
    <d v="2023-08-24T00:00:00"/>
    <n v="68"/>
    <x v="0"/>
    <n v="540844.75"/>
    <n v="629149.35"/>
    <n v="623685.68999999994"/>
    <n v="0"/>
    <n v="331319.97195000004"/>
    <n v="337999.97000000003"/>
    <n v="28"/>
    <n v="0"/>
    <n v="0"/>
    <n v="5061.391395619944"/>
    <n v="5750"/>
    <x v="3"/>
  </r>
  <r>
    <x v="2"/>
    <s v="CHALCO"/>
    <n v="34961"/>
    <s v="EDUARDO ABEL CARBAJAL"/>
    <d v="2023-09-08T00:00:00"/>
    <n v="53"/>
    <x v="0"/>
    <n v="49205.409999999996"/>
    <n v="340230.22"/>
    <n v="340230.22"/>
    <n v="0"/>
    <n v="35000"/>
    <n v="331999.43000000011"/>
    <n v="46"/>
    <n v="0"/>
    <n v="0"/>
    <n v="2162.5"/>
    <n v="8625"/>
    <x v="3"/>
  </r>
  <r>
    <x v="2"/>
    <s v="CHALCO"/>
    <n v="35841"/>
    <s v="RAUL RODRIGUEZ PEREZ"/>
    <d v="2023-10-18T00:00:00"/>
    <n v="13"/>
    <x v="0"/>
    <n v="0"/>
    <n v="0"/>
    <n v="0"/>
    <n v="0"/>
    <n v="35000"/>
    <n v="0"/>
    <n v="0"/>
    <n v="0"/>
    <n v="0"/>
    <n v="2162.5"/>
    <n v="2000"/>
    <x v="3"/>
  </r>
  <r>
    <x v="2"/>
    <s v="COATZACOALCOS"/>
    <n v="26859"/>
    <s v="MONSERRAT DE LA CRUZ MARTINEZ ALVARADO"/>
    <d v="2022-11-16T00:00:00"/>
    <n v="349"/>
    <x v="3"/>
    <n v="719485.41999999993"/>
    <n v="576343.26"/>
    <n v="363449.94"/>
    <n v="82742.149999999994"/>
    <n v="463053.85930000007"/>
    <n v="126499.11"/>
    <n v="49"/>
    <n v="37"/>
    <n v="4"/>
    <n v="10857.211961248246"/>
    <n v="517.5"/>
    <x v="3"/>
  </r>
  <r>
    <x v="2"/>
    <s v="COATZACOALCOS"/>
    <n v="33951"/>
    <s v="JULIO CESAR GONZALEZ ESPINOZA"/>
    <d v="2023-08-07T00:00:00"/>
    <n v="85"/>
    <x v="0"/>
    <n v="363737.76"/>
    <n v="440566.51"/>
    <n v="436179.98000000004"/>
    <n v="0"/>
    <n v="287200.35699999996"/>
    <n v="169499.86"/>
    <n v="23"/>
    <n v="0"/>
    <n v="0"/>
    <n v="7042.5505896143359"/>
    <n v="2000"/>
    <x v="3"/>
  </r>
  <r>
    <x v="2"/>
    <s v="COATZACOALCOS"/>
    <n v="35610"/>
    <s v="JULLIET MONTILLO GANG"/>
    <d v="2023-10-09T00:00:00"/>
    <n v="22"/>
    <x v="0"/>
    <n v="42950.229999999996"/>
    <n v="120712.59"/>
    <n v="120712.59"/>
    <n v="0"/>
    <n v="35000"/>
    <n v="97999.12"/>
    <n v="21"/>
    <n v="0"/>
    <n v="0"/>
    <n v="2162.5"/>
    <n v="2875"/>
    <x v="3"/>
  </r>
  <r>
    <x v="2"/>
    <s v="FORTIN"/>
    <n v="17299"/>
    <s v="JULIAN MARTINEZ CORTES"/>
    <d v="2021-11-10T00:00:00"/>
    <n v="720"/>
    <x v="5"/>
    <n v="733878.24000000011"/>
    <n v="604773.24"/>
    <n v="590866.65"/>
    <n v="34984.94"/>
    <n v="359790.14965000004"/>
    <n v="213149.33999999997"/>
    <n v="3"/>
    <n v="18"/>
    <n v="13"/>
    <n v="3938.2556584237177"/>
    <n v="260"/>
    <x v="3"/>
  </r>
  <r>
    <x v="2"/>
    <s v="FORTIN"/>
    <n v="29508"/>
    <s v="JESSICA MARIN DURON"/>
    <d v="2023-03-02T00:00:00"/>
    <n v="243"/>
    <x v="3"/>
    <n v="892166.98"/>
    <n v="878059.23"/>
    <n v="720046.32"/>
    <n v="0"/>
    <n v="536335.21505"/>
    <n v="238999.95"/>
    <n v="1"/>
    <n v="30"/>
    <n v="17"/>
    <n v="7063.2105148269729"/>
    <n v="1065"/>
    <x v="3"/>
  </r>
  <r>
    <x v="2"/>
    <s v="MILPA ALTA"/>
    <n v="31036"/>
    <s v="JENIFER QUETZALLI REMOLINO"/>
    <d v="2023-04-24T00:00:00"/>
    <n v="190"/>
    <x v="3"/>
    <n v="560430.12"/>
    <n v="717936.73"/>
    <n v="709554.81"/>
    <n v="0"/>
    <n v="353199.97415000002"/>
    <n v="446499.21000000014"/>
    <n v="20"/>
    <n v="27"/>
    <n v="14"/>
    <n v="4025.1021265831278"/>
    <n v="8510"/>
    <x v="3"/>
  </r>
  <r>
    <x v="2"/>
    <s v="MILPA ALTA"/>
    <n v="31037"/>
    <s v="BRAULIO GUZMAN JIMENEZ"/>
    <d v="2023-04-24T00:00:00"/>
    <n v="190"/>
    <x v="3"/>
    <n v="436167.04000000004"/>
    <n v="474371.97999999992"/>
    <n v="373422.04"/>
    <n v="0"/>
    <n v="282509.78265000001"/>
    <n v="237499.25000000006"/>
    <n v="9"/>
    <n v="32"/>
    <n v="13"/>
    <n v="5558.7514108577334"/>
    <n v="315"/>
    <x v="3"/>
  </r>
  <r>
    <x v="2"/>
    <s v="MILPA ALTA"/>
    <n v="35878"/>
    <s v="MARI JOSE TLAPANCO SANTIAGO"/>
    <d v="2023-10-19T00:00:00"/>
    <n v="12"/>
    <x v="0"/>
    <n v="0"/>
    <n v="0"/>
    <n v="0"/>
    <n v="0"/>
    <n v="35000"/>
    <n v="0"/>
    <n v="0"/>
    <n v="0"/>
    <n v="0"/>
    <n v="3462.5"/>
    <s v=""/>
    <x v="3"/>
  </r>
  <r>
    <x v="2"/>
    <s v="ORIZABA"/>
    <n v="25225"/>
    <s v="MARCELO TZITZIHUA TZITZIHUA"/>
    <d v="2022-09-19T00:00:00"/>
    <n v="407"/>
    <x v="2"/>
    <n v="1149245.43"/>
    <n v="1076910.8900000001"/>
    <n v="509560.23"/>
    <n v="33174.18"/>
    <n v="617000.23329999996"/>
    <n v="219000.18"/>
    <n v="22"/>
    <n v="60"/>
    <n v="7"/>
    <n v="7381.6520402632741"/>
    <n v="130"/>
    <x v="3"/>
  </r>
  <r>
    <x v="2"/>
    <s v="ORIZABA"/>
    <n v="27027"/>
    <s v="FERNANDO MANUEL VELASCO RIVERA"/>
    <d v="2022-11-22T00:00:00"/>
    <n v="343"/>
    <x v="3"/>
    <n v="1236672.57"/>
    <n v="1132439.3199999998"/>
    <n v="722358.54999999981"/>
    <n v="26199.53"/>
    <n v="684260.51084999996"/>
    <n v="254000.7099999999"/>
    <n v="0"/>
    <n v="77"/>
    <n v="22"/>
    <n v="11203.69831594063"/>
    <n v="487.5"/>
    <x v="3"/>
  </r>
  <r>
    <x v="2"/>
    <s v="ORIZABA"/>
    <n v="33874"/>
    <s v="JAEL BRAVO REYES"/>
    <d v="2023-08-02T00:00:00"/>
    <n v="90"/>
    <x v="1"/>
    <n v="182918.49"/>
    <n v="424277.02"/>
    <n v="424277.02"/>
    <n v="0"/>
    <n v="204000"/>
    <n v="305999.86000000004"/>
    <n v="33"/>
    <n v="0"/>
    <n v="0"/>
    <n v="4831.9255426235532"/>
    <n v="8625"/>
    <x v="3"/>
  </r>
  <r>
    <x v="2"/>
    <s v="TLAHUAC"/>
    <n v="28375"/>
    <s v="OLIVIA LOPEZ HERNANDEZ"/>
    <d v="2023-01-23T00:00:00"/>
    <n v="281"/>
    <x v="3"/>
    <n v="1302065.29"/>
    <n v="1311201.8799999999"/>
    <n v="1163070.82"/>
    <n v="376"/>
    <n v="423500.19579999999"/>
    <n v="375000.04999999981"/>
    <n v="8"/>
    <n v="50"/>
    <n v="17"/>
    <n v="6588.9200655608229"/>
    <n v="1305"/>
    <x v="3"/>
  </r>
  <r>
    <x v="2"/>
    <s v="TLAHUAC"/>
    <n v="33499"/>
    <s v="HECTOR CORONEL VENTURA"/>
    <d v="2023-07-21T00:00:00"/>
    <n v="102"/>
    <x v="1"/>
    <n v="1114403.3900000001"/>
    <n v="775926.45"/>
    <n v="775926.45"/>
    <n v="0"/>
    <n v="226249.99299999996"/>
    <n v="67500.03"/>
    <n v="28"/>
    <n v="10"/>
    <n v="7"/>
    <n v="5193.75"/>
    <n v="2875"/>
    <x v="3"/>
  </r>
  <r>
    <x v="2"/>
    <s v="TLAHUAC"/>
    <n v="34962"/>
    <s v="ANA CRISTINA HERNANDEZ PEREZ"/>
    <d v="2023-09-08T00:00:00"/>
    <n v="53"/>
    <x v="0"/>
    <n v="56000"/>
    <n v="43665.95"/>
    <n v="43665.95"/>
    <n v="0"/>
    <n v="97000"/>
    <n v="0"/>
    <n v="12"/>
    <n v="0"/>
    <n v="0"/>
    <n v="4467.7029240537377"/>
    <n v="2000"/>
    <x v="3"/>
  </r>
  <r>
    <x v="2"/>
    <s v="TLAHUAC"/>
    <n v="36071"/>
    <s v="MARIO GUILLERMO PEREZ MORALES"/>
    <d v="2023-10-26T00:00:00"/>
    <n v="5"/>
    <x v="0"/>
    <n v="0"/>
    <n v="0"/>
    <n v="0"/>
    <n v="0"/>
    <n v="35000"/>
    <n v="0"/>
    <n v="0"/>
    <n v="0"/>
    <n v="0"/>
    <n v="4112.5"/>
    <s v=""/>
    <x v="3"/>
  </r>
  <r>
    <x v="0"/>
    <s v="VILLAHERMOSA"/>
    <n v="35429"/>
    <s v="MARÍA DE JESÚS DÍAZ LÓPEZ "/>
    <d v="2023-10-02T00:00:00"/>
    <n v="59"/>
    <x v="0"/>
    <n v="458864.25"/>
    <n v="404002.47"/>
    <n v="279609.66000000003"/>
    <n v="0"/>
    <m/>
    <n v="40499.849999999991"/>
    <n v="1"/>
    <n v="0"/>
    <n v="0"/>
    <n v="8591"/>
    <n v="2000"/>
    <x v="4"/>
  </r>
  <r>
    <x v="1"/>
    <s v="CHIMALHUACAN 2"/>
    <n v="20315"/>
    <s v="KARINA TERRAZAS OLVERA"/>
    <d v="2022-03-14T00:00:00"/>
    <n v="626"/>
    <x v="6"/>
    <n v="858344.55000000016"/>
    <n v="934386.79"/>
    <n v="871262.82000000007"/>
    <n v="13734.17"/>
    <n v="534805.70329999994"/>
    <n v="379999.68999999994"/>
    <n v="14"/>
    <n v="44"/>
    <n v="20"/>
    <n v="12944.75"/>
    <n v="2014.9349919999995"/>
    <x v="4"/>
  </r>
  <r>
    <x v="1"/>
    <s v="CHIMALHUACAN 2"/>
    <n v="20314"/>
    <s v="MARIBEL RODRIGUEZ CARRIZOZA"/>
    <d v="2022-03-14T00:00:00"/>
    <n v="626"/>
    <x v="6"/>
    <n v="1238700.4699999997"/>
    <n v="1144337.3899999999"/>
    <n v="1061477.1399999999"/>
    <n v="58965.35"/>
    <n v="518220.33934999997"/>
    <n v="258001.05"/>
    <n v="4"/>
    <n v="53"/>
    <n v="29"/>
    <n v="13854"/>
    <n v="143.69683499999968"/>
    <x v="4"/>
  </r>
  <r>
    <x v="1"/>
    <s v="CHIMALHUACAN 2"/>
    <n v="30967"/>
    <s v="LIZBETH GUADALUPE MUJICA HERNANDEZ"/>
    <d v="2023-04-20T00:00:00"/>
    <n v="224"/>
    <x v="3"/>
    <n v="2001855.1199999999"/>
    <n v="2260776.13"/>
    <n v="2009240.4900000002"/>
    <n v="36823.07"/>
    <n v="706175.45054999995"/>
    <n v="771502.73000000045"/>
    <n v="7"/>
    <n v="109"/>
    <n v="44"/>
    <n v="17677.5"/>
    <n v="0"/>
    <x v="4"/>
  </r>
  <r>
    <x v="1"/>
    <s v="CHIMALHUACAN 2"/>
    <n v="33878"/>
    <s v="GUADALUPE CARMONA ANTONIO"/>
    <d v="2023-08-02T00:00:00"/>
    <n v="120"/>
    <x v="1"/>
    <n v="415467.24999999994"/>
    <n v="455162.30999999994"/>
    <n v="455162.30999999994"/>
    <n v="0"/>
    <n v="204000"/>
    <n v="190999.92"/>
    <n v="4"/>
    <n v="0"/>
    <n v="0"/>
    <n v="17669.449999999997"/>
    <n v="4137.1125000000002"/>
    <x v="4"/>
  </r>
  <r>
    <x v="1"/>
    <s v="CHIMALHUACAN 2"/>
    <n v="35609"/>
    <s v="BRENDA BERENICE CASTRO HERNÁNDEZ "/>
    <d v="2023-10-09T00:00:00"/>
    <n v="52"/>
    <x v="0"/>
    <n v="0"/>
    <n v="62737.320000000007"/>
    <n v="62737.320000000007"/>
    <n v="0"/>
    <m/>
    <n v="63500.26999999999"/>
    <n v="8"/>
    <n v="0"/>
    <n v="0"/>
    <n v="16127.65"/>
    <n v="2000"/>
    <x v="4"/>
  </r>
  <r>
    <x v="1"/>
    <s v="IXTAPALUCA"/>
    <n v="28239"/>
    <s v="BRENDA DANIELA RODRIGUEZ REYES"/>
    <d v="2023-01-17T00:00:00"/>
    <n v="317"/>
    <x v="3"/>
    <n v="1002090.0100000001"/>
    <n v="796323.99"/>
    <n v="787562.79"/>
    <n v="5394.52"/>
    <n v="335859.97125"/>
    <n v="267500.13"/>
    <n v="15"/>
    <n v="18"/>
    <n v="10"/>
    <n v="12515.55"/>
    <n v="3851.68"/>
    <x v="4"/>
  </r>
  <r>
    <x v="1"/>
    <s v="IXTAPALUCA"/>
    <n v="35961"/>
    <s v="DULCE YURIKO NISHIKAWA MOLINA"/>
    <d v="2023-10-23T00:00:00"/>
    <n v="38"/>
    <x v="0"/>
    <n v="130965.55"/>
    <n v="279141.53999999998"/>
    <n v="279141.53999999998"/>
    <n v="0"/>
    <n v="59610"/>
    <n v="223000.13999999998"/>
    <n v="5"/>
    <n v="0"/>
    <n v="0"/>
    <n v="7506.2150000000001"/>
    <n v="2218.4"/>
    <x v="4"/>
  </r>
  <r>
    <x v="1"/>
    <s v="IXTAPALUCA"/>
    <n v="35971"/>
    <s v="TANIA NAVARRETE SILVA"/>
    <d v="2023-10-23T00:00:00"/>
    <n v="38"/>
    <x v="0"/>
    <n v="520990.77"/>
    <n v="522667.75999999995"/>
    <n v="467797.97000000003"/>
    <n v="0"/>
    <n v="126440"/>
    <n v="213499.74"/>
    <n v="18"/>
    <n v="0"/>
    <n v="0"/>
    <n v="7937.6"/>
    <n v="2000"/>
    <x v="4"/>
  </r>
  <r>
    <x v="1"/>
    <s v="IZTAPALAPA"/>
    <n v="31346"/>
    <s v="LAURA LORENA PEREZ MENDOZA"/>
    <d v="2023-05-08T00:00:00"/>
    <n v="206"/>
    <x v="3"/>
    <n v="1319549.2000000002"/>
    <n v="1262447.9299999995"/>
    <n v="1152814.8299999996"/>
    <n v="9648.84"/>
    <m/>
    <n v="313999.86999999988"/>
    <n v="16"/>
    <n v="58"/>
    <n v="21"/>
    <n v="16081"/>
    <n v="2081.5028500000008"/>
    <x v="4"/>
  </r>
  <r>
    <x v="1"/>
    <s v="IZTAPALAPA"/>
    <n v="36153"/>
    <s v="JUAN MANUEL HERNANDEZ HERNANDEZ"/>
    <d v="2023-11-01T00:00:00"/>
    <n v="29"/>
    <x v="0"/>
    <n v="0"/>
    <n v="84999.09"/>
    <n v="84999.09"/>
    <n v="0"/>
    <n v="41440"/>
    <n v="84999.09"/>
    <n v="15"/>
    <n v="0"/>
    <n v="0"/>
    <n v="6816.9699999999993"/>
    <n v="2000"/>
    <x v="4"/>
  </r>
  <r>
    <x v="1"/>
    <s v="IZTAPALAPA"/>
    <n v="36305"/>
    <s v="JUAN ANTONIO POZOS VALVERDE"/>
    <d v="2023-11-10T00:00:00"/>
    <n v="20"/>
    <x v="0"/>
    <n v="0"/>
    <n v="134148"/>
    <n v="134148"/>
    <n v="0"/>
    <m/>
    <n v="135999.38"/>
    <n v="12"/>
    <n v="0"/>
    <n v="0"/>
    <n v="9327.65"/>
    <n v="2000"/>
    <x v="4"/>
  </r>
  <r>
    <x v="1"/>
    <s v="NEZAHUALCOYOTL"/>
    <n v="34012"/>
    <s v="JONNY ROMAN GARCIA VALENTINO"/>
    <d v="2020-01-20T00:00:00"/>
    <n v="1410"/>
    <x v="4"/>
    <n v="1765376.25"/>
    <n v="1947662.8499999996"/>
    <n v="1827719.6299999997"/>
    <n v="0"/>
    <n v="586259.97794999997"/>
    <n v="818499.80999999994"/>
    <n v="0"/>
    <n v="0"/>
    <n v="0"/>
    <n v="14341.5"/>
    <n v="3631.2847425"/>
    <x v="4"/>
  </r>
  <r>
    <x v="1"/>
    <s v="NEZAHUALCOYOTL"/>
    <n v="33385"/>
    <s v="NADINE GUADALUPE URIBE SANTIAGO"/>
    <d v="2023-02-01T00:00:00"/>
    <n v="302"/>
    <x v="3"/>
    <n v="1627574.1500000001"/>
    <n v="1799860.9000000001"/>
    <n v="1647078.1500000001"/>
    <n v="118809.76"/>
    <n v="973930.27449999982"/>
    <n v="815499.47"/>
    <n v="9"/>
    <n v="67"/>
    <n v="43"/>
    <n v="17516.5"/>
    <n v="0"/>
    <x v="4"/>
  </r>
  <r>
    <x v="1"/>
    <s v="NEZAHUALCOYOTL"/>
    <n v="35102"/>
    <s v="ULISES URIEL PARTIDA MENDEZ"/>
    <d v="2023-09-18T00:00:00"/>
    <n v="73"/>
    <x v="0"/>
    <n v="65991.66"/>
    <n v="128614.11"/>
    <n v="128614.11"/>
    <n v="0"/>
    <n v="97000"/>
    <n v="76999.520000000019"/>
    <n v="8"/>
    <n v="0"/>
    <n v="0"/>
    <n v="7806.2"/>
    <n v="2000"/>
    <x v="4"/>
  </r>
  <r>
    <x v="1"/>
    <s v="NEZAHUALCOYOTL"/>
    <n v="36251"/>
    <s v="ANA LIZBETH MORA RAMIREZ"/>
    <d v="2023-11-08T00:00:00"/>
    <n v="22"/>
    <x v="0"/>
    <n v="0"/>
    <n v="79999.839999999997"/>
    <n v="79999.839999999997"/>
    <n v="0"/>
    <m/>
    <n v="79999.839999999997"/>
    <n v="23"/>
    <n v="0"/>
    <n v="0"/>
    <n v="9327.65"/>
    <n v="2000"/>
    <x v="4"/>
  </r>
  <r>
    <x v="1"/>
    <s v="NEZAHUALCOYOTL 2"/>
    <n v="25227"/>
    <s v="DENISSE FUENTES CASTRO"/>
    <d v="2022-09-19T00:00:00"/>
    <n v="437"/>
    <x v="2"/>
    <n v="1399575.2000000004"/>
    <n v="1334367.3899999999"/>
    <n v="1084596.52"/>
    <n v="15837.4"/>
    <n v="574215.37804999982"/>
    <n v="500500.26"/>
    <n v="16"/>
    <n v="56"/>
    <n v="43"/>
    <n v="13432"/>
    <n v="0"/>
    <x v="4"/>
  </r>
  <r>
    <x v="1"/>
    <s v="NEZAHUALCOYOTL 2"/>
    <n v="30049"/>
    <s v="NELLYE SAAVEDRA SALVADOR"/>
    <d v="2023-03-21T00:00:00"/>
    <n v="254"/>
    <x v="3"/>
    <n v="672758.6"/>
    <n v="845608.16999999993"/>
    <n v="787954.6399999999"/>
    <n v="0"/>
    <n v="486019.33614999999"/>
    <n v="452000.23999999987"/>
    <n v="1"/>
    <n v="30"/>
    <n v="17"/>
    <n v="17465"/>
    <n v="775.12139199999979"/>
    <x v="4"/>
  </r>
  <r>
    <x v="1"/>
    <s v="NEZAHUALCOYOTL 2"/>
    <n v="34226"/>
    <s v="JORGE ALBERTO CONTRERAS SEGUNDO"/>
    <d v="2023-08-16T00:00:00"/>
    <n v="106"/>
    <x v="1"/>
    <n v="515881.92"/>
    <n v="641885.73"/>
    <n v="612326.6"/>
    <n v="0"/>
    <n v="358500.46799999999"/>
    <n v="253501.21999999986"/>
    <n v="24"/>
    <n v="1"/>
    <n v="0"/>
    <n v="11036.5"/>
    <n v="2303.8173999999999"/>
    <x v="4"/>
  </r>
  <r>
    <x v="1"/>
    <s v="TEXCOCO"/>
    <n v="33373"/>
    <s v="ROBERTO MERAZ GUTIERREZ"/>
    <d v="2023-04-17T00:00:00"/>
    <n v="227"/>
    <x v="3"/>
    <n v="1376339.9999999995"/>
    <n v="1433027.89"/>
    <n v="1282297.7500000002"/>
    <n v="0"/>
    <n v="486295.16940000001"/>
    <n v="445500.71"/>
    <n v="7"/>
    <n v="39"/>
    <n v="11"/>
    <n v="19226.5"/>
    <n v="0"/>
    <x v="4"/>
  </r>
  <r>
    <x v="1"/>
    <s v="TEXCOCO"/>
    <n v="32596"/>
    <s v="ELIZABETH PEREZ PERALTA"/>
    <d v="2023-06-16T00:00:00"/>
    <n v="167"/>
    <x v="1"/>
    <n v="1029276.8400000002"/>
    <n v="1153428.69"/>
    <n v="1029927.5"/>
    <n v="0"/>
    <n v="864449.86210000003"/>
    <n v="493499.8600000001"/>
    <n v="6"/>
    <n v="21"/>
    <n v="5"/>
    <n v="15885.750000000002"/>
    <n v="0"/>
    <x v="4"/>
  </r>
  <r>
    <x v="1"/>
    <s v="TEXCOCO"/>
    <n v="36042"/>
    <s v="YESSICA ADELAIDA DELGADILLO MIRANDA"/>
    <d v="2023-10-24T00:00:00"/>
    <n v="37"/>
    <x v="0"/>
    <n v="218996.48000000001"/>
    <n v="249323.05"/>
    <n v="232910.99"/>
    <n v="0"/>
    <n v="59240"/>
    <n v="117999.66000000002"/>
    <n v="8"/>
    <n v="0"/>
    <n v="0"/>
    <n v="6567.2"/>
    <n v="2000"/>
    <x v="4"/>
  </r>
  <r>
    <x v="1"/>
    <s v="TONALA"/>
    <n v="30869"/>
    <s v="LAURA PATRICIA CARRERA QUINTERO"/>
    <d v="2023-04-18T00:00:00"/>
    <n v="226"/>
    <x v="3"/>
    <n v="1147073.1199999999"/>
    <n v="1045160.5999999996"/>
    <n v="1015272.0599999996"/>
    <n v="0"/>
    <n v="574200.26985000004"/>
    <n v="342501.2800000002"/>
    <n v="0"/>
    <n v="76"/>
    <n v="32"/>
    <n v="14287.25"/>
    <n v="2769"/>
    <x v="4"/>
  </r>
  <r>
    <x v="1"/>
    <s v="TONALA 2"/>
    <n v="20612"/>
    <s v="ARMANDO ALEJANDRO TOVAR BRACAMONTES"/>
    <d v="2022-03-28T00:00:00"/>
    <n v="612"/>
    <x v="6"/>
    <n v="2198186.8200000003"/>
    <n v="1876712.0399999998"/>
    <n v="1808046.7799999998"/>
    <n v="0"/>
    <n v="507624.84789999994"/>
    <n v="473500.10999999993"/>
    <n v="2"/>
    <n v="36"/>
    <n v="33"/>
    <n v="14246"/>
    <n v="5747.1750000000002"/>
    <x v="4"/>
  </r>
  <r>
    <x v="1"/>
    <s v="TONALA 2"/>
    <n v="36216"/>
    <s v="MIRIAM PATRICIA ROSAS AREVALO"/>
    <d v="2023-08-07T00:00:00"/>
    <n v="115"/>
    <x v="1"/>
    <n v="0"/>
    <n v="107017.94"/>
    <n v="107017.94"/>
    <n v="0"/>
    <n v="309300.228"/>
    <n v="113000.13999999998"/>
    <n v="11"/>
    <n v="0"/>
    <n v="0"/>
    <n v="11641.449999999999"/>
    <n v="1839.9999999999998"/>
    <x v="4"/>
  </r>
  <r>
    <x v="2"/>
    <s v="AMECAMECA"/>
    <n v="27539"/>
    <s v="MARIA ISABEL MUÑOZ SANCHEZ"/>
    <d v="2022-12-07T00:00:00"/>
    <n v="358"/>
    <x v="3"/>
    <n v="968250.62"/>
    <n v="1128795.2699999998"/>
    <n v="1109040.42"/>
    <n v="21361.33"/>
    <n v="639489.82960000006"/>
    <n v="478501.20999999967"/>
    <n v="19"/>
    <n v="58"/>
    <n v="29"/>
    <n v="15990.074999999999"/>
    <n v="6559.7846250000002"/>
    <x v="4"/>
  </r>
  <r>
    <x v="2"/>
    <s v="AMECAMECA"/>
    <n v="34963"/>
    <s v="HASLEY RODRIGUEZ GARCIA"/>
    <d v="2023-09-08T00:00:00"/>
    <n v="83"/>
    <x v="0"/>
    <n v="776696.58000000007"/>
    <n v="668166.29"/>
    <n v="624447.63"/>
    <n v="0"/>
    <n v="356990.11219999997"/>
    <n v="188499.91"/>
    <n v="15"/>
    <n v="0"/>
    <n v="0"/>
    <n v="10405"/>
    <n v="537.18182499999978"/>
    <x v="4"/>
  </r>
  <r>
    <x v="2"/>
    <s v="AMECAMECA"/>
    <n v="36084"/>
    <s v="ANAHI JIMENEZ RAMOS"/>
    <d v="2023-10-27T00:00:00"/>
    <n v="34"/>
    <x v="0"/>
    <n v="272135.33999999997"/>
    <n v="373973.50999999995"/>
    <n v="370570.63999999996"/>
    <n v="0"/>
    <n v="50250"/>
    <n v="167000"/>
    <n v="8"/>
    <n v="0"/>
    <n v="0"/>
    <n v="7495.1249999999991"/>
    <n v="2190.4625000000001"/>
    <x v="4"/>
  </r>
  <r>
    <x v="2"/>
    <s v="CHALCO"/>
    <n v="34961"/>
    <s v="EDUARDO ABEL CARBAJAL BALDERAS"/>
    <d v="2023-09-08T00:00:00"/>
    <n v="83"/>
    <x v="0"/>
    <n v="781614.94000000018"/>
    <n v="932970.56000000017"/>
    <n v="932970.56000000017"/>
    <n v="0"/>
    <m/>
    <n v="401000.58000000013"/>
    <n v="6"/>
    <n v="0"/>
    <n v="0"/>
    <n v="10902.65"/>
    <n v="3908.6374999999998"/>
    <x v="4"/>
  </r>
  <r>
    <x v="2"/>
    <s v="CHALCO"/>
    <n v="35841"/>
    <s v="RAUL RODRIGUEZ PEREZ"/>
    <d v="2023-10-18T00:00:00"/>
    <n v="43"/>
    <x v="0"/>
    <n v="776138.55"/>
    <n v="878181.5199999999"/>
    <n v="878181.5199999999"/>
    <n v="0"/>
    <n v="77760"/>
    <n v="400500.18999999989"/>
    <n v="21"/>
    <n v="0"/>
    <n v="0"/>
    <n v="8973.07"/>
    <n v="5056.9750000000004"/>
    <x v="4"/>
  </r>
  <r>
    <x v="2"/>
    <s v="CHALCO"/>
    <n v="36252"/>
    <s v="PAOLA GRISELL ROMERO SANCHEZ"/>
    <d v="2023-11-08T00:00:00"/>
    <n v="22"/>
    <x v="0"/>
    <n v="905529.27999999991"/>
    <n v="989465.56000000017"/>
    <n v="989465.56000000017"/>
    <n v="0"/>
    <m/>
    <n v="312500.77"/>
    <n v="9"/>
    <n v="0"/>
    <n v="0"/>
    <n v="10987.65"/>
    <n v="3749.3199999999997"/>
    <x v="4"/>
  </r>
  <r>
    <x v="2"/>
    <s v="COATZACOALCOS"/>
    <n v="2376"/>
    <s v="ISABEL MONSERRAT RAZO MENDEZ"/>
    <d v="2021-07-08T00:00:00"/>
    <n v="875"/>
    <x v="5"/>
    <n v="0"/>
    <n v="0"/>
    <n v="0"/>
    <n v="0"/>
    <m/>
    <n v="0"/>
    <n v="0"/>
    <n v="0"/>
    <n v="0"/>
    <n v="8111"/>
    <n v="500"/>
    <x v="4"/>
  </r>
  <r>
    <x v="2"/>
    <s v="COATZACOALCOS"/>
    <n v="26859"/>
    <s v="MONSERRAT DE LA CRUZ MARTINEZ ALVARADO"/>
    <d v="2022-11-16T00:00:00"/>
    <n v="379"/>
    <x v="2"/>
    <n v="576343.26"/>
    <n v="871219.1100000001"/>
    <n v="699396.86"/>
    <n v="1942"/>
    <n v="602717.68119999999"/>
    <n v="492998.38999999996"/>
    <n v="41"/>
    <n v="56"/>
    <n v="18"/>
    <n v="19433.5"/>
    <n v="0"/>
    <x v="4"/>
  </r>
  <r>
    <x v="2"/>
    <s v="COATZACOALCOS"/>
    <n v="33951"/>
    <s v="JULIO CESAR GONZALEZ ESPINOZA"/>
    <d v="2023-08-07T00:00:00"/>
    <n v="115"/>
    <x v="1"/>
    <n v="440566.51"/>
    <n v="344716.83"/>
    <n v="316486.40999999997"/>
    <n v="0"/>
    <n v="291600.25199999998"/>
    <n v="108499.58"/>
    <n v="2"/>
    <n v="0"/>
    <n v="0"/>
    <n v="10641"/>
    <n v="125.16650000000016"/>
    <x v="4"/>
  </r>
  <r>
    <x v="2"/>
    <s v="COATZACOALCOS"/>
    <n v="35610"/>
    <s v="JULLIET MONTILLO GANG"/>
    <d v="2023-10-09T00:00:00"/>
    <n v="52"/>
    <x v="0"/>
    <n v="120712.59"/>
    <n v="186659.94999999998"/>
    <n v="186659.94999999998"/>
    <n v="0"/>
    <n v="98125"/>
    <n v="105999.51000000001"/>
    <n v="37"/>
    <n v="0"/>
    <n v="0"/>
    <n v="7615.8749999999991"/>
    <n v="2000"/>
    <x v="4"/>
  </r>
  <r>
    <x v="2"/>
    <s v="FORTIN"/>
    <n v="17299"/>
    <s v="JULIAN MARTINEZ CORTES"/>
    <d v="2021-11-10T00:00:00"/>
    <n v="750"/>
    <x v="5"/>
    <n v="604773.24"/>
    <n v="596836.19000000006"/>
    <n v="525160.30000000005"/>
    <n v="0"/>
    <n v="340954.71224999998"/>
    <n v="245999.90999999997"/>
    <n v="10"/>
    <n v="23"/>
    <n v="5"/>
    <n v="10573"/>
    <n v="0"/>
    <x v="4"/>
  </r>
  <r>
    <x v="2"/>
    <s v="FORTIN"/>
    <n v="29508"/>
    <s v="JESSICA MARIN DURON"/>
    <d v="2023-03-02T00:00:00"/>
    <n v="273"/>
    <x v="3"/>
    <n v="878059.23"/>
    <n v="717913.44"/>
    <n v="595792.72"/>
    <n v="0"/>
    <n v="219300.024"/>
    <n v="151000.03000000003"/>
    <n v="0"/>
    <n v="1"/>
    <n v="0"/>
    <n v="10033.5"/>
    <n v="0"/>
    <x v="4"/>
  </r>
  <r>
    <x v="2"/>
    <s v="MILPA ALTA"/>
    <n v="31037"/>
    <s v="BRAULIO GUZMAN JIMENEZ"/>
    <d v="2023-04-24T00:00:00"/>
    <n v="220"/>
    <x v="3"/>
    <n v="474371.97999999992"/>
    <n v="546731.31000000006"/>
    <n v="493925.99"/>
    <n v="0"/>
    <n v="495224.9084500001"/>
    <n v="239500.13000000009"/>
    <n v="2"/>
    <n v="27"/>
    <n v="20"/>
    <n v="10529.5"/>
    <n v="0"/>
    <x v="4"/>
  </r>
  <r>
    <x v="2"/>
    <s v="MILPA ALTA"/>
    <n v="31036"/>
    <s v="JENIFER QUETZALLI AVILA REMOLINO"/>
    <d v="2023-04-24T00:00:00"/>
    <n v="220"/>
    <x v="3"/>
    <n v="717936.73"/>
    <n v="577314.51"/>
    <n v="552347.63"/>
    <n v="0"/>
    <m/>
    <n v="125500.05999999995"/>
    <n v="6"/>
    <n v="24"/>
    <n v="19"/>
    <n v="8951"/>
    <n v="926.72268800000006"/>
    <x v="4"/>
  </r>
  <r>
    <x v="2"/>
    <s v="MILPA ALTA"/>
    <n v="35878"/>
    <s v="MARI JOSE TLAPANCO SANTIAGO"/>
    <d v="2023-10-19T00:00:00"/>
    <n v="42"/>
    <x v="0"/>
    <n v="101846.49"/>
    <n v="192565.06999999998"/>
    <n v="192565.06999999998"/>
    <n v="0"/>
    <n v="77290"/>
    <n v="126000.13"/>
    <n v="17"/>
    <n v="0"/>
    <n v="0"/>
    <n v="7182.49"/>
    <n v="2194.25"/>
    <x v="4"/>
  </r>
  <r>
    <x v="2"/>
    <s v="ORIZABA"/>
    <n v="25225"/>
    <s v="MARCELO TZITZIHUA TZITZIHUA"/>
    <d v="2022-09-19T00:00:00"/>
    <n v="437"/>
    <x v="2"/>
    <n v="1076910.8900000001"/>
    <n v="977349.49000000011"/>
    <n v="638575.75000000012"/>
    <n v="75052.290000000008"/>
    <n v="743634.9328500001"/>
    <n v="156000.40999999995"/>
    <n v="0"/>
    <n v="72"/>
    <n v="14"/>
    <n v="15764"/>
    <n v="0"/>
    <x v="4"/>
  </r>
  <r>
    <x v="2"/>
    <s v="ORIZABA"/>
    <n v="27027"/>
    <s v="FERNANDO MANUEL VELASCO RIVERA"/>
    <d v="2022-11-22T00:00:00"/>
    <n v="373"/>
    <x v="2"/>
    <n v="1130578.3199999998"/>
    <n v="1157538.5099999998"/>
    <n v="878670.43"/>
    <n v="61142.799999999996"/>
    <n v="587940.63434999995"/>
    <n v="243501.64999999991"/>
    <n v="0"/>
    <n v="58"/>
    <n v="20"/>
    <n v="17156.5"/>
    <n v="0"/>
    <x v="4"/>
  </r>
  <r>
    <x v="2"/>
    <s v="ORIZABA"/>
    <n v="33874"/>
    <s v="JAEL BRAVO REYES"/>
    <d v="2023-08-02T00:00:00"/>
    <n v="120"/>
    <x v="1"/>
    <n v="427045.88"/>
    <n v="444308.31000000006"/>
    <n v="437056.76"/>
    <n v="0"/>
    <n v="250399.90649999998"/>
    <n v="162499.90999999995"/>
    <n v="14"/>
    <n v="6"/>
    <n v="6"/>
    <n v="10690"/>
    <n v="3203.9829999999997"/>
    <x v="4"/>
  </r>
  <r>
    <x v="2"/>
    <s v="TLAHUAC"/>
    <n v="28375"/>
    <s v="OLIVIA  LOPEZ HERNANDEZ"/>
    <d v="2023-01-23T00:00:00"/>
    <n v="311"/>
    <x v="3"/>
    <n v="1311201.8799999999"/>
    <n v="1468639.49"/>
    <n v="1362376.8399999996"/>
    <n v="14849.21"/>
    <m/>
    <n v="645001.05000000005"/>
    <n v="5"/>
    <n v="21"/>
    <n v="16"/>
    <n v="16131"/>
    <n v="1418.5065049999996"/>
    <x v="4"/>
  </r>
  <r>
    <x v="2"/>
    <s v="TLAHUAC"/>
    <n v="33499"/>
    <s v="HECTOR CORONEL VENTURA"/>
    <d v="2023-07-21T00:00:00"/>
    <n v="132"/>
    <x v="1"/>
    <n v="775926.45"/>
    <n v="1487694.53"/>
    <n v="1487694.53"/>
    <n v="0"/>
    <n v="550520.15364999988"/>
    <n v="1381001.0000000002"/>
    <n v="5"/>
    <n v="20"/>
    <n v="16"/>
    <n v="13635.449999999999"/>
    <n v="8279.3249999999989"/>
    <x v="4"/>
  </r>
  <r>
    <x v="2"/>
    <s v="TLAHUAC"/>
    <n v="36071"/>
    <s v="MARIO GUILLERMO PEREZ MORALES"/>
    <d v="2023-10-26T00:00:00"/>
    <n v="35"/>
    <x v="0"/>
    <n v="0"/>
    <n v="256000.39"/>
    <n v="256000.39"/>
    <n v="0"/>
    <n v="50250"/>
    <n v="256000.38999999998"/>
    <n v="30"/>
    <n v="0"/>
    <n v="0"/>
    <n v="7495.1249999999991"/>
    <n v="3679.9999999999995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n v="32633"/>
    <s v="BENITO ARTURO TORRUCO LOPEZ"/>
    <d v="2023-06-21T00:00:00"/>
    <d v="1899-12-30T00:00:00"/>
    <x v="0"/>
    <s v="NO"/>
    <n v="1"/>
    <n v="1"/>
    <n v="147782.72"/>
    <s v=""/>
    <s v=""/>
    <s v=""/>
    <s v=""/>
    <n v="147782.72"/>
    <n v="1"/>
    <n v="147782.72"/>
    <s v="NA"/>
    <n v="147782.72"/>
    <n v="0"/>
    <n v="0"/>
    <n v="0"/>
    <n v="1"/>
    <n v="0"/>
    <n v="152999.4"/>
    <s v="NA"/>
    <n v="2"/>
    <n v="0.05"/>
    <n v="0"/>
    <n v="0"/>
    <n v="0"/>
    <n v="2387.5"/>
    <n v="3737.5"/>
    <n v="1.5654450261780104"/>
    <n v="2235.0064000000002"/>
    <x v="0"/>
    <x v="0"/>
    <x v="0"/>
    <s v="1 Bajo Extremo"/>
    <n v="30"/>
    <s v="1 Bajo Extremo"/>
    <n v="30"/>
    <s v="NA"/>
    <n v="0"/>
    <n v="18"/>
    <x v="0"/>
    <s v="7 Sobresaliente"/>
    <n v="110"/>
    <s v="5 Sobresaliente"/>
    <n v="90"/>
    <n v="62"/>
    <s v="Antiguedad: &lt; 3 Meses|Tamaño Cartera: 1 Pequeño ≤ 500k|1 Mal Vendedor|Calidad Cartera: 7 Sobresaliente|Alcance Incentivos: 5 Sobresaliente"/>
  </r>
  <r>
    <x v="0"/>
    <x v="1"/>
    <n v="31096"/>
    <s v="YADIRA LIZBETH RODRIGUEZ COLLADO"/>
    <d v="2023-04-25T00:00:00"/>
    <d v="2023-10-15T00:00:00"/>
    <x v="1"/>
    <s v="NO"/>
    <n v="3"/>
    <n v="5"/>
    <n v="1318217.7500000005"/>
    <n v="1240496.8400000001"/>
    <n v="1044506.0099999999"/>
    <s v=""/>
    <s v=""/>
    <n v="1201073.5333333334"/>
    <n v="3"/>
    <n v="1044506.0099999999"/>
    <n v="-0.10985266896283996"/>
    <n v="824039.17999999993"/>
    <n v="30262.04"/>
    <n v="2.519582620059399E-2"/>
    <n v="0.10078330480237596"/>
    <n v="0.76671350623048384"/>
    <n v="2088621.3274000003"/>
    <n v="771500.24"/>
    <n v="0.36938253472705579"/>
    <n v="36"/>
    <n v="0.37113402061855671"/>
    <n v="161"/>
    <n v="42"/>
    <n v="0.2608695652173913"/>
    <n v="51249.596631973633"/>
    <n v="4447.5"/>
    <n v="8.678117082438247E-2"/>
    <n v="70631.574833333332"/>
    <x v="1"/>
    <x v="1"/>
    <x v="1"/>
    <s v="1 Bajo Extremo"/>
    <n v="30"/>
    <s v="1 Bajo Extremo"/>
    <n v="30"/>
    <s v="2 Bajo"/>
    <n v="30"/>
    <n v="30"/>
    <x v="0"/>
    <s v="2 Bajo"/>
    <n v="50"/>
    <s v="1 Bajo"/>
    <n v="30"/>
    <n v="38"/>
    <s v="Antiguedad: 3 a 6 Meses|Tamaño Cartera: 3 Mediana ≥ 1MM|1 Mal Vendedor|Calidad Cartera: 2 Bajo|Alcance Incentivos: 1 Bajo"/>
  </r>
  <r>
    <x v="0"/>
    <x v="1"/>
    <n v="32491"/>
    <s v="LUIS OMAR DE LA CRUZ JIMENEZ"/>
    <d v="2023-06-14T00:00:00"/>
    <d v="2023-08-11T00:00:00"/>
    <x v="1"/>
    <s v="NO"/>
    <n v="1"/>
    <n v="1"/>
    <n v="472340.91"/>
    <s v=""/>
    <s v=""/>
    <s v=""/>
    <s v=""/>
    <n v="472340.91"/>
    <n v="1"/>
    <n v="472340.91"/>
    <s v="NA"/>
    <n v="402486.84"/>
    <n v="0"/>
    <n v="0"/>
    <n v="0"/>
    <n v="0.85211090438895087"/>
    <n v="0"/>
    <n v="130500.37999999999"/>
    <s v="NA"/>
    <n v="20"/>
    <n v="0.42553191489361702"/>
    <n v="47"/>
    <n v="29"/>
    <n v="0.61702127659574468"/>
    <n v="2812.5"/>
    <n v="2000"/>
    <n v="0.71111111111111114"/>
    <n v="19159.602325"/>
    <x v="0"/>
    <x v="0"/>
    <x v="0"/>
    <s v="3 Medio Bajo"/>
    <n v="70"/>
    <s v="1 Bajo Extremo"/>
    <n v="30"/>
    <s v="NA"/>
    <n v="0"/>
    <n v="34"/>
    <x v="0"/>
    <s v="3 Medio Bajo"/>
    <n v="70"/>
    <s v="3 Medio Alto"/>
    <n v="70"/>
    <n v="52"/>
    <s v="Antiguedad: &lt; 3 Meses|Tamaño Cartera: 1 Pequeño ≤ 500k|1 Mal Vendedor|Calidad Cartera: 3 Medio Bajo|Alcance Incentivos: 3 Medio Alto"/>
  </r>
  <r>
    <x v="1"/>
    <x v="2"/>
    <n v="20314"/>
    <s v="MARIBEL RODRIGUEZ CARRIZOZA"/>
    <d v="2022-03-14T00:00:00"/>
    <d v="2023-12-08T00:00:00"/>
    <x v="1"/>
    <s v="NO"/>
    <n v="16"/>
    <n v="20"/>
    <n v="1361066.6299999997"/>
    <n v="1170570.54"/>
    <n v="1064137.6600000001"/>
    <n v="1238700.4699999997"/>
    <n v="1144337.3899999999"/>
    <n v="1195762.5379999999"/>
    <n v="5"/>
    <n v="1144337.3899999999"/>
    <n v="-4.2434092194255646E-2"/>
    <n v="1061477.1399999999"/>
    <n v="79227.75"/>
    <n v="6.625709326244171E-2"/>
    <n v="0.1590170238298601"/>
    <n v="0.8675280990761145"/>
    <n v="3174096.7095500003"/>
    <n v="1883144.76"/>
    <n v="0.59328525004739951"/>
    <n v="17"/>
    <n v="3.3730158730158728E-2"/>
    <n v="262"/>
    <n v="152"/>
    <n v="0.58015267175572516"/>
    <n v="67232.714255200699"/>
    <n v="4098.6968349999997"/>
    <n v="6.0962834542753128E-2"/>
    <n v="75421.63530200001"/>
    <x v="2"/>
    <x v="1"/>
    <x v="1"/>
    <s v="3 Medio Bajo"/>
    <n v="70"/>
    <s v="1 Bajo Extremo"/>
    <n v="30"/>
    <s v="3 Medio Bajo"/>
    <n v="50"/>
    <n v="54"/>
    <x v="0"/>
    <s v="3 Medio Bajo"/>
    <n v="70"/>
    <s v="1 Bajo"/>
    <n v="30"/>
    <n v="58"/>
    <s v="Antiguedad: 1 a 1.5 años|Tamaño Cartera: 3 Mediana ≥ 1MM|1 Mal Vendedor|Calidad Cartera: 3 Medio Bajo|Alcance Incentivos: 1 Bajo"/>
  </r>
  <r>
    <x v="1"/>
    <x v="2"/>
    <n v="20315"/>
    <s v="KARINA TERRAZAS OLVERA"/>
    <d v="2022-03-14T00:00:00"/>
    <d v="1899-12-30T00:00:00"/>
    <x v="0"/>
    <s v="NO"/>
    <n v="16"/>
    <n v="20"/>
    <n v="880824.51"/>
    <n v="905327.28999999992"/>
    <n v="842405.35000000009"/>
    <n v="858344.55000000016"/>
    <n v="934386.79"/>
    <n v="884257.69800000009"/>
    <n v="5"/>
    <n v="934386.79"/>
    <n v="1.486745284947788E-2"/>
    <n v="871262.82000000007"/>
    <n v="38038.92"/>
    <n v="4.3017912183332778E-2"/>
    <n v="0.10324298923999867"/>
    <n v="0.89596851568229319"/>
    <n v="2881646.2777500004"/>
    <n v="1567500.2100000002"/>
    <n v="0.54395996555965564"/>
    <n v="71"/>
    <n v="0.14087301587301587"/>
    <n v="196"/>
    <n v="86"/>
    <n v="0.43877551020408162"/>
    <n v="66910.679377828477"/>
    <n v="5102.4349919999995"/>
    <n v="7.6257408226088674E-2"/>
    <n v="49473.08863340001"/>
    <x v="2"/>
    <x v="2"/>
    <x v="2"/>
    <s v="2 Bajo"/>
    <n v="50"/>
    <s v="1 Bajo Extremo"/>
    <n v="30"/>
    <s v="3 Medio Bajo"/>
    <n v="50"/>
    <n v="46"/>
    <x v="0"/>
    <s v="3 Medio Bajo"/>
    <n v="70"/>
    <s v="1 Bajo"/>
    <n v="30"/>
    <n v="54"/>
    <s v="Antiguedad: 1 a 1.5 años|Tamaño Cartera: 2 Mediana ≤ 1MM|1 Mal Vendedor|Calidad Cartera: 3 Medio Bajo|Alcance Incentivos: 1 Bajo"/>
  </r>
  <r>
    <x v="1"/>
    <x v="2"/>
    <n v="30967"/>
    <s v="LIZBETH GUADALUPE MUJICA HERNANDEZ"/>
    <d v="2023-04-20T00:00:00"/>
    <d v="2023-03-29T00:00:00"/>
    <x v="1"/>
    <s v="NO"/>
    <n v="3"/>
    <n v="7"/>
    <n v="2126434.3900000006"/>
    <n v="2179159.9500000002"/>
    <n v="2072482.76"/>
    <n v="2001855.1199999999"/>
    <n v="2260776.13"/>
    <n v="2128141.6700000004"/>
    <n v="5"/>
    <n v="2260776.13"/>
    <n v="1.543327998536137E-2"/>
    <n v="2009240.4900000002"/>
    <n v="181381.17"/>
    <n v="8.5229838105655806E-2"/>
    <n v="0.20455161145357395"/>
    <n v="0.82273180765219356"/>
    <n v="3868581.6667500008"/>
    <n v="3416043.1600000006"/>
    <n v="0.88302211359798477"/>
    <n v="56"/>
    <n v="0.5490196078431373"/>
    <n v="511"/>
    <n v="279"/>
    <n v="0.54598825831702547"/>
    <n v="79989.546086953385"/>
    <n v="4620"/>
    <n v="5.7757547404729437E-2"/>
    <n v="149568.38002500002"/>
    <x v="1"/>
    <x v="3"/>
    <x v="2"/>
    <s v="3 Medio Bajo"/>
    <n v="70"/>
    <s v="1 Bajo Extremo"/>
    <n v="30"/>
    <s v="5 Alto"/>
    <n v="80"/>
    <n v="66"/>
    <x v="1"/>
    <s v="2 Bajo"/>
    <n v="50"/>
    <s v="1 Bajo"/>
    <n v="30"/>
    <n v="56"/>
    <s v="Antiguedad: 3 a 6 Meses|Tamaño Cartera: 5 Grande ≤ 2MM|2 Medio Vendedor|Calidad Cartera: 2 Bajo|Alcance Incentivos: 1 Bajo"/>
  </r>
  <r>
    <x v="1"/>
    <x v="3"/>
    <n v="25237"/>
    <s v="MARISELA HERNANDEZ MORINCHEL"/>
    <d v="2022-09-20T00:00:00"/>
    <d v="1899-12-30T00:00:00"/>
    <x v="0"/>
    <s v="NO"/>
    <n v="10"/>
    <n v="12"/>
    <n v="1655077.1099999999"/>
    <n v="1674124.0600000005"/>
    <n v="1781623.3099999998"/>
    <s v=""/>
    <s v=""/>
    <n v="1703608.1600000001"/>
    <n v="3"/>
    <n v="1781623.3099999998"/>
    <n v="3.752561333091986E-2"/>
    <n v="1557807.92"/>
    <n v="50688.149999999994"/>
    <n v="2.975340878855616E-2"/>
    <n v="0.11901363515422464"/>
    <n v="0.85018729293981499"/>
    <n v="3258663.6947999997"/>
    <n v="2290000.11"/>
    <n v="0.702742082177507"/>
    <n v="42"/>
    <n v="0.13375796178343949"/>
    <n v="207"/>
    <n v="113"/>
    <n v="0.54589371980676327"/>
    <n v="53341.273216493915"/>
    <n v="4160"/>
    <n v="7.7988389649343168E-2"/>
    <n v="106240.18586666668"/>
    <x v="3"/>
    <x v="4"/>
    <x v="2"/>
    <s v="3 Medio Bajo"/>
    <n v="70"/>
    <s v="1 Bajo Extremo"/>
    <n v="30"/>
    <s v="4 Medio Alto"/>
    <n v="70"/>
    <n v="62"/>
    <x v="1"/>
    <s v="3 Medio Bajo"/>
    <n v="70"/>
    <s v="1 Bajo"/>
    <n v="30"/>
    <n v="62"/>
    <s v="Antiguedad: 6 a 12 Meses|Tamaño Cartera: 4 Grande ≤ 1.5MM|2 Medio Vendedor|Calidad Cartera: 3 Medio Bajo|Alcance Incentivos: 1 Bajo"/>
  </r>
  <r>
    <x v="1"/>
    <x v="3"/>
    <n v="28239"/>
    <s v="BRENDA DANIELA RODRIGUEZ REYES"/>
    <d v="2023-01-17T00:00:00"/>
    <d v="1899-12-30T00:00:00"/>
    <x v="0"/>
    <s v="NO"/>
    <n v="6"/>
    <n v="10"/>
    <n v="418787.11"/>
    <n v="396423.34000000008"/>
    <n v="500316.26999999996"/>
    <n v="395042.07"/>
    <n v="796323.99"/>
    <n v="501378.55600000004"/>
    <n v="5"/>
    <n v="796323.99"/>
    <n v="0.17428664945403094"/>
    <n v="787562.79"/>
    <n v="5394.52"/>
    <n v="1.0759375197530386E-2"/>
    <n v="2.5822500474072928E-2"/>
    <n v="0.98234327906436891"/>
    <n v="1724339.7111999998"/>
    <n v="976500.4"/>
    <n v="0.56630395603453065"/>
    <n v="61"/>
    <n v="0.31282051282051282"/>
    <n v="88"/>
    <n v="46"/>
    <n v="0.52272727272727271"/>
    <n v="36243.471038656047"/>
    <n v="8842.93"/>
    <n v="0.24398684084558109"/>
    <n v="21676.756969999995"/>
    <x v="3"/>
    <x v="2"/>
    <x v="3"/>
    <s v="3 Medio Bajo"/>
    <n v="70"/>
    <s v="1 Bajo Extremo"/>
    <n v="30"/>
    <s v="3 Medio Bajo"/>
    <n v="50"/>
    <n v="54"/>
    <x v="0"/>
    <s v="5 Alto"/>
    <n v="90"/>
    <s v="1 Bajo"/>
    <n v="30"/>
    <n v="66"/>
    <s v="Antiguedad: 6 a 12 Meses|Tamaño Cartera: 2 Mediana ≤ 1MM|1 Mal Vendedor|Calidad Cartera: 5 Alto|Alcance Incentivos: 1 Bajo"/>
  </r>
  <r>
    <x v="1"/>
    <x v="3"/>
    <n v="28894"/>
    <s v="ARIAN AGUILAR PLATA"/>
    <d v="2023-02-09T00:00:00"/>
    <d v="1899-12-30T00:00:00"/>
    <x v="0"/>
    <s v="NO"/>
    <n v="5"/>
    <n v="7"/>
    <n v="716322.08000000007"/>
    <n v="694011.52"/>
    <n v="634245.62"/>
    <s v=""/>
    <s v=""/>
    <n v="681526.40666666673"/>
    <n v="3"/>
    <n v="634245.62"/>
    <n v="-5.9032617677045263E-2"/>
    <n v="571013.06999999995"/>
    <n v="0"/>
    <n v="0"/>
    <n v="0"/>
    <n v="0.90030274075838312"/>
    <n v="1346904.6148999999"/>
    <n v="864500.48"/>
    <n v="0.64184239213122329"/>
    <n v="51"/>
    <n v="0.29651162790697677"/>
    <n v="107"/>
    <n v="67"/>
    <n v="0.62616822429906538"/>
    <n v="21900.122933911061"/>
    <n v="12467.5"/>
    <n v="0.5692890417840899"/>
    <n v="33343.601716666664"/>
    <x v="1"/>
    <x v="2"/>
    <x v="1"/>
    <s v="3 Medio Bajo"/>
    <n v="70"/>
    <s v="1 Bajo Extremo"/>
    <n v="30"/>
    <s v="3 Medio Bajo"/>
    <n v="50"/>
    <n v="54"/>
    <x v="0"/>
    <s v="4 Medio Alto"/>
    <n v="80"/>
    <s v="2 Medio"/>
    <n v="50"/>
    <n v="64"/>
    <s v="Antiguedad: 3 a 6 Meses|Tamaño Cartera: 2 Mediana ≤ 1MM|1 Mal Vendedor|Calidad Cartera: 4 Medio Alto|Alcance Incentivos: 2 Medio"/>
  </r>
  <r>
    <x v="1"/>
    <x v="4"/>
    <n v="31346"/>
    <s v="LAURA LORENA PEREZ MENDOZA"/>
    <d v="2023-05-08T00:00:00"/>
    <d v="1899-12-30T00:00:00"/>
    <x v="0"/>
    <s v="NO"/>
    <n v="2"/>
    <n v="6"/>
    <n v="695230.2699999999"/>
    <n v="744844.04999999981"/>
    <n v="1074855.1599999999"/>
    <n v="1311278.8"/>
    <n v="1262447.9299999995"/>
    <n v="1017731.2419999999"/>
    <n v="5"/>
    <n v="1262447.9299999995"/>
    <n v="0.16083688847489142"/>
    <n v="1152814.8299999996"/>
    <n v="9648.84"/>
    <n v="9.480734796976982E-3"/>
    <n v="2.275376351274476E-2"/>
    <n v="0.90623202352758125"/>
    <n v="1483852.92035"/>
    <n v="2312997.2199999997"/>
    <n v="1.5587779545255924"/>
    <n v="183"/>
    <n v="2.1785714285714284"/>
    <n v="164"/>
    <n v="84"/>
    <n v="0.51219512195121952"/>
    <n v="47494.082661447348"/>
    <n v="45274.002850000004"/>
    <n v="0.95325565445125515"/>
    <n v="59504.114984999993"/>
    <x v="0"/>
    <x v="1"/>
    <x v="3"/>
    <s v="3 Medio Bajo"/>
    <n v="70"/>
    <s v="3 Medio Bajo"/>
    <n v="70"/>
    <s v="7 Sobresaliente"/>
    <n v="110"/>
    <n v="86"/>
    <x v="2"/>
    <s v="4 Medio Alto"/>
    <n v="80"/>
    <s v="5 Sobresaliente"/>
    <n v="90"/>
    <n v="84"/>
    <s v="Antiguedad: &lt; 3 Meses|Tamaño Cartera: 3 Mediana ≥ 1MM|3 Buen Vendedor|Calidad Cartera: 4 Medio Alto|Alcance Incentivos: 5 Sobresaliente"/>
  </r>
  <r>
    <x v="1"/>
    <x v="5"/>
    <n v="33385"/>
    <s v="NADINE GUADALUPE URIBE SANTIAGO"/>
    <d v="2023-02-01T00:00:00"/>
    <d v="1899-12-30T00:00:00"/>
    <x v="0"/>
    <s v="NO"/>
    <n v="6"/>
    <n v="10"/>
    <n v="1188527.68"/>
    <n v="1958828.22"/>
    <n v="1795144.8599999996"/>
    <n v="1911661.51"/>
    <n v="1799860.9000000001"/>
    <n v="1730804.6340000001"/>
    <n v="5"/>
    <n v="1799860.9000000001"/>
    <n v="0.10932144954350531"/>
    <n v="1647078.1500000001"/>
    <n v="219672.47999999998"/>
    <n v="0.12691928117405304"/>
    <n v="0.30460627481772728"/>
    <n v="0.81557362027856162"/>
    <n v="3705501.7546000006"/>
    <n v="3609999.05"/>
    <n v="0.97422678197859602"/>
    <n v="16"/>
    <n v="8.8888888888888892E-2"/>
    <n v="208"/>
    <n v="125"/>
    <n v="0.60096153846153844"/>
    <n v="60621.444363966933"/>
    <n v="27022.5"/>
    <n v="0.4457581023269388"/>
    <n v="138860.26245500002"/>
    <x v="3"/>
    <x v="4"/>
    <x v="3"/>
    <s v="3 Medio Bajo"/>
    <n v="70"/>
    <s v="1 Bajo Extremo"/>
    <n v="30"/>
    <s v="6 Muy Alto"/>
    <n v="100"/>
    <n v="74"/>
    <x v="1"/>
    <s v="2 Bajo"/>
    <n v="50"/>
    <s v="2 Medio"/>
    <n v="50"/>
    <n v="62"/>
    <s v="Antiguedad: 6 a 12 Meses|Tamaño Cartera: 4 Grande ≤ 1.5MM|2 Medio Vendedor|Calidad Cartera: 2 Bajo|Alcance Incentivos: 2 Medio"/>
  </r>
  <r>
    <x v="1"/>
    <x v="6"/>
    <n v="26898"/>
    <s v="JONNY ROMAN GARCIA VALENTINO"/>
    <d v="2020-01-20T00:00:00"/>
    <d v="1899-12-30T00:00:00"/>
    <x v="0"/>
    <s v="NO"/>
    <n v="42"/>
    <n v="47"/>
    <n v="612085.23"/>
    <n v="858428.65999999992"/>
    <n v="1485091.73"/>
    <s v=""/>
    <n v="1481288.89"/>
    <n v="1109223.6274999999"/>
    <n v="4"/>
    <n v="1947662.8499999996"/>
    <n v="0.47084630416908069"/>
    <n v="1827719.6299999997"/>
    <n v="13102.56"/>
    <n v="1.1812370089457007E-2"/>
    <n v="3.5437110268371021E-2"/>
    <n v="0.93214599802635234"/>
    <n v="3470201.1224000007"/>
    <n v="2627499.7799999998"/>
    <n v="0.75716066225660539"/>
    <n v="18"/>
    <n v="1.3975155279503106E-2"/>
    <n v="60"/>
    <n v="23"/>
    <n v="0.38333333333333336"/>
    <n v="72606.671601245733"/>
    <n v="20791.2847425"/>
    <n v="0.28635501785132483"/>
    <n v="62253.819766874993"/>
    <x v="4"/>
    <x v="1"/>
    <x v="4"/>
    <s v="2 Bajo"/>
    <n v="50"/>
    <s v="1 Bajo Extremo"/>
    <n v="30"/>
    <s v="4 Medio Alto"/>
    <n v="70"/>
    <n v="54"/>
    <x v="0"/>
    <s v="4 Medio Alto"/>
    <n v="80"/>
    <s v="1 Bajo"/>
    <n v="30"/>
    <n v="62"/>
    <s v="Antiguedad: Mas de 3 años|Tamaño Cartera: 3 Mediana ≥ 1MM|1 Mal Vendedor|Calidad Cartera: 4 Medio Alto|Alcance Incentivos: 1 Bajo"/>
  </r>
  <r>
    <x v="1"/>
    <x v="6"/>
    <n v="25227"/>
    <s v="DENISSE FUENTES CASTRO"/>
    <d v="2022-09-19T00:00:00"/>
    <d v="1899-12-30T00:00:00"/>
    <x v="0"/>
    <s v="NO"/>
    <n v="1"/>
    <n v="14"/>
    <n v="1399575.2000000004"/>
    <s v=""/>
    <s v=""/>
    <s v=""/>
    <s v=""/>
    <n v="1399575.2000000004"/>
    <n v="1"/>
    <n v="1334367.3899999999"/>
    <s v="NA"/>
    <n v="1084596.52"/>
    <n v="212750.57"/>
    <n v="0.15201081728227248"/>
    <n v="1.8241298073872696"/>
    <n v="0.70104319647352553"/>
    <n v="3060515.3125999998"/>
    <n v="2829036.3999999994"/>
    <n v="0.9243660335084708"/>
    <n v="134"/>
    <n v="0.42539682539682538"/>
    <n v="193"/>
    <n v="120"/>
    <n v="0.62176165803108807"/>
    <n v="60183.581531201162"/>
    <n v="14467.500000000002"/>
    <n v="0.24038948217961356"/>
    <n v="297693.64400000003"/>
    <x v="3"/>
    <x v="1"/>
    <x v="0"/>
    <s v="3 Medio Bajo"/>
    <n v="70"/>
    <s v="1 Bajo Extremo"/>
    <n v="30"/>
    <s v="6 Muy Alto"/>
    <n v="100"/>
    <n v="74"/>
    <x v="1"/>
    <s v="1 Bajo Extremo"/>
    <n v="30"/>
    <s v="1 Bajo"/>
    <n v="30"/>
    <n v="52"/>
    <s v="Antiguedad: 6 a 12 Meses|Tamaño Cartera: 3 Mediana ≥ 1MM|2 Medio Vendedor|Calidad Cartera: 1 Bajo Extremo|Alcance Incentivos: 1 Bajo"/>
  </r>
  <r>
    <x v="1"/>
    <x v="6"/>
    <n v="30049"/>
    <s v="NELLYE SAAVEDRA SALVADOR"/>
    <d v="2023-03-21T00:00:00"/>
    <d v="1899-12-30T00:00:00"/>
    <x v="0"/>
    <s v="NO"/>
    <n v="4"/>
    <n v="8"/>
    <n v="703234.08"/>
    <n v="527589.53"/>
    <n v="499608.65"/>
    <n v="655471.85"/>
    <n v="845608.16999999993"/>
    <n v="646302.45600000001"/>
    <n v="5"/>
    <n v="845608.16999999993"/>
    <n v="4.717029776435222E-2"/>
    <n v="787954.6399999999"/>
    <n v="0"/>
    <n v="0"/>
    <n v="0"/>
    <n v="0.93182004142651553"/>
    <n v="2061393.2982999999"/>
    <n v="1609498.8099999996"/>
    <n v="0.78078201346988418"/>
    <n v="98"/>
    <n v="0.74242424242424243"/>
    <n v="101"/>
    <n v="75"/>
    <n v="0.74257425742574257"/>
    <n v="49670.740358420677"/>
    <n v="16300.121391999999"/>
    <n v="0.32816344742154907"/>
    <n v="30422.415498400009"/>
    <x v="1"/>
    <x v="2"/>
    <x v="2"/>
    <s v="4 Medio Alto"/>
    <n v="80"/>
    <s v="1 Bajo Extremo"/>
    <n v="30"/>
    <s v="4 Medio Alto"/>
    <n v="70"/>
    <n v="66"/>
    <x v="1"/>
    <s v="4 Medio Alto"/>
    <n v="80"/>
    <s v="1 Bajo"/>
    <n v="30"/>
    <n v="68"/>
    <s v="Antiguedad: 3 a 6 Meses|Tamaño Cartera: 2 Mediana ≤ 1MM|2 Medio Vendedor|Calidad Cartera: 4 Medio Alto|Alcance Incentivos: 1 Bajo"/>
  </r>
  <r>
    <x v="1"/>
    <x v="7"/>
    <n v="21057"/>
    <s v="MARIA IVONNE CRUZ TRUJANO"/>
    <d v="2022-04-25T00:00:00"/>
    <d v="1899-12-30T00:00:00"/>
    <x v="0"/>
    <s v="NO"/>
    <n v="15"/>
    <n v="16"/>
    <n v="1424667.6400000001"/>
    <n v="1300046.5"/>
    <s v=""/>
    <s v=""/>
    <s v=""/>
    <n v="1362357.07"/>
    <n v="2"/>
    <n v="1300046.5"/>
    <n v="-8.7473833546187763E-2"/>
    <n v="1142769.22"/>
    <n v="12586.720000000001"/>
    <n v="9.2389288220892044E-3"/>
    <n v="5.543357293253523E-2"/>
    <n v="0.87059294446319124"/>
    <n v="1254090.16625"/>
    <n v="802500.38000000035"/>
    <n v="0.63990644500438876"/>
    <n v="6"/>
    <n v="1.2987012987012988E-2"/>
    <n v="66"/>
    <n v="42"/>
    <n v="0.63636363636363635"/>
    <n v="14484.658940992846"/>
    <n v="1787.5"/>
    <n v="0.12340642657047446"/>
    <n v="75522.641525000014"/>
    <x v="2"/>
    <x v="1"/>
    <x v="1"/>
    <s v="3 Medio Bajo"/>
    <n v="70"/>
    <s v="1 Bajo Extremo"/>
    <n v="30"/>
    <s v="3 Medio Bajo"/>
    <n v="50"/>
    <n v="54"/>
    <x v="0"/>
    <s v="3 Medio Bajo"/>
    <n v="70"/>
    <s v="1 Bajo"/>
    <n v="30"/>
    <n v="58"/>
    <s v="Antiguedad: 1 a 1.5 años|Tamaño Cartera: 3 Mediana ≥ 1MM|1 Mal Vendedor|Calidad Cartera: 3 Medio Bajo|Alcance Incentivos: 1 Bajo"/>
  </r>
  <r>
    <x v="1"/>
    <x v="7"/>
    <n v="33373"/>
    <s v="ROBERTO MERAZ GUTIERREZ"/>
    <d v="2023-04-17T00:00:00"/>
    <d v="1899-12-30T00:00:00"/>
    <x v="0"/>
    <s v="NO"/>
    <n v="3"/>
    <n v="7"/>
    <n v="835765.31999999983"/>
    <n v="1128241.7000000002"/>
    <n v="1400508.2900000003"/>
    <n v="1376339.9999999995"/>
    <n v="1433027.89"/>
    <n v="1234776.6400000001"/>
    <n v="5"/>
    <n v="1433027.89"/>
    <n v="0.14430705147456679"/>
    <n v="1282297.7500000002"/>
    <n v="0"/>
    <n v="0"/>
    <n v="0"/>
    <n v="0.89481702271684349"/>
    <n v="2208905.3614500002"/>
    <n v="2481001.9500000002"/>
    <n v="1.1231816415943627"/>
    <n v="20"/>
    <n v="0.19047619047619047"/>
    <n v="92"/>
    <n v="47"/>
    <n v="0.51086956521739135"/>
    <n v="49264.247980086271"/>
    <n v="24702.5"/>
    <n v="0.50142854124121228"/>
    <n v="65940.156800000026"/>
    <x v="1"/>
    <x v="1"/>
    <x v="3"/>
    <s v="3 Medio Bajo"/>
    <n v="70"/>
    <s v="1 Bajo Extremo"/>
    <n v="30"/>
    <s v="7 Sobresaliente"/>
    <n v="110"/>
    <n v="78"/>
    <x v="1"/>
    <s v="3 Medio Bajo"/>
    <n v="70"/>
    <s v="2 Medio"/>
    <n v="50"/>
    <n v="72"/>
    <s v="Antiguedad: 3 a 6 Meses|Tamaño Cartera: 3 Mediana ≥ 1MM|2 Medio Vendedor|Calidad Cartera: 3 Medio Bajo|Alcance Incentivos: 2 Medio"/>
  </r>
  <r>
    <x v="1"/>
    <x v="7"/>
    <n v="32596"/>
    <s v="ELIZABETH PEREZ PERALTA"/>
    <d v="2023-06-16T00:00:00"/>
    <d v="1899-12-30T00:00:00"/>
    <x v="0"/>
    <s v="NO"/>
    <n v="1"/>
    <n v="5"/>
    <n v="102968.23999999999"/>
    <n v="417720.51"/>
    <n v="1237666.1099999996"/>
    <n v="1029276.8400000002"/>
    <n v="1153428.69"/>
    <n v="788212.07799999998"/>
    <n v="5"/>
    <n v="1153428.69"/>
    <n v="0.82945556293720424"/>
    <n v="1029927.5"/>
    <n v="0"/>
    <n v="0"/>
    <n v="0"/>
    <n v="0.89292689607018538"/>
    <n v="1777399.5485499999"/>
    <n v="1437373.4900000002"/>
    <n v="0.80869464109665579"/>
    <n v="74"/>
    <n v="1.6444444444444444"/>
    <n v="25"/>
    <n v="8"/>
    <n v="0.32"/>
    <n v="35592.782538312989"/>
    <n v="12775"/>
    <n v="0.35892108143690821"/>
    <n v="37877.194485"/>
    <x v="0"/>
    <x v="2"/>
    <x v="4"/>
    <s v="2 Bajo"/>
    <n v="50"/>
    <s v="2 Bajo"/>
    <n v="50"/>
    <s v="4 Medio Alto"/>
    <n v="70"/>
    <n v="58"/>
    <x v="0"/>
    <s v="3 Medio Bajo"/>
    <n v="70"/>
    <s v="1 Bajo"/>
    <n v="30"/>
    <n v="60"/>
    <s v="Antiguedad: &lt; 3 Meses|Tamaño Cartera: 2 Mediana ≤ 1MM|1 Mal Vendedor|Calidad Cartera: 3 Medio Bajo|Alcance Incentivos: 1 Bajo"/>
  </r>
  <r>
    <x v="1"/>
    <x v="8"/>
    <n v="30869"/>
    <s v="LAURA PATRICIA CARRERA QUINTERO"/>
    <d v="2023-04-18T00:00:00"/>
    <d v="1899-12-30T00:00:00"/>
    <x v="0"/>
    <s v="NO"/>
    <n v="3"/>
    <n v="7"/>
    <n v="1291001.27"/>
    <n v="1283919.5700000005"/>
    <n v="1390725.68"/>
    <n v="1147073.1199999999"/>
    <n v="1045160.5999999996"/>
    <n v="1231576.048"/>
    <n v="5"/>
    <n v="1045160.5999999996"/>
    <n v="-5.1441565703506775E-2"/>
    <n v="1015272.0599999996"/>
    <n v="0"/>
    <n v="0"/>
    <n v="0"/>
    <n v="0.97140292123526273"/>
    <n v="3099761.9938999992"/>
    <n v="2141003.4200000004"/>
    <n v="0.69069929375650985"/>
    <n v="90"/>
    <n v="0.86538461538461542"/>
    <n v="370"/>
    <n v="220"/>
    <n v="0.59459459459459463"/>
    <n v="57493.492854700758"/>
    <n v="25912.75"/>
    <n v="0.45070752729334884"/>
    <n v="65998.172759999987"/>
    <x v="1"/>
    <x v="1"/>
    <x v="1"/>
    <s v="3 Medio Bajo"/>
    <n v="70"/>
    <s v="1 Bajo Extremo"/>
    <n v="30"/>
    <s v="3 Medio Bajo"/>
    <n v="50"/>
    <n v="54"/>
    <x v="0"/>
    <s v="5 Alto"/>
    <n v="90"/>
    <s v="2 Medio"/>
    <n v="50"/>
    <n v="68"/>
    <s v="Antiguedad: 3 a 6 Meses|Tamaño Cartera: 3 Mediana ≥ 1MM|1 Mal Vendedor|Calidad Cartera: 5 Alto|Alcance Incentivos: 2 Medio"/>
  </r>
  <r>
    <x v="1"/>
    <x v="9"/>
    <n v="20173"/>
    <s v="EULALIO MARQUEZ ROJAS"/>
    <d v="2022-03-07T00:00:00"/>
    <d v="1899-12-30T00:00:00"/>
    <x v="0"/>
    <s v="NO"/>
    <n v="17"/>
    <n v="19"/>
    <n v="2176958.62"/>
    <n v="2581285.0400000005"/>
    <n v="2300683.11"/>
    <s v=""/>
    <s v=""/>
    <n v="2352975.59"/>
    <n v="3"/>
    <n v="2300683.11"/>
    <n v="2.8024145360091568E-2"/>
    <n v="2295178.48"/>
    <n v="0"/>
    <n v="0"/>
    <n v="0"/>
    <n v="0.99760739322331105"/>
    <n v="2272949.8559499998"/>
    <n v="3214499.82"/>
    <n v="1.4142414147788012"/>
    <n v="32"/>
    <n v="6.262230919765166E-2"/>
    <n v="140"/>
    <n v="117"/>
    <n v="0.83571428571428574"/>
    <n v="30878.744291858762"/>
    <n v="30590"/>
    <n v="0.99064909216742691"/>
    <n v="135492.76309166668"/>
    <x v="2"/>
    <x v="3"/>
    <x v="2"/>
    <s v="5 Alto"/>
    <n v="90"/>
    <s v="1 Bajo Extremo"/>
    <n v="30"/>
    <s v="7 Sobresaliente"/>
    <n v="110"/>
    <n v="86"/>
    <x v="2"/>
    <s v="6 Muy Alto"/>
    <n v="100"/>
    <s v="5 Sobresaliente"/>
    <n v="90"/>
    <n v="92"/>
    <s v="Antiguedad: 1 a 1.5 años|Tamaño Cartera: 5 Grande ≤ 2MM|3 Buen Vendedor|Calidad Cartera: 6 Muy Alto|Alcance Incentivos: 5 Sobresaliente"/>
  </r>
  <r>
    <x v="1"/>
    <x v="9"/>
    <n v="20612"/>
    <s v="ARMANDO ALEJANDRO TOVAR BRACAMONTES"/>
    <d v="2022-03-28T00:00:00"/>
    <d v="1899-12-30T00:00:00"/>
    <x v="0"/>
    <s v="NO"/>
    <n v="16"/>
    <n v="20"/>
    <n v="1977158.1099999999"/>
    <n v="1585912.3200000003"/>
    <n v="2025186.81"/>
    <n v="2198186.8200000003"/>
    <n v="1876712.0399999998"/>
    <n v="1932631.22"/>
    <n v="5"/>
    <n v="1876712.0399999998"/>
    <n v="-1.2950211181022353E-2"/>
    <n v="1808046.7799999998"/>
    <n v="0"/>
    <n v="0"/>
    <n v="0"/>
    <n v="0.96341193612207021"/>
    <n v="2660300.2541500004"/>
    <n v="4078499.3799999994"/>
    <n v="1.5330973914082233"/>
    <n v="60"/>
    <n v="0.12244897959183673"/>
    <n v="189"/>
    <n v="155"/>
    <n v="0.82010582010582012"/>
    <n v="38264.75"/>
    <n v="25797.174999999999"/>
    <n v="0.67417597135745033"/>
    <n v="106285.73015"/>
    <x v="2"/>
    <x v="4"/>
    <x v="1"/>
    <s v="5 Alto"/>
    <n v="90"/>
    <s v="1 Bajo Extremo"/>
    <n v="30"/>
    <s v="7 Sobresaliente"/>
    <n v="110"/>
    <n v="86"/>
    <x v="2"/>
    <s v="5 Alto"/>
    <n v="90"/>
    <s v="3 Medio Alto"/>
    <n v="70"/>
    <n v="86"/>
    <s v="Antiguedad: 1 a 1.5 años|Tamaño Cartera: 4 Grande ≤ 1.5MM|3 Buen Vendedor|Calidad Cartera: 5 Alto|Alcance Incentivos: 3 Medio Alto"/>
  </r>
  <r>
    <x v="2"/>
    <x v="10"/>
    <n v="27539"/>
    <s v="MARIA ISABEL MUÑOZ SANCHEZ"/>
    <d v="2022-12-07T00:00:00"/>
    <d v="1899-12-30T00:00:00"/>
    <x v="0"/>
    <s v="NO"/>
    <n v="7"/>
    <n v="11"/>
    <n v="1242782.1599999999"/>
    <n v="1209642.7500000002"/>
    <n v="1051330.49"/>
    <n v="968250.62"/>
    <n v="1128795.2699999998"/>
    <n v="1120160.2579999999"/>
    <n v="5"/>
    <n v="1128795.2699999998"/>
    <n v="-2.376349685110879E-2"/>
    <n v="1109040.42"/>
    <n v="58462.400000000001"/>
    <n v="5.2191103534044506E-2"/>
    <n v="0.12525864848170681"/>
    <n v="0.93411939802418809"/>
    <n v="3470864.7848000005"/>
    <n v="2025000.5599999998"/>
    <n v="0.58342824787301106"/>
    <n v="96"/>
    <n v="0.40677966101694918"/>
    <n v="201"/>
    <n v="109"/>
    <n v="0.54228855721393032"/>
    <n v="46522.824546801567"/>
    <n v="9874.7846250000002"/>
    <n v="0.2122567733407083"/>
    <n v="68076.651759999993"/>
    <x v="3"/>
    <x v="1"/>
    <x v="1"/>
    <s v="3 Medio Bajo"/>
    <n v="70"/>
    <s v="1 Bajo Extremo"/>
    <n v="30"/>
    <s v="3 Medio Bajo"/>
    <n v="50"/>
    <n v="54"/>
    <x v="0"/>
    <s v="4 Medio Alto"/>
    <n v="80"/>
    <s v="1 Bajo"/>
    <n v="30"/>
    <n v="62"/>
    <s v="Antiguedad: 6 a 12 Meses|Tamaño Cartera: 3 Mediana ≥ 1MM|1 Mal Vendedor|Calidad Cartera: 4 Medio Alto|Alcance Incentivos: 1 Bajo"/>
  </r>
  <r>
    <x v="2"/>
    <x v="10"/>
    <n v="32635"/>
    <s v="YESICA MERIC OSNAYA SORIANO"/>
    <d v="2023-06-21T00:00:00"/>
    <d v="1899-12-30T00:00:00"/>
    <x v="0"/>
    <s v="NO"/>
    <n v="1"/>
    <n v="2"/>
    <n v="1520242.17"/>
    <n v="1386290.6900000002"/>
    <s v=""/>
    <s v=""/>
    <s v=""/>
    <n v="1453266.4300000002"/>
    <n v="2"/>
    <n v="1386290.6900000002"/>
    <n v="-8.8111935481963166E-2"/>
    <n v="1354806.7800000003"/>
    <n v="0"/>
    <n v="0"/>
    <n v="0"/>
    <n v="0.97728909944565823"/>
    <n v="551775.28799999971"/>
    <n v="1196000.1800000002"/>
    <n v="2.1675493738313283"/>
    <n v="38"/>
    <n v="0.95"/>
    <n v="64"/>
    <n v="35"/>
    <n v="0.546875"/>
    <n v="12738.575992188698"/>
    <n v="10337.5"/>
    <n v="0.81151142846256608"/>
    <n v="78731.569725000008"/>
    <x v="0"/>
    <x v="1"/>
    <x v="1"/>
    <s v="3 Medio Bajo"/>
    <n v="70"/>
    <s v="1 Bajo Extremo"/>
    <n v="30"/>
    <s v="7 Sobresaliente"/>
    <n v="110"/>
    <n v="78"/>
    <x v="1"/>
    <s v="5 Alto"/>
    <n v="90"/>
    <s v="4 Alto"/>
    <n v="80"/>
    <n v="83"/>
    <s v="Antiguedad: &lt; 3 Meses|Tamaño Cartera: 3 Mediana ≥ 1MM|2 Medio Vendedor|Calidad Cartera: 5 Alto|Alcance Incentivos: 4 Alto"/>
  </r>
  <r>
    <x v="2"/>
    <x v="11"/>
    <n v="31219"/>
    <s v="AGUSTIN DAVID ACEVEDO DELGADO"/>
    <d v="2023-05-02T00:00:00"/>
    <d v="2023-08-16T00:00:00"/>
    <x v="1"/>
    <s v="NO"/>
    <n v="3"/>
    <n v="3"/>
    <n v="947617.83000000007"/>
    <s v=""/>
    <s v=""/>
    <s v=""/>
    <s v=""/>
    <n v="947617.83000000007"/>
    <n v="1"/>
    <n v="947617.83000000007"/>
    <s v="NA"/>
    <n v="919070.94000000006"/>
    <n v="0"/>
    <n v="0"/>
    <n v="0"/>
    <n v="0.96987510249780762"/>
    <n v="463375.3000000001"/>
    <n v="230001.83000000002"/>
    <n v="0.49636186909401508"/>
    <n v="0"/>
    <n v="0"/>
    <n v="63"/>
    <n v="31"/>
    <n v="0.49206349206349204"/>
    <n v="7089.6021546831271"/>
    <n v="2000"/>
    <n v="0.28210327693478182"/>
    <n v="46488.025225000005"/>
    <x v="1"/>
    <x v="2"/>
    <x v="0"/>
    <s v="2 Bajo"/>
    <n v="50"/>
    <s v="1 Bajo Extremo"/>
    <n v="30"/>
    <s v="2 Bajo"/>
    <n v="30"/>
    <n v="38"/>
    <x v="0"/>
    <s v="5 Alto"/>
    <n v="90"/>
    <s v="1 Bajo"/>
    <n v="30"/>
    <n v="58"/>
    <s v="Antiguedad: 3 a 6 Meses|Tamaño Cartera: 2 Mediana ≤ 1MM|1 Mal Vendedor|Calidad Cartera: 5 Alto|Alcance Incentivos: 1 Bajo"/>
  </r>
  <r>
    <x v="2"/>
    <x v="11"/>
    <n v="31645"/>
    <s v="GILBERTO REYES GONZALEZ"/>
    <d v="2023-05-17T00:00:00"/>
    <d v="1899-12-30T00:00:00"/>
    <x v="0"/>
    <s v="NO"/>
    <n v="2"/>
    <n v="2"/>
    <n v="1204512.31"/>
    <s v=""/>
    <s v=""/>
    <s v=""/>
    <s v=""/>
    <n v="1204512.31"/>
    <n v="1"/>
    <n v="1204512.31"/>
    <s v="NA"/>
    <n v="948591.35000000021"/>
    <n v="0"/>
    <n v="0"/>
    <n v="0"/>
    <n v="0.78753146989423473"/>
    <n v="389815.25244999997"/>
    <n v="316500.05"/>
    <n v="0.81192320723929645"/>
    <n v="36"/>
    <n v="0.48"/>
    <n v="30"/>
    <n v="15"/>
    <n v="0.5"/>
    <n v="5193.75"/>
    <n v="2000"/>
    <n v="0.38507821901323708"/>
    <n v="61259.45782500002"/>
    <x v="0"/>
    <x v="1"/>
    <x v="0"/>
    <s v="2 Bajo"/>
    <n v="50"/>
    <s v="1 Bajo Extremo"/>
    <n v="30"/>
    <s v="5 Alto"/>
    <n v="80"/>
    <n v="58"/>
    <x v="0"/>
    <s v="2 Bajo"/>
    <n v="50"/>
    <s v="1 Bajo"/>
    <n v="30"/>
    <n v="52"/>
    <s v="Antiguedad: &lt; 3 Meses|Tamaño Cartera: 3 Mediana ≥ 1MM|1 Mal Vendedor|Calidad Cartera: 2 Bajo|Alcance Incentivos: 1 Bajo"/>
  </r>
  <r>
    <x v="2"/>
    <x v="11"/>
    <n v="32305"/>
    <s v="LETICIA MESINAS ACEVEDO"/>
    <d v="2023-06-06T00:00:00"/>
    <d v="2023-10-21T00:00:00"/>
    <x v="1"/>
    <s v="NO"/>
    <n v="1"/>
    <n v="3"/>
    <n v="1718635.0599999996"/>
    <n v="1601493.2000000002"/>
    <n v="1077362.5899999999"/>
    <s v=""/>
    <s v=""/>
    <n v="1465830.2833333332"/>
    <n v="3"/>
    <n v="1077362.5899999999"/>
    <n v="-0.20824810403618932"/>
    <n v="1048529.1199999999"/>
    <n v="0"/>
    <n v="0"/>
    <n v="0"/>
    <n v="0.9732369860735558"/>
    <n v="1264251.7925000002"/>
    <n v="1542500.7300000004"/>
    <n v="1.2200898105509312"/>
    <n v="43"/>
    <n v="0.78181818181818186"/>
    <n v="232"/>
    <n v="129"/>
    <n v="0.55603448275862066"/>
    <n v="28687.771231180697"/>
    <n v="21250"/>
    <n v="0.74073373733904446"/>
    <n v="81368.574624999994"/>
    <x v="0"/>
    <x v="1"/>
    <x v="1"/>
    <s v="3 Medio Bajo"/>
    <n v="70"/>
    <s v="1 Bajo Extremo"/>
    <n v="30"/>
    <s v="7 Sobresaliente"/>
    <n v="110"/>
    <n v="78"/>
    <x v="1"/>
    <s v="5 Alto"/>
    <n v="90"/>
    <s v="3 Medio Alto"/>
    <n v="70"/>
    <n v="82"/>
    <s v="Antiguedad: &lt; 3 Meses|Tamaño Cartera: 3 Mediana ≥ 1MM|2 Medio Vendedor|Calidad Cartera: 5 Alto|Alcance Incentivos: 3 Medio Alto"/>
  </r>
  <r>
    <x v="2"/>
    <x v="12"/>
    <n v="14019"/>
    <s v="ISABEL MONSERRAT RAZO MENDEZ"/>
    <d v="2021-07-08T00:00:00"/>
    <d v="1899-12-30T00:00:00"/>
    <x v="0"/>
    <s v="SI"/>
    <n v="25"/>
    <n v="29"/>
    <n v="1288885.8300000003"/>
    <n v="1250844.9700000002"/>
    <n v="888577.54"/>
    <s v=""/>
    <n v="0"/>
    <n v="857077.0850000002"/>
    <n v="4"/>
    <n v="0"/>
    <n v="-1"/>
    <n v="0"/>
    <n v="59918.28"/>
    <n v="6.9910024487470676E-2"/>
    <n v="0.20973007346241201"/>
    <n v="0"/>
    <n v="2123646.5142999999"/>
    <n v="802499.90999999992"/>
    <n v="0.37788770616776651"/>
    <n v="55"/>
    <n v="7.3041168658698544E-2"/>
    <n v="178"/>
    <n v="61"/>
    <n v="0.34269662921348315"/>
    <n v="31836.821430813816"/>
    <n v="5260"/>
    <n v="0.16521749859453677"/>
    <n v="55576.502387500012"/>
    <x v="5"/>
    <x v="2"/>
    <x v="5"/>
    <s v="2 Bajo"/>
    <n v="50"/>
    <s v="1 Bajo Extremo"/>
    <n v="30"/>
    <s v="2 Bajo"/>
    <n v="30"/>
    <n v="38"/>
    <x v="0"/>
    <s v="1 Bajo Extremo"/>
    <n v="30"/>
    <s v="1 Bajo"/>
    <n v="30"/>
    <n v="34"/>
    <s v="Antiguedad: 2 a 2.5 años|Tamaño Cartera: 2 Mediana ≤ 1MM|1 Mal Vendedor|Calidad Cartera: 1 Bajo Extremo|Alcance Incentivos: 1 Bajo"/>
  </r>
  <r>
    <x v="2"/>
    <x v="12"/>
    <n v="26859"/>
    <s v="MONSERRAT DE LA CRUZ MARTINEZ ALVARADO"/>
    <d v="2022-11-16T00:00:00"/>
    <d v="1899-12-30T00:00:00"/>
    <x v="0"/>
    <s v="NO"/>
    <n v="8"/>
    <n v="12"/>
    <n v="1001774.7200000001"/>
    <n v="1009050.7000000002"/>
    <n v="719485.41999999993"/>
    <n v="576343.26"/>
    <n v="871219.1100000001"/>
    <n v="835574.64200000023"/>
    <n v="5"/>
    <n v="871219.1100000001"/>
    <n v="-3.4306448766242004E-2"/>
    <n v="699396.86"/>
    <n v="102742.54"/>
    <n v="0.12296033751584334"/>
    <n v="0.29510481003802402"/>
    <n v="0.71809486543951695"/>
    <n v="2511581.0609500003"/>
    <n v="1354494.9099999997"/>
    <n v="0.53929969892656571"/>
    <n v="302"/>
    <n v="1.1750972762645915"/>
    <n v="217"/>
    <n v="66"/>
    <n v="0.30414746543778803"/>
    <n v="55890.658693185003"/>
    <n v="6605.0000000000009"/>
    <n v="0.11817717225804279"/>
    <n v="59915.049915000018"/>
    <x v="3"/>
    <x v="2"/>
    <x v="1"/>
    <s v="1 Bajo Extremo"/>
    <n v="30"/>
    <s v="2 Bajo"/>
    <n v="50"/>
    <s v="3 Medio Bajo"/>
    <n v="50"/>
    <n v="42"/>
    <x v="0"/>
    <s v="2 Bajo"/>
    <n v="50"/>
    <s v="1 Bajo"/>
    <n v="30"/>
    <n v="44"/>
    <s v="Antiguedad: 6 a 12 Meses|Tamaño Cartera: 2 Mediana ≤ 1MM|1 Mal Vendedor|Calidad Cartera: 2 Bajo|Alcance Incentivos: 1 Bajo"/>
  </r>
  <r>
    <x v="2"/>
    <x v="13"/>
    <n v="17299"/>
    <s v="JULIAN MARTINEZ CORTES"/>
    <d v="2021-11-10T00:00:00"/>
    <d v="1899-12-30T00:00:00"/>
    <x v="0"/>
    <s v="NO"/>
    <n v="20"/>
    <n v="25"/>
    <n v="519926.24999999994"/>
    <n v="825468.8"/>
    <n v="733878.24000000011"/>
    <s v=""/>
    <n v="604773.24"/>
    <n v="671011.63250000007"/>
    <n v="4"/>
    <n v="596836.19000000006"/>
    <n v="4.7058953648106527E-2"/>
    <n v="525160.30000000005"/>
    <n v="103172.93000000001"/>
    <n v="0.15375728974415356"/>
    <n v="0.46127186923246066"/>
    <n v="0.7502192257152307"/>
    <n v="2516449.5962999994"/>
    <n v="1572149.09"/>
    <n v="0.6247488891935572"/>
    <n v="78"/>
    <n v="0.12420382165605096"/>
    <n v="120"/>
    <n v="62"/>
    <n v="0.51666666666666672"/>
    <n v="51334.522509021022"/>
    <n v="1040"/>
    <n v="2.0259270938328893E-2"/>
    <n v="54636.401368749997"/>
    <x v="6"/>
    <x v="2"/>
    <x v="2"/>
    <s v="3 Medio Bajo"/>
    <n v="70"/>
    <s v="1 Bajo Extremo"/>
    <n v="30"/>
    <s v="3 Medio Bajo"/>
    <n v="50"/>
    <n v="54"/>
    <x v="0"/>
    <s v="2 Bajo"/>
    <n v="50"/>
    <s v="1 Bajo"/>
    <n v="30"/>
    <n v="50"/>
    <s v="Antiguedad: 1.5 a 2 años|Tamaño Cartera: 2 Mediana ≤ 1MM|1 Mal Vendedor|Calidad Cartera: 2 Bajo|Alcance Incentivos: 1 Bajo"/>
  </r>
  <r>
    <x v="2"/>
    <x v="13"/>
    <n v="29508"/>
    <s v="JESSICA MARIN DURON"/>
    <d v="2023-03-02T00:00:00"/>
    <d v="1899-12-30T00:00:00"/>
    <x v="0"/>
    <s v="NO"/>
    <n v="5"/>
    <n v="9"/>
    <n v="649191.03000000014"/>
    <n v="809230.59999999974"/>
    <n v="892166.98"/>
    <n v="878059.23"/>
    <n v="717913.44"/>
    <n v="789312.25599999994"/>
    <n v="5"/>
    <n v="717913.44"/>
    <n v="2.5474565868752963E-2"/>
    <n v="595792.72"/>
    <n v="0"/>
    <n v="0"/>
    <n v="0"/>
    <n v="0.82989492437974144"/>
    <n v="2139925.2577499999"/>
    <n v="1307999.99"/>
    <n v="0.61123629681126423"/>
    <n v="28"/>
    <n v="0.18543046357615894"/>
    <n v="76"/>
    <n v="41"/>
    <n v="0.53947368421052633"/>
    <n v="38053.511801175773"/>
    <n v="7222.5"/>
    <n v="0.18979851420117394"/>
    <n v="36829.954720000002"/>
    <x v="1"/>
    <x v="2"/>
    <x v="2"/>
    <s v="3 Medio Bajo"/>
    <n v="70"/>
    <s v="1 Bajo Extremo"/>
    <n v="30"/>
    <s v="3 Medio Bajo"/>
    <n v="50"/>
    <n v="54"/>
    <x v="0"/>
    <s v="2 Bajo"/>
    <n v="50"/>
    <s v="1 Bajo"/>
    <n v="30"/>
    <n v="50"/>
    <s v="Antiguedad: 3 a 6 Meses|Tamaño Cartera: 2 Mediana ≤ 1MM|1 Mal Vendedor|Calidad Cartera: 2 Bajo|Alcance Incentivos: 1 Bajo"/>
  </r>
  <r>
    <x v="2"/>
    <x v="14"/>
    <n v="31036"/>
    <s v="JENIFER QUETZALLI REMOLINO"/>
    <d v="2023-04-24T00:00:00"/>
    <d v="1899-12-30T00:00:00"/>
    <x v="0"/>
    <s v="NO"/>
    <n v="3"/>
    <n v="6"/>
    <n v="654948.19000000006"/>
    <n v="530981.46"/>
    <n v="560430.12"/>
    <n v="717936.73"/>
    <s v=""/>
    <n v="616074.125"/>
    <n v="4"/>
    <n v="717936.73"/>
    <n v="3.1081691776654319E-2"/>
    <n v="709554.81"/>
    <n v="0"/>
    <n v="0"/>
    <n v="0"/>
    <n v="0.98832498791362866"/>
    <n v="1700534.9405500004"/>
    <n v="1242999.2700000003"/>
    <n v="0.73094603372158862"/>
    <n v="76"/>
    <n v="0.77551020408163263"/>
    <n v="95"/>
    <n v="46"/>
    <n v="0.48421052631578948"/>
    <n v="30518.726286768455"/>
    <n v="20690"/>
    <n v="0.67794441372116676"/>
    <n v="30596.762187500004"/>
    <x v="1"/>
    <x v="2"/>
    <x v="2"/>
    <s v="2 Bajo"/>
    <n v="50"/>
    <s v="1 Bajo Extremo"/>
    <n v="30"/>
    <s v="4 Medio Alto"/>
    <n v="70"/>
    <n v="54"/>
    <x v="0"/>
    <s v="5 Alto"/>
    <n v="90"/>
    <s v="3 Medio Alto"/>
    <n v="70"/>
    <n v="70"/>
    <s v="Antiguedad: 3 a 6 Meses|Tamaño Cartera: 2 Mediana ≤ 1MM|1 Mal Vendedor|Calidad Cartera: 5 Alto|Alcance Incentivos: 3 Medio Alto"/>
  </r>
  <r>
    <x v="2"/>
    <x v="14"/>
    <n v="31037"/>
    <s v="BRAULIO GUZMAN JIMENEZ"/>
    <d v="2023-04-24T00:00:00"/>
    <d v="1899-12-30T00:00:00"/>
    <x v="0"/>
    <s v="NO"/>
    <n v="3"/>
    <n v="7"/>
    <n v="558836.07999999996"/>
    <n v="485813.00999999995"/>
    <n v="436167.04000000004"/>
    <n v="474371.97999999992"/>
    <n v="546731.31000000006"/>
    <n v="500383.88399999996"/>
    <n v="5"/>
    <n v="546731.31000000006"/>
    <n v="-5.4597205211307509E-3"/>
    <n v="493925.99"/>
    <n v="0"/>
    <n v="0"/>
    <n v="0"/>
    <n v="0.90341632345877532"/>
    <n v="1986634.5079000001"/>
    <n v="1056999.6400000001"/>
    <n v="0.53205541119756172"/>
    <n v="47"/>
    <n v="0.47959183673469385"/>
    <n v="86"/>
    <n v="43"/>
    <n v="0.5"/>
    <n v="41301.617250999872"/>
    <n v="2775.0000000000005"/>
    <n v="6.718865227808532E-2"/>
    <n v="19327.073329999996"/>
    <x v="1"/>
    <x v="2"/>
    <x v="1"/>
    <s v="2 Bajo"/>
    <n v="50"/>
    <s v="1 Bajo Extremo"/>
    <n v="30"/>
    <s v="3 Medio Bajo"/>
    <n v="50"/>
    <n v="46"/>
    <x v="0"/>
    <s v="4 Medio Alto"/>
    <n v="80"/>
    <s v="1 Bajo"/>
    <n v="30"/>
    <n v="58"/>
    <s v="Antiguedad: 3 a 6 Meses|Tamaño Cartera: 2 Mediana ≤ 1MM|1 Mal Vendedor|Calidad Cartera: 4 Medio Alto|Alcance Incentivos: 1 Bajo"/>
  </r>
  <r>
    <x v="2"/>
    <x v="15"/>
    <n v="25225"/>
    <s v="MARCELO TZITZIHUA TZITZIHUA"/>
    <d v="2022-09-19T00:00:00"/>
    <d v="1899-12-30T00:00:00"/>
    <x v="0"/>
    <s v="NO"/>
    <n v="10"/>
    <n v="14"/>
    <n v="1478613.0799999996"/>
    <n v="1404558.1600000001"/>
    <n v="1152167.2899999998"/>
    <n v="1076910.8900000001"/>
    <n v="977349.49000000011"/>
    <n v="1217919.7820000001"/>
    <n v="5"/>
    <n v="977349.49000000011"/>
    <n v="-9.8327474336457499E-2"/>
    <n v="638575.75000000012"/>
    <n v="260120.37"/>
    <n v="0.21357758847864741"/>
    <n v="0.51258621234875379"/>
    <n v="0.51603337636037461"/>
    <n v="4019084.6620499999"/>
    <n v="1507500.6499999997"/>
    <n v="0.37508556717764546"/>
    <n v="63"/>
    <n v="0.2"/>
    <n v="354"/>
    <n v="111"/>
    <n v="0.3135593220338983"/>
    <n v="80226.425442680833"/>
    <n v="1722.5"/>
    <n v="2.1470481708432469E-2"/>
    <n v="112398.96146500001"/>
    <x v="3"/>
    <x v="1"/>
    <x v="1"/>
    <s v="2 Bajo"/>
    <n v="50"/>
    <s v="1 Bajo Extremo"/>
    <n v="30"/>
    <s v="2 Bajo"/>
    <n v="30"/>
    <n v="38"/>
    <x v="0"/>
    <s v="1 Bajo Extremo"/>
    <n v="30"/>
    <s v="1 Bajo"/>
    <n v="30"/>
    <n v="34"/>
    <s v="Antiguedad: 6 a 12 Meses|Tamaño Cartera: 3 Mediana ≥ 1MM|1 Mal Vendedor|Calidad Cartera: 1 Bajo Extremo|Alcance Incentivos: 1 Bajo"/>
  </r>
  <r>
    <x v="2"/>
    <x v="15"/>
    <n v="27027"/>
    <s v="FERNANDO MANUEL VELASCO RIVERA"/>
    <d v="2022-11-22T00:00:00"/>
    <d v="1899-12-30T00:00:00"/>
    <x v="0"/>
    <s v="NO"/>
    <n v="8"/>
    <n v="12"/>
    <n v="1571890.0499999996"/>
    <n v="1545810.5099999998"/>
    <n v="1240101.8700000001"/>
    <n v="1132439.3199999998"/>
    <n v="1157538.5099999998"/>
    <n v="1329556.0519999999"/>
    <n v="5"/>
    <n v="1157538.5099999998"/>
    <n v="-7.3643142313285725E-2"/>
    <n v="878670.43"/>
    <n v="275965.71000000002"/>
    <n v="0.20756229839642748"/>
    <n v="0.498149516151426"/>
    <n v="0.61295280316649503"/>
    <n v="3695368.1849000007"/>
    <n v="1574003.4799999997"/>
    <n v="0.42593955493574004"/>
    <n v="23"/>
    <n v="9.1633466135458169E-2"/>
    <n v="399"/>
    <n v="171"/>
    <n v="0.42857142857142855"/>
    <n v="72707.741524078243"/>
    <n v="2437.5"/>
    <n v="3.3524628174467309E-2"/>
    <n v="122130.11499"/>
    <x v="3"/>
    <x v="1"/>
    <x v="1"/>
    <s v="2 Bajo"/>
    <n v="50"/>
    <s v="1 Bajo Extremo"/>
    <n v="30"/>
    <s v="2 Bajo"/>
    <n v="30"/>
    <n v="38"/>
    <x v="0"/>
    <s v="1 Bajo Extremo"/>
    <n v="30"/>
    <s v="1 Bajo"/>
    <n v="30"/>
    <n v="34"/>
    <s v="Antiguedad: 6 a 12 Meses|Tamaño Cartera: 3 Mediana ≥ 1MM|1 Mal Vendedor|Calidad Cartera: 1 Bajo Extremo|Alcance Incentivos: 1 Bajo"/>
  </r>
  <r>
    <x v="2"/>
    <x v="15"/>
    <n v="32999"/>
    <s v="ELSA FERNANDEZ REYES"/>
    <d v="2023-07-03T00:00:00"/>
    <d v="2023-10-30T00:00:00"/>
    <x v="1"/>
    <s v="NO"/>
    <n v="0"/>
    <n v="2"/>
    <n v="33288.660000000003"/>
    <n v="29880.66"/>
    <n v="20668.97"/>
    <s v=""/>
    <s v=""/>
    <n v="27946.096666666668"/>
    <n v="3"/>
    <n v="20668.97"/>
    <n v="-0.21202713763042591"/>
    <n v="20668.97"/>
    <n v="0"/>
    <n v="0"/>
    <n v="0"/>
    <n v="1"/>
    <n v="400500"/>
    <n v="39000.03"/>
    <n v="9.7378352059925094E-2"/>
    <n v="44"/>
    <n v="1.5714285714285714"/>
    <n v="0"/>
    <n v="0"/>
    <n v="0"/>
    <n v="7025.6833810265689"/>
    <n v="4575"/>
    <n v="0.65118220561364337"/>
    <n v="-6868.0994416666663"/>
    <x v="0"/>
    <x v="0"/>
    <x v="1"/>
    <s v="1 Bajo Extremo"/>
    <n v="30"/>
    <s v="2 Bajo"/>
    <n v="50"/>
    <s v="1 Bajo Extremo"/>
    <n v="0"/>
    <n v="22"/>
    <x v="0"/>
    <s v="7 Sobresaliente"/>
    <n v="110"/>
    <s v="3 Medio Alto"/>
    <n v="70"/>
    <n v="62"/>
    <s v="Antiguedad: &lt; 3 Meses|Tamaño Cartera: 1 Pequeño ≤ 500k|1 Mal Vendedor|Calidad Cartera: 7 Sobresaliente|Alcance Incentivos: 3 Medio Alto"/>
  </r>
  <r>
    <x v="2"/>
    <x v="16"/>
    <n v="28375"/>
    <s v="OLIVIA LOPEZ HERNANDEZ"/>
    <d v="2023-01-23T00:00:00"/>
    <d v="2023-12-15T00:00:00"/>
    <x v="1"/>
    <s v="NO"/>
    <n v="6"/>
    <n v="9"/>
    <n v="720804.60000000009"/>
    <n v="796736.29999999993"/>
    <n v="739415.01"/>
    <n v="1311201.8799999999"/>
    <s v=""/>
    <n v="892039.44750000001"/>
    <n v="4"/>
    <n v="1311201.8799999999"/>
    <n v="0.22072359191443303"/>
    <n v="1163070.82"/>
    <n v="376"/>
    <n v="4.2150602314030514E-4"/>
    <n v="1.2645180694209155E-3"/>
    <n v="0.88677221363324621"/>
    <n v="2030930.2448999998"/>
    <n v="1315999.7"/>
    <n v="0.64797877884023436"/>
    <n v="82"/>
    <n v="0.43386243386243384"/>
    <n v="170"/>
    <n v="78"/>
    <n v="0.45882352941176469"/>
    <n v="37310.229421413213"/>
    <n v="3827.5"/>
    <n v="0.10258580714605063"/>
    <n v="42343.143231249996"/>
    <x v="3"/>
    <x v="2"/>
    <x v="6"/>
    <s v="2 Bajo"/>
    <n v="50"/>
    <s v="1 Bajo Extremo"/>
    <n v="30"/>
    <s v="3 Medio Bajo"/>
    <n v="50"/>
    <n v="46"/>
    <x v="0"/>
    <s v="3 Medio Bajo"/>
    <n v="70"/>
    <s v="1 Bajo"/>
    <n v="30"/>
    <n v="54"/>
    <s v="Antiguedad: 6 a 12 Meses|Tamaño Cartera: 2 Mediana ≤ 1MM|1 Mal Vendedor|Calidad Cartera: 3 Medio Bajo|Alcance Incentivos: 1 Bajo"/>
  </r>
  <r>
    <x v="2"/>
    <x v="16"/>
    <n v="33376"/>
    <s v="ISAAC VINICIO BACILIO ESPITIA"/>
    <d v="2023-07-17T00:00:00"/>
    <d v="1899-12-30T00:00:00"/>
    <x v="0"/>
    <s v="NO"/>
    <n v="0"/>
    <n v="2"/>
    <n v="303473.75"/>
    <n v="508040.27999999997"/>
    <n v="594277.58000000007"/>
    <s v=""/>
    <s v=""/>
    <n v="468597.20333333337"/>
    <n v="3"/>
    <n v="594277.58000000007"/>
    <n v="0.3993749888362097"/>
    <n v="577232.10000000009"/>
    <n v="0"/>
    <n v="0"/>
    <n v="0"/>
    <n v="0.97131730932874838"/>
    <n v="410288.9873342872"/>
    <n v="770000.29"/>
    <n v="1.8767266823387447"/>
    <n v="28"/>
    <n v="2"/>
    <n v="42"/>
    <n v="32"/>
    <n v="0.76190476190476186"/>
    <n v="10580.003292892919"/>
    <n v="15175"/>
    <n v="1.4343095724926431"/>
    <n v="22002.672525000002"/>
    <x v="0"/>
    <x v="0"/>
    <x v="4"/>
    <s v="4 Medio Alto"/>
    <n v="80"/>
    <s v="3 Medio Bajo"/>
    <n v="70"/>
    <s v="7 Sobresaliente"/>
    <n v="110"/>
    <n v="90"/>
    <x v="3"/>
    <s v="5 Alto"/>
    <n v="90"/>
    <s v="5 Sobresaliente"/>
    <n v="90"/>
    <n v="90"/>
    <s v="Antiguedad: &lt; 3 Meses|Tamaño Cartera: 1 Pequeño ≤ 500k|4 Gran Vendedor|Calidad Cartera: 5 Alto|Alcance Incentivos: 5 Sobresaliente"/>
  </r>
  <r>
    <x v="2"/>
    <x v="16"/>
    <n v="33499"/>
    <s v="HECTOR CORONEL VENTURA"/>
    <d v="2023-07-21T00:00:00"/>
    <d v="1899-12-30T00:00:00"/>
    <x v="0"/>
    <s v="NO"/>
    <n v="0"/>
    <n v="4"/>
    <n v="533654.06999999995"/>
    <n v="1143374.9300000002"/>
    <n v="1114403.3900000001"/>
    <n v="775926.45"/>
    <n v="1487694.53"/>
    <n v="1011010.674"/>
    <n v="5"/>
    <n v="1487694.53"/>
    <n v="0.29215164572101338"/>
    <n v="1487694.53"/>
    <n v="0"/>
    <n v="0"/>
    <n v="0"/>
    <n v="1"/>
    <n v="991176.88442315278"/>
    <n v="2926501.2"/>
    <n v="2.952551906719628"/>
    <n v="98"/>
    <n v="9.8000000000000007"/>
    <n v="48"/>
    <n v="36"/>
    <n v="0.75"/>
    <n v="32816.699999999997"/>
    <n v="49248.074999999997"/>
    <n v="1.5007016244777811"/>
    <n v="57982.728755000004"/>
    <x v="0"/>
    <x v="1"/>
    <x v="6"/>
    <s v="4 Medio Alto"/>
    <n v="80"/>
    <s v="6 Muy Alto"/>
    <n v="100"/>
    <s v="7 Sobresaliente"/>
    <n v="110"/>
    <n v="96"/>
    <x v="3"/>
    <s v="7 Sobresaliente"/>
    <n v="110"/>
    <s v="5 Sobresaliente"/>
    <n v="90"/>
    <n v="101"/>
    <s v="Antiguedad: &lt; 3 Meses|Tamaño Cartera: 3 Mediana ≥ 1MM|4 Gran Vendedor|Calidad Cartera: 7 Sobresaliente|Alcance Incentivos: 5 Sobresaliente"/>
  </r>
  <r>
    <x v="1"/>
    <x v="2"/>
    <n v="33543"/>
    <s v="ANDRES DE JESUS PALOMARES PASTRANA"/>
    <d v="2023-07-21T00:00:00"/>
    <d v="2023-10-04T00:00:00"/>
    <x v="1"/>
    <s v="NO"/>
    <n v="1"/>
    <n v="2"/>
    <n v="489022.56"/>
    <n v="465823.65999999986"/>
    <s v=""/>
    <s v=""/>
    <s v=""/>
    <n v="477423.10999999993"/>
    <n v="2"/>
    <n v="465823.65999999986"/>
    <n v="-4.7439324680644823E-2"/>
    <n v="337395.12999999995"/>
    <n v="92892.900000000009"/>
    <n v="0.19457143580669989"/>
    <n v="1.1674286148401993"/>
    <n v="0.60387529948995966"/>
    <n v="361762.15218969819"/>
    <n v="190000"/>
    <n v="0.52520695946205342"/>
    <n v="17"/>
    <n v="0.41463414634146339"/>
    <n v="10"/>
    <n v="3"/>
    <n v="0.3"/>
    <n v="9265.9809287653825"/>
    <n v="2450"/>
    <n v="0.26440805553508112"/>
    <n v="65123.278825000001"/>
    <x v="0"/>
    <x v="0"/>
    <x v="1"/>
    <s v="1 Bajo Extremo"/>
    <n v="30"/>
    <s v="1 Bajo Extremo"/>
    <n v="30"/>
    <s v="3 Medio Bajo"/>
    <n v="50"/>
    <n v="38"/>
    <x v="0"/>
    <s v="1 Bajo Extremo"/>
    <n v="30"/>
    <s v="1 Bajo"/>
    <n v="30"/>
    <n v="34"/>
    <s v="Antiguedad: &lt; 3 Meses|Tamaño Cartera: 1 Pequeño ≤ 500k|1 Mal Vendedor|Calidad Cartera: 1 Bajo Extremo|Alcance Incentivos: 1 Bajo"/>
  </r>
  <r>
    <x v="1"/>
    <x v="2"/>
    <n v="33878"/>
    <s v="GUADALUPE CARMONA ANTONIO"/>
    <d v="2023-08-02T00:00:00"/>
    <d v="1899-12-30T00:00:00"/>
    <x v="0"/>
    <s v="NO"/>
    <n v="0"/>
    <n v="4"/>
    <n v="129111.69"/>
    <n v="212272.25999999998"/>
    <s v=""/>
    <n v="196949.75"/>
    <n v="455162.30999999994"/>
    <n v="248374.00249999997"/>
    <n v="4"/>
    <n v="455162.30999999994"/>
    <n v="0.52194950015810226"/>
    <n v="455162.30999999994"/>
    <n v="0"/>
    <n v="0"/>
    <n v="0"/>
    <n v="1"/>
    <n v="564500"/>
    <n v="511500.44000000006"/>
    <n v="0.90611238263950411"/>
    <n v="57"/>
    <n v="1.9655172413793103"/>
    <n v="0"/>
    <n v="0"/>
    <n v="0"/>
    <n v="30923.035756968158"/>
    <n v="13337.112499999999"/>
    <n v="0.43130023212532204"/>
    <n v="7615.7832687500004"/>
    <x v="0"/>
    <x v="0"/>
    <x v="4"/>
    <s v="1 Bajo Extremo"/>
    <n v="30"/>
    <s v="2 Bajo"/>
    <n v="50"/>
    <s v="5 Alto"/>
    <n v="80"/>
    <n v="54"/>
    <x v="0"/>
    <s v="7 Sobresaliente"/>
    <n v="110"/>
    <s v="2 Medio"/>
    <n v="50"/>
    <n v="76"/>
    <s v="Antiguedad: &lt; 3 Meses|Tamaño Cartera: 1 Pequeño ≤ 500k|1 Mal Vendedor|Calidad Cartera: 7 Sobresaliente|Alcance Incentivos: 2 Medio"/>
  </r>
  <r>
    <x v="1"/>
    <x v="3"/>
    <n v="33995"/>
    <s v="MARIA ANGELICA VILLA MARTINEZ"/>
    <d v="2023-08-08T00:00:00"/>
    <d v="2023-10-23T00:00:00"/>
    <x v="1"/>
    <s v="NO"/>
    <n v="0"/>
    <n v="1"/>
    <n v="99999.8"/>
    <n v="200810.02999999997"/>
    <s v=""/>
    <s v=""/>
    <s v=""/>
    <n v="150404.91499999998"/>
    <n v="2"/>
    <n v="200810.02999999997"/>
    <n v="1.0081043162086321"/>
    <n v="200810.02999999997"/>
    <n v="0"/>
    <n v="0"/>
    <n v="0"/>
    <n v="1"/>
    <n v="156500"/>
    <n v="242000"/>
    <n v="1.5463258785942493"/>
    <n v="44"/>
    <n v="1.9130434782608696"/>
    <n v="0"/>
    <n v="0"/>
    <n v="0"/>
    <n v="5416.3500816345395"/>
    <n v="6325"/>
    <n v="1.1677605591718416"/>
    <n v="1810.7826124999992"/>
    <x v="0"/>
    <x v="0"/>
    <x v="4"/>
    <s v="1 Bajo Extremo"/>
    <n v="30"/>
    <s v="2 Bajo"/>
    <n v="50"/>
    <s v="7 Sobresaliente"/>
    <n v="110"/>
    <n v="66"/>
    <x v="1"/>
    <s v="7 Sobresaliente"/>
    <n v="110"/>
    <s v="5 Sobresaliente"/>
    <n v="90"/>
    <n v="86"/>
    <s v="Antiguedad: &lt; 3 Meses|Tamaño Cartera: 1 Pequeño ≤ 500k|2 Medio Vendedor|Calidad Cartera: 7 Sobresaliente|Alcance Incentivos: 5 Sobresaliente"/>
  </r>
  <r>
    <x v="1"/>
    <x v="4"/>
    <n v="33877"/>
    <s v="RODOLFO ALBERTO SORIANO MEJIA"/>
    <d v="2023-08-02T00:00:00"/>
    <d v="2023-10-05T00:00:00"/>
    <x v="1"/>
    <s v="NO"/>
    <n v="0"/>
    <n v="1"/>
    <n v="393589.62999999995"/>
    <n v="287325.49"/>
    <s v=""/>
    <s v=""/>
    <s v=""/>
    <n v="340457.55999999994"/>
    <n v="2"/>
    <n v="287325.49"/>
    <n v="-0.26998714371615928"/>
    <n v="265951.44"/>
    <n v="0"/>
    <n v="0"/>
    <n v="0"/>
    <n v="0.92561032437463175"/>
    <n v="156500"/>
    <n v="193000"/>
    <n v="1.2332268370607029"/>
    <n v="22"/>
    <n v="0.75862068965517238"/>
    <n v="0"/>
    <n v="0"/>
    <n v="0"/>
    <n v="5625"/>
    <n v="4587.5"/>
    <n v="0.81555555555555559"/>
    <n v="11870.059699999998"/>
    <x v="0"/>
    <x v="0"/>
    <x v="1"/>
    <s v="1 Bajo Extremo"/>
    <n v="30"/>
    <s v="1 Bajo Extremo"/>
    <n v="30"/>
    <s v="7 Sobresaliente"/>
    <n v="110"/>
    <n v="62"/>
    <x v="1"/>
    <s v="4 Medio Alto"/>
    <n v="80"/>
    <s v="4 Alto"/>
    <n v="80"/>
    <n v="71"/>
    <s v="Antiguedad: &lt; 3 Meses|Tamaño Cartera: 1 Pequeño ≤ 500k|2 Medio Vendedor|Calidad Cartera: 4 Medio Alto|Alcance Incentivos: 4 Alto"/>
  </r>
  <r>
    <x v="1"/>
    <x v="6"/>
    <n v="34226"/>
    <s v="JORGE ALBERTO CONTRERAS SEGUNDO"/>
    <d v="2023-08-16T00:00:00"/>
    <d v="1899-12-30T00:00:00"/>
    <x v="0"/>
    <s v="NO"/>
    <n v="0"/>
    <n v="3"/>
    <n v="540791.86"/>
    <n v="533139.66"/>
    <n v="533168.67000000004"/>
    <n v="641885.73"/>
    <s v=""/>
    <n v="562246.48"/>
    <n v="4"/>
    <n v="641885.73"/>
    <n v="5.8788441581403506E-2"/>
    <n v="612326.6"/>
    <n v="0"/>
    <n v="0"/>
    <n v="0"/>
    <n v="0.95394954488238892"/>
    <n v="769856.07049999991"/>
    <n v="536001.46999999986"/>
    <n v="0.69623594661256871"/>
    <n v="79"/>
    <n v="5.2666666666666666"/>
    <n v="5"/>
    <n v="1"/>
    <n v="0.2"/>
    <n v="20124"/>
    <n v="8603.8173999999999"/>
    <n v="0.4275401212482608"/>
    <n v="24480.126949999998"/>
    <x v="0"/>
    <x v="2"/>
    <x v="2"/>
    <s v="1 Bajo Extremo"/>
    <n v="30"/>
    <s v="4 Medio Alto"/>
    <n v="80"/>
    <s v="3 Medio Bajo"/>
    <n v="50"/>
    <n v="48"/>
    <x v="0"/>
    <s v="5 Alto"/>
    <n v="90"/>
    <s v="2 Medio"/>
    <n v="50"/>
    <n v="65"/>
    <s v="Antiguedad: &lt; 3 Meses|Tamaño Cartera: 2 Mediana ≤ 1MM|1 Mal Vendedor|Calidad Cartera: 5 Alto|Alcance Incentivos: 2 Medio"/>
  </r>
  <r>
    <x v="1"/>
    <x v="7"/>
    <n v="33403"/>
    <s v="ROSARIO EDITH LINAJE GONZALEZ"/>
    <d v="2023-07-19T00:00:00"/>
    <d v="2023-10-18T00:00:00"/>
    <x v="1"/>
    <s v="NO"/>
    <n v="1"/>
    <n v="2"/>
    <n v="49999.95"/>
    <n v="325987.45"/>
    <s v=""/>
    <s v=""/>
    <s v=""/>
    <n v="187993.7"/>
    <n v="2"/>
    <n v="325987.45"/>
    <n v="5.5197555197555204"/>
    <n v="325987.45"/>
    <n v="0"/>
    <n v="0"/>
    <n v="0"/>
    <n v="1"/>
    <n v="215985.9521331946"/>
    <n v="282000"/>
    <n v="1.3056404697380306"/>
    <n v="41"/>
    <n v="0.95348837209302328"/>
    <n v="0"/>
    <n v="0"/>
    <n v="0"/>
    <n v="6940.7176298988361"/>
    <n v="7475"/>
    <n v="1.0769779723928852"/>
    <n v="4547.1377499999999"/>
    <x v="0"/>
    <x v="0"/>
    <x v="4"/>
    <s v="1 Bajo Extremo"/>
    <n v="30"/>
    <s v="1 Bajo Extremo"/>
    <n v="30"/>
    <s v="7 Sobresaliente"/>
    <n v="110"/>
    <n v="62"/>
    <x v="1"/>
    <s v="7 Sobresaliente"/>
    <n v="110"/>
    <s v="5 Sobresaliente"/>
    <n v="90"/>
    <n v="84"/>
    <s v="Antiguedad: &lt; 3 Meses|Tamaño Cartera: 1 Pequeño ≤ 500k|2 Medio Vendedor|Calidad Cartera: 7 Sobresaliente|Alcance Incentivos: 5 Sobresaliente"/>
  </r>
  <r>
    <x v="1"/>
    <x v="8"/>
    <n v="33967"/>
    <s v="MIRIAM PATRICIA ROSAS AREVALO"/>
    <d v="2023-08-07T00:00:00"/>
    <d v="1899-12-30T00:00:00"/>
    <x v="0"/>
    <s v="NO"/>
    <n v="0"/>
    <n v="3"/>
    <n v="315967.48"/>
    <n v="423493.14"/>
    <n v="355936.92000000004"/>
    <n v="107017.94"/>
    <s v=""/>
    <n v="300603.87"/>
    <n v="4"/>
    <n v="107017.94"/>
    <n v="-0.30293801263288245"/>
    <n v="107017.94"/>
    <n v="0"/>
    <n v="0"/>
    <n v="0"/>
    <n v="1"/>
    <n v="844300.57149999996"/>
    <n v="434000.27"/>
    <n v="0.51403526735620597"/>
    <n v="73"/>
    <n v="3.0416666666666665"/>
    <n v="2"/>
    <n v="0"/>
    <n v="0"/>
    <n v="27716.265021468018"/>
    <n v="8152.5"/>
    <n v="0.29414136405772451"/>
    <n v="9322.8475249999974"/>
    <x v="0"/>
    <x v="0"/>
    <x v="1"/>
    <s v="1 Bajo Extremo"/>
    <n v="30"/>
    <s v="3 Medio Bajo"/>
    <n v="70"/>
    <s v="3 Medio Bajo"/>
    <n v="50"/>
    <n v="46"/>
    <x v="0"/>
    <s v="7 Sobresaliente"/>
    <n v="110"/>
    <s v="1 Bajo"/>
    <n v="30"/>
    <n v="70"/>
    <s v="Antiguedad: &lt; 3 Meses|Tamaño Cartera: 1 Pequeño ≤ 500k|1 Mal Vendedor|Calidad Cartera: 7 Sobresaliente|Alcance Incentivos: 1 Bajo"/>
  </r>
  <r>
    <x v="2"/>
    <x v="10"/>
    <n v="33645"/>
    <s v="DIANA ELIZABETH GONZALEZ LEON"/>
    <d v="2023-07-25T00:00:00"/>
    <d v="2023-10-18T00:00:00"/>
    <x v="1"/>
    <s v="NO"/>
    <n v="1"/>
    <n v="2"/>
    <n v="180034.97"/>
    <n v="184924.64"/>
    <s v=""/>
    <s v=""/>
    <s v=""/>
    <n v="182479.80499999999"/>
    <n v="2"/>
    <n v="184924.64"/>
    <n v="2.7159556834986054E-2"/>
    <n v="184924.64"/>
    <n v="0"/>
    <n v="0"/>
    <n v="0"/>
    <n v="1"/>
    <n v="192085.84807492196"/>
    <n v="254000"/>
    <n v="1.3223254213966289"/>
    <n v="58"/>
    <n v="1.5675675675675675"/>
    <n v="0"/>
    <n v="0"/>
    <n v="0"/>
    <n v="6153.6944279051213"/>
    <n v="7462.5"/>
    <n v="1.2126861493414176"/>
    <n v="4223.8387874999989"/>
    <x v="0"/>
    <x v="0"/>
    <x v="2"/>
    <s v="1 Bajo Extremo"/>
    <n v="30"/>
    <s v="2 Bajo"/>
    <n v="50"/>
    <s v="7 Sobresaliente"/>
    <n v="110"/>
    <n v="66"/>
    <x v="1"/>
    <s v="7 Sobresaliente"/>
    <n v="110"/>
    <s v="5 Sobresaliente"/>
    <n v="90"/>
    <n v="86"/>
    <s v="Antiguedad: &lt; 3 Meses|Tamaño Cartera: 1 Pequeño ≤ 500k|2 Medio Vendedor|Calidad Cartera: 7 Sobresaliente|Alcance Incentivos: 5 Sobresaliente"/>
  </r>
  <r>
    <x v="2"/>
    <x v="11"/>
    <n v="34232"/>
    <s v="CARLOS EMANUEL FLORES ACOSTA"/>
    <d v="2023-08-16T00:00:00"/>
    <d v="2023-11-03T00:00:00"/>
    <x v="1"/>
    <s v="NO"/>
    <n v="0"/>
    <n v="1"/>
    <n v="189999.77000000002"/>
    <n v="641112.62"/>
    <s v=""/>
    <s v=""/>
    <s v=""/>
    <n v="415556.19500000001"/>
    <n v="2"/>
    <n v="641112.62"/>
    <n v="2.374281032024407"/>
    <n v="614216.88"/>
    <n v="0"/>
    <n v="0"/>
    <n v="0"/>
    <n v="0.95804833790356525"/>
    <n v="141900"/>
    <n v="234000"/>
    <n v="1.6490486257928119"/>
    <n v="40"/>
    <n v="2.6666666666666665"/>
    <n v="0"/>
    <n v="0"/>
    <n v="0"/>
    <n v="5396.1746116276317"/>
    <n v="7462.5"/>
    <n v="1.3829241151536993"/>
    <n v="17625.731212500003"/>
    <x v="0"/>
    <x v="0"/>
    <x v="4"/>
    <s v="1 Bajo Extremo"/>
    <n v="30"/>
    <s v="3 Medio Bajo"/>
    <n v="70"/>
    <s v="7 Sobresaliente"/>
    <n v="110"/>
    <n v="70"/>
    <x v="1"/>
    <s v="5 Alto"/>
    <n v="90"/>
    <s v="5 Sobresaliente"/>
    <n v="90"/>
    <n v="80"/>
    <s v="Antiguedad: &lt; 3 Meses|Tamaño Cartera: 1 Pequeño ≤ 500k|2 Medio Vendedor|Calidad Cartera: 5 Alto|Alcance Incentivos: 5 Sobresaliente"/>
  </r>
  <r>
    <x v="2"/>
    <x v="11"/>
    <n v="34479"/>
    <s v="JHOVANNY AGUILAR GARCIA"/>
    <d v="2023-08-24T00:00:00"/>
    <d v="1899-12-30T00:00:00"/>
    <x v="0"/>
    <s v="NO"/>
    <n v="0"/>
    <n v="2"/>
    <n v="71835.66"/>
    <n v="539135.69999999995"/>
    <n v="629149.35"/>
    <s v=""/>
    <s v=""/>
    <n v="413373.57"/>
    <n v="3"/>
    <n v="629149.35"/>
    <n v="1.9594215572101294"/>
    <n v="623685.68999999994"/>
    <n v="0"/>
    <n v="0"/>
    <n v="0"/>
    <n v="0.99131579806925008"/>
    <n v="438229.97195000004"/>
    <n v="560999.97"/>
    <n v="1.2801497065655003"/>
    <n v="47"/>
    <n v="6.7142857142857144"/>
    <n v="0"/>
    <n v="0"/>
    <n v="0"/>
    <n v="9748.8782323703235"/>
    <n v="10062.5"/>
    <n v="1.0321700364036062"/>
    <n v="17123.146941666666"/>
    <x v="0"/>
    <x v="0"/>
    <x v="4"/>
    <s v="1 Bajo Extremo"/>
    <n v="30"/>
    <s v="5 Alto"/>
    <n v="90"/>
    <s v="7 Sobresaliente"/>
    <n v="110"/>
    <n v="74"/>
    <x v="1"/>
    <s v="6 Muy Alto"/>
    <n v="100"/>
    <s v="5 Sobresaliente"/>
    <n v="90"/>
    <n v="86"/>
    <s v="Antiguedad: &lt; 3 Meses|Tamaño Cartera: 1 Pequeño ≤ 500k|2 Medio Vendedor|Calidad Cartera: 6 Muy Alto|Alcance Incentivos: 5 Sobresaliente"/>
  </r>
  <r>
    <x v="2"/>
    <x v="12"/>
    <n v="33951"/>
    <s v="JULIO CESAR GONZALEZ ESPINOZA"/>
    <d v="2023-08-07T00:00:00"/>
    <d v="2023-12-04T00:00:00"/>
    <x v="1"/>
    <s v="NO"/>
    <n v="0"/>
    <n v="3"/>
    <n v="69999.199999999997"/>
    <n v="191521.13"/>
    <n v="440566.51"/>
    <n v="344716.83"/>
    <s v=""/>
    <n v="261700.91750000004"/>
    <n v="4"/>
    <n v="344716.83"/>
    <n v="0.70133487126020899"/>
    <n v="316486.40999999997"/>
    <n v="0"/>
    <n v="0"/>
    <n v="0"/>
    <n v="0.91810547805281206"/>
    <n v="735300.60899999994"/>
    <n v="366499.44"/>
    <n v="0.49843483809762495"/>
    <n v="76"/>
    <n v="3.1666666666666665"/>
    <n v="0"/>
    <n v="0"/>
    <n v="0"/>
    <n v="22008.550589614337"/>
    <n v="6137.6665000000003"/>
    <n v="0.27887645190484817"/>
    <n v="6582.2193812500027"/>
    <x v="0"/>
    <x v="0"/>
    <x v="4"/>
    <s v="1 Bajo Extremo"/>
    <n v="30"/>
    <s v="3 Medio Bajo"/>
    <n v="70"/>
    <s v="2 Bajo"/>
    <n v="30"/>
    <n v="38"/>
    <x v="0"/>
    <s v="4 Medio Alto"/>
    <n v="80"/>
    <s v="1 Bajo"/>
    <n v="30"/>
    <n v="54"/>
    <s v="Antiguedad: &lt; 3 Meses|Tamaño Cartera: 1 Pequeño ≤ 500k|1 Mal Vendedor|Calidad Cartera: 4 Medio Alto|Alcance Incentivos: 1 Bajo"/>
  </r>
  <r>
    <x v="2"/>
    <x v="15"/>
    <n v="33874"/>
    <s v="JAEL BRAVO REYES"/>
    <d v="2023-08-02T00:00:00"/>
    <d v="1899-12-30T00:00:00"/>
    <x v="0"/>
    <s v="NO"/>
    <n v="0"/>
    <n v="4"/>
    <n v="105948.41"/>
    <n v="179489.19"/>
    <s v=""/>
    <n v="424277.02"/>
    <n v="444308.31000000006"/>
    <n v="288505.73250000004"/>
    <n v="4"/>
    <n v="444308.31000000006"/>
    <n v="0.61261240955108187"/>
    <n v="437056.76"/>
    <n v="0"/>
    <n v="0"/>
    <n v="0"/>
    <n v="0.98367901334098373"/>
    <n v="610899.90650000004"/>
    <n v="690499.77"/>
    <n v="1.1302993545310027"/>
    <n v="113"/>
    <n v="3.896551724137931"/>
    <n v="6"/>
    <n v="6"/>
    <n v="1"/>
    <n v="19846.925542623554"/>
    <n v="18441.483"/>
    <n v="0.92918588122854573"/>
    <n v="11199.450368750002"/>
    <x v="0"/>
    <x v="0"/>
    <x v="4"/>
    <s v="7 Sobresaliente"/>
    <n v="110"/>
    <s v="3 Medio Bajo"/>
    <n v="70"/>
    <s v="7 Sobresaliente"/>
    <n v="110"/>
    <n v="102"/>
    <x v="3"/>
    <s v="5 Alto"/>
    <n v="90"/>
    <s v="4 Alto"/>
    <n v="80"/>
    <n v="95"/>
    <s v="Antiguedad: &lt; 3 Meses|Tamaño Cartera: 1 Pequeño ≤ 500k|4 Gran Vendedor|Calidad Cartera: 5 Alto|Alcance Incentivos: 4 Alto"/>
  </r>
  <r>
    <x v="1"/>
    <x v="5"/>
    <n v="35102"/>
    <s v="ULISES URIEL PARTIDA MENDEZ"/>
    <d v="2023-09-18T00:00:00"/>
    <d v="1899-12-30T00:00:00"/>
    <x v="0"/>
    <s v="NO"/>
    <n v="0"/>
    <n v="2"/>
    <s v=""/>
    <n v="65991.66"/>
    <n v="128614.11"/>
    <s v=""/>
    <s v=""/>
    <n v="97302.885000000009"/>
    <n v="2"/>
    <n v="128614.11"/>
    <s v="NA"/>
    <n v="128614.11"/>
    <n v="0"/>
    <n v="0"/>
    <n v="0"/>
    <n v="1"/>
    <n v="200954.2143600416"/>
    <n v="150999.23000000004"/>
    <n v="0.75141111362541901"/>
    <n v="25"/>
    <n v="2.0833333333333335"/>
    <n v="0"/>
    <n v="0"/>
    <n v="0"/>
    <n v="13617.928853872454"/>
    <n v="5667.5"/>
    <n v="0.4161792928142935"/>
    <n v="-1571.3341124999988"/>
    <x v="0"/>
    <x v="0"/>
    <x v="0"/>
    <s v="1 Bajo Extremo"/>
    <n v="30"/>
    <s v="3 Medio Bajo"/>
    <n v="70"/>
    <s v="4 Medio Alto"/>
    <n v="70"/>
    <n v="54"/>
    <x v="0"/>
    <s v="7 Sobresaliente"/>
    <n v="110"/>
    <s v="2 Medio"/>
    <n v="50"/>
    <n v="76"/>
    <s v="Antiguedad: &lt; 3 Meses|Tamaño Cartera: 1 Pequeño ≤ 500k|1 Mal Vendedor|Calidad Cartera: 7 Sobresaliente|Alcance Incentivos: 2 Medio"/>
  </r>
  <r>
    <x v="1"/>
    <x v="6"/>
    <n v="34786"/>
    <s v="HUGO ENRIQUE SEVILLANO ONOFRE"/>
    <d v="2023-09-04T00:00:00"/>
    <d v="2023-11-24T00:00:00"/>
    <x v="1"/>
    <s v="NO"/>
    <n v="0"/>
    <n v="1"/>
    <n v="83866.45"/>
    <n v="62312.639999999999"/>
    <s v=""/>
    <s v=""/>
    <s v=""/>
    <n v="73089.544999999998"/>
    <n v="2"/>
    <n v="62312.639999999999"/>
    <n v="-0.25700157810423596"/>
    <n v="62312.639999999999"/>
    <n v="0"/>
    <n v="0"/>
    <n v="0"/>
    <n v="1"/>
    <n v="132000"/>
    <n v="94000"/>
    <n v="0.71212121212121215"/>
    <n v="35"/>
    <n v="1.3461538461538463"/>
    <n v="0"/>
    <n v="0"/>
    <n v="0"/>
    <n v="8313.1455484726539"/>
    <n v="4000"/>
    <n v="0.48116564021123226"/>
    <n v="-3797.3511624999992"/>
    <x v="0"/>
    <x v="0"/>
    <x v="1"/>
    <s v="1 Bajo Extremo"/>
    <n v="30"/>
    <s v="2 Bajo"/>
    <n v="50"/>
    <s v="4 Medio Alto"/>
    <n v="70"/>
    <n v="50"/>
    <x v="0"/>
    <s v="7 Sobresaliente"/>
    <n v="110"/>
    <s v="2 Medio"/>
    <n v="50"/>
    <n v="74"/>
    <s v="Antiguedad: &lt; 3 Meses|Tamaño Cartera: 1 Pequeño ≤ 500k|1 Mal Vendedor|Calidad Cartera: 7 Sobresaliente|Alcance Incentivos: 2 Medio"/>
  </r>
  <r>
    <x v="2"/>
    <x v="10"/>
    <n v="34963"/>
    <s v="HASLEY RODRIGUEZ GARCIA"/>
    <d v="2023-09-08T00:00:00"/>
    <d v="1899-12-30T00:00:00"/>
    <x v="0"/>
    <s v="NO"/>
    <n v="0"/>
    <n v="2"/>
    <s v=""/>
    <n v="776696.58000000007"/>
    <n v="668166.29"/>
    <s v=""/>
    <s v=""/>
    <n v="722431.43500000006"/>
    <n v="2"/>
    <n v="668166.29"/>
    <s v="NA"/>
    <n v="624447.63"/>
    <n v="0"/>
    <n v="0"/>
    <n v="0"/>
    <n v="0.93456919234880886"/>
    <n v="488990.11219999997"/>
    <n v="669499.94000000006"/>
    <n v="1.3691482164902558"/>
    <n v="16"/>
    <n v="0.72727272727272729"/>
    <n v="0"/>
    <n v="0"/>
    <n v="0"/>
    <n v="20703.035714285714"/>
    <n v="11880.931825"/>
    <n v="0.573873898927866"/>
    <n v="37480.273425000007"/>
    <x v="0"/>
    <x v="2"/>
    <x v="0"/>
    <s v="1 Bajo Extremo"/>
    <n v="30"/>
    <s v="1 Bajo Extremo"/>
    <n v="30"/>
    <s v="7 Sobresaliente"/>
    <n v="110"/>
    <n v="62"/>
    <x v="1"/>
    <s v="4 Medio Alto"/>
    <n v="80"/>
    <s v="2 Medio"/>
    <n v="50"/>
    <n v="68"/>
    <s v="Antiguedad: &lt; 3 Meses|Tamaño Cartera: 2 Mediana ≤ 1MM|2 Medio Vendedor|Calidad Cartera: 4 Medio Alto|Alcance Incentivos: 2 Medio"/>
  </r>
  <r>
    <x v="2"/>
    <x v="11"/>
    <n v="34961"/>
    <s v="EDUARDO ABEL CARBAJAL BALDERAS"/>
    <d v="2023-09-08T00:00:00"/>
    <d v="1899-12-30T00:00:00"/>
    <x v="0"/>
    <s v="NO"/>
    <n v="0"/>
    <n v="2"/>
    <s v=""/>
    <s v=""/>
    <n v="932970.56000000017"/>
    <s v=""/>
    <s v=""/>
    <n v="932970.56000000017"/>
    <n v="1"/>
    <n v="932970.56000000017"/>
    <s v="NA"/>
    <n v="932970.56000000017"/>
    <n v="0"/>
    <n v="0"/>
    <n v="0"/>
    <n v="1"/>
    <n v="35000"/>
    <n v="401000.58000000013"/>
    <n v="11.457159428571432"/>
    <n v="6"/>
    <n v="0.27272727272727271"/>
    <n v="0"/>
    <n v="0"/>
    <n v="0"/>
    <n v="13065.15"/>
    <n v="5908.6374999999998"/>
    <n v="0.45224413803132762"/>
    <n v="49554.444700000007"/>
    <x v="0"/>
    <x v="2"/>
    <x v="0"/>
    <s v="1 Bajo Extremo"/>
    <n v="30"/>
    <s v="1 Bajo Extremo"/>
    <n v="30"/>
    <s v="7 Sobresaliente"/>
    <n v="110"/>
    <n v="62"/>
    <x v="1"/>
    <s v="7 Sobresaliente"/>
    <n v="110"/>
    <s v="2 Medio"/>
    <n v="50"/>
    <n v="80"/>
    <s v="Antiguedad: &lt; 3 Meses|Tamaño Cartera: 2 Mediana ≤ 1MM|2 Medio Vendedor|Calidad Cartera: 7 Sobresaliente|Alcance Incentivos: 2 Medio"/>
  </r>
  <r>
    <x v="2"/>
    <x v="11"/>
    <m/>
    <s v="VICTOR MANUEL SANCHEZ PEREZ"/>
    <d v="2023-09-25T00:00:00"/>
    <d v="2023-10-18T00:00:00"/>
    <x v="1"/>
    <s v="NO"/>
    <n v="0"/>
    <n v="0"/>
    <s v=""/>
    <s v=""/>
    <s v=""/>
    <s v=""/>
    <s v=""/>
    <n v="0"/>
    <n v="0"/>
    <n v="0"/>
    <s v="NA"/>
    <n v="0"/>
    <n v="0"/>
    <e v="#DIV/0!"/>
    <e v="#DIV/0!"/>
    <n v="0"/>
    <n v="35000"/>
    <n v="0"/>
    <n v="0"/>
    <n v="0"/>
    <n v="0"/>
    <n v="0"/>
    <n v="0"/>
    <n v="0"/>
    <n v="2162.5"/>
    <n v="2000"/>
    <n v="0.92485549132947975"/>
    <n v="0"/>
    <x v="0"/>
    <x v="0"/>
    <x v="0"/>
    <s v="1 Bajo Extremo"/>
    <n v="30"/>
    <s v="1 Bajo Extremo"/>
    <n v="30"/>
    <s v="1 Bajo Extremo"/>
    <n v="0"/>
    <n v="18"/>
    <x v="0"/>
    <s v="1 Bajo Extremo"/>
    <n v="30"/>
    <s v="4 Alto"/>
    <n v="80"/>
    <n v="29"/>
    <s v="Antiguedad: &lt; 3 Meses|Tamaño Cartera: 1 Pequeño ≤ 500k|1 Mal Vendedor|Calidad Cartera: 1 Bajo Extremo|Alcance Incentivos: 4 Alto"/>
  </r>
  <r>
    <x v="2"/>
    <x v="14"/>
    <n v="34424"/>
    <s v="CRISTIAN MANUEL TENORIO CORELLA"/>
    <d v="2023-08-21T00:00:00"/>
    <d v="2023-10-19T00:00:00"/>
    <x v="1"/>
    <s v="NO"/>
    <n v="1"/>
    <n v="1"/>
    <n v="27488.06"/>
    <s v=""/>
    <s v=""/>
    <s v=""/>
    <s v=""/>
    <n v="27488.06"/>
    <n v="1"/>
    <n v="27488.06"/>
    <s v="NA"/>
    <n v="27488.06"/>
    <n v="0"/>
    <n v="0"/>
    <n v="0"/>
    <n v="1"/>
    <n v="83025"/>
    <n v="35000"/>
    <n v="0.42155977115326709"/>
    <n v="9"/>
    <n v="0.22500000000000001"/>
    <n v="0"/>
    <n v="0"/>
    <n v="0"/>
    <n v="3345.9732142857147"/>
    <n v="2000"/>
    <n v="0.59773341623326537"/>
    <n v="-6419.4365500000004"/>
    <x v="0"/>
    <x v="0"/>
    <x v="0"/>
    <s v="1 Bajo Extremo"/>
    <n v="30"/>
    <s v="1 Bajo Extremo"/>
    <n v="30"/>
    <s v="2 Bajo"/>
    <n v="30"/>
    <n v="30"/>
    <x v="0"/>
    <s v="7 Sobresaliente"/>
    <n v="110"/>
    <s v="2 Medio"/>
    <n v="50"/>
    <n v="64"/>
    <s v="Antiguedad: &lt; 3 Meses|Tamaño Cartera: 1 Pequeño ≤ 500k|1 Mal Vendedor|Calidad Cartera: 7 Sobresaliente|Alcance Incentivos: 2 Medio"/>
  </r>
  <r>
    <x v="2"/>
    <x v="14"/>
    <m/>
    <s v="OSCAR MELENDEZ GONZALEZ"/>
    <d v="2023-09-19T00:00:00"/>
    <d v="2023-10-31T00:00:00"/>
    <x v="1"/>
    <s v="NO"/>
    <n v="0"/>
    <n v="0"/>
    <s v=""/>
    <s v=""/>
    <s v=""/>
    <s v=""/>
    <s v=""/>
    <n v="0"/>
    <n v="0"/>
    <n v="0"/>
    <s v="NA"/>
    <n v="0"/>
    <n v="0"/>
    <e v="#DIV/0!"/>
    <e v="#DIV/0!"/>
    <n v="0"/>
    <n v="35000"/>
    <n v="0"/>
    <n v="0"/>
    <n v="0"/>
    <n v="0"/>
    <n v="0"/>
    <n v="0"/>
    <n v="0"/>
    <n v="2162.5"/>
    <n v="2000"/>
    <n v="0.92485549132947975"/>
    <n v="0"/>
    <x v="0"/>
    <x v="0"/>
    <x v="0"/>
    <s v="1 Bajo Extremo"/>
    <n v="30"/>
    <s v="1 Bajo Extremo"/>
    <n v="30"/>
    <s v="1 Bajo Extremo"/>
    <n v="0"/>
    <n v="18"/>
    <x v="0"/>
    <s v="1 Bajo Extremo"/>
    <n v="30"/>
    <s v="4 Alto"/>
    <n v="80"/>
    <n v="29"/>
    <s v="Antiguedad: &lt; 3 Meses|Tamaño Cartera: 1 Pequeño ≤ 500k|1 Mal Vendedor|Calidad Cartera: 1 Bajo Extremo|Alcance Incentivos: 4 Alto"/>
  </r>
  <r>
    <x v="2"/>
    <x v="16"/>
    <n v="34962"/>
    <s v="ANA CRISTINA HERNANDEZ PEREZ"/>
    <d v="2023-09-08T00:00:00"/>
    <d v="2023-11-14T00:00:00"/>
    <x v="1"/>
    <s v="NO"/>
    <n v="0"/>
    <n v="1"/>
    <n v="56000"/>
    <n v="43665.95"/>
    <s v=""/>
    <s v=""/>
    <s v=""/>
    <n v="49832.974999999999"/>
    <n v="2"/>
    <n v="43665.95"/>
    <n v="-0.22025089285714294"/>
    <n v="43665.95"/>
    <n v="0"/>
    <n v="0"/>
    <n v="0"/>
    <n v="1"/>
    <n v="132000"/>
    <n v="56000"/>
    <n v="0.42424242424242425"/>
    <n v="18"/>
    <n v="0.81818181818181823"/>
    <n v="0"/>
    <n v="0"/>
    <n v="0"/>
    <n v="6630.2029240537377"/>
    <n v="4000"/>
    <n v="0.60329978521296612"/>
    <n v="-5134.6039375"/>
    <x v="0"/>
    <x v="0"/>
    <x v="1"/>
    <s v="1 Bajo Extremo"/>
    <n v="30"/>
    <s v="1 Bajo Extremo"/>
    <n v="30"/>
    <s v="2 Bajo"/>
    <n v="30"/>
    <n v="30"/>
    <x v="0"/>
    <s v="7 Sobresaliente"/>
    <n v="110"/>
    <s v="3 Medio Alto"/>
    <n v="70"/>
    <n v="66"/>
    <s v="Antiguedad: &lt; 3 Meses|Tamaño Cartera: 1 Pequeño ≤ 500k|1 Mal Vendedor|Calidad Cartera: 7 Sobresaliente|Alcance Incentivos: 3 Medio Alto"/>
  </r>
  <r>
    <x v="0"/>
    <x v="1"/>
    <n v="35429"/>
    <s v="MARIA DE JESUS DIAZ LOPEZ"/>
    <d v="2023-10-02T00:00:00"/>
    <d v="1899-12-30T00:00:00"/>
    <x v="0"/>
    <s v="NO"/>
    <n v="0"/>
    <n v="0"/>
    <n v="458864.25"/>
    <s v=""/>
    <s v=""/>
    <s v=""/>
    <s v=""/>
    <n v="458864.25"/>
    <n v="1"/>
    <n v="458864.25"/>
    <s v="NA"/>
    <n v="364978.08"/>
    <n v="0"/>
    <n v="0"/>
    <n v="0"/>
    <n v="0.79539445489597416"/>
    <n v="35000"/>
    <n v="87999.87"/>
    <n v="2.5142819999999997"/>
    <n v="2"/>
    <n v="6.8965517241379309E-2"/>
    <n v="0"/>
    <n v="0"/>
    <n v="0"/>
    <n v="2162.5"/>
    <n v="2000"/>
    <n v="0.92485549132947975"/>
    <n v="18384.694375000003"/>
    <x v="0"/>
    <x v="0"/>
    <x v="0"/>
    <s v="1 Bajo Extremo"/>
    <n v="30"/>
    <s v="1 Bajo Extremo"/>
    <n v="30"/>
    <s v="7 Sobresaliente"/>
    <n v="110"/>
    <n v="62"/>
    <x v="1"/>
    <s v="2 Bajo"/>
    <n v="50"/>
    <s v="4 Alto"/>
    <n v="80"/>
    <n v="59"/>
    <s v="Antiguedad: &lt; 3 Meses|Tamaño Cartera: 1 Pequeño ≤ 500k|2 Medio Vendedor|Calidad Cartera: 2 Bajo|Alcance Incentivos: 4 Alto"/>
  </r>
  <r>
    <x v="1"/>
    <x v="2"/>
    <n v="35609"/>
    <s v="BRENDA BERENICE CASTRO HERNÁNDEZ "/>
    <d v="2023-10-09T00:00:00"/>
    <e v="#N/A"/>
    <x v="2"/>
    <s v="NO"/>
    <n v="0"/>
    <n v="1"/>
    <s v=""/>
    <n v="62737.320000000007"/>
    <s v=""/>
    <s v=""/>
    <s v=""/>
    <n v="62737.320000000007"/>
    <n v="1"/>
    <n v="62737.320000000007"/>
    <s v="NA"/>
    <n v="62737.320000000007"/>
    <n v="0"/>
    <n v="0"/>
    <n v="0"/>
    <n v="1"/>
    <n v="35000"/>
    <n v="63500.26999999999"/>
    <n v="1.8142934285714283"/>
    <n v="8"/>
    <n v="0.36363636363636365"/>
    <n v="0"/>
    <n v="0"/>
    <n v="0"/>
    <n v="24790.15"/>
    <n v="2000"/>
    <n v="8.0677204454188453E-2"/>
    <n v="-4392.6040999999996"/>
    <x v="0"/>
    <x v="0"/>
    <x v="0"/>
    <s v="1 Bajo Extremo"/>
    <n v="30"/>
    <s v="1 Bajo Extremo"/>
    <n v="30"/>
    <s v="7 Sobresaliente"/>
    <n v="110"/>
    <n v="62"/>
    <x v="1"/>
    <s v="7 Sobresaliente"/>
    <n v="110"/>
    <s v="1 Bajo"/>
    <n v="30"/>
    <n v="78"/>
    <s v="Antiguedad: &lt; 3 Meses|Tamaño Cartera: 1 Pequeño ≤ 500k|2 Medio Vendedor|Calidad Cartera: 7 Sobresaliente|Alcance Incentivos: 1 Bajo"/>
  </r>
  <r>
    <x v="1"/>
    <x v="3"/>
    <n v="35971"/>
    <s v="TANIA NAVARRETE SILVA"/>
    <d v="2023-10-23T00:00:00"/>
    <d v="1899-12-30T00:00:00"/>
    <x v="0"/>
    <s v="NO"/>
    <n v="0"/>
    <n v="1"/>
    <n v="123999.45000000001"/>
    <n v="522667.75999999995"/>
    <s v=""/>
    <s v=""/>
    <s v=""/>
    <n v="323333.60499999998"/>
    <n v="2"/>
    <n v="522667.75999999995"/>
    <n v="3.2150812765701779"/>
    <n v="467797.97000000003"/>
    <n v="0"/>
    <n v="0"/>
    <n v="0"/>
    <n v="0.89501975404031053"/>
    <n v="161440"/>
    <n v="337499.19"/>
    <n v="2.0905549430128842"/>
    <n v="24"/>
    <n v="3"/>
    <n v="0"/>
    <n v="0"/>
    <n v="0"/>
    <n v="16600.099999999999"/>
    <n v="5737.5"/>
    <n v="0.34563044800934939"/>
    <n v="11460.4322875"/>
    <x v="0"/>
    <x v="0"/>
    <x v="4"/>
    <s v="1 Bajo Extremo"/>
    <n v="30"/>
    <s v="3 Medio Bajo"/>
    <n v="70"/>
    <s v="7 Sobresaliente"/>
    <n v="110"/>
    <n v="70"/>
    <x v="1"/>
    <s v="3 Medio Bajo"/>
    <n v="70"/>
    <s v="1 Bajo"/>
    <n v="30"/>
    <n v="66"/>
    <s v="Antiguedad: &lt; 3 Meses|Tamaño Cartera: 1 Pequeño ≤ 500k|2 Medio Vendedor|Calidad Cartera: 3 Medio Bajo|Alcance Incentivos: 1 Bajo"/>
  </r>
  <r>
    <x v="1"/>
    <x v="3"/>
    <n v="35961"/>
    <s v="DULCE YURIKO NISHIKAWA MOLINA"/>
    <d v="2023-10-23T00:00:00"/>
    <d v="2023-12-09T00:00:00"/>
    <x v="1"/>
    <s v="NO"/>
    <n v="0"/>
    <n v="1"/>
    <s v=""/>
    <n v="279141.53999999998"/>
    <s v=""/>
    <s v=""/>
    <s v=""/>
    <n v="279141.53999999998"/>
    <n v="1"/>
    <n v="279141.53999999998"/>
    <s v="NA"/>
    <n v="279141.53999999998"/>
    <n v="0"/>
    <n v="0"/>
    <n v="0"/>
    <n v="1"/>
    <n v="94610"/>
    <n v="223000.13999999998"/>
    <n v="2.3570461896205472"/>
    <n v="5"/>
    <n v="0.625"/>
    <n v="0"/>
    <n v="0"/>
    <n v="0"/>
    <n v="10968.715"/>
    <n v="2218.4"/>
    <n v="0.20224793879684175"/>
    <n v="8269.0385499999957"/>
    <x v="0"/>
    <x v="0"/>
    <x v="0"/>
    <s v="1 Bajo Extremo"/>
    <n v="30"/>
    <s v="1 Bajo Extremo"/>
    <n v="30"/>
    <s v="7 Sobresaliente"/>
    <n v="110"/>
    <n v="62"/>
    <x v="1"/>
    <s v="7 Sobresaliente"/>
    <n v="110"/>
    <s v="1 Bajo"/>
    <n v="30"/>
    <n v="78"/>
    <s v="Antiguedad: &lt; 3 Meses|Tamaño Cartera: 1 Pequeño ≤ 500k|2 Medio Vendedor|Calidad Cartera: 7 Sobresaliente|Alcance Incentivos: 1 Bajo"/>
  </r>
  <r>
    <x v="1"/>
    <x v="7"/>
    <n v="36042"/>
    <s v="YESSICA ADELAIDA DELGADILLO MIRANDA"/>
    <d v="2023-10-24T00:00:00"/>
    <d v="1899-12-30T00:00:00"/>
    <x v="0"/>
    <s v="NO"/>
    <n v="0"/>
    <n v="1"/>
    <s v=""/>
    <n v="249323.05"/>
    <s v=""/>
    <s v=""/>
    <s v=""/>
    <n v="249323.05"/>
    <n v="1"/>
    <n v="249323.05"/>
    <s v="NA"/>
    <n v="232910.99"/>
    <n v="0"/>
    <n v="0"/>
    <n v="0"/>
    <n v="0.93417351504403623"/>
    <n v="94240"/>
    <n v="117999.66000000002"/>
    <n v="1.2521186332767404"/>
    <n v="8"/>
    <n v="1.1428571428571428"/>
    <n v="0"/>
    <n v="0"/>
    <n v="0"/>
    <n v="11329.7"/>
    <n v="2000"/>
    <n v="0.17652718077265947"/>
    <n v="6336.0753750000003"/>
    <x v="0"/>
    <x v="0"/>
    <x v="0"/>
    <s v="1 Bajo Extremo"/>
    <n v="30"/>
    <s v="2 Bajo"/>
    <n v="50"/>
    <s v="7 Sobresaliente"/>
    <n v="110"/>
    <n v="66"/>
    <x v="1"/>
    <s v="4 Medio Alto"/>
    <n v="80"/>
    <s v="1 Bajo"/>
    <n v="30"/>
    <n v="68"/>
    <s v="Antiguedad: &lt; 3 Meses|Tamaño Cartera: 1 Pequeño ≤ 500k|2 Medio Vendedor|Calidad Cartera: 4 Medio Alto|Alcance Incentivos: 1 Bajo"/>
  </r>
  <r>
    <x v="2"/>
    <x v="10"/>
    <n v="36084"/>
    <s v="ANAHI JIMENEZ RAMOS"/>
    <d v="2023-10-27T00:00:00"/>
    <d v="2023-12-07T00:00:00"/>
    <x v="1"/>
    <s v="NO"/>
    <n v="0"/>
    <n v="1"/>
    <s v=""/>
    <n v="373973.50999999995"/>
    <s v=""/>
    <s v=""/>
    <s v=""/>
    <n v="373973.50999999995"/>
    <n v="1"/>
    <n v="373973.50999999995"/>
    <s v="NA"/>
    <n v="370570.63999999996"/>
    <n v="0"/>
    <n v="0"/>
    <n v="0"/>
    <n v="0.99090077262424281"/>
    <n v="85250"/>
    <n v="167000"/>
    <n v="1.9589442815249267"/>
    <n v="8"/>
    <n v="2"/>
    <n v="0"/>
    <n v="0"/>
    <n v="0"/>
    <n v="9657.625"/>
    <n v="4190.4624999999996"/>
    <n v="0.43390196865171299"/>
    <n v="15693.939324999998"/>
    <x v="0"/>
    <x v="0"/>
    <x v="0"/>
    <s v="1 Bajo Extremo"/>
    <n v="30"/>
    <s v="3 Medio Bajo"/>
    <n v="70"/>
    <s v="7 Sobresaliente"/>
    <n v="110"/>
    <n v="70"/>
    <x v="1"/>
    <s v="6 Muy Alto"/>
    <n v="100"/>
    <s v="2 Medio"/>
    <n v="50"/>
    <n v="80"/>
    <s v="Antiguedad: &lt; 3 Meses|Tamaño Cartera: 1 Pequeño ≤ 500k|2 Medio Vendedor|Calidad Cartera: 6 Muy Alto|Alcance Incentivos: 2 Medio"/>
  </r>
  <r>
    <x v="2"/>
    <x v="11"/>
    <n v="34961"/>
    <s v="EDUARDO ABEL CARBAJAL"/>
    <d v="2023-09-08T00:00:00"/>
    <d v="1899-12-30T00:00:00"/>
    <x v="0"/>
    <s v="NO"/>
    <n v="1"/>
    <n v="1"/>
    <n v="340230.22"/>
    <s v=""/>
    <s v=""/>
    <s v=""/>
    <s v=""/>
    <n v="340230.22"/>
    <n v="1"/>
    <n v="340230.22"/>
    <s v="NA"/>
    <n v="340230.22"/>
    <n v="0"/>
    <n v="0"/>
    <n v="0"/>
    <n v="1"/>
    <n v="35000"/>
    <n v="331999.43000000011"/>
    <n v="9.4856980000000028"/>
    <n v="46"/>
    <n v="0.86792452830188682"/>
    <n v="0"/>
    <n v="0"/>
    <n v="0"/>
    <n v="2162.5"/>
    <n v="8625"/>
    <n v="3.9884393063583814"/>
    <n v="18188.237649999999"/>
    <x v="0"/>
    <x v="0"/>
    <x v="0"/>
    <s v="1 Bajo Extremo"/>
    <n v="30"/>
    <s v="1 Bajo Extremo"/>
    <n v="30"/>
    <s v="7 Sobresaliente"/>
    <n v="110"/>
    <n v="62"/>
    <x v="1"/>
    <s v="7 Sobresaliente"/>
    <n v="110"/>
    <s v="5 Sobresaliente"/>
    <n v="90"/>
    <n v="84"/>
    <s v="Antiguedad: &lt; 3 Meses|Tamaño Cartera: 1 Pequeño ≤ 500k|2 Medio Vendedor|Calidad Cartera: 7 Sobresaliente|Alcance Incentivos: 5 Sobresaliente"/>
  </r>
  <r>
    <x v="2"/>
    <x v="11"/>
    <n v="35841"/>
    <s v="RAUL RODRIGUEZ PEREZ"/>
    <d v="2023-10-18T00:00:00"/>
    <d v="1899-12-30T00:00:00"/>
    <x v="0"/>
    <s v="NO"/>
    <n v="0"/>
    <n v="1"/>
    <s v=""/>
    <n v="878181.5199999999"/>
    <s v=""/>
    <s v=""/>
    <s v=""/>
    <n v="878181.5199999999"/>
    <n v="1"/>
    <n v="878181.5199999999"/>
    <s v="NA"/>
    <n v="878181.5199999999"/>
    <n v="0"/>
    <n v="0"/>
    <n v="0"/>
    <n v="1"/>
    <n v="112760"/>
    <n v="400500.18999999989"/>
    <n v="3.5517931003902081"/>
    <n v="21"/>
    <n v="1.6153846153846154"/>
    <n v="0"/>
    <n v="0"/>
    <n v="0"/>
    <n v="11135.57"/>
    <n v="7056.9750000000004"/>
    <n v="0.63373271417628385"/>
    <n v="47552.412399999994"/>
    <x v="0"/>
    <x v="2"/>
    <x v="0"/>
    <s v="1 Bajo Extremo"/>
    <n v="30"/>
    <s v="2 Bajo"/>
    <n v="50"/>
    <s v="7 Sobresaliente"/>
    <n v="110"/>
    <n v="66"/>
    <x v="1"/>
    <s v="7 Sobresaliente"/>
    <n v="110"/>
    <s v="3 Medio Alto"/>
    <n v="70"/>
    <n v="84"/>
    <s v="Antiguedad: &lt; 3 Meses|Tamaño Cartera: 2 Mediana ≤ 1MM|2 Medio Vendedor|Calidad Cartera: 7 Sobresaliente|Alcance Incentivos: 3 Medio Alto"/>
  </r>
  <r>
    <x v="2"/>
    <x v="12"/>
    <n v="35610"/>
    <s v="JULLIET MONTILLO GANG"/>
    <d v="2023-10-09T00:00:00"/>
    <d v="1899-12-30T00:00:00"/>
    <x v="0"/>
    <s v="NO"/>
    <n v="0"/>
    <n v="1"/>
    <n v="120712.59"/>
    <n v="186659.94999999998"/>
    <s v=""/>
    <s v=""/>
    <s v=""/>
    <n v="153686.26999999999"/>
    <n v="2"/>
    <n v="186659.94999999998"/>
    <n v="0.54631716542574371"/>
    <n v="186659.94999999998"/>
    <n v="0"/>
    <n v="0"/>
    <n v="0"/>
    <n v="1"/>
    <n v="133125"/>
    <n v="203998.63"/>
    <n v="1.532384075117371"/>
    <n v="58"/>
    <n v="2.6363636363636362"/>
    <n v="0"/>
    <n v="0"/>
    <n v="0"/>
    <n v="9778.375"/>
    <n v="4875"/>
    <n v="0.49854909430247868"/>
    <n v="1274.4605249999986"/>
    <x v="0"/>
    <x v="0"/>
    <x v="4"/>
    <s v="1 Bajo Extremo"/>
    <n v="30"/>
    <s v="3 Medio Bajo"/>
    <n v="70"/>
    <s v="7 Sobresaliente"/>
    <n v="110"/>
    <n v="70"/>
    <x v="1"/>
    <s v="7 Sobresaliente"/>
    <n v="110"/>
    <s v="2 Medio"/>
    <n v="50"/>
    <n v="84"/>
    <s v="Antiguedad: &lt; 3 Meses|Tamaño Cartera: 1 Pequeño ≤ 500k|2 Medio Vendedor|Calidad Cartera: 7 Sobresaliente|Alcance Incentivos: 2 Medio"/>
  </r>
  <r>
    <x v="2"/>
    <x v="14"/>
    <n v="35878"/>
    <s v="MARI JOSE TLAPANCO SANTIAGO"/>
    <d v="2023-10-19T00:00:00"/>
    <d v="1899-12-30T00:00:00"/>
    <x v="0"/>
    <s v="NO"/>
    <n v="0"/>
    <n v="1"/>
    <s v=""/>
    <n v="192565.06999999998"/>
    <s v=""/>
    <s v=""/>
    <s v=""/>
    <n v="192565.06999999998"/>
    <n v="1"/>
    <n v="192565.06999999998"/>
    <s v="NA"/>
    <n v="192565.06999999998"/>
    <n v="0"/>
    <n v="0"/>
    <n v="0"/>
    <n v="1"/>
    <n v="112290"/>
    <n v="126000.13"/>
    <n v="1.1220957342595066"/>
    <n v="17"/>
    <n v="1.4166666666666667"/>
    <n v="0"/>
    <n v="0"/>
    <n v="0"/>
    <n v="10644.99"/>
    <n v="2194.25"/>
    <n v="0.20612983196790227"/>
    <n v="3266.7415249999995"/>
    <x v="0"/>
    <x v="0"/>
    <x v="0"/>
    <s v="1 Bajo Extremo"/>
    <n v="30"/>
    <s v="2 Bajo"/>
    <n v="50"/>
    <s v="7 Sobresaliente"/>
    <n v="110"/>
    <n v="66"/>
    <x v="1"/>
    <s v="7 Sobresaliente"/>
    <n v="110"/>
    <s v="1 Bajo"/>
    <n v="30"/>
    <n v="80"/>
    <s v="Antiguedad: &lt; 3 Meses|Tamaño Cartera: 1 Pequeño ≤ 500k|2 Medio Vendedor|Calidad Cartera: 7 Sobresaliente|Alcance Incentivos: 1 Bajo"/>
  </r>
  <r>
    <x v="2"/>
    <x v="16"/>
    <n v="36071"/>
    <s v="MARIO GUILLERMO PEREZ MORALES"/>
    <d v="2023-10-26T00:00:00"/>
    <d v="1899-12-30T00:00:00"/>
    <x v="0"/>
    <s v="NO"/>
    <n v="0"/>
    <n v="1"/>
    <s v=""/>
    <n v="256000.39"/>
    <s v=""/>
    <s v=""/>
    <s v=""/>
    <n v="256000.39"/>
    <n v="1"/>
    <n v="256000.39"/>
    <s v="NA"/>
    <n v="256000.39"/>
    <n v="0"/>
    <n v="0"/>
    <n v="0"/>
    <n v="1"/>
    <n v="85250"/>
    <n v="256000.38999999998"/>
    <n v="3.0029371260997064"/>
    <n v="30"/>
    <n v="6"/>
    <n v="0"/>
    <n v="0"/>
    <n v="0"/>
    <n v="11607.625"/>
    <n v="3679.9999999999995"/>
    <n v="0.31703298478370895"/>
    <n v="8400.0224249999992"/>
    <x v="0"/>
    <x v="0"/>
    <x v="0"/>
    <s v="1 Bajo Extremo"/>
    <n v="30"/>
    <s v="5 Alto"/>
    <n v="90"/>
    <s v="7 Sobresaliente"/>
    <n v="110"/>
    <n v="74"/>
    <x v="1"/>
    <s v="7 Sobresaliente"/>
    <n v="110"/>
    <s v="1 Bajo"/>
    <n v="30"/>
    <n v="84"/>
    <s v="Antiguedad: &lt; 3 Meses|Tamaño Cartera: 1 Pequeño ≤ 500k|2 Medio Vendedor|Calidad Cartera: 7 Sobresaliente|Alcance Incentivos: 1 Bajo"/>
  </r>
  <r>
    <x v="1"/>
    <x v="4"/>
    <n v="36153"/>
    <s v="JUAN MANUEL HERNANDEZ HERNANDEZ"/>
    <d v="2023-11-01T00:00:00"/>
    <d v="1899-12-30T00:00:00"/>
    <x v="0"/>
    <s v="NO"/>
    <n v="0"/>
    <n v="0"/>
    <n v="84999.09"/>
    <s v=""/>
    <s v=""/>
    <s v=""/>
    <s v=""/>
    <n v="84999.09"/>
    <n v="1"/>
    <n v="84999.09"/>
    <s v="NA"/>
    <n v="84999.09"/>
    <n v="0"/>
    <n v="0"/>
    <n v="0"/>
    <n v="1"/>
    <n v="41440"/>
    <n v="84999.09"/>
    <n v="2.0511363416988417"/>
    <n v="15"/>
    <n v="0.51724137931034486"/>
    <n v="0"/>
    <n v="0"/>
    <n v="0"/>
    <n v="6816.9699999999993"/>
    <n v="2000"/>
    <n v="0.29338547771223877"/>
    <n v="-3112.5523250000006"/>
    <x v="0"/>
    <x v="0"/>
    <x v="0"/>
    <s v="1 Bajo Extremo"/>
    <n v="30"/>
    <s v="1 Bajo Extremo"/>
    <n v="30"/>
    <s v="7 Sobresaliente"/>
    <n v="110"/>
    <n v="62"/>
    <x v="1"/>
    <s v="7 Sobresaliente"/>
    <n v="110"/>
    <s v="1 Bajo"/>
    <n v="30"/>
    <n v="78"/>
    <s v="Antiguedad: &lt; 3 Meses|Tamaño Cartera: 1 Pequeño ≤ 500k|2 Medio Vendedor|Calidad Cartera: 7 Sobresaliente|Alcance Incentivos: 1 Bajo"/>
  </r>
  <r>
    <x v="1"/>
    <x v="4"/>
    <n v="36305"/>
    <s v="JUAN ANTONIO POZOS VALVERDE"/>
    <d v="2023-11-10T00:00:00"/>
    <d v="1899-12-30T00:00:00"/>
    <x v="0"/>
    <s v="NO"/>
    <n v="0"/>
    <n v="0"/>
    <n v="134148"/>
    <s v=""/>
    <s v=""/>
    <s v=""/>
    <s v=""/>
    <n v="134148"/>
    <n v="1"/>
    <n v="134148"/>
    <s v="NA"/>
    <n v="134148"/>
    <n v="0"/>
    <n v="0"/>
    <n v="0"/>
    <n v="1"/>
    <n v="0"/>
    <n v="135999.38"/>
    <s v="NA"/>
    <n v="12"/>
    <n v="0.6"/>
    <n v="0"/>
    <n v="0"/>
    <n v="0"/>
    <n v="9327.65"/>
    <n v="2000"/>
    <n v="0.21441627848386249"/>
    <n v="-286.49000000000069"/>
    <x v="0"/>
    <x v="0"/>
    <x v="0"/>
    <s v="1 Bajo Extremo"/>
    <n v="30"/>
    <s v="1 Bajo Extremo"/>
    <n v="30"/>
    <s v="NA"/>
    <n v="0"/>
    <n v="18"/>
    <x v="0"/>
    <s v="7 Sobresaliente"/>
    <n v="110"/>
    <s v="1 Bajo"/>
    <n v="30"/>
    <n v="56"/>
    <s v="Antiguedad: &lt; 3 Meses|Tamaño Cartera: 1 Pequeño ≤ 500k|1 Mal Vendedor|Calidad Cartera: 7 Sobresaliente|Alcance Incentivos: 1 Bajo"/>
  </r>
  <r>
    <x v="1"/>
    <x v="5"/>
    <n v="36251"/>
    <s v="ANA LIZBETH MORA RAMIREZ"/>
    <d v="2023-11-08T00:00:00"/>
    <d v="1899-12-30T00:00:00"/>
    <x v="0"/>
    <s v="NO"/>
    <n v="0"/>
    <n v="0"/>
    <n v="79999.839999999997"/>
    <s v=""/>
    <s v=""/>
    <s v=""/>
    <s v=""/>
    <n v="79999.839999999997"/>
    <n v="1"/>
    <n v="79999.839999999997"/>
    <s v="NA"/>
    <n v="79999.839999999997"/>
    <n v="0"/>
    <n v="0"/>
    <n v="0"/>
    <n v="1"/>
    <n v="0"/>
    <n v="79999.839999999997"/>
    <s v="NA"/>
    <n v="23"/>
    <n v="1.0454545454545454"/>
    <n v="0"/>
    <n v="0"/>
    <n v="0"/>
    <n v="9327.65"/>
    <n v="2000"/>
    <n v="0.21441627848386249"/>
    <n v="-3400.0091999999995"/>
    <x v="0"/>
    <x v="0"/>
    <x v="0"/>
    <s v="1 Bajo Extremo"/>
    <n v="30"/>
    <s v="2 Bajo"/>
    <n v="50"/>
    <s v="NA"/>
    <n v="0"/>
    <n v="22"/>
    <x v="0"/>
    <s v="7 Sobresaliente"/>
    <n v="110"/>
    <s v="1 Bajo"/>
    <n v="30"/>
    <n v="58"/>
    <s v="Antiguedad: &lt; 3 Meses|Tamaño Cartera: 1 Pequeño ≤ 500k|1 Mal Vendedor|Calidad Cartera: 7 Sobresaliente|Alcance Incentivos: 1 Bajo"/>
  </r>
  <r>
    <x v="2"/>
    <x v="11"/>
    <n v="36252"/>
    <s v="PAOLA GRISELL ROMERO SANCHEZ"/>
    <d v="2023-11-08T00:00:00"/>
    <d v="1899-12-30T00:00:00"/>
    <x v="0"/>
    <s v="NO"/>
    <n v="0"/>
    <n v="0"/>
    <n v="989465.56000000017"/>
    <s v=""/>
    <s v=""/>
    <s v=""/>
    <s v=""/>
    <n v="989465.56000000017"/>
    <n v="1"/>
    <n v="989465.56000000017"/>
    <s v="NA"/>
    <n v="989465.56000000017"/>
    <n v="0"/>
    <n v="0"/>
    <n v="0"/>
    <n v="1"/>
    <n v="0"/>
    <n v="312500.77"/>
    <s v="NA"/>
    <n v="9"/>
    <n v="0.40909090909090912"/>
    <n v="0"/>
    <n v="0"/>
    <n v="0"/>
    <n v="10987.65"/>
    <n v="3749.3199999999997"/>
    <n v="0.34123038138273426"/>
    <n v="50643.589700000011"/>
    <x v="0"/>
    <x v="2"/>
    <x v="0"/>
    <s v="1 Bajo Extremo"/>
    <n v="30"/>
    <s v="1 Bajo Extremo"/>
    <n v="30"/>
    <s v="NA"/>
    <n v="0"/>
    <n v="18"/>
    <x v="0"/>
    <s v="7 Sobresaliente"/>
    <n v="110"/>
    <s v="1 Bajo"/>
    <n v="30"/>
    <n v="56"/>
    <s v="Antiguedad: &lt; 3 Meses|Tamaño Cartera: 2 Mediana ≤ 1MM|1 Mal Vendedor|Calidad Cartera: 7 Sobresaliente|Alcance Incentivos: 1 Bajo"/>
  </r>
  <r>
    <x v="2"/>
    <x v="14"/>
    <n v="31036"/>
    <s v="JENIFER QUETZALLI AVILA REMOLINO"/>
    <d v="2023-04-24T00:00:00"/>
    <d v="1899-12-30T00:00:00"/>
    <x v="0"/>
    <s v="NO"/>
    <n v="7"/>
    <n v="7"/>
    <n v="577314.51"/>
    <s v=""/>
    <s v=""/>
    <s v=""/>
    <s v=""/>
    <n v="577314.51"/>
    <n v="1"/>
    <n v="577314.51"/>
    <s v="NA"/>
    <n v="552347.63"/>
    <n v="0"/>
    <n v="0"/>
    <n v="0"/>
    <n v="0.95675341678143511"/>
    <n v="0"/>
    <n v="125500.05999999995"/>
    <s v="NA"/>
    <n v="6"/>
    <n v="2.7272727272727271E-2"/>
    <n v="24"/>
    <n v="19"/>
    <n v="0.79166666666666663"/>
    <n v="8951"/>
    <n v="926.72268800000006"/>
    <n v="0.10353286649536365"/>
    <n v="24122.307013000005"/>
    <x v="3"/>
    <x v="2"/>
    <x v="0"/>
    <s v="4 Medio Alto"/>
    <n v="80"/>
    <s v="1 Bajo Extremo"/>
    <n v="30"/>
    <s v="NA"/>
    <n v="0"/>
    <n v="38"/>
    <x v="0"/>
    <s v="5 Alto"/>
    <n v="90"/>
    <s v="1 Bajo"/>
    <n v="30"/>
    <n v="58"/>
    <s v="Antiguedad: 6 a 12 Meses|Tamaño Cartera: 2 Mediana ≤ 1MM|1 Mal Vendedor|Calidad Cartera: 5 Alto|Alcance Incentivos: 1 Bajo"/>
  </r>
  <r>
    <x v="2"/>
    <x v="16"/>
    <n v="28375"/>
    <s v="OLIVIA  LOPEZ HERNANDEZ"/>
    <d v="2023-01-23T00:00:00"/>
    <e v="#N/A"/>
    <x v="2"/>
    <s v="NO"/>
    <n v="10"/>
    <n v="10"/>
    <n v="1468639.49"/>
    <s v=""/>
    <s v=""/>
    <s v=""/>
    <s v=""/>
    <n v="1468639.49"/>
    <n v="1"/>
    <n v="1468639.49"/>
    <s v="NA"/>
    <n v="1362376.8399999996"/>
    <n v="14849.21"/>
    <n v="1.0110861175331734E-2"/>
    <n v="0.12133033410398081"/>
    <n v="0.91836010614708397"/>
    <n v="0"/>
    <n v="645001.05000000005"/>
    <s v="NA"/>
    <n v="5"/>
    <n v="1.607717041800643E-2"/>
    <n v="21"/>
    <n v="16"/>
    <n v="0.76190476190476186"/>
    <n v="16131"/>
    <n v="1418.5065049999996"/>
    <n v="8.7936675035645631E-2"/>
    <n v="90714.487180000011"/>
    <x v="3"/>
    <x v="1"/>
    <x v="0"/>
    <s v="4 Medio Alto"/>
    <n v="80"/>
    <s v="1 Bajo Extremo"/>
    <n v="30"/>
    <s v="NA"/>
    <n v="0"/>
    <n v="38"/>
    <x v="0"/>
    <s v="4 Medio Alto"/>
    <n v="80"/>
    <s v="1 Bajo"/>
    <n v="30"/>
    <n v="54"/>
    <s v="Antiguedad: 6 a 12 Meses|Tamaño Cartera: 3 Mediana ≥ 1MM|1 Mal Vendedor|Calidad Cartera: 4 Medio Alto|Alcance Incentivos: 1 Baj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01D99-9A62-451D-B14B-9F13E41FED65}" name="TablaDinámica5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Q5:W13" firstHeaderRow="1" firstDataRow="2" firstDataCol="1" rowPageCount="3" colPageCount="1"/>
  <pivotFields count="53">
    <pivotField axis="axisPage" compact="0" outline="0"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8">
        <item x="0"/>
        <item x="2"/>
        <item x="6"/>
        <item x="5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ascending">
      <items count="11">
        <item x="0"/>
        <item x="2"/>
        <item x="1"/>
        <item x="4"/>
        <item x="3"/>
        <item m="1" x="9"/>
        <item m="1" x="8"/>
        <item m="1" x="7"/>
        <item m="1" x="6"/>
        <item m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30">
        <item m="1" x="22"/>
        <item x="5"/>
        <item m="1" x="20"/>
        <item x="1"/>
        <item m="1" x="16"/>
        <item m="1" x="7"/>
        <item m="1" x="15"/>
        <item x="2"/>
        <item m="1" x="17"/>
        <item x="3"/>
        <item m="1" x="18"/>
        <item x="6"/>
        <item m="1" x="21"/>
        <item x="4"/>
        <item m="1" x="19"/>
        <item m="1" x="13"/>
        <item m="1" x="9"/>
        <item m="1" x="8"/>
        <item m="1" x="28"/>
        <item m="1" x="26"/>
        <item m="1" x="25"/>
        <item m="1" x="24"/>
        <item m="1" x="10"/>
        <item m="1" x="27"/>
        <item m="1" x="23"/>
        <item m="1" x="11"/>
        <item m="1" x="14"/>
        <item m="1" x="1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8"/>
  </rowFields>
  <rowItems count="7">
    <i>
      <x v="1"/>
    </i>
    <i>
      <x v="3"/>
    </i>
    <i>
      <x v="7"/>
    </i>
    <i>
      <x v="9"/>
    </i>
    <i>
      <x v="11"/>
    </i>
    <i>
      <x v="13"/>
    </i>
    <i t="grand">
      <x/>
    </i>
  </rowItems>
  <colFields count="1">
    <field x="3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6" hier="-1"/>
    <pageField fld="36" hier="-1"/>
    <pageField fld="0" hier="-1"/>
  </pageFields>
  <dataFields count="1">
    <dataField name="Cuenta de Nombre del empleado" fld="3" subtotal="count" showDataAs="percentOfTotal" baseField="36" baseItem="0" numFmtId="10"/>
  </dataFields>
  <formats count="18">
    <format dxfId="66">
      <pivotArea outline="0" collapsedLevelsAreSubtotals="1" fieldPosition="0"/>
    </format>
    <format dxfId="65">
      <pivotArea outline="0" collapsedLevelsAreSubtotals="1" fieldPosition="0"/>
    </format>
    <format dxfId="64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5"/>
          </reference>
        </references>
      </pivotArea>
    </format>
    <format dxfId="63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6"/>
          </reference>
        </references>
      </pivotArea>
    </format>
    <format dxfId="62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7"/>
          </reference>
        </references>
      </pivotArea>
    </format>
    <format dxfId="61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8"/>
          </reference>
        </references>
      </pivotArea>
    </format>
    <format dxfId="60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9"/>
          </reference>
        </references>
      </pivotArea>
    </format>
    <format dxfId="59">
      <pivotArea dataOnly="0" labelOnly="1" outline="0" fieldPosition="0">
        <references count="1">
          <reference field="37" count="0"/>
        </references>
      </pivotArea>
    </format>
    <format dxfId="58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7">
      <pivotArea dataOnly="0" labelOnly="1" outline="0" fieldPosition="0">
        <references count="1">
          <reference field="37" count="0"/>
        </references>
      </pivotArea>
    </format>
    <format dxfId="56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dataOnly="0" labelOnly="1" outline="0" fieldPosition="0">
        <references count="1">
          <reference field="37" count="0"/>
        </references>
      </pivotArea>
    </format>
    <format dxfId="54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3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5"/>
          </reference>
        </references>
      </pivotArea>
    </format>
    <format dxfId="52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6"/>
          </reference>
        </references>
      </pivotArea>
    </format>
    <format dxfId="51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7"/>
          </reference>
        </references>
      </pivotArea>
    </format>
    <format dxfId="50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8"/>
          </reference>
        </references>
      </pivotArea>
    </format>
    <format dxfId="4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E1AA0-4403-459B-9B5B-2FE64F0446C2}" name="TablaDinámica4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A4:N23" firstHeaderRow="1" firstDataRow="3" firstDataCol="2" rowPageCount="2" colPageCount="1"/>
  <pivotFields count="53">
    <pivotField axis="axisRow" compact="0" outline="0"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8">
        <item x="0"/>
        <item x="2"/>
        <item x="6"/>
        <item x="5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ascending">
      <items count="11">
        <item x="0"/>
        <item x="2"/>
        <item x="1"/>
        <item x="4"/>
        <item x="3"/>
        <item m="1" x="9"/>
        <item m="1" x="8"/>
        <item m="1" x="7"/>
        <item m="1" x="6"/>
        <item m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30">
        <item m="1" x="22"/>
        <item x="5"/>
        <item m="1" x="20"/>
        <item x="1"/>
        <item m="1" x="16"/>
        <item m="1" x="7"/>
        <item m="1" x="15"/>
        <item x="2"/>
        <item m="1" x="17"/>
        <item x="3"/>
        <item m="1" x="18"/>
        <item x="6"/>
        <item m="1" x="21"/>
        <item x="4"/>
        <item m="1" x="19"/>
        <item m="1" x="13"/>
        <item m="1" x="9"/>
        <item m="1" x="8"/>
        <item m="1" x="28"/>
        <item m="1" x="26"/>
        <item m="1" x="25"/>
        <item m="1" x="24"/>
        <item m="1" x="10"/>
        <item m="1" x="27"/>
        <item m="1" x="23"/>
        <item m="1" x="11"/>
        <item m="1" x="14"/>
        <item m="1" x="1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8"/>
  </rowFields>
  <rowItems count="17">
    <i>
      <x/>
      <x v="1"/>
    </i>
    <i r="1">
      <x v="3"/>
    </i>
    <i r="1">
      <x v="7"/>
    </i>
    <i r="1">
      <x v="11"/>
    </i>
    <i r="1">
      <x v="13"/>
    </i>
    <i r="1">
      <x v="28"/>
    </i>
    <i t="default">
      <x/>
    </i>
    <i>
      <x v="1"/>
      <x v="3"/>
    </i>
    <i r="1">
      <x v="7"/>
    </i>
    <i r="1">
      <x v="9"/>
    </i>
    <i r="1">
      <x v="13"/>
    </i>
    <i r="1">
      <x v="28"/>
    </i>
    <i t="default">
      <x v="1"/>
    </i>
    <i>
      <x v="2"/>
      <x v="3"/>
    </i>
    <i r="1">
      <x v="28"/>
    </i>
    <i t="default">
      <x v="2"/>
    </i>
    <i t="grand">
      <x/>
    </i>
  </rowItems>
  <colFields count="2">
    <field x="37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2">
    <pageField fld="36" hier="-1"/>
    <pageField fld="6" hier="-1"/>
  </pageFields>
  <dataFields count="2">
    <dataField name="Cuenta de Nombre del empleado" fld="3" subtotal="count" baseField="0" baseItem="0"/>
    <dataField name="Promedio de Calificación Total" fld="51" subtotal="average" baseField="0" baseItem="0" numFmtId="1"/>
  </dataFields>
  <formats count="20">
    <format dxfId="86">
      <pivotArea outline="0" collapsedLevelsAreSubtotals="1" fieldPosition="0"/>
    </format>
    <format dxfId="85">
      <pivotArea outline="0" collapsedLevelsAreSubtotals="1" fieldPosition="0"/>
    </format>
    <format dxfId="84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5"/>
          </reference>
        </references>
      </pivotArea>
    </format>
    <format dxfId="83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6"/>
          </reference>
        </references>
      </pivotArea>
    </format>
    <format dxfId="82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7"/>
          </reference>
        </references>
      </pivotArea>
    </format>
    <format dxfId="81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8"/>
          </reference>
        </references>
      </pivotArea>
    </format>
    <format dxfId="80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9"/>
          </reference>
        </references>
      </pivotArea>
    </format>
    <format dxfId="79">
      <pivotArea dataOnly="0" labelOnly="1" outline="0" fieldPosition="0">
        <references count="1">
          <reference field="37" count="0"/>
        </references>
      </pivotArea>
    </format>
    <format dxfId="78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7">
      <pivotArea field="3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6">
      <pivotArea dataOnly="0" labelOnly="1" outline="0" fieldPosition="0">
        <references count="1">
          <reference field="37" count="0"/>
        </references>
      </pivotArea>
    </format>
    <format dxfId="75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4">
      <pivotArea field="3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3">
      <pivotArea dataOnly="0" labelOnly="1" outline="0" fieldPosition="0">
        <references count="1">
          <reference field="37" count="0"/>
        </references>
      </pivotArea>
    </format>
    <format dxfId="72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1">
      <pivotArea field="3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0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5"/>
          </reference>
        </references>
      </pivotArea>
    </format>
    <format dxfId="69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6"/>
          </reference>
        </references>
      </pivotArea>
    </format>
    <format dxfId="68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7"/>
          </reference>
        </references>
      </pivotArea>
    </format>
    <format dxfId="67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8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0C9A0-6C96-46B0-8C88-E5D07AC67E83}" name="TablaDinámica7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Z5:AG11" firstHeaderRow="1" firstDataRow="2" firstDataCol="1" rowPageCount="3" colPageCount="1"/>
  <pivotFields count="53">
    <pivotField axis="axisPage" compact="0" outline="0"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8">
        <item x="0"/>
        <item x="2"/>
        <item x="6"/>
        <item x="5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ascending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ascending">
      <items count="30">
        <item m="1" x="22"/>
        <item x="5"/>
        <item m="1" x="20"/>
        <item x="1"/>
        <item m="1" x="16"/>
        <item m="1" x="7"/>
        <item m="1" x="15"/>
        <item x="2"/>
        <item m="1" x="17"/>
        <item x="3"/>
        <item m="1" x="18"/>
        <item x="6"/>
        <item m="1" x="21"/>
        <item x="4"/>
        <item m="1" x="19"/>
        <item m="1" x="13"/>
        <item m="1" x="9"/>
        <item m="1" x="8"/>
        <item m="1" x="28"/>
        <item m="1" x="26"/>
        <item m="1" x="25"/>
        <item m="1" x="24"/>
        <item m="1" x="10"/>
        <item m="1" x="27"/>
        <item m="1" x="23"/>
        <item m="1" x="11"/>
        <item m="1" x="14"/>
        <item m="1" x="1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9">
        <item x="0"/>
        <item x="1"/>
        <item x="2"/>
        <item x="3"/>
        <item m="1" x="6"/>
        <item m="1" x="7"/>
        <item m="1" x="4"/>
        <item m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6"/>
  </rowFields>
  <rowItems count="5">
    <i>
      <x/>
    </i>
    <i>
      <x v="1"/>
    </i>
    <i>
      <x v="2"/>
    </i>
    <i>
      <x v="3"/>
    </i>
    <i t="grand">
      <x/>
    </i>
  </rowItems>
  <colFields count="1">
    <field x="38"/>
  </colFields>
  <colItems count="7">
    <i>
      <x v="1"/>
    </i>
    <i>
      <x v="3"/>
    </i>
    <i>
      <x v="7"/>
    </i>
    <i>
      <x v="9"/>
    </i>
    <i>
      <x v="11"/>
    </i>
    <i>
      <x v="13"/>
    </i>
    <i t="grand">
      <x/>
    </i>
  </colItems>
  <pageFields count="3">
    <pageField fld="6" hier="-1"/>
    <pageField fld="36" hier="-1"/>
    <pageField fld="0" hier="-1"/>
  </pageFields>
  <dataFields count="1">
    <dataField name="Cuenta de Nombre del empleado" fld="3" subtotal="count" showDataAs="percentOfTotal" baseField="36" baseItem="0" numFmtId="10"/>
  </dataFields>
  <formats count="12">
    <format dxfId="98">
      <pivotArea outline="0" collapsedLevelsAreSubtotals="1" fieldPosition="0"/>
    </format>
    <format dxfId="97">
      <pivotArea outline="0" collapsedLevelsAreSubtotals="1" fieldPosition="0"/>
    </format>
    <format dxfId="96">
      <pivotArea field="37" dataOnly="0" labelOnly="1" grandCol="1" outline="0">
        <references count="1">
          <reference field="4294967294" count="1" selected="0">
            <x v="0"/>
          </reference>
        </references>
      </pivotArea>
    </format>
    <format dxfId="95">
      <pivotArea field="37" dataOnly="0" labelOnly="1" grandCol="1" outline="0">
        <references count="1">
          <reference field="4294967294" count="1" selected="0">
            <x v="0"/>
          </reference>
        </references>
      </pivotArea>
    </format>
    <format dxfId="94">
      <pivotArea field="37" dataOnly="0" labelOnly="1" grandCol="1" outline="0">
        <references count="1">
          <reference field="4294967294" count="1" selected="0">
            <x v="0"/>
          </reference>
        </references>
      </pivotArea>
    </format>
    <format dxfId="93">
      <pivotArea outline="0" fieldPosition="0">
        <references count="1">
          <reference field="4294967294" count="1">
            <x v="0"/>
          </reference>
        </references>
      </pivotArea>
    </format>
    <format dxfId="92">
      <pivotArea dataOnly="0" labelOnly="1" outline="0" fieldPosition="0">
        <references count="1">
          <reference field="38" count="0"/>
        </references>
      </pivotArea>
    </format>
    <format dxfId="91">
      <pivotArea dataOnly="0" labelOnly="1" grandCol="1" outline="0" fieldPosition="0"/>
    </format>
    <format dxfId="90">
      <pivotArea dataOnly="0" labelOnly="1" outline="0" fieldPosition="0">
        <references count="1">
          <reference field="38" count="0"/>
        </references>
      </pivotArea>
    </format>
    <format dxfId="89">
      <pivotArea dataOnly="0" labelOnly="1" grandCol="1" outline="0" fieldPosition="0"/>
    </format>
    <format dxfId="88">
      <pivotArea dataOnly="0" labelOnly="1" outline="0" fieldPosition="0">
        <references count="1">
          <reference field="38" count="0"/>
        </references>
      </pivotArea>
    </format>
    <format dxfId="87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BAD84-F400-497B-80F7-DFC5BEEE0BD8}" name="TablaDinámica8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A6:K27" firstHeaderRow="0" firstDataRow="1" firstDataCol="2" rowPageCount="4" colPageCount="1"/>
  <pivotFields count="53">
    <pivotField axis="axisRow" compact="0" outline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8">
        <item x="10"/>
        <item x="0"/>
        <item x="11"/>
        <item x="2"/>
        <item x="12"/>
        <item x="13"/>
        <item x="3"/>
        <item x="4"/>
        <item x="14"/>
        <item x="5"/>
        <item x="6"/>
        <item x="15"/>
        <item x="7"/>
        <item x="16"/>
        <item x="8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8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8">
        <item x="0"/>
        <item x="2"/>
        <item x="6"/>
        <item x="5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11">
        <item x="0"/>
        <item x="2"/>
        <item x="1"/>
        <item x="4"/>
        <item x="3"/>
        <item m="1" x="9"/>
        <item m="1" x="8"/>
        <item m="1" x="7"/>
        <item m="1" x="6"/>
        <item m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0">
        <item m="1" x="22"/>
        <item x="5"/>
        <item m="1" x="20"/>
        <item x="1"/>
        <item m="1" x="16"/>
        <item m="1" x="7"/>
        <item m="1" x="15"/>
        <item x="2"/>
        <item m="1" x="17"/>
        <item x="3"/>
        <item m="1" x="18"/>
        <item x="6"/>
        <item m="1" x="21"/>
        <item x="4"/>
        <item m="1" x="19"/>
        <item m="1" x="13"/>
        <item m="1" x="9"/>
        <item m="1" x="8"/>
        <item m="1" x="28"/>
        <item m="1" x="26"/>
        <item m="1" x="25"/>
        <item m="1" x="24"/>
        <item m="1" x="10"/>
        <item m="1" x="27"/>
        <item m="1" x="23"/>
        <item m="1" x="11"/>
        <item m="1" x="14"/>
        <item m="1" x="1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1">
    <i>
      <x/>
      <x/>
    </i>
    <i r="1">
      <x v="13"/>
    </i>
    <i r="1">
      <x v="2"/>
    </i>
    <i r="1">
      <x v="8"/>
    </i>
    <i r="1">
      <x v="11"/>
    </i>
    <i r="1">
      <x v="4"/>
    </i>
    <i r="1">
      <x v="5"/>
    </i>
    <i t="default">
      <x/>
    </i>
    <i>
      <x v="1"/>
      <x v="15"/>
    </i>
    <i r="1">
      <x v="7"/>
    </i>
    <i r="1">
      <x v="6"/>
    </i>
    <i r="1">
      <x v="14"/>
    </i>
    <i r="1">
      <x v="12"/>
    </i>
    <i r="1">
      <x v="9"/>
    </i>
    <i r="1">
      <x v="10"/>
    </i>
    <i r="1">
      <x v="3"/>
    </i>
    <i t="default">
      <x v="1"/>
    </i>
    <i>
      <x v="2"/>
      <x v="1"/>
    </i>
    <i r="1">
      <x v="16"/>
    </i>
    <i t="default"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4">
    <pageField fld="6" hier="-1"/>
    <pageField fld="36" hier="-1"/>
    <pageField fld="37" hier="-1"/>
    <pageField fld="38" hier="-1"/>
  </pageFields>
  <dataFields count="9">
    <dataField name="Cuenta de Nombre del empleado" fld="3" subtotal="count" baseField="0" baseItem="0"/>
    <dataField name="Promedio de Promedio Cartera" fld="15" subtotal="average" baseField="1" baseItem="13" numFmtId="3"/>
    <dataField name="Promedio de Puntaje Renovaciones" fld="40" subtotal="average" baseField="1" baseItem="0"/>
    <dataField name="Promedio de Puntaje Prospección" fld="42" subtotal="average" baseField="1" baseItem="0"/>
    <dataField name="Promedio de Puntaje Cumplimiento Meta Colocación" fld="44" subtotal="average" baseField="1" baseItem="0"/>
    <dataField name="Promedio de Calificación Ventas" fld="45" subtotal="average" baseField="1" baseItem="0"/>
    <dataField name="Promedio de Puntaje Calidad" fld="48" subtotal="average" baseField="1" baseItem="0"/>
    <dataField name="Promedio de Puntaje Incentivos" fld="50" subtotal="average" baseField="1" baseItem="0"/>
    <dataField name="Promedio de Calificación Total" fld="51" subtotal="average" baseField="1" baseItem="0"/>
  </dataFields>
  <formats count="27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field="1" type="button" dataOnly="0" labelOnly="1" outline="0" axis="axisRow" fieldPosition="1"/>
    </format>
    <format dxfId="44">
      <pivotArea dataOnly="0" labelOnly="1" outline="0" fieldPosition="0">
        <references count="1">
          <reference field="0" count="0"/>
        </references>
      </pivotArea>
    </format>
    <format dxfId="43">
      <pivotArea dataOnly="0" labelOnly="1" outline="0" fieldPosition="0">
        <references count="1">
          <reference field="0" count="0" defaultSubtotal="1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2">
          <reference field="0" count="1" selected="0">
            <x v="0"/>
          </reference>
          <reference field="1" count="7">
            <x v="0"/>
            <x v="2"/>
            <x v="4"/>
            <x v="5"/>
            <x v="8"/>
            <x v="11"/>
            <x v="13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1"/>
          </reference>
          <reference field="1" count="8">
            <x v="3"/>
            <x v="6"/>
            <x v="7"/>
            <x v="9"/>
            <x v="10"/>
            <x v="12"/>
            <x v="14"/>
            <x v="15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2"/>
          </reference>
          <reference field="1" count="2">
            <x v="1"/>
            <x v="16"/>
          </reference>
        </references>
      </pivotArea>
    </format>
    <format dxfId="38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37">
      <pivotArea field="0" type="button" dataOnly="0" labelOnly="1" outline="0" axis="axisRow" fieldPosition="0"/>
    </format>
    <format dxfId="36">
      <pivotArea field="1" type="button" dataOnly="0" labelOnly="1" outline="0" axis="axisRow" fieldPosition="1"/>
    </format>
    <format dxfId="35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34">
      <pivotArea field="0" type="button" dataOnly="0" labelOnly="1" outline="0" axis="axisRow" fieldPosition="0"/>
    </format>
    <format dxfId="33">
      <pivotArea field="1" type="button" dataOnly="0" labelOnly="1" outline="0" axis="axisRow" fieldPosition="1"/>
    </format>
    <format dxfId="32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31">
      <pivotArea field="0" type="button" dataOnly="0" labelOnly="1" outline="0" axis="axisRow" fieldPosition="0"/>
    </format>
    <format dxfId="30">
      <pivotArea field="1" type="button" dataOnly="0" labelOnly="1" outline="0" axis="axisRow" fieldPosition="1"/>
    </format>
    <format dxfId="29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3F2A8-2AC5-4AD4-BDA0-B9408F5CAFED}" name="TablaDiná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G22" firstHeaderRow="1" firstDataRow="2" firstDataCol="1"/>
  <pivotFields count="21"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/>
    <pivotField numFmtId="43" showAll="0"/>
    <pivotField axis="axisRow" showAll="0">
      <items count="8">
        <item x="0"/>
        <item x="1"/>
        <item x="3"/>
        <item x="2"/>
        <item x="6"/>
        <item x="5"/>
        <item x="4"/>
        <item t="default"/>
      </items>
    </pivotField>
    <pivotField showAll="0"/>
    <pivotField numFmtId="6"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6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>
      <x v="2"/>
    </i>
    <i r="1">
      <x/>
    </i>
    <i r="1">
      <x v="1"/>
    </i>
    <i t="grand">
      <x/>
    </i>
  </rowItems>
  <colFields count="1">
    <field x="20"/>
  </colFields>
  <colItems count="6"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NOMBRE DEL EMPLEADO" fld="3" subtotal="count" baseField="6" baseItem="2"/>
  </dataFields>
  <formats count="11">
    <format dxfId="10">
      <pivotArea outline="0" collapsedLevelsAreSubtotals="1" fieldPosition="0"/>
    </format>
    <format dxfId="9">
      <pivotArea field="20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grandCol="1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4">
      <pivotArea dataOnly="0" labelOnly="1" grandCol="1" outline="0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31475-D6A3-4078-A81E-7C4E1DF0144B}" name="TablaDinámica2" cacheId="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I3:O22" firstHeaderRow="1" firstDataRow="2" firstDataCol="1"/>
  <pivotFields count="21">
    <pivotField axis="axisRow" showAll="0" defaultSubtotal="0">
      <items count="3">
        <item x="2"/>
        <item x="1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numFmtId="43" showAll="0" defaultSubtotal="0"/>
    <pivotField axis="axisRow" showAll="0" defaultSubtotal="0">
      <items count="7">
        <item x="0"/>
        <item x="1"/>
        <item x="3"/>
        <item x="2"/>
        <item x="6"/>
        <item x="5"/>
        <item x="4"/>
      </items>
    </pivotField>
    <pivotField showAll="0" defaultSubtotal="0"/>
    <pivotField numFmtId="6" showAll="0" defaultSubtotal="0"/>
    <pivotField showAll="0" defaultSubtotal="0"/>
    <pivotField numFmtId="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6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>
      <x v="2"/>
    </i>
    <i r="1">
      <x/>
    </i>
    <i r="1">
      <x v="1"/>
    </i>
    <i t="grand">
      <x/>
    </i>
  </rowItems>
  <colFields count="1">
    <field x="20"/>
  </colFields>
  <colItems count="6"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NOMBRE DEL EMPLEADO" fld="3" subtotal="count" baseField="6" baseItem="2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1">
    <format dxfId="21">
      <pivotArea outline="0" collapsedLevelsAreSubtotals="1" fieldPosition="0"/>
    </format>
    <format dxfId="20">
      <pivotArea field="20" type="button" dataOnly="0" labelOnly="1" outline="0" axis="axisCol" fieldPosition="0"/>
    </format>
    <format dxfId="19">
      <pivotArea type="topRight" dataOnly="0" labelOnly="1" outline="0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grandCol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14">
      <pivotArea dataOnly="0" labelOnly="1" grandCol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11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77"/>
  <sheetViews>
    <sheetView workbookViewId="0">
      <pane xSplit="4" ySplit="2" topLeftCell="E3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RowHeight="15" x14ac:dyDescent="0.25"/>
  <cols>
    <col min="1" max="1" width="37.140625" style="2" bestFit="1" customWidth="1"/>
    <col min="2" max="2" width="9" style="2" bestFit="1" customWidth="1"/>
    <col min="3" max="3" width="10.5703125" style="39" bestFit="1" customWidth="1"/>
    <col min="4" max="4" width="10.140625" style="2" bestFit="1" customWidth="1"/>
    <col min="5" max="5" width="16.42578125" style="2" bestFit="1" customWidth="1"/>
    <col min="6" max="6" width="7.140625" style="2" bestFit="1" customWidth="1"/>
    <col min="7" max="7" width="37.140625" style="2" bestFit="1" customWidth="1"/>
    <col min="8" max="8" width="13" style="2" bestFit="1" customWidth="1"/>
    <col min="9" max="13" width="13" style="2" customWidth="1"/>
    <col min="14" max="15" width="11.42578125" style="2"/>
    <col min="16" max="16" width="12.85546875" style="2" bestFit="1" customWidth="1"/>
    <col min="17" max="19" width="12.85546875" style="2" customWidth="1"/>
    <col min="20" max="21" width="13.42578125" style="2" bestFit="1" customWidth="1"/>
    <col min="22" max="22" width="15.5703125" style="2" bestFit="1" customWidth="1"/>
    <col min="23" max="23" width="15.42578125" style="2" bestFit="1" customWidth="1"/>
    <col min="24" max="24" width="15.7109375" style="2" bestFit="1" customWidth="1"/>
    <col min="25" max="25" width="13.7109375" style="2" bestFit="1" customWidth="1"/>
    <col min="26" max="26" width="13.42578125" style="2" bestFit="1" customWidth="1"/>
    <col min="29" max="16384" width="11.42578125" style="2"/>
  </cols>
  <sheetData>
    <row r="2" spans="1:26" ht="33.75" x14ac:dyDescent="0.25">
      <c r="A2" s="12" t="s">
        <v>150</v>
      </c>
      <c r="B2" s="12" t="s">
        <v>8</v>
      </c>
      <c r="C2" s="12" t="s">
        <v>138</v>
      </c>
      <c r="D2" s="12" t="s">
        <v>107</v>
      </c>
      <c r="E2" s="12" t="s">
        <v>0</v>
      </c>
      <c r="F2" s="12" t="s">
        <v>1</v>
      </c>
      <c r="G2" s="12" t="s">
        <v>2</v>
      </c>
      <c r="H2" s="12" t="s">
        <v>3</v>
      </c>
      <c r="I2" s="12" t="s">
        <v>115</v>
      </c>
      <c r="J2" s="12" t="s">
        <v>139</v>
      </c>
      <c r="K2" s="12" t="s">
        <v>124</v>
      </c>
      <c r="L2" s="12" t="s">
        <v>149</v>
      </c>
      <c r="M2" s="12" t="s">
        <v>156</v>
      </c>
      <c r="N2" s="12" t="s">
        <v>140</v>
      </c>
      <c r="O2" s="12" t="s">
        <v>141</v>
      </c>
      <c r="P2" s="12" t="s">
        <v>4</v>
      </c>
      <c r="Q2" s="12" t="s">
        <v>142</v>
      </c>
      <c r="R2" s="12" t="s">
        <v>113</v>
      </c>
      <c r="S2" s="12" t="s">
        <v>143</v>
      </c>
      <c r="T2" s="12" t="s">
        <v>110</v>
      </c>
      <c r="U2" s="12" t="s">
        <v>111</v>
      </c>
      <c r="V2" s="12" t="s">
        <v>112</v>
      </c>
      <c r="W2" s="12" t="s">
        <v>5</v>
      </c>
      <c r="X2" s="12" t="s">
        <v>6</v>
      </c>
      <c r="Y2" s="12" t="s">
        <v>96</v>
      </c>
      <c r="Z2" s="12" t="s">
        <v>7</v>
      </c>
    </row>
    <row r="3" spans="1:26" x14ac:dyDescent="0.25">
      <c r="A3" s="22" t="str">
        <f t="shared" ref="A3:A66" si="0">G3&amp;"|"&amp;J3</f>
        <v>BENITO ARTURO TORRUCO LOPEZ|1</v>
      </c>
      <c r="B3" s="8">
        <v>45138</v>
      </c>
      <c r="C3" s="40" t="str">
        <f>MONTH(B3)&amp;"|"&amp;YEAR(B3)</f>
        <v>7|2023</v>
      </c>
      <c r="D3" s="2" t="s">
        <v>63</v>
      </c>
      <c r="E3" s="1" t="s">
        <v>90</v>
      </c>
      <c r="F3" s="2">
        <v>32633</v>
      </c>
      <c r="G3" s="22" t="s">
        <v>94</v>
      </c>
      <c r="H3" s="8">
        <v>45098</v>
      </c>
      <c r="I3" s="29">
        <f t="shared" ref="I3:I66" si="1">B3-H3</f>
        <v>40</v>
      </c>
      <c r="J3" s="44">
        <f>ROUNDDOWN(I3/30,0)</f>
        <v>1</v>
      </c>
      <c r="K3" s="29" t="str">
        <f>VLOOKUP(I3,Etiquetas!B:C,2)</f>
        <v>&lt; 3 Meses</v>
      </c>
      <c r="L3" s="41">
        <f t="shared" ref="L3:L66" si="2">_xlfn.MINIFS(J:J,G:G,G3)</f>
        <v>1</v>
      </c>
      <c r="M3" s="41">
        <f t="shared" ref="M3:M66" si="3">_xlfn.MAXIFS(J:J,G:G,G3)</f>
        <v>1</v>
      </c>
      <c r="N3" s="13">
        <v>10719.05</v>
      </c>
      <c r="O3" s="13">
        <v>147782.72</v>
      </c>
      <c r="P3" s="4">
        <v>147782.72</v>
      </c>
      <c r="Q3" s="42">
        <f>IFERROR(P3/O3,0)</f>
        <v>1</v>
      </c>
      <c r="R3" s="4">
        <v>0</v>
      </c>
      <c r="S3" s="43">
        <f>IFERROR(R3/O3,0)</f>
        <v>0</v>
      </c>
      <c r="T3" s="6"/>
      <c r="U3" s="4">
        <v>152999.4</v>
      </c>
      <c r="V3" s="14">
        <v>2</v>
      </c>
      <c r="W3" s="14">
        <v>0</v>
      </c>
      <c r="X3" s="14">
        <v>0</v>
      </c>
      <c r="Y3" s="7">
        <v>2387.5</v>
      </c>
      <c r="Z3" s="6">
        <v>3737.5</v>
      </c>
    </row>
    <row r="4" spans="1:26" x14ac:dyDescent="0.25">
      <c r="A4" s="22" t="str">
        <f t="shared" si="0"/>
        <v>YADIRA LIZBETH RODRIGUEZ COLLADO|3</v>
      </c>
      <c r="B4" s="8">
        <v>45138</v>
      </c>
      <c r="C4" s="40" t="str">
        <f t="shared" ref="C4:C67" si="4">MONTH(B4)&amp;"|"&amp;YEAR(B4)</f>
        <v>7|2023</v>
      </c>
      <c r="D4" s="2" t="s">
        <v>63</v>
      </c>
      <c r="E4" s="1" t="s">
        <v>68</v>
      </c>
      <c r="F4" s="2">
        <v>31096</v>
      </c>
      <c r="G4" s="22" t="s">
        <v>69</v>
      </c>
      <c r="H4" s="8">
        <v>45041</v>
      </c>
      <c r="I4" s="29">
        <f t="shared" si="1"/>
        <v>97</v>
      </c>
      <c r="J4" s="44">
        <f t="shared" ref="J4:J67" si="5">ROUNDDOWN(I4/30,0)</f>
        <v>3</v>
      </c>
      <c r="K4" s="29" t="str">
        <f>VLOOKUP(I4,Etiquetas!B:C,2)</f>
        <v>3 a 6 Meses</v>
      </c>
      <c r="L4" s="41">
        <f t="shared" si="2"/>
        <v>3</v>
      </c>
      <c r="M4" s="41">
        <f t="shared" si="3"/>
        <v>5</v>
      </c>
      <c r="N4" s="13">
        <v>1240390.4399999997</v>
      </c>
      <c r="O4" s="13">
        <v>1318217.7500000005</v>
      </c>
      <c r="P4" s="4">
        <v>1183712.7100000004</v>
      </c>
      <c r="Q4" s="42">
        <f t="shared" ref="Q4:Q67" si="6">IFERROR(P4/O4,0)</f>
        <v>0.89796447514077249</v>
      </c>
      <c r="R4" s="4">
        <v>2324.0700000000002</v>
      </c>
      <c r="S4" s="43">
        <f t="shared" ref="S4:S67" si="7">IFERROR(R4/O4,0)</f>
        <v>1.7630395281811365E-3</v>
      </c>
      <c r="T4" s="6">
        <v>663750.22500000009</v>
      </c>
      <c r="U4" s="4">
        <v>343500.24</v>
      </c>
      <c r="V4" s="14">
        <v>20</v>
      </c>
      <c r="W4" s="14">
        <v>46</v>
      </c>
      <c r="X4" s="14">
        <v>17</v>
      </c>
      <c r="Y4" s="7">
        <v>15058.560228121807</v>
      </c>
      <c r="Z4" s="6">
        <v>1725.0000000000005</v>
      </c>
    </row>
    <row r="5" spans="1:26" x14ac:dyDescent="0.25">
      <c r="A5" s="22" t="str">
        <f t="shared" si="0"/>
        <v>LUIS OMAR DE LA CRUZ JIMENEZ|1</v>
      </c>
      <c r="B5" s="8">
        <v>45138</v>
      </c>
      <c r="C5" s="40" t="str">
        <f t="shared" si="4"/>
        <v>7|2023</v>
      </c>
      <c r="D5" s="2" t="s">
        <v>63</v>
      </c>
      <c r="E5" s="1" t="s">
        <v>68</v>
      </c>
      <c r="F5" s="2">
        <v>32491</v>
      </c>
      <c r="G5" s="22" t="s">
        <v>95</v>
      </c>
      <c r="H5" s="8">
        <v>45091</v>
      </c>
      <c r="I5" s="29">
        <f t="shared" si="1"/>
        <v>47</v>
      </c>
      <c r="J5" s="44">
        <f t="shared" si="5"/>
        <v>1</v>
      </c>
      <c r="K5" s="29" t="str">
        <f>VLOOKUP(I5,Etiquetas!B:C,2)</f>
        <v>&lt; 3 Meses</v>
      </c>
      <c r="L5" s="41">
        <f t="shared" si="2"/>
        <v>1</v>
      </c>
      <c r="M5" s="41">
        <f t="shared" si="3"/>
        <v>1</v>
      </c>
      <c r="N5" s="13">
        <v>443877.33000000007</v>
      </c>
      <c r="O5" s="13">
        <v>472340.91</v>
      </c>
      <c r="P5" s="4">
        <v>402486.84</v>
      </c>
      <c r="Q5" s="42">
        <f t="shared" si="6"/>
        <v>0.85211090438895087</v>
      </c>
      <c r="R5" s="4">
        <v>0</v>
      </c>
      <c r="S5" s="43">
        <f t="shared" si="7"/>
        <v>0</v>
      </c>
      <c r="T5" s="6"/>
      <c r="U5" s="4">
        <v>130500.37999999999</v>
      </c>
      <c r="V5" s="14">
        <v>20</v>
      </c>
      <c r="W5" s="14">
        <v>47</v>
      </c>
      <c r="X5" s="14">
        <v>29</v>
      </c>
      <c r="Y5" s="7">
        <v>2812.5</v>
      </c>
      <c r="Z5" s="6">
        <v>2000</v>
      </c>
    </row>
    <row r="6" spans="1:26" x14ac:dyDescent="0.25">
      <c r="A6" s="22" t="str">
        <f t="shared" si="0"/>
        <v>MARIBEL RODRIGUEZ CARRIZOZA|16</v>
      </c>
      <c r="B6" s="8">
        <v>45138</v>
      </c>
      <c r="C6" s="40" t="str">
        <f t="shared" si="4"/>
        <v>7|2023</v>
      </c>
      <c r="D6" s="2" t="s">
        <v>109</v>
      </c>
      <c r="E6" s="1" t="s">
        <v>40</v>
      </c>
      <c r="F6" s="2">
        <v>20314</v>
      </c>
      <c r="G6" s="22" t="s">
        <v>41</v>
      </c>
      <c r="H6" s="8">
        <v>44634</v>
      </c>
      <c r="I6" s="29">
        <f t="shared" si="1"/>
        <v>504</v>
      </c>
      <c r="J6" s="44">
        <f t="shared" si="5"/>
        <v>16</v>
      </c>
      <c r="K6" s="29" t="str">
        <f>VLOOKUP(I6,Etiquetas!B:C,2)</f>
        <v>1 a 1.5 años</v>
      </c>
      <c r="L6" s="41">
        <f t="shared" si="2"/>
        <v>16</v>
      </c>
      <c r="M6" s="41">
        <f t="shared" si="3"/>
        <v>20</v>
      </c>
      <c r="N6" s="13">
        <v>1240824.7300000002</v>
      </c>
      <c r="O6" s="13">
        <v>1361066.6299999997</v>
      </c>
      <c r="P6" s="4">
        <v>1289656.6499999997</v>
      </c>
      <c r="Q6" s="42">
        <f t="shared" si="6"/>
        <v>0.94753381030287986</v>
      </c>
      <c r="R6" s="4">
        <v>0</v>
      </c>
      <c r="S6" s="43">
        <f t="shared" si="7"/>
        <v>0</v>
      </c>
      <c r="T6" s="6">
        <v>1044470.1423000001</v>
      </c>
      <c r="U6" s="4">
        <v>569000.71999999986</v>
      </c>
      <c r="V6" s="14">
        <v>1</v>
      </c>
      <c r="W6" s="14">
        <v>78</v>
      </c>
      <c r="X6" s="14">
        <v>42</v>
      </c>
      <c r="Y6" s="7">
        <v>25177.806020146585</v>
      </c>
      <c r="Z6" s="6">
        <v>3955</v>
      </c>
    </row>
    <row r="7" spans="1:26" x14ac:dyDescent="0.25">
      <c r="A7" s="22" t="str">
        <f t="shared" si="0"/>
        <v>KARINA TERRAZAS OLVERA|16</v>
      </c>
      <c r="B7" s="8">
        <v>45138</v>
      </c>
      <c r="C7" s="40" t="str">
        <f t="shared" si="4"/>
        <v>7|2023</v>
      </c>
      <c r="D7" s="2" t="s">
        <v>109</v>
      </c>
      <c r="E7" s="1" t="s">
        <v>40</v>
      </c>
      <c r="F7" s="2">
        <v>20315</v>
      </c>
      <c r="G7" s="22" t="s">
        <v>42</v>
      </c>
      <c r="H7" s="8">
        <v>44634</v>
      </c>
      <c r="I7" s="29">
        <f t="shared" si="1"/>
        <v>504</v>
      </c>
      <c r="J7" s="44">
        <f t="shared" si="5"/>
        <v>16</v>
      </c>
      <c r="K7" s="29" t="str">
        <f>VLOOKUP(I7,Etiquetas!B:C,2)</f>
        <v>1 a 1.5 años</v>
      </c>
      <c r="L7" s="41">
        <f t="shared" si="2"/>
        <v>16</v>
      </c>
      <c r="M7" s="41">
        <f t="shared" si="3"/>
        <v>20</v>
      </c>
      <c r="N7" s="13">
        <v>943731.19000000006</v>
      </c>
      <c r="O7" s="13">
        <v>880824.51</v>
      </c>
      <c r="P7" s="4">
        <v>820343.4800000001</v>
      </c>
      <c r="Q7" s="42">
        <f t="shared" si="6"/>
        <v>0.93133589118677007</v>
      </c>
      <c r="R7" s="4">
        <v>9805.2099999999991</v>
      </c>
      <c r="S7" s="43">
        <f t="shared" si="7"/>
        <v>1.1131854176037856E-2</v>
      </c>
      <c r="T7" s="6">
        <v>444450.17610000004</v>
      </c>
      <c r="U7" s="4">
        <v>257500.31000000003</v>
      </c>
      <c r="V7" s="14">
        <v>22</v>
      </c>
      <c r="W7" s="14">
        <v>25</v>
      </c>
      <c r="X7" s="14">
        <v>13</v>
      </c>
      <c r="Y7" s="7">
        <v>6285.4967311977434</v>
      </c>
      <c r="Z7" s="6">
        <v>975</v>
      </c>
    </row>
    <row r="8" spans="1:26" x14ac:dyDescent="0.25">
      <c r="A8" s="22" t="str">
        <f t="shared" si="0"/>
        <v>LIZBETH GUADALUPE MUJICA HERNANDEZ|3</v>
      </c>
      <c r="B8" s="8">
        <v>45138</v>
      </c>
      <c r="C8" s="40" t="str">
        <f t="shared" si="4"/>
        <v>7|2023</v>
      </c>
      <c r="D8" s="2" t="s">
        <v>109</v>
      </c>
      <c r="E8" s="1" t="s">
        <v>40</v>
      </c>
      <c r="F8" s="2">
        <v>30967</v>
      </c>
      <c r="G8" s="22" t="s">
        <v>43</v>
      </c>
      <c r="H8" s="8">
        <v>45036</v>
      </c>
      <c r="I8" s="29">
        <f t="shared" si="1"/>
        <v>102</v>
      </c>
      <c r="J8" s="44">
        <f t="shared" si="5"/>
        <v>3</v>
      </c>
      <c r="K8" s="29" t="str">
        <f>VLOOKUP(I8,Etiquetas!B:C,2)</f>
        <v>3 a 6 Meses</v>
      </c>
      <c r="L8" s="41">
        <f t="shared" si="2"/>
        <v>3</v>
      </c>
      <c r="M8" s="41">
        <f t="shared" si="3"/>
        <v>7</v>
      </c>
      <c r="N8" s="13">
        <v>2281868.9300000006</v>
      </c>
      <c r="O8" s="13">
        <v>2126434.3900000006</v>
      </c>
      <c r="P8" s="4">
        <v>1937994.9300000006</v>
      </c>
      <c r="Q8" s="42">
        <f t="shared" si="6"/>
        <v>0.91138242454778962</v>
      </c>
      <c r="R8" s="4">
        <v>3952.3</v>
      </c>
      <c r="S8" s="43">
        <f t="shared" si="7"/>
        <v>1.8586512796193062E-3</v>
      </c>
      <c r="T8" s="6">
        <v>800290.14600000007</v>
      </c>
      <c r="U8" s="4">
        <v>655001.35000000021</v>
      </c>
      <c r="V8" s="14">
        <v>6</v>
      </c>
      <c r="W8" s="14">
        <v>91</v>
      </c>
      <c r="X8" s="14">
        <v>55</v>
      </c>
      <c r="Y8" s="7">
        <v>23414.699946235174</v>
      </c>
      <c r="Z8" s="6">
        <v>1500</v>
      </c>
    </row>
    <row r="9" spans="1:26" x14ac:dyDescent="0.25">
      <c r="A9" s="22" t="str">
        <f t="shared" si="0"/>
        <v>MARISELA HERNANDEZ MORINCHEL|10</v>
      </c>
      <c r="B9" s="8">
        <v>45138</v>
      </c>
      <c r="C9" s="40" t="str">
        <f t="shared" si="4"/>
        <v>7|2023</v>
      </c>
      <c r="D9" s="2" t="s">
        <v>109</v>
      </c>
      <c r="E9" s="1" t="s">
        <v>17</v>
      </c>
      <c r="F9" s="2">
        <v>25237</v>
      </c>
      <c r="G9" s="22" t="s">
        <v>18</v>
      </c>
      <c r="H9" s="8">
        <v>44824</v>
      </c>
      <c r="I9" s="29">
        <f t="shared" si="1"/>
        <v>314</v>
      </c>
      <c r="J9" s="44">
        <f t="shared" si="5"/>
        <v>10</v>
      </c>
      <c r="K9" s="29" t="str">
        <f>VLOOKUP(I9,Etiquetas!B:C,2)</f>
        <v>6 a 12 Meses</v>
      </c>
      <c r="L9" s="41">
        <f t="shared" si="2"/>
        <v>10</v>
      </c>
      <c r="M9" s="41">
        <f t="shared" si="3"/>
        <v>12</v>
      </c>
      <c r="N9" s="13">
        <v>1973686.5999999999</v>
      </c>
      <c r="O9" s="13">
        <v>1655077.1099999999</v>
      </c>
      <c r="P9" s="4">
        <v>1563638.57</v>
      </c>
      <c r="Q9" s="42">
        <f t="shared" si="6"/>
        <v>0.94475270097838537</v>
      </c>
      <c r="R9" s="4">
        <v>9310.14</v>
      </c>
      <c r="S9" s="43">
        <f t="shared" si="7"/>
        <v>5.6252001455086281E-3</v>
      </c>
      <c r="T9" s="6">
        <v>822585.26190000004</v>
      </c>
      <c r="U9" s="4">
        <v>468000.11</v>
      </c>
      <c r="V9" s="14">
        <v>11</v>
      </c>
      <c r="W9" s="14">
        <v>37</v>
      </c>
      <c r="X9" s="14">
        <v>15</v>
      </c>
      <c r="Y9" s="7">
        <v>5407.3912152310495</v>
      </c>
      <c r="Z9" s="6">
        <v>1820</v>
      </c>
    </row>
    <row r="10" spans="1:26" x14ac:dyDescent="0.25">
      <c r="A10" s="22" t="str">
        <f t="shared" si="0"/>
        <v>BRENDA DANIELA RODRIGUEZ REYES|6</v>
      </c>
      <c r="B10" s="8">
        <v>45138</v>
      </c>
      <c r="C10" s="40" t="str">
        <f t="shared" si="4"/>
        <v>7|2023</v>
      </c>
      <c r="D10" s="2" t="s">
        <v>109</v>
      </c>
      <c r="E10" s="1" t="s">
        <v>17</v>
      </c>
      <c r="F10" s="2">
        <v>28239</v>
      </c>
      <c r="G10" s="22" t="s">
        <v>19</v>
      </c>
      <c r="H10" s="8">
        <v>44943</v>
      </c>
      <c r="I10" s="29">
        <f t="shared" si="1"/>
        <v>195</v>
      </c>
      <c r="J10" s="44">
        <f t="shared" si="5"/>
        <v>6</v>
      </c>
      <c r="K10" s="29" t="str">
        <f>VLOOKUP(I10,Etiquetas!B:C,2)</f>
        <v>6 a 12 Meses</v>
      </c>
      <c r="L10" s="41">
        <f t="shared" si="2"/>
        <v>6</v>
      </c>
      <c r="M10" s="41">
        <f t="shared" si="3"/>
        <v>10</v>
      </c>
      <c r="N10" s="13">
        <v>364451.29000000004</v>
      </c>
      <c r="O10" s="13">
        <v>418787.11</v>
      </c>
      <c r="P10" s="4">
        <v>411847.58999999997</v>
      </c>
      <c r="Q10" s="42">
        <f t="shared" si="6"/>
        <v>0.98342948043458167</v>
      </c>
      <c r="R10" s="4">
        <v>0</v>
      </c>
      <c r="S10" s="43">
        <f t="shared" si="7"/>
        <v>0</v>
      </c>
      <c r="T10" s="6">
        <v>304500</v>
      </c>
      <c r="U10" s="4">
        <v>181000.08000000002</v>
      </c>
      <c r="V10" s="14">
        <v>22</v>
      </c>
      <c r="W10" s="14">
        <v>0</v>
      </c>
      <c r="X10" s="14">
        <v>0</v>
      </c>
      <c r="Y10" s="7">
        <v>5758.4695575511378</v>
      </c>
      <c r="Z10" s="6">
        <v>1983.75</v>
      </c>
    </row>
    <row r="11" spans="1:26" x14ac:dyDescent="0.25">
      <c r="A11" s="22" t="str">
        <f t="shared" si="0"/>
        <v>ARIAN AGUILAR PLATA|5</v>
      </c>
      <c r="B11" s="8">
        <v>45138</v>
      </c>
      <c r="C11" s="40" t="str">
        <f t="shared" si="4"/>
        <v>7|2023</v>
      </c>
      <c r="D11" s="2" t="s">
        <v>109</v>
      </c>
      <c r="E11" s="1" t="s">
        <v>17</v>
      </c>
      <c r="F11" s="2">
        <v>28894</v>
      </c>
      <c r="G11" s="22" t="s">
        <v>20</v>
      </c>
      <c r="H11" s="8">
        <v>44966</v>
      </c>
      <c r="I11" s="29">
        <f t="shared" si="1"/>
        <v>172</v>
      </c>
      <c r="J11" s="44">
        <f t="shared" si="5"/>
        <v>5</v>
      </c>
      <c r="K11" s="29" t="str">
        <f>VLOOKUP(I11,Etiquetas!B:C,2)</f>
        <v>3 a 6 Meses</v>
      </c>
      <c r="L11" s="41">
        <f t="shared" si="2"/>
        <v>5</v>
      </c>
      <c r="M11" s="41">
        <f t="shared" si="3"/>
        <v>7</v>
      </c>
      <c r="N11" s="13">
        <v>459510.52</v>
      </c>
      <c r="O11" s="13">
        <v>716322.08000000007</v>
      </c>
      <c r="P11" s="4">
        <v>713879.08000000007</v>
      </c>
      <c r="Q11" s="42">
        <f t="shared" si="6"/>
        <v>0.9965895229698909</v>
      </c>
      <c r="R11" s="4">
        <v>0</v>
      </c>
      <c r="S11" s="43">
        <f t="shared" si="7"/>
        <v>0</v>
      </c>
      <c r="T11" s="6">
        <v>533694.71785000002</v>
      </c>
      <c r="U11" s="4">
        <v>482500.48</v>
      </c>
      <c r="V11" s="14">
        <v>31</v>
      </c>
      <c r="W11" s="14">
        <v>44</v>
      </c>
      <c r="X11" s="14">
        <v>27</v>
      </c>
      <c r="Y11" s="7">
        <v>11153.483921520463</v>
      </c>
      <c r="Z11" s="6">
        <v>7532.5</v>
      </c>
    </row>
    <row r="12" spans="1:26" x14ac:dyDescent="0.25">
      <c r="A12" s="22" t="str">
        <f t="shared" si="0"/>
        <v>LAURA LORENA PEREZ MENDOZA|2</v>
      </c>
      <c r="B12" s="8">
        <v>45138</v>
      </c>
      <c r="C12" s="40" t="str">
        <f t="shared" si="4"/>
        <v>7|2023</v>
      </c>
      <c r="D12" s="2" t="s">
        <v>109</v>
      </c>
      <c r="E12" s="1" t="s">
        <v>49</v>
      </c>
      <c r="F12" s="2">
        <v>31346</v>
      </c>
      <c r="G12" s="22" t="s">
        <v>93</v>
      </c>
      <c r="H12" s="3">
        <v>45054</v>
      </c>
      <c r="I12" s="29">
        <f t="shared" si="1"/>
        <v>84</v>
      </c>
      <c r="J12" s="44">
        <f t="shared" si="5"/>
        <v>2</v>
      </c>
      <c r="K12" s="29" t="str">
        <f>VLOOKUP(I12,Etiquetas!B:C,2)</f>
        <v>&lt; 3 Meses</v>
      </c>
      <c r="L12" s="41">
        <f t="shared" si="2"/>
        <v>2</v>
      </c>
      <c r="M12" s="41">
        <f t="shared" si="3"/>
        <v>6</v>
      </c>
      <c r="N12" s="13">
        <v>491995.22000000003</v>
      </c>
      <c r="O12" s="13">
        <v>695230.2699999999</v>
      </c>
      <c r="P12" s="4">
        <v>670180.53999999992</v>
      </c>
      <c r="Q12" s="42">
        <f t="shared" si="6"/>
        <v>0.96396916089398699</v>
      </c>
      <c r="R12" s="4">
        <v>0</v>
      </c>
      <c r="S12" s="43">
        <f t="shared" si="7"/>
        <v>0</v>
      </c>
      <c r="T12" s="6">
        <v>367379.5699</v>
      </c>
      <c r="U12" s="4">
        <v>397498.66000000003</v>
      </c>
      <c r="V12" s="14">
        <v>68</v>
      </c>
      <c r="W12" s="14">
        <v>13</v>
      </c>
      <c r="X12" s="14">
        <v>12</v>
      </c>
      <c r="Y12" s="7">
        <v>10567.574305410062</v>
      </c>
      <c r="Z12" s="6">
        <v>5175</v>
      </c>
    </row>
    <row r="13" spans="1:26" x14ac:dyDescent="0.25">
      <c r="A13" s="22" t="str">
        <f t="shared" si="0"/>
        <v>NADINE GUADALUPE URIBE SANTIAGO|6</v>
      </c>
      <c r="B13" s="8">
        <v>45138</v>
      </c>
      <c r="C13" s="40" t="str">
        <f t="shared" si="4"/>
        <v>7|2023</v>
      </c>
      <c r="D13" s="2" t="s">
        <v>109</v>
      </c>
      <c r="E13" s="1" t="s">
        <v>51</v>
      </c>
      <c r="F13" s="2">
        <v>33385</v>
      </c>
      <c r="G13" s="22" t="s">
        <v>52</v>
      </c>
      <c r="H13" s="8">
        <v>44958</v>
      </c>
      <c r="I13" s="29">
        <f t="shared" si="1"/>
        <v>180</v>
      </c>
      <c r="J13" s="44">
        <f t="shared" si="5"/>
        <v>6</v>
      </c>
      <c r="K13" s="29" t="str">
        <f>VLOOKUP(I13,Etiquetas!B:C,2)</f>
        <v>6 a 12 Meses</v>
      </c>
      <c r="L13" s="41">
        <f t="shared" si="2"/>
        <v>6</v>
      </c>
      <c r="M13" s="41">
        <f t="shared" si="3"/>
        <v>10</v>
      </c>
      <c r="N13" s="13">
        <v>917638.17</v>
      </c>
      <c r="O13" s="13">
        <v>1188527.68</v>
      </c>
      <c r="P13" s="4">
        <v>1075874.0699999998</v>
      </c>
      <c r="Q13" s="42">
        <f t="shared" si="6"/>
        <v>0.90521582972304004</v>
      </c>
      <c r="R13" s="4">
        <v>6440.6200000000008</v>
      </c>
      <c r="S13" s="43">
        <f t="shared" si="7"/>
        <v>5.4189903259131509E-3</v>
      </c>
      <c r="T13" s="6">
        <v>343000.09750000003</v>
      </c>
      <c r="U13" s="4">
        <v>512999.37000000011</v>
      </c>
      <c r="V13" s="14">
        <v>0</v>
      </c>
      <c r="W13" s="14">
        <v>0</v>
      </c>
      <c r="X13" s="14">
        <v>0</v>
      </c>
      <c r="Y13" s="7">
        <v>5242.4172185881744</v>
      </c>
      <c r="Z13" s="6">
        <v>3172.5000000000009</v>
      </c>
    </row>
    <row r="14" spans="1:26" x14ac:dyDescent="0.25">
      <c r="A14" s="22" t="str">
        <f t="shared" si="0"/>
        <v>JONNY ROMAN GARCIA VALENTINO|42</v>
      </c>
      <c r="B14" s="8">
        <v>45138</v>
      </c>
      <c r="C14" s="40" t="str">
        <f t="shared" si="4"/>
        <v>7|2023</v>
      </c>
      <c r="D14" s="2" t="s">
        <v>109</v>
      </c>
      <c r="E14" s="1" t="s">
        <v>54</v>
      </c>
      <c r="F14" s="2">
        <v>26898</v>
      </c>
      <c r="G14" s="22" t="s">
        <v>53</v>
      </c>
      <c r="H14" s="8">
        <v>43850</v>
      </c>
      <c r="I14" s="29">
        <f t="shared" si="1"/>
        <v>1288</v>
      </c>
      <c r="J14" s="44">
        <f t="shared" si="5"/>
        <v>42</v>
      </c>
      <c r="K14" s="29" t="str">
        <f>VLOOKUP(I14,Etiquetas!B:C,2)</f>
        <v>Mas de 3 años</v>
      </c>
      <c r="L14" s="41">
        <f t="shared" si="2"/>
        <v>42</v>
      </c>
      <c r="M14" s="41">
        <f t="shared" si="3"/>
        <v>47</v>
      </c>
      <c r="N14" s="13">
        <v>613874.71999999986</v>
      </c>
      <c r="O14" s="13">
        <v>612085.23</v>
      </c>
      <c r="P14" s="4">
        <v>604479.43000000005</v>
      </c>
      <c r="Q14" s="42">
        <f t="shared" si="6"/>
        <v>0.98757395273204041</v>
      </c>
      <c r="R14" s="4">
        <v>3985.73</v>
      </c>
      <c r="S14" s="43">
        <f t="shared" si="7"/>
        <v>6.511723865645312E-3</v>
      </c>
      <c r="T14" s="6">
        <v>247000.01500000001</v>
      </c>
      <c r="U14" s="4">
        <v>115999.68999999999</v>
      </c>
      <c r="V14" s="14">
        <v>0</v>
      </c>
      <c r="W14" s="14">
        <v>27</v>
      </c>
      <c r="X14" s="14">
        <v>11</v>
      </c>
      <c r="Y14" s="7">
        <v>3521.4882818233627</v>
      </c>
      <c r="Z14" s="6">
        <v>2645</v>
      </c>
    </row>
    <row r="15" spans="1:26" x14ac:dyDescent="0.25">
      <c r="A15" s="22" t="str">
        <f t="shared" si="0"/>
        <v>DENISSE FUENTES CASTRO|10</v>
      </c>
      <c r="B15" s="8">
        <v>45138</v>
      </c>
      <c r="C15" s="40" t="str">
        <f t="shared" si="4"/>
        <v>7|2023</v>
      </c>
      <c r="D15" s="2" t="s">
        <v>109</v>
      </c>
      <c r="E15" s="1" t="s">
        <v>54</v>
      </c>
      <c r="F15" s="2">
        <v>25227</v>
      </c>
      <c r="G15" s="22" t="s">
        <v>55</v>
      </c>
      <c r="H15" s="8">
        <v>44823</v>
      </c>
      <c r="I15" s="29">
        <f t="shared" si="1"/>
        <v>315</v>
      </c>
      <c r="J15" s="44">
        <f t="shared" si="5"/>
        <v>10</v>
      </c>
      <c r="K15" s="29" t="str">
        <f>VLOOKUP(I15,Etiquetas!B:C,2)</f>
        <v>6 a 12 Meses</v>
      </c>
      <c r="L15" s="41">
        <f t="shared" si="2"/>
        <v>1</v>
      </c>
      <c r="M15" s="41">
        <f t="shared" si="3"/>
        <v>14</v>
      </c>
      <c r="N15" s="13">
        <v>1306035.08</v>
      </c>
      <c r="O15" s="13">
        <v>1406302.81</v>
      </c>
      <c r="P15" s="4">
        <v>1217946.99</v>
      </c>
      <c r="Q15" s="42">
        <f t="shared" si="6"/>
        <v>0.86606311339163145</v>
      </c>
      <c r="R15" s="4">
        <v>13072.75</v>
      </c>
      <c r="S15" s="43">
        <f t="shared" si="7"/>
        <v>9.2958286842931073E-3</v>
      </c>
      <c r="T15" s="6">
        <v>470929.97194999992</v>
      </c>
      <c r="U15" s="4">
        <v>510000.9599999999</v>
      </c>
      <c r="V15" s="14">
        <v>30</v>
      </c>
      <c r="W15" s="14">
        <v>30</v>
      </c>
      <c r="X15" s="14">
        <v>21</v>
      </c>
      <c r="Y15" s="7">
        <v>5947.5</v>
      </c>
      <c r="Z15" s="6">
        <v>1710.0000000000005</v>
      </c>
    </row>
    <row r="16" spans="1:26" x14ac:dyDescent="0.25">
      <c r="A16" s="22" t="str">
        <f t="shared" si="0"/>
        <v>NELLYE SAAVEDRA SALVADOR|4</v>
      </c>
      <c r="B16" s="8">
        <v>45138</v>
      </c>
      <c r="C16" s="40" t="str">
        <f t="shared" si="4"/>
        <v>7|2023</v>
      </c>
      <c r="D16" s="2" t="s">
        <v>109</v>
      </c>
      <c r="E16" s="1" t="s">
        <v>54</v>
      </c>
      <c r="F16" s="2">
        <v>30049</v>
      </c>
      <c r="G16" s="22" t="s">
        <v>56</v>
      </c>
      <c r="H16" s="8">
        <v>45006</v>
      </c>
      <c r="I16" s="29">
        <f t="shared" si="1"/>
        <v>132</v>
      </c>
      <c r="J16" s="44">
        <f t="shared" si="5"/>
        <v>4</v>
      </c>
      <c r="K16" s="29" t="str">
        <f>VLOOKUP(I16,Etiquetas!B:C,2)</f>
        <v>3 a 6 Meses</v>
      </c>
      <c r="L16" s="41">
        <f t="shared" si="2"/>
        <v>4</v>
      </c>
      <c r="M16" s="41">
        <f t="shared" si="3"/>
        <v>8</v>
      </c>
      <c r="N16" s="13">
        <v>406962.17000000004</v>
      </c>
      <c r="O16" s="13">
        <v>703234.08</v>
      </c>
      <c r="P16" s="4">
        <v>703234.08</v>
      </c>
      <c r="Q16" s="42">
        <f t="shared" si="6"/>
        <v>1</v>
      </c>
      <c r="R16" s="4">
        <v>0</v>
      </c>
      <c r="S16" s="43">
        <f t="shared" si="7"/>
        <v>0</v>
      </c>
      <c r="T16" s="6">
        <v>348270.13089999999</v>
      </c>
      <c r="U16" s="4">
        <v>479998.0299999998</v>
      </c>
      <c r="V16" s="14">
        <v>27</v>
      </c>
      <c r="W16" s="14">
        <v>7</v>
      </c>
      <c r="X16" s="14">
        <v>7</v>
      </c>
      <c r="Y16" s="7">
        <v>8108.6046670974592</v>
      </c>
      <c r="Z16" s="6">
        <v>9545</v>
      </c>
    </row>
    <row r="17" spans="1:26" x14ac:dyDescent="0.25">
      <c r="A17" s="22" t="str">
        <f t="shared" si="0"/>
        <v>MARIA IVONNE CRUZ TRUJANO|15</v>
      </c>
      <c r="B17" s="8">
        <v>45138</v>
      </c>
      <c r="C17" s="40" t="str">
        <f t="shared" si="4"/>
        <v>7|2023</v>
      </c>
      <c r="D17" s="2" t="s">
        <v>109</v>
      </c>
      <c r="E17" s="1" t="s">
        <v>25</v>
      </c>
      <c r="F17" s="2">
        <v>21057</v>
      </c>
      <c r="G17" s="22" t="s">
        <v>26</v>
      </c>
      <c r="H17" s="8">
        <v>44676</v>
      </c>
      <c r="I17" s="29">
        <f t="shared" si="1"/>
        <v>462</v>
      </c>
      <c r="J17" s="44">
        <f t="shared" si="5"/>
        <v>15</v>
      </c>
      <c r="K17" s="29" t="str">
        <f>VLOOKUP(I17,Etiquetas!B:C,2)</f>
        <v>1 a 1.5 años</v>
      </c>
      <c r="L17" s="41">
        <f t="shared" si="2"/>
        <v>15</v>
      </c>
      <c r="M17" s="41">
        <f t="shared" si="3"/>
        <v>16</v>
      </c>
      <c r="N17" s="13">
        <v>1424644.5000000002</v>
      </c>
      <c r="O17" s="13">
        <v>1424667.6400000001</v>
      </c>
      <c r="P17" s="4">
        <v>1344054.4300000002</v>
      </c>
      <c r="Q17" s="42">
        <f t="shared" si="6"/>
        <v>0.94341612897166671</v>
      </c>
      <c r="R17" s="4">
        <v>12586.720000000001</v>
      </c>
      <c r="S17" s="43">
        <f t="shared" si="7"/>
        <v>8.8348465611249507E-3</v>
      </c>
      <c r="T17" s="6">
        <v>615195.27484999993</v>
      </c>
      <c r="U17" s="4">
        <v>450000.3800000003</v>
      </c>
      <c r="V17" s="14">
        <v>0</v>
      </c>
      <c r="W17" s="14">
        <v>0</v>
      </c>
      <c r="X17" s="14">
        <v>0</v>
      </c>
      <c r="Y17" s="7">
        <v>9710.5836074248873</v>
      </c>
      <c r="Z17" s="6">
        <v>1592.5</v>
      </c>
    </row>
    <row r="18" spans="1:26" x14ac:dyDescent="0.25">
      <c r="A18" s="22" t="str">
        <f t="shared" si="0"/>
        <v>ROBERTO MERAZ GUTIERREZ|3</v>
      </c>
      <c r="B18" s="8">
        <v>45138</v>
      </c>
      <c r="C18" s="40" t="str">
        <f t="shared" si="4"/>
        <v>7|2023</v>
      </c>
      <c r="D18" s="2" t="s">
        <v>109</v>
      </c>
      <c r="E18" s="1" t="s">
        <v>25</v>
      </c>
      <c r="F18" s="2">
        <v>33373</v>
      </c>
      <c r="G18" s="22" t="s">
        <v>28</v>
      </c>
      <c r="H18" s="8">
        <v>45033</v>
      </c>
      <c r="I18" s="29">
        <f t="shared" si="1"/>
        <v>105</v>
      </c>
      <c r="J18" s="44">
        <f t="shared" si="5"/>
        <v>3</v>
      </c>
      <c r="K18" s="29" t="str">
        <f>VLOOKUP(I18,Etiquetas!B:C,2)</f>
        <v>3 a 6 Meses</v>
      </c>
      <c r="L18" s="41">
        <f t="shared" si="2"/>
        <v>3</v>
      </c>
      <c r="M18" s="41">
        <f t="shared" si="3"/>
        <v>7</v>
      </c>
      <c r="N18" s="13">
        <v>441055.81</v>
      </c>
      <c r="O18" s="13">
        <v>835765.31999999983</v>
      </c>
      <c r="P18" s="4">
        <v>835765.31999999983</v>
      </c>
      <c r="Q18" s="42">
        <f t="shared" si="6"/>
        <v>1</v>
      </c>
      <c r="R18" s="4">
        <v>0</v>
      </c>
      <c r="S18" s="43">
        <f t="shared" si="7"/>
        <v>0</v>
      </c>
      <c r="T18" s="6">
        <v>300000</v>
      </c>
      <c r="U18" s="4">
        <v>627001.28000000026</v>
      </c>
      <c r="V18" s="14">
        <v>0</v>
      </c>
      <c r="W18" s="14">
        <v>0</v>
      </c>
      <c r="X18" s="14">
        <v>0</v>
      </c>
      <c r="Y18" s="7">
        <v>9065.5015912662366</v>
      </c>
      <c r="Z18" s="6">
        <v>17106.25</v>
      </c>
    </row>
    <row r="19" spans="1:26" x14ac:dyDescent="0.25">
      <c r="A19" s="22" t="str">
        <f t="shared" si="0"/>
        <v>ELIZABETH PEREZ PERALTA|1</v>
      </c>
      <c r="B19" s="8">
        <v>45138</v>
      </c>
      <c r="C19" s="40" t="str">
        <f t="shared" si="4"/>
        <v>7|2023</v>
      </c>
      <c r="D19" s="2" t="s">
        <v>109</v>
      </c>
      <c r="E19" s="1" t="s">
        <v>25</v>
      </c>
      <c r="F19" s="2">
        <v>32596</v>
      </c>
      <c r="G19" s="22" t="s">
        <v>27</v>
      </c>
      <c r="H19" s="8">
        <v>45093</v>
      </c>
      <c r="I19" s="29">
        <f t="shared" si="1"/>
        <v>45</v>
      </c>
      <c r="J19" s="44">
        <f t="shared" si="5"/>
        <v>1</v>
      </c>
      <c r="K19" s="29" t="str">
        <f>VLOOKUP(I19,Etiquetas!B:C,2)</f>
        <v>&lt; 3 Meses</v>
      </c>
      <c r="L19" s="41">
        <f t="shared" si="2"/>
        <v>1</v>
      </c>
      <c r="M19" s="41">
        <f t="shared" si="3"/>
        <v>5</v>
      </c>
      <c r="N19" s="13">
        <v>0</v>
      </c>
      <c r="O19" s="13">
        <v>102968.23999999999</v>
      </c>
      <c r="P19" s="4">
        <v>102968.23999999999</v>
      </c>
      <c r="Q19" s="42">
        <f t="shared" si="6"/>
        <v>1</v>
      </c>
      <c r="R19" s="4">
        <v>0</v>
      </c>
      <c r="S19" s="43">
        <f t="shared" si="7"/>
        <v>0</v>
      </c>
      <c r="T19" s="6"/>
      <c r="U19" s="4">
        <v>105999.37000000001</v>
      </c>
      <c r="V19" s="14">
        <v>22</v>
      </c>
      <c r="W19" s="14">
        <v>0</v>
      </c>
      <c r="X19" s="14">
        <v>0</v>
      </c>
      <c r="Y19" s="7">
        <v>2275</v>
      </c>
      <c r="Z19" s="6">
        <v>2875</v>
      </c>
    </row>
    <row r="20" spans="1:26" x14ac:dyDescent="0.25">
      <c r="A20" s="22" t="str">
        <f t="shared" si="0"/>
        <v>LAURA PATRICIA CARRERA QUINTERO|3</v>
      </c>
      <c r="B20" s="8">
        <v>45138</v>
      </c>
      <c r="C20" s="40" t="str">
        <f t="shared" si="4"/>
        <v>7|2023</v>
      </c>
      <c r="D20" s="2" t="s">
        <v>109</v>
      </c>
      <c r="E20" s="1" t="s">
        <v>34</v>
      </c>
      <c r="F20" s="2">
        <v>30869</v>
      </c>
      <c r="G20" s="22" t="s">
        <v>35</v>
      </c>
      <c r="H20" s="8">
        <v>45034</v>
      </c>
      <c r="I20" s="29">
        <f t="shared" si="1"/>
        <v>104</v>
      </c>
      <c r="J20" s="44">
        <f t="shared" si="5"/>
        <v>3</v>
      </c>
      <c r="K20" s="29" t="str">
        <f>VLOOKUP(I20,Etiquetas!B:C,2)</f>
        <v>3 a 6 Meses</v>
      </c>
      <c r="L20" s="41">
        <f t="shared" si="2"/>
        <v>3</v>
      </c>
      <c r="M20" s="41">
        <f t="shared" si="3"/>
        <v>7</v>
      </c>
      <c r="N20" s="13">
        <v>1213599.7599999998</v>
      </c>
      <c r="O20" s="13">
        <v>1291001.27</v>
      </c>
      <c r="P20" s="4">
        <v>1286435.58</v>
      </c>
      <c r="Q20" s="42">
        <f t="shared" si="6"/>
        <v>0.99646345041937878</v>
      </c>
      <c r="R20" s="4">
        <v>0</v>
      </c>
      <c r="S20" s="43">
        <f t="shared" si="7"/>
        <v>0</v>
      </c>
      <c r="T20" s="6">
        <v>487500.40499999991</v>
      </c>
      <c r="U20" s="4">
        <v>550501.13000000035</v>
      </c>
      <c r="V20" s="14">
        <v>36</v>
      </c>
      <c r="W20" s="14">
        <v>50</v>
      </c>
      <c r="X20" s="14">
        <v>36</v>
      </c>
      <c r="Y20" s="7">
        <v>7581.6571661053758</v>
      </c>
      <c r="Z20" s="6">
        <v>6612.5</v>
      </c>
    </row>
    <row r="21" spans="1:26" x14ac:dyDescent="0.25">
      <c r="A21" s="22" t="str">
        <f t="shared" si="0"/>
        <v>EULALIO MARQUEZ ROJAS|17</v>
      </c>
      <c r="B21" s="8">
        <v>45138</v>
      </c>
      <c r="C21" s="40" t="str">
        <f t="shared" si="4"/>
        <v>7|2023</v>
      </c>
      <c r="D21" s="2" t="s">
        <v>109</v>
      </c>
      <c r="E21" s="1" t="s">
        <v>37</v>
      </c>
      <c r="F21" s="2">
        <v>20173</v>
      </c>
      <c r="G21" s="22" t="s">
        <v>38</v>
      </c>
      <c r="H21" s="8">
        <v>44627</v>
      </c>
      <c r="I21" s="29">
        <f t="shared" si="1"/>
        <v>511</v>
      </c>
      <c r="J21" s="44">
        <f t="shared" si="5"/>
        <v>17</v>
      </c>
      <c r="K21" s="29" t="str">
        <f>VLOOKUP(I21,Etiquetas!B:C,2)</f>
        <v>1 a 1.5 años</v>
      </c>
      <c r="L21" s="41">
        <f t="shared" si="2"/>
        <v>17</v>
      </c>
      <c r="M21" s="41">
        <f t="shared" si="3"/>
        <v>19</v>
      </c>
      <c r="N21" s="13">
        <v>2173006.0999999996</v>
      </c>
      <c r="O21" s="13">
        <v>2176958.62</v>
      </c>
      <c r="P21" s="4">
        <v>2176958.62</v>
      </c>
      <c r="Q21" s="42">
        <f t="shared" si="6"/>
        <v>1</v>
      </c>
      <c r="R21" s="4">
        <v>0</v>
      </c>
      <c r="S21" s="43">
        <f t="shared" si="7"/>
        <v>0</v>
      </c>
      <c r="T21" s="6">
        <v>688889.90094999992</v>
      </c>
      <c r="U21" s="4">
        <v>979999.82</v>
      </c>
      <c r="V21" s="14">
        <v>13</v>
      </c>
      <c r="W21" s="14">
        <v>47</v>
      </c>
      <c r="X21" s="14">
        <v>40</v>
      </c>
      <c r="Y21" s="7">
        <v>9525</v>
      </c>
      <c r="Z21" s="6">
        <v>5520</v>
      </c>
    </row>
    <row r="22" spans="1:26" x14ac:dyDescent="0.25">
      <c r="A22" s="22" t="str">
        <f t="shared" si="0"/>
        <v>ARMANDO ALEJANDRO TOVAR BRACAMONTES|16</v>
      </c>
      <c r="B22" s="8">
        <v>45138</v>
      </c>
      <c r="C22" s="40" t="str">
        <f t="shared" si="4"/>
        <v>7|2023</v>
      </c>
      <c r="D22" s="2" t="s">
        <v>109</v>
      </c>
      <c r="E22" s="1" t="s">
        <v>37</v>
      </c>
      <c r="F22" s="2">
        <v>20612</v>
      </c>
      <c r="G22" s="22" t="s">
        <v>39</v>
      </c>
      <c r="H22" s="8">
        <v>44648</v>
      </c>
      <c r="I22" s="29">
        <f t="shared" si="1"/>
        <v>490</v>
      </c>
      <c r="J22" s="44">
        <f t="shared" si="5"/>
        <v>16</v>
      </c>
      <c r="K22" s="29" t="str">
        <f>VLOOKUP(I22,Etiquetas!B:C,2)</f>
        <v>1 a 1.5 años</v>
      </c>
      <c r="L22" s="41">
        <f t="shared" si="2"/>
        <v>16</v>
      </c>
      <c r="M22" s="41">
        <f t="shared" si="3"/>
        <v>20</v>
      </c>
      <c r="N22" s="13">
        <v>2055945.7999999998</v>
      </c>
      <c r="O22" s="13">
        <v>1977158.1099999999</v>
      </c>
      <c r="P22" s="4">
        <v>1977158.1099999999</v>
      </c>
      <c r="Q22" s="42">
        <f t="shared" si="6"/>
        <v>1</v>
      </c>
      <c r="R22" s="4">
        <v>0</v>
      </c>
      <c r="S22" s="43">
        <f t="shared" si="7"/>
        <v>0</v>
      </c>
      <c r="T22" s="6">
        <v>521695.26745000004</v>
      </c>
      <c r="U22" s="4">
        <v>730500.04999999993</v>
      </c>
      <c r="V22" s="14">
        <v>23</v>
      </c>
      <c r="W22" s="14">
        <v>39</v>
      </c>
      <c r="X22" s="14">
        <v>35</v>
      </c>
      <c r="Y22" s="7">
        <v>8225</v>
      </c>
      <c r="Z22" s="6">
        <v>4600</v>
      </c>
    </row>
    <row r="23" spans="1:26" x14ac:dyDescent="0.25">
      <c r="A23" s="22" t="str">
        <f t="shared" si="0"/>
        <v>MARIA ISABEL MUÑOZ SANCHEZ|7</v>
      </c>
      <c r="B23" s="8">
        <v>45138</v>
      </c>
      <c r="C23" s="40" t="str">
        <f t="shared" si="4"/>
        <v>7|2023</v>
      </c>
      <c r="D23" s="2" t="s">
        <v>108</v>
      </c>
      <c r="E23" s="1" t="s">
        <v>9</v>
      </c>
      <c r="F23" s="2">
        <v>27539</v>
      </c>
      <c r="G23" s="22" t="s">
        <v>12</v>
      </c>
      <c r="H23" s="8">
        <v>44902</v>
      </c>
      <c r="I23" s="29">
        <f t="shared" si="1"/>
        <v>236</v>
      </c>
      <c r="J23" s="44">
        <f t="shared" si="5"/>
        <v>7</v>
      </c>
      <c r="K23" s="29" t="str">
        <f>VLOOKUP(I23,Etiquetas!B:C,2)</f>
        <v>6 a 12 Meses</v>
      </c>
      <c r="L23" s="41">
        <f t="shared" si="2"/>
        <v>7</v>
      </c>
      <c r="M23" s="41">
        <f t="shared" si="3"/>
        <v>11</v>
      </c>
      <c r="N23" s="13">
        <v>1299900.6400000001</v>
      </c>
      <c r="O23" s="13">
        <v>1242782.1599999999</v>
      </c>
      <c r="P23" s="4">
        <v>1168981.94</v>
      </c>
      <c r="Q23" s="42">
        <f t="shared" si="6"/>
        <v>0.94061693000163438</v>
      </c>
      <c r="R23" s="4">
        <v>15672.970000000001</v>
      </c>
      <c r="S23" s="43">
        <f t="shared" si="7"/>
        <v>1.2611196478713536E-2</v>
      </c>
      <c r="T23" s="6">
        <v>882509.92520000006</v>
      </c>
      <c r="U23" s="4">
        <v>505499.63000000006</v>
      </c>
      <c r="V23" s="14">
        <v>46</v>
      </c>
      <c r="W23" s="14">
        <v>17</v>
      </c>
      <c r="X23" s="14">
        <v>11</v>
      </c>
      <c r="Y23" s="7">
        <v>5193.75</v>
      </c>
      <c r="Z23" s="6">
        <v>1365</v>
      </c>
    </row>
    <row r="24" spans="1:26" x14ac:dyDescent="0.25">
      <c r="A24" s="22" t="str">
        <f t="shared" si="0"/>
        <v>YESICA MERIC OSNAYA SORIANO|1</v>
      </c>
      <c r="B24" s="8">
        <v>45138</v>
      </c>
      <c r="C24" s="40" t="str">
        <f t="shared" si="4"/>
        <v>7|2023</v>
      </c>
      <c r="D24" s="2" t="s">
        <v>108</v>
      </c>
      <c r="E24" s="1" t="s">
        <v>9</v>
      </c>
      <c r="F24" s="2">
        <v>32635</v>
      </c>
      <c r="G24" s="22" t="s">
        <v>10</v>
      </c>
      <c r="H24" s="8">
        <v>45098</v>
      </c>
      <c r="I24" s="29">
        <f t="shared" si="1"/>
        <v>40</v>
      </c>
      <c r="J24" s="44">
        <f t="shared" si="5"/>
        <v>1</v>
      </c>
      <c r="K24" s="29" t="str">
        <f>VLOOKUP(I24,Etiquetas!B:C,2)</f>
        <v>&lt; 3 Meses</v>
      </c>
      <c r="L24" s="41">
        <f t="shared" si="2"/>
        <v>1</v>
      </c>
      <c r="M24" s="41">
        <f t="shared" si="3"/>
        <v>2</v>
      </c>
      <c r="N24" s="13">
        <v>1419874.75</v>
      </c>
      <c r="O24" s="13">
        <v>1520242.17</v>
      </c>
      <c r="P24" s="4">
        <v>1501917.97</v>
      </c>
      <c r="Q24" s="42">
        <f t="shared" si="6"/>
        <v>0.98794652565123886</v>
      </c>
      <c r="R24" s="4">
        <v>0</v>
      </c>
      <c r="S24" s="43">
        <f t="shared" si="7"/>
        <v>0</v>
      </c>
      <c r="T24" s="6">
        <v>80000</v>
      </c>
      <c r="U24" s="4">
        <v>627000.18000000005</v>
      </c>
      <c r="V24" s="14">
        <v>30</v>
      </c>
      <c r="W24" s="14">
        <v>25</v>
      </c>
      <c r="X24" s="14">
        <v>14</v>
      </c>
      <c r="Y24" s="7">
        <v>6894.8259921886984</v>
      </c>
      <c r="Z24" s="6">
        <v>7187.5</v>
      </c>
    </row>
    <row r="25" spans="1:26" x14ac:dyDescent="0.25">
      <c r="A25" s="22" t="str">
        <f t="shared" si="0"/>
        <v>AGUSTIN DAVID ACEVEDO DELGADO|3</v>
      </c>
      <c r="B25" s="8">
        <v>45138</v>
      </c>
      <c r="C25" s="40" t="str">
        <f t="shared" si="4"/>
        <v>7|2023</v>
      </c>
      <c r="D25" s="2" t="s">
        <v>108</v>
      </c>
      <c r="E25" s="1" t="s">
        <v>13</v>
      </c>
      <c r="F25" s="2">
        <v>31219</v>
      </c>
      <c r="G25" s="22" t="s">
        <v>91</v>
      </c>
      <c r="H25" s="8">
        <v>45048</v>
      </c>
      <c r="I25" s="29">
        <f t="shared" si="1"/>
        <v>90</v>
      </c>
      <c r="J25" s="44">
        <f t="shared" si="5"/>
        <v>3</v>
      </c>
      <c r="K25" s="29" t="str">
        <f>VLOOKUP(I25,Etiquetas!B:C,2)</f>
        <v>3 a 6 Meses</v>
      </c>
      <c r="L25" s="41">
        <f t="shared" si="2"/>
        <v>3</v>
      </c>
      <c r="M25" s="41">
        <f t="shared" si="3"/>
        <v>3</v>
      </c>
      <c r="N25" s="13">
        <v>1057379.1199999996</v>
      </c>
      <c r="O25" s="13">
        <v>947617.83000000007</v>
      </c>
      <c r="P25" s="4">
        <v>919070.94000000006</v>
      </c>
      <c r="Q25" s="42">
        <f t="shared" si="6"/>
        <v>0.96987510249780762</v>
      </c>
      <c r="R25" s="4">
        <v>0</v>
      </c>
      <c r="S25" s="43">
        <f t="shared" si="7"/>
        <v>0</v>
      </c>
      <c r="T25" s="6">
        <v>463375.3000000001</v>
      </c>
      <c r="U25" s="4">
        <v>230001.83000000002</v>
      </c>
      <c r="V25" s="14">
        <v>0</v>
      </c>
      <c r="W25" s="14">
        <v>63</v>
      </c>
      <c r="X25" s="14">
        <v>31</v>
      </c>
      <c r="Y25" s="7">
        <v>7089.6021546831271</v>
      </c>
      <c r="Z25" s="6">
        <v>2000</v>
      </c>
    </row>
    <row r="26" spans="1:26" x14ac:dyDescent="0.25">
      <c r="A26" s="22" t="str">
        <f t="shared" si="0"/>
        <v>GILBERTO REYES GONZALEZ|2</v>
      </c>
      <c r="B26" s="8">
        <v>45138</v>
      </c>
      <c r="C26" s="40" t="str">
        <f t="shared" si="4"/>
        <v>7|2023</v>
      </c>
      <c r="D26" s="2" t="s">
        <v>108</v>
      </c>
      <c r="E26" s="1" t="s">
        <v>13</v>
      </c>
      <c r="F26" s="2">
        <v>31645</v>
      </c>
      <c r="G26" s="22" t="s">
        <v>92</v>
      </c>
      <c r="H26" s="8">
        <v>45063</v>
      </c>
      <c r="I26" s="29">
        <f t="shared" si="1"/>
        <v>75</v>
      </c>
      <c r="J26" s="44">
        <f t="shared" si="5"/>
        <v>2</v>
      </c>
      <c r="K26" s="29" t="str">
        <f>VLOOKUP(I26,Etiquetas!B:C,2)</f>
        <v>&lt; 3 Meses</v>
      </c>
      <c r="L26" s="41">
        <f t="shared" si="2"/>
        <v>2</v>
      </c>
      <c r="M26" s="41">
        <f t="shared" si="3"/>
        <v>2</v>
      </c>
      <c r="N26" s="13">
        <v>1172440.4099999999</v>
      </c>
      <c r="O26" s="13">
        <v>1204512.31</v>
      </c>
      <c r="P26" s="4">
        <v>948591.35000000021</v>
      </c>
      <c r="Q26" s="42">
        <f t="shared" si="6"/>
        <v>0.78753146989423473</v>
      </c>
      <c r="R26" s="4">
        <v>0</v>
      </c>
      <c r="S26" s="43">
        <f t="shared" si="7"/>
        <v>0</v>
      </c>
      <c r="T26" s="6">
        <v>389815.25244999997</v>
      </c>
      <c r="U26" s="4">
        <v>316500.05</v>
      </c>
      <c r="V26" s="14">
        <v>36</v>
      </c>
      <c r="W26" s="14">
        <v>30</v>
      </c>
      <c r="X26" s="14">
        <v>15</v>
      </c>
      <c r="Y26" s="7">
        <v>5193.75</v>
      </c>
      <c r="Z26" s="6">
        <v>2000</v>
      </c>
    </row>
    <row r="27" spans="1:26" x14ac:dyDescent="0.25">
      <c r="A27" s="22" t="str">
        <f t="shared" si="0"/>
        <v>LETICIA MESINAS ACEVEDO|1</v>
      </c>
      <c r="B27" s="8">
        <v>45138</v>
      </c>
      <c r="C27" s="40" t="str">
        <f t="shared" si="4"/>
        <v>7|2023</v>
      </c>
      <c r="D27" s="2" t="s">
        <v>108</v>
      </c>
      <c r="E27" s="1" t="s">
        <v>13</v>
      </c>
      <c r="F27" s="2">
        <v>32305</v>
      </c>
      <c r="G27" s="22" t="s">
        <v>15</v>
      </c>
      <c r="H27" s="8">
        <v>45083</v>
      </c>
      <c r="I27" s="29">
        <f t="shared" si="1"/>
        <v>55</v>
      </c>
      <c r="J27" s="44">
        <f t="shared" si="5"/>
        <v>1</v>
      </c>
      <c r="K27" s="29" t="str">
        <f>VLOOKUP(I27,Etiquetas!B:C,2)</f>
        <v>&lt; 3 Meses</v>
      </c>
      <c r="L27" s="41">
        <f t="shared" si="2"/>
        <v>1</v>
      </c>
      <c r="M27" s="41">
        <f t="shared" si="3"/>
        <v>3</v>
      </c>
      <c r="N27" s="13">
        <v>1419497.61</v>
      </c>
      <c r="O27" s="13">
        <v>1718635.0599999996</v>
      </c>
      <c r="P27" s="4">
        <v>1718635.0599999996</v>
      </c>
      <c r="Q27" s="42">
        <f t="shared" si="6"/>
        <v>1</v>
      </c>
      <c r="R27" s="4">
        <v>0</v>
      </c>
      <c r="S27" s="43">
        <f t="shared" si="7"/>
        <v>0</v>
      </c>
      <c r="T27" s="6">
        <v>339125.13500000001</v>
      </c>
      <c r="U27" s="4">
        <v>738000.73000000033</v>
      </c>
      <c r="V27" s="14">
        <v>26</v>
      </c>
      <c r="W27" s="14">
        <v>72</v>
      </c>
      <c r="X27" s="14">
        <v>44</v>
      </c>
      <c r="Y27" s="7">
        <v>7675</v>
      </c>
      <c r="Z27" s="6">
        <v>14950</v>
      </c>
    </row>
    <row r="28" spans="1:26" x14ac:dyDescent="0.25">
      <c r="A28" s="22" t="str">
        <f t="shared" si="0"/>
        <v>ISABEL MONSERRAT RAZO MENDEZ|25</v>
      </c>
      <c r="B28" s="8">
        <v>45138</v>
      </c>
      <c r="C28" s="40" t="str">
        <f t="shared" si="4"/>
        <v>7|2023</v>
      </c>
      <c r="D28" s="2" t="s">
        <v>108</v>
      </c>
      <c r="E28" s="1" t="s">
        <v>64</v>
      </c>
      <c r="F28" s="2">
        <v>14019</v>
      </c>
      <c r="G28" s="22" t="s">
        <v>65</v>
      </c>
      <c r="H28" s="8">
        <v>44385</v>
      </c>
      <c r="I28" s="29">
        <f t="shared" si="1"/>
        <v>753</v>
      </c>
      <c r="J28" s="44">
        <f t="shared" si="5"/>
        <v>25</v>
      </c>
      <c r="K28" s="29" t="str">
        <f>VLOOKUP(I28,Etiquetas!B:C,2)</f>
        <v>2 a 2.5 años</v>
      </c>
      <c r="L28" s="41">
        <f t="shared" si="2"/>
        <v>25</v>
      </c>
      <c r="M28" s="41">
        <f t="shared" si="3"/>
        <v>29</v>
      </c>
      <c r="N28" s="13">
        <v>1427348.9300000002</v>
      </c>
      <c r="O28" s="13">
        <v>1288885.8300000003</v>
      </c>
      <c r="P28" s="4">
        <v>1191595.7100000002</v>
      </c>
      <c r="Q28" s="42">
        <f t="shared" si="6"/>
        <v>0.92451610706279541</v>
      </c>
      <c r="R28" s="4">
        <v>17514.23</v>
      </c>
      <c r="S28" s="43">
        <f t="shared" si="7"/>
        <v>1.3588658973774268E-2</v>
      </c>
      <c r="T28" s="6">
        <v>695780.39894999994</v>
      </c>
      <c r="U28" s="4">
        <v>262499.90999999997</v>
      </c>
      <c r="V28" s="14">
        <v>17</v>
      </c>
      <c r="W28" s="14">
        <v>52</v>
      </c>
      <c r="X28" s="14">
        <v>18</v>
      </c>
      <c r="Y28" s="7">
        <v>10866.535997988485</v>
      </c>
      <c r="Z28" s="6">
        <v>1724.9999999999998</v>
      </c>
    </row>
    <row r="29" spans="1:26" x14ac:dyDescent="0.25">
      <c r="A29" s="22" t="str">
        <f t="shared" si="0"/>
        <v>MONSERRAT DE LA CRUZ MARTINEZ ALVARADO|8</v>
      </c>
      <c r="B29" s="8">
        <v>45138</v>
      </c>
      <c r="C29" s="40" t="str">
        <f t="shared" si="4"/>
        <v>7|2023</v>
      </c>
      <c r="D29" s="2" t="s">
        <v>108</v>
      </c>
      <c r="E29" s="1" t="s">
        <v>64</v>
      </c>
      <c r="F29" s="2">
        <v>26859</v>
      </c>
      <c r="G29" s="22" t="s">
        <v>66</v>
      </c>
      <c r="H29" s="8">
        <v>44881</v>
      </c>
      <c r="I29" s="29">
        <f t="shared" si="1"/>
        <v>257</v>
      </c>
      <c r="J29" s="44">
        <f t="shared" si="5"/>
        <v>8</v>
      </c>
      <c r="K29" s="29" t="str">
        <f>VLOOKUP(I29,Etiquetas!B:C,2)</f>
        <v>6 a 12 Meses</v>
      </c>
      <c r="L29" s="41">
        <f t="shared" si="2"/>
        <v>8</v>
      </c>
      <c r="M29" s="41">
        <f t="shared" si="3"/>
        <v>12</v>
      </c>
      <c r="N29" s="13">
        <v>744939.28999999992</v>
      </c>
      <c r="O29" s="13">
        <v>1001774.7200000001</v>
      </c>
      <c r="P29" s="4">
        <v>909409.50000000012</v>
      </c>
      <c r="Q29" s="42">
        <f t="shared" si="6"/>
        <v>0.90779841200225142</v>
      </c>
      <c r="R29" s="4">
        <v>10377.32</v>
      </c>
      <c r="S29" s="43">
        <f t="shared" si="7"/>
        <v>1.03589357894757E-2</v>
      </c>
      <c r="T29" s="6">
        <v>663349.07610000006</v>
      </c>
      <c r="U29" s="4">
        <v>450997.4099999998</v>
      </c>
      <c r="V29" s="14">
        <v>77</v>
      </c>
      <c r="W29" s="14">
        <v>72</v>
      </c>
      <c r="X29" s="14">
        <v>26</v>
      </c>
      <c r="Y29" s="7">
        <v>18119.700348583174</v>
      </c>
      <c r="Z29" s="6">
        <v>3225.0000000000009</v>
      </c>
    </row>
    <row r="30" spans="1:26" x14ac:dyDescent="0.25">
      <c r="A30" s="22" t="str">
        <f t="shared" si="0"/>
        <v>JULIAN MARTINEZ CORTES|20</v>
      </c>
      <c r="B30" s="8">
        <v>45138</v>
      </c>
      <c r="C30" s="40" t="str">
        <f t="shared" si="4"/>
        <v>7|2023</v>
      </c>
      <c r="D30" s="2" t="s">
        <v>108</v>
      </c>
      <c r="E30" s="1" t="s">
        <v>46</v>
      </c>
      <c r="F30" s="2">
        <v>17299</v>
      </c>
      <c r="G30" s="22" t="s">
        <v>47</v>
      </c>
      <c r="H30" s="8">
        <v>44510</v>
      </c>
      <c r="I30" s="29">
        <f t="shared" si="1"/>
        <v>628</v>
      </c>
      <c r="J30" s="44">
        <f t="shared" si="5"/>
        <v>20</v>
      </c>
      <c r="K30" s="29" t="str">
        <f>VLOOKUP(I30,Etiquetas!B:C,2)</f>
        <v>1.5 a 2 años</v>
      </c>
      <c r="L30" s="41">
        <f t="shared" si="2"/>
        <v>20</v>
      </c>
      <c r="M30" s="41">
        <f t="shared" si="3"/>
        <v>25</v>
      </c>
      <c r="N30" s="13">
        <v>558548.25</v>
      </c>
      <c r="O30" s="13">
        <v>519926.24999999994</v>
      </c>
      <c r="P30" s="4">
        <v>484941.30999999994</v>
      </c>
      <c r="Q30" s="42">
        <f t="shared" si="6"/>
        <v>0.93271172594190044</v>
      </c>
      <c r="R30" s="4">
        <v>68187.990000000005</v>
      </c>
      <c r="S30" s="43">
        <f t="shared" si="7"/>
        <v>0.13114935050884624</v>
      </c>
      <c r="T30" s="6">
        <v>640164.79429999995</v>
      </c>
      <c r="U30" s="4">
        <v>308999.84000000003</v>
      </c>
      <c r="V30" s="14">
        <v>13</v>
      </c>
      <c r="W30" s="14">
        <v>27</v>
      </c>
      <c r="X30" s="14">
        <v>12</v>
      </c>
      <c r="Y30" s="7">
        <v>10173.493892514265</v>
      </c>
      <c r="Z30" s="6">
        <v>780</v>
      </c>
    </row>
    <row r="31" spans="1:26" x14ac:dyDescent="0.25">
      <c r="A31" s="22" t="str">
        <f t="shared" si="0"/>
        <v>JESSICA MARIN DURON|5</v>
      </c>
      <c r="B31" s="8">
        <v>45138</v>
      </c>
      <c r="C31" s="40" t="str">
        <f t="shared" si="4"/>
        <v>7|2023</v>
      </c>
      <c r="D31" s="2" t="s">
        <v>108</v>
      </c>
      <c r="E31" s="1" t="s">
        <v>46</v>
      </c>
      <c r="F31" s="2">
        <v>29508</v>
      </c>
      <c r="G31" s="22" t="s">
        <v>48</v>
      </c>
      <c r="H31" s="8">
        <v>44987</v>
      </c>
      <c r="I31" s="29">
        <f t="shared" si="1"/>
        <v>151</v>
      </c>
      <c r="J31" s="44">
        <f t="shared" si="5"/>
        <v>5</v>
      </c>
      <c r="K31" s="29" t="str">
        <f>VLOOKUP(I31,Etiquetas!B:C,2)</f>
        <v>3 a 6 Meses</v>
      </c>
      <c r="L31" s="41">
        <f t="shared" si="2"/>
        <v>5</v>
      </c>
      <c r="M31" s="41">
        <f t="shared" si="3"/>
        <v>9</v>
      </c>
      <c r="N31" s="13">
        <v>757906.95</v>
      </c>
      <c r="O31" s="13">
        <v>649191.03000000014</v>
      </c>
      <c r="P31" s="4">
        <v>649191.03000000014</v>
      </c>
      <c r="Q31" s="42">
        <f t="shared" si="6"/>
        <v>1</v>
      </c>
      <c r="R31" s="4">
        <v>0</v>
      </c>
      <c r="S31" s="43">
        <f t="shared" si="7"/>
        <v>0</v>
      </c>
      <c r="T31" s="6">
        <v>462515.02804999996</v>
      </c>
      <c r="U31" s="4">
        <v>137000.01</v>
      </c>
      <c r="V31" s="14">
        <v>8</v>
      </c>
      <c r="W31" s="14">
        <v>19</v>
      </c>
      <c r="X31" s="14">
        <v>10</v>
      </c>
      <c r="Y31" s="7">
        <v>5148.3167274358457</v>
      </c>
      <c r="Z31" s="6">
        <v>1495</v>
      </c>
    </row>
    <row r="32" spans="1:26" x14ac:dyDescent="0.25">
      <c r="A32" s="22" t="str">
        <f t="shared" si="0"/>
        <v>JENIFER QUETZALLI REMOLINO|3</v>
      </c>
      <c r="B32" s="8">
        <v>45138</v>
      </c>
      <c r="C32" s="40" t="str">
        <f t="shared" si="4"/>
        <v>7|2023</v>
      </c>
      <c r="D32" s="2" t="s">
        <v>108</v>
      </c>
      <c r="E32" s="1" t="s">
        <v>22</v>
      </c>
      <c r="F32" s="2">
        <v>31036</v>
      </c>
      <c r="G32" s="22" t="s">
        <v>23</v>
      </c>
      <c r="H32" s="8">
        <v>45040</v>
      </c>
      <c r="I32" s="29">
        <f t="shared" si="1"/>
        <v>98</v>
      </c>
      <c r="J32" s="44">
        <f t="shared" si="5"/>
        <v>3</v>
      </c>
      <c r="K32" s="29" t="str">
        <f>VLOOKUP(I32,Etiquetas!B:C,2)</f>
        <v>3 a 6 Meses</v>
      </c>
      <c r="L32" s="41">
        <f t="shared" si="2"/>
        <v>3</v>
      </c>
      <c r="M32" s="41">
        <f t="shared" si="3"/>
        <v>6</v>
      </c>
      <c r="N32" s="13">
        <v>531961.34</v>
      </c>
      <c r="O32" s="13">
        <v>654948.19000000006</v>
      </c>
      <c r="P32" s="4">
        <v>591654.24</v>
      </c>
      <c r="Q32" s="42">
        <f t="shared" si="6"/>
        <v>0.90336037114630385</v>
      </c>
      <c r="R32" s="4">
        <v>0</v>
      </c>
      <c r="S32" s="43">
        <f t="shared" si="7"/>
        <v>0</v>
      </c>
      <c r="T32" s="6">
        <v>300000</v>
      </c>
      <c r="U32" s="4">
        <v>317000.06000000006</v>
      </c>
      <c r="V32" s="14">
        <v>21</v>
      </c>
      <c r="W32" s="14">
        <v>7</v>
      </c>
      <c r="X32" s="14">
        <v>0</v>
      </c>
      <c r="Y32" s="7">
        <v>4972.3050413548108</v>
      </c>
      <c r="Z32" s="6">
        <v>1275</v>
      </c>
    </row>
    <row r="33" spans="1:26" x14ac:dyDescent="0.25">
      <c r="A33" s="22" t="str">
        <f t="shared" si="0"/>
        <v>BRAULIO GUZMAN JIMENEZ|3</v>
      </c>
      <c r="B33" s="8">
        <v>45138</v>
      </c>
      <c r="C33" s="40" t="str">
        <f t="shared" si="4"/>
        <v>7|2023</v>
      </c>
      <c r="D33" s="2" t="s">
        <v>108</v>
      </c>
      <c r="E33" s="1" t="s">
        <v>22</v>
      </c>
      <c r="F33" s="2">
        <v>31037</v>
      </c>
      <c r="G33" s="22" t="s">
        <v>24</v>
      </c>
      <c r="H33" s="8">
        <v>45040</v>
      </c>
      <c r="I33" s="29">
        <f t="shared" si="1"/>
        <v>98</v>
      </c>
      <c r="J33" s="44">
        <f t="shared" si="5"/>
        <v>3</v>
      </c>
      <c r="K33" s="29" t="str">
        <f>VLOOKUP(I33,Etiquetas!B:C,2)</f>
        <v>3 a 6 Meses</v>
      </c>
      <c r="L33" s="41">
        <f t="shared" si="2"/>
        <v>3</v>
      </c>
      <c r="M33" s="41">
        <f t="shared" si="3"/>
        <v>7</v>
      </c>
      <c r="N33" s="13">
        <v>363074.4</v>
      </c>
      <c r="O33" s="13">
        <v>558836.07999999996</v>
      </c>
      <c r="P33" s="4">
        <v>511765.87</v>
      </c>
      <c r="Q33" s="42">
        <f t="shared" si="6"/>
        <v>0.91577098958964864</v>
      </c>
      <c r="R33" s="4">
        <v>0</v>
      </c>
      <c r="S33" s="43">
        <f t="shared" si="7"/>
        <v>0</v>
      </c>
      <c r="T33" s="6">
        <v>407350.13089999999</v>
      </c>
      <c r="U33" s="4">
        <v>289500.26</v>
      </c>
      <c r="V33" s="14">
        <v>20</v>
      </c>
      <c r="W33" s="14">
        <v>7</v>
      </c>
      <c r="X33" s="14">
        <v>0</v>
      </c>
      <c r="Y33" s="7">
        <v>9189.6112441991881</v>
      </c>
      <c r="Z33" s="6">
        <v>1725.0000000000005</v>
      </c>
    </row>
    <row r="34" spans="1:26" x14ac:dyDescent="0.25">
      <c r="A34" s="22" t="str">
        <f t="shared" si="0"/>
        <v>MARCELO TZITZIHUA TZITZIHUA|10</v>
      </c>
      <c r="B34" s="8">
        <v>45138</v>
      </c>
      <c r="C34" s="40" t="str">
        <f t="shared" si="4"/>
        <v>7|2023</v>
      </c>
      <c r="D34" s="2" t="s">
        <v>108</v>
      </c>
      <c r="E34" s="1" t="s">
        <v>58</v>
      </c>
      <c r="F34" s="2">
        <v>25225</v>
      </c>
      <c r="G34" s="22" t="s">
        <v>59</v>
      </c>
      <c r="H34" s="8">
        <v>44823</v>
      </c>
      <c r="I34" s="29">
        <f t="shared" si="1"/>
        <v>315</v>
      </c>
      <c r="J34" s="44">
        <f t="shared" si="5"/>
        <v>10</v>
      </c>
      <c r="K34" s="29" t="str">
        <f>VLOOKUP(I34,Etiquetas!B:C,2)</f>
        <v>6 a 12 Meses</v>
      </c>
      <c r="L34" s="41">
        <f t="shared" si="2"/>
        <v>10</v>
      </c>
      <c r="M34" s="41">
        <f t="shared" si="3"/>
        <v>14</v>
      </c>
      <c r="N34" s="13">
        <v>1528241.0199999998</v>
      </c>
      <c r="O34" s="13">
        <v>1478613.0799999996</v>
      </c>
      <c r="P34" s="4">
        <v>1289367.2799999998</v>
      </c>
      <c r="Q34" s="42">
        <f t="shared" si="6"/>
        <v>0.87201127694609604</v>
      </c>
      <c r="R34" s="4">
        <v>80326.64</v>
      </c>
      <c r="S34" s="43">
        <f t="shared" si="7"/>
        <v>5.4325665778636303E-2</v>
      </c>
      <c r="T34" s="6">
        <v>906534.20699999994</v>
      </c>
      <c r="U34" s="4">
        <v>496500.05999999982</v>
      </c>
      <c r="V34" s="14">
        <v>28</v>
      </c>
      <c r="W34" s="14">
        <v>69</v>
      </c>
      <c r="X34" s="14">
        <v>35</v>
      </c>
      <c r="Y34" s="7">
        <v>19145.340570760753</v>
      </c>
      <c r="Z34" s="6">
        <v>682.5</v>
      </c>
    </row>
    <row r="35" spans="1:26" x14ac:dyDescent="0.25">
      <c r="A35" s="22" t="str">
        <f t="shared" si="0"/>
        <v>FERNANDO MANUEL VELASCO RIVERA|8</v>
      </c>
      <c r="B35" s="8">
        <v>45138</v>
      </c>
      <c r="C35" s="40" t="str">
        <f t="shared" si="4"/>
        <v>7|2023</v>
      </c>
      <c r="D35" s="2" t="s">
        <v>108</v>
      </c>
      <c r="E35" s="1" t="s">
        <v>58</v>
      </c>
      <c r="F35" s="2">
        <v>27027</v>
      </c>
      <c r="G35" s="22" t="s">
        <v>60</v>
      </c>
      <c r="H35" s="8">
        <v>44887</v>
      </c>
      <c r="I35" s="29">
        <f t="shared" si="1"/>
        <v>251</v>
      </c>
      <c r="J35" s="44">
        <f t="shared" si="5"/>
        <v>8</v>
      </c>
      <c r="K35" s="29" t="str">
        <f>VLOOKUP(I35,Etiquetas!B:C,2)</f>
        <v>6 a 12 Meses</v>
      </c>
      <c r="L35" s="41">
        <f t="shared" si="2"/>
        <v>8</v>
      </c>
      <c r="M35" s="41">
        <f t="shared" si="3"/>
        <v>12</v>
      </c>
      <c r="N35" s="13">
        <v>1585437.7000000002</v>
      </c>
      <c r="O35" s="13">
        <v>1571890.0499999996</v>
      </c>
      <c r="P35" s="4">
        <v>1283339.7099999995</v>
      </c>
      <c r="Q35" s="42">
        <f t="shared" si="6"/>
        <v>0.81643096474845667</v>
      </c>
      <c r="R35" s="4">
        <v>51392.759999999995</v>
      </c>
      <c r="S35" s="43">
        <f t="shared" si="7"/>
        <v>3.2694882189756219E-2</v>
      </c>
      <c r="T35" s="6">
        <v>810450.11990000005</v>
      </c>
      <c r="U35" s="4">
        <v>459501.11999999988</v>
      </c>
      <c r="V35" s="14">
        <v>19</v>
      </c>
      <c r="W35" s="14">
        <v>91</v>
      </c>
      <c r="X35" s="14">
        <v>49</v>
      </c>
      <c r="Y35" s="7">
        <v>16079.240641580183</v>
      </c>
      <c r="Z35" s="6">
        <v>682.5</v>
      </c>
    </row>
    <row r="36" spans="1:26" x14ac:dyDescent="0.25">
      <c r="A36" s="22" t="str">
        <f t="shared" si="0"/>
        <v>ELSA FERNANDEZ REYES|0</v>
      </c>
      <c r="B36" s="8">
        <v>45138</v>
      </c>
      <c r="C36" s="40" t="str">
        <f t="shared" si="4"/>
        <v>7|2023</v>
      </c>
      <c r="D36" s="2" t="s">
        <v>108</v>
      </c>
      <c r="E36" s="1" t="s">
        <v>58</v>
      </c>
      <c r="F36" s="2">
        <v>32999</v>
      </c>
      <c r="G36" s="22" t="s">
        <v>61</v>
      </c>
      <c r="H36" s="8">
        <v>45110</v>
      </c>
      <c r="I36" s="29">
        <f t="shared" si="1"/>
        <v>28</v>
      </c>
      <c r="J36" s="44">
        <f t="shared" si="5"/>
        <v>0</v>
      </c>
      <c r="K36" s="29" t="str">
        <f>VLOOKUP(I36,Etiquetas!B:C,2)</f>
        <v>&lt; 3 Meses</v>
      </c>
      <c r="L36" s="41">
        <f t="shared" si="2"/>
        <v>0</v>
      </c>
      <c r="M36" s="41">
        <f t="shared" si="3"/>
        <v>2</v>
      </c>
      <c r="N36" s="13">
        <v>0</v>
      </c>
      <c r="O36" s="13">
        <v>33288.660000000003</v>
      </c>
      <c r="P36" s="4">
        <v>33288.660000000003</v>
      </c>
      <c r="Q36" s="42">
        <f t="shared" si="6"/>
        <v>1</v>
      </c>
      <c r="R36" s="4">
        <v>0</v>
      </c>
      <c r="S36" s="43">
        <f t="shared" si="7"/>
        <v>0</v>
      </c>
      <c r="T36" s="6"/>
      <c r="U36" s="4">
        <v>35000.03</v>
      </c>
      <c r="V36" s="14">
        <v>20</v>
      </c>
      <c r="W36" s="14">
        <v>0</v>
      </c>
      <c r="X36" s="14">
        <v>0</v>
      </c>
      <c r="Y36" s="7">
        <v>1512.5</v>
      </c>
      <c r="Z36" s="6">
        <v>2000</v>
      </c>
    </row>
    <row r="37" spans="1:26" x14ac:dyDescent="0.25">
      <c r="A37" s="22" t="str">
        <f t="shared" si="0"/>
        <v>OLIVIA LOPEZ HERNANDEZ|6</v>
      </c>
      <c r="B37" s="8">
        <v>45138</v>
      </c>
      <c r="C37" s="40" t="str">
        <f t="shared" si="4"/>
        <v>7|2023</v>
      </c>
      <c r="D37" s="2" t="s">
        <v>108</v>
      </c>
      <c r="E37" s="1" t="s">
        <v>30</v>
      </c>
      <c r="F37" s="2">
        <v>28375</v>
      </c>
      <c r="G37" s="22" t="s">
        <v>31</v>
      </c>
      <c r="H37" s="8">
        <v>44949</v>
      </c>
      <c r="I37" s="29">
        <f t="shared" si="1"/>
        <v>189</v>
      </c>
      <c r="J37" s="44">
        <f t="shared" si="5"/>
        <v>6</v>
      </c>
      <c r="K37" s="29" t="str">
        <f>VLOOKUP(I37,Etiquetas!B:C,2)</f>
        <v>6 a 12 Meses</v>
      </c>
      <c r="L37" s="41">
        <f t="shared" si="2"/>
        <v>6</v>
      </c>
      <c r="M37" s="41">
        <f t="shared" si="3"/>
        <v>9</v>
      </c>
      <c r="N37" s="13">
        <v>779708.25000000012</v>
      </c>
      <c r="O37" s="13">
        <v>720804.60000000009</v>
      </c>
      <c r="P37" s="4">
        <v>683784.70000000007</v>
      </c>
      <c r="Q37" s="42">
        <f t="shared" si="6"/>
        <v>0.94864086605440645</v>
      </c>
      <c r="R37" s="4">
        <v>0</v>
      </c>
      <c r="S37" s="43">
        <f t="shared" si="7"/>
        <v>0</v>
      </c>
      <c r="T37" s="6">
        <v>432014.84855</v>
      </c>
      <c r="U37" s="4">
        <v>204999.65000000008</v>
      </c>
      <c r="V37" s="14">
        <v>7</v>
      </c>
      <c r="W37" s="14">
        <v>25</v>
      </c>
      <c r="X37" s="14">
        <v>18</v>
      </c>
      <c r="Y37" s="7">
        <v>6634.9542477863679</v>
      </c>
      <c r="Z37" s="6">
        <v>1120</v>
      </c>
    </row>
    <row r="38" spans="1:26" x14ac:dyDescent="0.25">
      <c r="A38" s="22" t="str">
        <f t="shared" si="0"/>
        <v>ISAAC VINICIO BACILIO ESPITIA|0</v>
      </c>
      <c r="B38" s="8">
        <v>45138</v>
      </c>
      <c r="C38" s="40" t="str">
        <f t="shared" si="4"/>
        <v>7|2023</v>
      </c>
      <c r="D38" s="2" t="s">
        <v>108</v>
      </c>
      <c r="E38" s="1" t="s">
        <v>30</v>
      </c>
      <c r="F38" s="2">
        <v>33376</v>
      </c>
      <c r="G38" s="22" t="s">
        <v>32</v>
      </c>
      <c r="H38" s="8">
        <v>45124</v>
      </c>
      <c r="I38" s="29">
        <f t="shared" si="1"/>
        <v>14</v>
      </c>
      <c r="J38" s="44">
        <f t="shared" si="5"/>
        <v>0</v>
      </c>
      <c r="K38" s="29" t="str">
        <f>VLOOKUP(I38,Etiquetas!B:C,2)</f>
        <v>&lt; 3 Meses</v>
      </c>
      <c r="L38" s="41">
        <f t="shared" si="2"/>
        <v>0</v>
      </c>
      <c r="M38" s="41">
        <f t="shared" si="3"/>
        <v>2</v>
      </c>
      <c r="N38" s="13">
        <v>299080.36</v>
      </c>
      <c r="O38" s="13">
        <v>303473.75</v>
      </c>
      <c r="P38" s="4">
        <v>303473.75</v>
      </c>
      <c r="Q38" s="42">
        <f t="shared" si="6"/>
        <v>1</v>
      </c>
      <c r="R38" s="4">
        <v>0</v>
      </c>
      <c r="S38" s="43">
        <f t="shared" si="7"/>
        <v>0</v>
      </c>
      <c r="T38" s="6"/>
      <c r="U38" s="4">
        <v>121000.29</v>
      </c>
      <c r="V38" s="14">
        <v>14</v>
      </c>
      <c r="W38" s="14">
        <v>2</v>
      </c>
      <c r="X38" s="14">
        <v>1</v>
      </c>
      <c r="Y38" s="7">
        <v>2812.5</v>
      </c>
      <c r="Z38" s="6">
        <v>2000</v>
      </c>
    </row>
    <row r="39" spans="1:26" x14ac:dyDescent="0.25">
      <c r="A39" s="22" t="str">
        <f t="shared" si="0"/>
        <v>HECTOR CORONEL VENTURA|0</v>
      </c>
      <c r="B39" s="8">
        <v>45138</v>
      </c>
      <c r="C39" s="40" t="str">
        <f t="shared" si="4"/>
        <v>7|2023</v>
      </c>
      <c r="D39" s="2" t="s">
        <v>108</v>
      </c>
      <c r="E39" s="1" t="s">
        <v>30</v>
      </c>
      <c r="F39" s="2">
        <v>33499</v>
      </c>
      <c r="G39" s="22" t="s">
        <v>33</v>
      </c>
      <c r="H39" s="8">
        <v>45128</v>
      </c>
      <c r="I39" s="29">
        <f t="shared" si="1"/>
        <v>10</v>
      </c>
      <c r="J39" s="44">
        <f t="shared" si="5"/>
        <v>0</v>
      </c>
      <c r="K39" s="29" t="str">
        <f>VLOOKUP(I39,Etiquetas!B:C,2)</f>
        <v>&lt; 3 Meses</v>
      </c>
      <c r="L39" s="41">
        <f t="shared" si="2"/>
        <v>0</v>
      </c>
      <c r="M39" s="41">
        <f t="shared" si="3"/>
        <v>4</v>
      </c>
      <c r="N39" s="13">
        <v>240741.16999999998</v>
      </c>
      <c r="O39" s="13">
        <v>533654.06999999995</v>
      </c>
      <c r="P39" s="4">
        <v>533654.06999999995</v>
      </c>
      <c r="Q39" s="42">
        <f t="shared" si="6"/>
        <v>1</v>
      </c>
      <c r="R39" s="4">
        <v>0</v>
      </c>
      <c r="S39" s="43">
        <f t="shared" si="7"/>
        <v>0</v>
      </c>
      <c r="T39" s="6"/>
      <c r="U39" s="4">
        <v>363500.16999999987</v>
      </c>
      <c r="V39" s="14">
        <v>20</v>
      </c>
      <c r="W39" s="14">
        <v>3</v>
      </c>
      <c r="X39" s="14">
        <v>3</v>
      </c>
      <c r="Y39" s="7">
        <v>4250</v>
      </c>
      <c r="Z39" s="6">
        <v>9200</v>
      </c>
    </row>
    <row r="40" spans="1:26" x14ac:dyDescent="0.25">
      <c r="A40" s="22" t="str">
        <f t="shared" si="0"/>
        <v>YADIRA LIZBETH RODRIGUEZ COLLADO|4</v>
      </c>
      <c r="B40" s="3">
        <v>45169</v>
      </c>
      <c r="C40" s="40" t="str">
        <f t="shared" si="4"/>
        <v>8|2023</v>
      </c>
      <c r="D40" s="2" t="s">
        <v>63</v>
      </c>
      <c r="E40" s="2" t="s">
        <v>68</v>
      </c>
      <c r="F40" s="2">
        <v>31096</v>
      </c>
      <c r="G40" s="2" t="s">
        <v>69</v>
      </c>
      <c r="H40" s="3">
        <v>45041</v>
      </c>
      <c r="I40" s="29">
        <f t="shared" si="1"/>
        <v>128</v>
      </c>
      <c r="J40" s="44">
        <f t="shared" si="5"/>
        <v>4</v>
      </c>
      <c r="K40" s="29" t="str">
        <f>VLOOKUP(I40,Etiquetas!B:C,2)</f>
        <v>3 a 6 Meses</v>
      </c>
      <c r="L40" s="41">
        <f t="shared" si="2"/>
        <v>3</v>
      </c>
      <c r="M40" s="41">
        <f t="shared" si="3"/>
        <v>5</v>
      </c>
      <c r="N40" s="5">
        <v>1318217.7500000005</v>
      </c>
      <c r="O40" s="5">
        <v>1240496.8400000001</v>
      </c>
      <c r="P40" s="5">
        <v>1074800.8799999999</v>
      </c>
      <c r="Q40" s="42">
        <f t="shared" si="6"/>
        <v>0.86642774519280497</v>
      </c>
      <c r="R40" s="4">
        <v>0</v>
      </c>
      <c r="S40" s="43">
        <f t="shared" si="7"/>
        <v>0</v>
      </c>
      <c r="T40" s="5">
        <v>759995.45739999996</v>
      </c>
      <c r="U40" s="5">
        <v>299500</v>
      </c>
      <c r="V40" s="2">
        <v>15</v>
      </c>
      <c r="W40" s="2">
        <v>53</v>
      </c>
      <c r="X40" s="2">
        <v>17</v>
      </c>
      <c r="Y40" s="16">
        <v>18420.518201925912</v>
      </c>
      <c r="Z40" s="5">
        <v>2047.5</v>
      </c>
    </row>
    <row r="41" spans="1:26" x14ac:dyDescent="0.25">
      <c r="A41" s="22" t="str">
        <f t="shared" si="0"/>
        <v>MARIBEL RODRIGUEZ CARRIZOZA|17</v>
      </c>
      <c r="B41" s="3">
        <v>45169</v>
      </c>
      <c r="C41" s="40" t="str">
        <f t="shared" si="4"/>
        <v>8|2023</v>
      </c>
      <c r="D41" s="2" t="s">
        <v>109</v>
      </c>
      <c r="E41" s="2" t="s">
        <v>40</v>
      </c>
      <c r="F41" s="2">
        <v>20314</v>
      </c>
      <c r="G41" s="2" t="s">
        <v>41</v>
      </c>
      <c r="H41" s="3">
        <v>44634</v>
      </c>
      <c r="I41" s="29">
        <f t="shared" si="1"/>
        <v>535</v>
      </c>
      <c r="J41" s="44">
        <f t="shared" si="5"/>
        <v>17</v>
      </c>
      <c r="K41" s="29" t="str">
        <f>VLOOKUP(I41,Etiquetas!B:C,2)</f>
        <v>1 a 1.5 años</v>
      </c>
      <c r="L41" s="41">
        <f t="shared" si="2"/>
        <v>16</v>
      </c>
      <c r="M41" s="41">
        <f t="shared" si="3"/>
        <v>20</v>
      </c>
      <c r="N41" s="5">
        <v>1361066.6299999997</v>
      </c>
      <c r="O41" s="5">
        <v>1170570.54</v>
      </c>
      <c r="P41" s="5">
        <v>1072603.6200000001</v>
      </c>
      <c r="Q41" s="42">
        <f t="shared" si="6"/>
        <v>0.91630840120066581</v>
      </c>
      <c r="R41" s="4">
        <v>5252.25</v>
      </c>
      <c r="S41" s="43">
        <f t="shared" si="7"/>
        <v>4.4869145604843255E-3</v>
      </c>
      <c r="T41" s="5">
        <v>553360.48544999992</v>
      </c>
      <c r="U41" s="5">
        <v>200000</v>
      </c>
      <c r="V41" s="2">
        <v>7</v>
      </c>
      <c r="W41" s="2">
        <v>35</v>
      </c>
      <c r="X41" s="2">
        <v>25</v>
      </c>
      <c r="Y41" s="16">
        <v>5733.4064385404126</v>
      </c>
      <c r="Z41" s="5">
        <v>0</v>
      </c>
    </row>
    <row r="42" spans="1:26" x14ac:dyDescent="0.25">
      <c r="A42" s="22" t="str">
        <f t="shared" si="0"/>
        <v>KARINA TERRAZAS OLVERA|17</v>
      </c>
      <c r="B42" s="3">
        <v>45169</v>
      </c>
      <c r="C42" s="40" t="str">
        <f t="shared" si="4"/>
        <v>8|2023</v>
      </c>
      <c r="D42" s="2" t="s">
        <v>109</v>
      </c>
      <c r="E42" s="2" t="s">
        <v>40</v>
      </c>
      <c r="F42" s="2">
        <v>20315</v>
      </c>
      <c r="G42" s="2" t="s">
        <v>42</v>
      </c>
      <c r="H42" s="3">
        <v>44634</v>
      </c>
      <c r="I42" s="29">
        <f t="shared" si="1"/>
        <v>535</v>
      </c>
      <c r="J42" s="44">
        <f t="shared" si="5"/>
        <v>17</v>
      </c>
      <c r="K42" s="29" t="str">
        <f>VLOOKUP(I42,Etiquetas!B:C,2)</f>
        <v>1 a 1.5 años</v>
      </c>
      <c r="L42" s="41">
        <f t="shared" si="2"/>
        <v>16</v>
      </c>
      <c r="M42" s="41">
        <f t="shared" si="3"/>
        <v>20</v>
      </c>
      <c r="N42" s="5">
        <v>880824.51</v>
      </c>
      <c r="O42" s="5">
        <v>905327.28999999992</v>
      </c>
      <c r="P42" s="5">
        <v>858144.94999999984</v>
      </c>
      <c r="Q42" s="42">
        <f t="shared" si="6"/>
        <v>0.9478836653648206</v>
      </c>
      <c r="R42" s="4">
        <v>0</v>
      </c>
      <c r="S42" s="43">
        <f t="shared" si="7"/>
        <v>0</v>
      </c>
      <c r="T42" s="5">
        <v>812555.26260000002</v>
      </c>
      <c r="U42" s="5">
        <v>368000</v>
      </c>
      <c r="V42" s="2">
        <v>13</v>
      </c>
      <c r="W42" s="2">
        <v>46</v>
      </c>
      <c r="X42" s="2">
        <v>30</v>
      </c>
      <c r="Y42" s="16">
        <v>21360.338323273991</v>
      </c>
      <c r="Z42" s="5">
        <v>1137.5</v>
      </c>
    </row>
    <row r="43" spans="1:26" x14ac:dyDescent="0.25">
      <c r="A43" s="22" t="str">
        <f t="shared" si="0"/>
        <v>LIZBETH GUADALUPE MUJICA HERNANDEZ|4</v>
      </c>
      <c r="B43" s="3">
        <v>45169</v>
      </c>
      <c r="C43" s="40" t="str">
        <f t="shared" si="4"/>
        <v>8|2023</v>
      </c>
      <c r="D43" s="2" t="s">
        <v>109</v>
      </c>
      <c r="E43" s="2" t="s">
        <v>40</v>
      </c>
      <c r="F43" s="2">
        <v>30967</v>
      </c>
      <c r="G43" s="2" t="s">
        <v>43</v>
      </c>
      <c r="H43" s="3">
        <v>45036</v>
      </c>
      <c r="I43" s="29">
        <f t="shared" si="1"/>
        <v>133</v>
      </c>
      <c r="J43" s="44">
        <f t="shared" si="5"/>
        <v>4</v>
      </c>
      <c r="K43" s="29" t="str">
        <f>VLOOKUP(I43,Etiquetas!B:C,2)</f>
        <v>3 a 6 Meses</v>
      </c>
      <c r="L43" s="41">
        <f t="shared" si="2"/>
        <v>3</v>
      </c>
      <c r="M43" s="41">
        <f t="shared" si="3"/>
        <v>7</v>
      </c>
      <c r="N43" s="5">
        <v>2266065.0700000008</v>
      </c>
      <c r="O43" s="5">
        <v>2179159.9500000002</v>
      </c>
      <c r="P43" s="5">
        <v>1964774.1300000001</v>
      </c>
      <c r="Q43" s="42">
        <f t="shared" si="6"/>
        <v>0.90161997057627641</v>
      </c>
      <c r="R43" s="4">
        <v>95114.61</v>
      </c>
      <c r="S43" s="43">
        <f t="shared" si="7"/>
        <v>4.3647374301276048E-2</v>
      </c>
      <c r="T43" s="5">
        <v>1167245.2262000004</v>
      </c>
      <c r="U43" s="5">
        <v>829000</v>
      </c>
      <c r="V43" s="2">
        <v>28</v>
      </c>
      <c r="W43" s="2">
        <v>116</v>
      </c>
      <c r="X43" s="2">
        <v>76</v>
      </c>
      <c r="Y43" s="16">
        <v>23097.346140718215</v>
      </c>
      <c r="Z43" s="5">
        <v>1170</v>
      </c>
    </row>
    <row r="44" spans="1:26" x14ac:dyDescent="0.25">
      <c r="A44" s="22" t="str">
        <f t="shared" si="0"/>
        <v>ANDRES DE JESUS PALOMARES PASTRANA|1</v>
      </c>
      <c r="B44" s="3">
        <v>45169</v>
      </c>
      <c r="C44" s="40" t="str">
        <f t="shared" si="4"/>
        <v>8|2023</v>
      </c>
      <c r="D44" s="2" t="s">
        <v>109</v>
      </c>
      <c r="E44" s="2" t="s">
        <v>40</v>
      </c>
      <c r="F44" s="2">
        <v>33543</v>
      </c>
      <c r="G44" s="2" t="s">
        <v>44</v>
      </c>
      <c r="H44" s="3">
        <v>45128</v>
      </c>
      <c r="I44" s="29">
        <f t="shared" si="1"/>
        <v>41</v>
      </c>
      <c r="J44" s="44">
        <f t="shared" si="5"/>
        <v>1</v>
      </c>
      <c r="K44" s="29" t="str">
        <f>VLOOKUP(I44,Etiquetas!B:C,2)</f>
        <v>&lt; 3 Meses</v>
      </c>
      <c r="L44" s="41">
        <f t="shared" si="2"/>
        <v>1</v>
      </c>
      <c r="M44" s="41">
        <f t="shared" si="3"/>
        <v>2</v>
      </c>
      <c r="N44" s="5">
        <v>490340.45999999996</v>
      </c>
      <c r="O44" s="5">
        <v>489022.56</v>
      </c>
      <c r="P44" s="5">
        <v>368645.32</v>
      </c>
      <c r="Q44" s="42">
        <f t="shared" si="6"/>
        <v>0.75384113158296828</v>
      </c>
      <c r="R44" s="4">
        <v>80043.260000000009</v>
      </c>
      <c r="S44" s="43">
        <f t="shared" si="7"/>
        <v>0.16368009688550977</v>
      </c>
      <c r="T44" s="5">
        <v>83331.945889698225</v>
      </c>
      <c r="U44" s="5">
        <v>78500</v>
      </c>
      <c r="V44" s="2">
        <v>17</v>
      </c>
      <c r="W44" s="2">
        <v>10</v>
      </c>
      <c r="X44" s="2">
        <v>3</v>
      </c>
      <c r="Y44" s="16">
        <v>4003.537237996135</v>
      </c>
      <c r="Z44" s="5">
        <v>450</v>
      </c>
    </row>
    <row r="45" spans="1:26" x14ac:dyDescent="0.25">
      <c r="A45" s="22" t="str">
        <f t="shared" si="0"/>
        <v>GUADALUPE CARMONA ANTONIO|0</v>
      </c>
      <c r="B45" s="3">
        <v>45169</v>
      </c>
      <c r="C45" s="40" t="str">
        <f t="shared" si="4"/>
        <v>8|2023</v>
      </c>
      <c r="D45" s="2" t="s">
        <v>109</v>
      </c>
      <c r="E45" s="2" t="s">
        <v>40</v>
      </c>
      <c r="F45" s="2">
        <v>33878</v>
      </c>
      <c r="G45" s="2" t="s">
        <v>45</v>
      </c>
      <c r="H45" s="3">
        <v>45140</v>
      </c>
      <c r="I45" s="29">
        <f t="shared" si="1"/>
        <v>29</v>
      </c>
      <c r="J45" s="44">
        <f t="shared" si="5"/>
        <v>0</v>
      </c>
      <c r="K45" s="29" t="str">
        <f>VLOOKUP(I45,Etiquetas!B:C,2)</f>
        <v>&lt; 3 Meses</v>
      </c>
      <c r="L45" s="41">
        <f t="shared" si="2"/>
        <v>0</v>
      </c>
      <c r="M45" s="41">
        <f t="shared" si="3"/>
        <v>4</v>
      </c>
      <c r="N45" s="5">
        <v>0</v>
      </c>
      <c r="O45" s="5">
        <v>129111.69</v>
      </c>
      <c r="P45" s="5">
        <v>129111.69</v>
      </c>
      <c r="Q45" s="42">
        <f t="shared" si="6"/>
        <v>1</v>
      </c>
      <c r="R45" s="4">
        <v>0</v>
      </c>
      <c r="S45" s="43">
        <f t="shared" si="7"/>
        <v>0</v>
      </c>
      <c r="T45" s="5">
        <v>35000</v>
      </c>
      <c r="U45" s="5">
        <v>136000</v>
      </c>
      <c r="V45" s="2">
        <v>31</v>
      </c>
      <c r="W45" s="2">
        <v>0</v>
      </c>
      <c r="X45" s="2">
        <v>0</v>
      </c>
      <c r="Y45" s="16">
        <v>2162.5</v>
      </c>
      <c r="Z45" s="5">
        <v>3737.5</v>
      </c>
    </row>
    <row r="46" spans="1:26" x14ac:dyDescent="0.25">
      <c r="A46" s="22" t="str">
        <f t="shared" si="0"/>
        <v>MARISELA HERNANDEZ MORINCHEL|11</v>
      </c>
      <c r="B46" s="3">
        <v>45169</v>
      </c>
      <c r="C46" s="40" t="str">
        <f t="shared" si="4"/>
        <v>8|2023</v>
      </c>
      <c r="D46" s="2" t="s">
        <v>109</v>
      </c>
      <c r="E46" s="2" t="s">
        <v>17</v>
      </c>
      <c r="F46" s="2">
        <v>25237</v>
      </c>
      <c r="G46" s="2" t="s">
        <v>18</v>
      </c>
      <c r="H46" s="3">
        <v>44824</v>
      </c>
      <c r="I46" s="29">
        <f t="shared" si="1"/>
        <v>345</v>
      </c>
      <c r="J46" s="44">
        <f t="shared" si="5"/>
        <v>11</v>
      </c>
      <c r="K46" s="29" t="str">
        <f>VLOOKUP(I46,Etiquetas!B:C,2)</f>
        <v>6 a 12 Meses</v>
      </c>
      <c r="L46" s="41">
        <f t="shared" si="2"/>
        <v>10</v>
      </c>
      <c r="M46" s="41">
        <f t="shared" si="3"/>
        <v>12</v>
      </c>
      <c r="N46" s="5">
        <v>1655077.1099999999</v>
      </c>
      <c r="O46" s="5">
        <v>1674124.0600000005</v>
      </c>
      <c r="P46" s="5">
        <v>1556997.0600000005</v>
      </c>
      <c r="Q46" s="42">
        <f t="shared" si="6"/>
        <v>0.93003684565646827</v>
      </c>
      <c r="R46" s="4">
        <v>9077.59</v>
      </c>
      <c r="S46" s="43">
        <f t="shared" si="7"/>
        <v>5.4222923001297748E-3</v>
      </c>
      <c r="T46" s="5">
        <v>1202865.1926499999</v>
      </c>
      <c r="U46" s="5">
        <v>904000</v>
      </c>
      <c r="V46" s="2">
        <v>19</v>
      </c>
      <c r="W46" s="2">
        <v>86</v>
      </c>
      <c r="X46" s="2">
        <v>34</v>
      </c>
      <c r="Y46" s="16">
        <v>21865.840262943762</v>
      </c>
      <c r="Z46" s="5">
        <v>1560</v>
      </c>
    </row>
    <row r="47" spans="1:26" x14ac:dyDescent="0.25">
      <c r="A47" s="22" t="str">
        <f t="shared" si="0"/>
        <v>BRENDA DANIELA RODRIGUEZ REYES|7</v>
      </c>
      <c r="B47" s="3">
        <v>45169</v>
      </c>
      <c r="C47" s="40" t="str">
        <f t="shared" si="4"/>
        <v>8|2023</v>
      </c>
      <c r="D47" s="2" t="s">
        <v>109</v>
      </c>
      <c r="E47" s="2" t="s">
        <v>17</v>
      </c>
      <c r="F47" s="2">
        <v>28239</v>
      </c>
      <c r="G47" s="2" t="s">
        <v>19</v>
      </c>
      <c r="H47" s="3">
        <v>44943</v>
      </c>
      <c r="I47" s="29">
        <f t="shared" si="1"/>
        <v>226</v>
      </c>
      <c r="J47" s="44">
        <f t="shared" si="5"/>
        <v>7</v>
      </c>
      <c r="K47" s="29" t="str">
        <f>VLOOKUP(I47,Etiquetas!B:C,2)</f>
        <v>6 a 12 Meses</v>
      </c>
      <c r="L47" s="41">
        <f t="shared" si="2"/>
        <v>6</v>
      </c>
      <c r="M47" s="41">
        <f t="shared" si="3"/>
        <v>10</v>
      </c>
      <c r="N47" s="5">
        <v>418787.11</v>
      </c>
      <c r="O47" s="5">
        <v>396423.34000000008</v>
      </c>
      <c r="P47" s="5">
        <v>382007.62000000005</v>
      </c>
      <c r="Q47" s="42">
        <f t="shared" si="6"/>
        <v>0.96363554174181565</v>
      </c>
      <c r="R47" s="4">
        <v>0</v>
      </c>
      <c r="S47" s="43">
        <f t="shared" si="7"/>
        <v>0</v>
      </c>
      <c r="T47" s="5">
        <v>330644.63535</v>
      </c>
      <c r="U47" s="5">
        <v>139000</v>
      </c>
      <c r="V47" s="2">
        <v>9</v>
      </c>
      <c r="W47" s="2">
        <v>28</v>
      </c>
      <c r="X47" s="2">
        <v>6</v>
      </c>
      <c r="Y47" s="16">
        <v>5465.5790361783065</v>
      </c>
      <c r="Z47" s="5">
        <v>877.5</v>
      </c>
    </row>
    <row r="48" spans="1:26" x14ac:dyDescent="0.25">
      <c r="A48" s="22" t="str">
        <f t="shared" si="0"/>
        <v>ARIAN AGUILAR PLATA|6</v>
      </c>
      <c r="B48" s="3">
        <v>45169</v>
      </c>
      <c r="C48" s="40" t="str">
        <f t="shared" si="4"/>
        <v>8|2023</v>
      </c>
      <c r="D48" s="2" t="s">
        <v>109</v>
      </c>
      <c r="E48" s="2" t="s">
        <v>17</v>
      </c>
      <c r="F48" s="2">
        <v>28894</v>
      </c>
      <c r="G48" s="2" t="s">
        <v>20</v>
      </c>
      <c r="H48" s="3">
        <v>44966</v>
      </c>
      <c r="I48" s="29">
        <f t="shared" si="1"/>
        <v>203</v>
      </c>
      <c r="J48" s="44">
        <f t="shared" si="5"/>
        <v>6</v>
      </c>
      <c r="K48" s="29" t="str">
        <f>VLOOKUP(I48,Etiquetas!B:C,2)</f>
        <v>6 a 12 Meses</v>
      </c>
      <c r="L48" s="41">
        <f t="shared" si="2"/>
        <v>5</v>
      </c>
      <c r="M48" s="41">
        <f t="shared" si="3"/>
        <v>7</v>
      </c>
      <c r="N48" s="5">
        <v>716322.08000000007</v>
      </c>
      <c r="O48" s="5">
        <v>694011.52</v>
      </c>
      <c r="P48" s="5">
        <v>666537.59000000008</v>
      </c>
      <c r="Q48" s="42">
        <f t="shared" si="6"/>
        <v>0.96041286173462947</v>
      </c>
      <c r="R48" s="4">
        <v>0</v>
      </c>
      <c r="S48" s="43">
        <f t="shared" si="7"/>
        <v>0</v>
      </c>
      <c r="T48" s="5">
        <v>396594.99804999999</v>
      </c>
      <c r="U48" s="5">
        <v>232000</v>
      </c>
      <c r="V48" s="2">
        <v>4</v>
      </c>
      <c r="W48" s="2">
        <v>38</v>
      </c>
      <c r="X48" s="2">
        <v>24</v>
      </c>
      <c r="Y48" s="16">
        <v>4449.5758542826206</v>
      </c>
      <c r="Z48" s="5">
        <v>3870</v>
      </c>
    </row>
    <row r="49" spans="1:26" x14ac:dyDescent="0.25">
      <c r="A49" s="22" t="str">
        <f t="shared" si="0"/>
        <v>MARIA ANGELICA VILLA MARTINEZ|0</v>
      </c>
      <c r="B49" s="3">
        <v>45169</v>
      </c>
      <c r="C49" s="40" t="str">
        <f t="shared" si="4"/>
        <v>8|2023</v>
      </c>
      <c r="D49" s="2" t="s">
        <v>109</v>
      </c>
      <c r="E49" s="2" t="s">
        <v>17</v>
      </c>
      <c r="F49" s="2">
        <v>33995</v>
      </c>
      <c r="G49" s="2" t="s">
        <v>21</v>
      </c>
      <c r="H49" s="3">
        <v>45146</v>
      </c>
      <c r="I49" s="29">
        <f t="shared" si="1"/>
        <v>23</v>
      </c>
      <c r="J49" s="44">
        <f t="shared" si="5"/>
        <v>0</v>
      </c>
      <c r="K49" s="29" t="str">
        <f>VLOOKUP(I49,Etiquetas!B:C,2)</f>
        <v>&lt; 3 Meses</v>
      </c>
      <c r="L49" s="41">
        <f t="shared" si="2"/>
        <v>0</v>
      </c>
      <c r="M49" s="41">
        <f t="shared" si="3"/>
        <v>1</v>
      </c>
      <c r="N49" s="5">
        <v>0</v>
      </c>
      <c r="O49" s="5">
        <v>99999.8</v>
      </c>
      <c r="P49" s="5">
        <v>99999.8</v>
      </c>
      <c r="Q49" s="42">
        <f t="shared" si="6"/>
        <v>1</v>
      </c>
      <c r="R49" s="4">
        <v>0</v>
      </c>
      <c r="S49" s="43">
        <f t="shared" si="7"/>
        <v>0</v>
      </c>
      <c r="T49" s="5">
        <v>35000</v>
      </c>
      <c r="U49" s="5">
        <v>100000</v>
      </c>
      <c r="V49" s="2">
        <v>17</v>
      </c>
      <c r="W49" s="2">
        <v>0</v>
      </c>
      <c r="X49" s="2">
        <v>0</v>
      </c>
      <c r="Y49" s="16">
        <v>2162.5</v>
      </c>
      <c r="Z49" s="5">
        <v>2875</v>
      </c>
    </row>
    <row r="50" spans="1:26" x14ac:dyDescent="0.25">
      <c r="A50" s="22" t="str">
        <f t="shared" si="0"/>
        <v>LAURA LORENA PEREZ MENDOZA|3</v>
      </c>
      <c r="B50" s="3">
        <v>45169</v>
      </c>
      <c r="C50" s="40" t="str">
        <f t="shared" si="4"/>
        <v>8|2023</v>
      </c>
      <c r="D50" s="2" t="s">
        <v>109</v>
      </c>
      <c r="E50" s="2" t="s">
        <v>49</v>
      </c>
      <c r="F50" s="2">
        <v>31346</v>
      </c>
      <c r="G50" s="22" t="s">
        <v>93</v>
      </c>
      <c r="H50" s="3">
        <v>45054</v>
      </c>
      <c r="I50" s="29">
        <f t="shared" si="1"/>
        <v>115</v>
      </c>
      <c r="J50" s="44">
        <f t="shared" si="5"/>
        <v>3</v>
      </c>
      <c r="K50" s="29" t="str">
        <f>VLOOKUP(I50,Etiquetas!B:C,2)</f>
        <v>3 a 6 Meses</v>
      </c>
      <c r="L50" s="41">
        <f t="shared" si="2"/>
        <v>2</v>
      </c>
      <c r="M50" s="41">
        <f t="shared" si="3"/>
        <v>6</v>
      </c>
      <c r="N50" s="5">
        <v>599270.66</v>
      </c>
      <c r="O50" s="5">
        <v>744844.04999999981</v>
      </c>
      <c r="P50" s="5">
        <v>735195.21</v>
      </c>
      <c r="Q50" s="42">
        <f t="shared" si="6"/>
        <v>0.98704582523012718</v>
      </c>
      <c r="R50" s="4">
        <v>0</v>
      </c>
      <c r="S50" s="43">
        <f t="shared" si="7"/>
        <v>0</v>
      </c>
      <c r="T50" s="5">
        <v>364554.4203</v>
      </c>
      <c r="U50" s="5">
        <v>479500</v>
      </c>
      <c r="V50" s="2">
        <v>28</v>
      </c>
      <c r="W50" s="2">
        <v>7</v>
      </c>
      <c r="X50" s="2">
        <v>0</v>
      </c>
      <c r="Y50" s="16">
        <v>4786.8812938865094</v>
      </c>
      <c r="Z50" s="5">
        <v>12650</v>
      </c>
    </row>
    <row r="51" spans="1:26" x14ac:dyDescent="0.25">
      <c r="A51" s="22" t="str">
        <f t="shared" si="0"/>
        <v>RODOLFO ALBERTO SORIANO MEJIA|0</v>
      </c>
      <c r="B51" s="3">
        <v>45169</v>
      </c>
      <c r="C51" s="40" t="str">
        <f t="shared" si="4"/>
        <v>8|2023</v>
      </c>
      <c r="D51" s="2" t="s">
        <v>109</v>
      </c>
      <c r="E51" s="2" t="s">
        <v>49</v>
      </c>
      <c r="F51" s="2">
        <v>33877</v>
      </c>
      <c r="G51" s="2" t="s">
        <v>50</v>
      </c>
      <c r="H51" s="3">
        <v>45140</v>
      </c>
      <c r="I51" s="29">
        <f t="shared" si="1"/>
        <v>29</v>
      </c>
      <c r="J51" s="44">
        <f t="shared" si="5"/>
        <v>0</v>
      </c>
      <c r="K51" s="29" t="str">
        <f>VLOOKUP(I51,Etiquetas!B:C,2)</f>
        <v>&lt; 3 Meses</v>
      </c>
      <c r="L51" s="41">
        <f t="shared" si="2"/>
        <v>0</v>
      </c>
      <c r="M51" s="41">
        <f t="shared" si="3"/>
        <v>1</v>
      </c>
      <c r="N51" s="5">
        <v>137646.94</v>
      </c>
      <c r="O51" s="5">
        <v>393589.62999999995</v>
      </c>
      <c r="P51" s="5">
        <v>392966.62999999995</v>
      </c>
      <c r="Q51" s="42">
        <f t="shared" si="6"/>
        <v>0.99841713309367419</v>
      </c>
      <c r="R51" s="4">
        <v>0</v>
      </c>
      <c r="S51" s="43">
        <f t="shared" si="7"/>
        <v>0</v>
      </c>
      <c r="T51" s="5">
        <v>35000</v>
      </c>
      <c r="U51" s="5">
        <v>112000</v>
      </c>
      <c r="V51" s="2">
        <v>19</v>
      </c>
      <c r="W51" s="2">
        <v>0</v>
      </c>
      <c r="X51" s="2">
        <v>0</v>
      </c>
      <c r="Y51" s="16">
        <v>2812.5</v>
      </c>
      <c r="Z51" s="5">
        <v>2587.5</v>
      </c>
    </row>
    <row r="52" spans="1:26" x14ac:dyDescent="0.25">
      <c r="A52" s="22" t="str">
        <f t="shared" si="0"/>
        <v>JONNY ROMAN GARCIA VALENTINO|43</v>
      </c>
      <c r="B52" s="3">
        <v>45169</v>
      </c>
      <c r="C52" s="40" t="str">
        <f t="shared" si="4"/>
        <v>8|2023</v>
      </c>
      <c r="D52" s="2" t="s">
        <v>109</v>
      </c>
      <c r="E52" s="2" t="s">
        <v>51</v>
      </c>
      <c r="F52" s="2">
        <v>34012</v>
      </c>
      <c r="G52" s="2" t="s">
        <v>53</v>
      </c>
      <c r="H52" s="3">
        <v>43850</v>
      </c>
      <c r="I52" s="29">
        <f t="shared" si="1"/>
        <v>1319</v>
      </c>
      <c r="J52" s="44">
        <f t="shared" si="5"/>
        <v>43</v>
      </c>
      <c r="K52" s="29" t="str">
        <f>VLOOKUP(I52,Etiquetas!B:C,2)</f>
        <v>Mas de 3 años</v>
      </c>
      <c r="L52" s="41">
        <f t="shared" si="2"/>
        <v>42</v>
      </c>
      <c r="M52" s="41">
        <f t="shared" si="3"/>
        <v>47</v>
      </c>
      <c r="N52" s="5">
        <v>456446.52</v>
      </c>
      <c r="O52" s="5">
        <v>858428.65999999992</v>
      </c>
      <c r="P52" s="5">
        <v>858428.65999999992</v>
      </c>
      <c r="Q52" s="42">
        <f t="shared" si="6"/>
        <v>1</v>
      </c>
      <c r="R52" s="4">
        <v>6954.86</v>
      </c>
      <c r="S52" s="43">
        <f t="shared" si="7"/>
        <v>8.1018497215598565E-3</v>
      </c>
      <c r="T52" s="5">
        <v>448125.34499999997</v>
      </c>
      <c r="U52" s="5">
        <v>278000</v>
      </c>
      <c r="V52" s="2">
        <v>7</v>
      </c>
      <c r="W52" s="2">
        <v>0</v>
      </c>
      <c r="X52" s="2">
        <v>0</v>
      </c>
      <c r="Y52" s="16">
        <v>12723.870548977318</v>
      </c>
      <c r="Z52" s="5">
        <v>2587.5</v>
      </c>
    </row>
    <row r="53" spans="1:26" x14ac:dyDescent="0.25">
      <c r="A53" s="22" t="str">
        <f t="shared" si="0"/>
        <v>NADINE GUADALUPE URIBE SANTIAGO|7</v>
      </c>
      <c r="B53" s="3">
        <v>45169</v>
      </c>
      <c r="C53" s="40" t="str">
        <f t="shared" si="4"/>
        <v>8|2023</v>
      </c>
      <c r="D53" s="2" t="s">
        <v>109</v>
      </c>
      <c r="E53" s="2" t="s">
        <v>51</v>
      </c>
      <c r="F53" s="2">
        <v>33385</v>
      </c>
      <c r="G53" s="2" t="s">
        <v>52</v>
      </c>
      <c r="H53" s="3">
        <v>44958</v>
      </c>
      <c r="I53" s="29">
        <f t="shared" si="1"/>
        <v>211</v>
      </c>
      <c r="J53" s="44">
        <f t="shared" si="5"/>
        <v>7</v>
      </c>
      <c r="K53" s="29" t="str">
        <f>VLOOKUP(I53,Etiquetas!B:C,2)</f>
        <v>6 a 12 Meses</v>
      </c>
      <c r="L53" s="41">
        <f t="shared" si="2"/>
        <v>6</v>
      </c>
      <c r="M53" s="41">
        <f t="shared" si="3"/>
        <v>10</v>
      </c>
      <c r="N53" s="5">
        <v>1325230.6099999999</v>
      </c>
      <c r="O53" s="5">
        <v>1958828.22</v>
      </c>
      <c r="P53" s="5">
        <v>1643269.88</v>
      </c>
      <c r="Q53" s="42">
        <f t="shared" si="6"/>
        <v>0.83890453650907681</v>
      </c>
      <c r="R53" s="4">
        <v>30049.29</v>
      </c>
      <c r="S53" s="43">
        <f t="shared" si="7"/>
        <v>1.5340441644239739E-2</v>
      </c>
      <c r="T53" s="5">
        <v>611375.28450000007</v>
      </c>
      <c r="U53" s="5">
        <v>916000</v>
      </c>
      <c r="V53" s="2">
        <v>7</v>
      </c>
      <c r="W53" s="2">
        <v>41</v>
      </c>
      <c r="X53" s="2">
        <v>32</v>
      </c>
      <c r="Y53" s="16">
        <v>11324.513973367517</v>
      </c>
      <c r="Z53" s="5">
        <v>5850</v>
      </c>
    </row>
    <row r="54" spans="1:26" x14ac:dyDescent="0.25">
      <c r="A54" s="22" t="str">
        <f t="shared" si="0"/>
        <v>JONNY ROMAN GARCIA VALENTINO|43</v>
      </c>
      <c r="B54" s="3">
        <v>45169</v>
      </c>
      <c r="C54" s="40" t="str">
        <f t="shared" si="4"/>
        <v>8|2023</v>
      </c>
      <c r="D54" s="2" t="s">
        <v>109</v>
      </c>
      <c r="E54" s="2" t="s">
        <v>54</v>
      </c>
      <c r="F54" s="2">
        <v>26898</v>
      </c>
      <c r="G54" s="2" t="s">
        <v>53</v>
      </c>
      <c r="H54" s="3">
        <v>43850</v>
      </c>
      <c r="I54" s="29">
        <f t="shared" si="1"/>
        <v>1319</v>
      </c>
      <c r="J54" s="44">
        <f t="shared" si="5"/>
        <v>43</v>
      </c>
      <c r="K54" s="29" t="str">
        <f>VLOOKUP(I54,Etiquetas!B:C,2)</f>
        <v>Mas de 3 años</v>
      </c>
      <c r="L54" s="41">
        <f t="shared" si="2"/>
        <v>42</v>
      </c>
      <c r="M54" s="41">
        <f t="shared" si="3"/>
        <v>47</v>
      </c>
      <c r="N54" s="5">
        <v>39160.020000000004</v>
      </c>
      <c r="O54" s="5">
        <v>5443.83</v>
      </c>
      <c r="P54" s="5">
        <v>0</v>
      </c>
      <c r="Q54" s="42">
        <f t="shared" si="6"/>
        <v>0</v>
      </c>
      <c r="R54" s="4">
        <v>2161.9699999999998</v>
      </c>
      <c r="S54" s="43">
        <f t="shared" si="7"/>
        <v>0.39714135085041224</v>
      </c>
      <c r="T54" s="5">
        <v>448125.34499999997</v>
      </c>
      <c r="U54" s="5">
        <v>97000</v>
      </c>
      <c r="V54" s="2">
        <v>2</v>
      </c>
      <c r="W54" s="2">
        <v>33</v>
      </c>
      <c r="X54" s="2">
        <v>12</v>
      </c>
      <c r="Y54" s="16">
        <v>6965.9136993182128</v>
      </c>
      <c r="Z54" s="5">
        <v>57.5</v>
      </c>
    </row>
    <row r="55" spans="1:26" x14ac:dyDescent="0.25">
      <c r="A55" s="22" t="str">
        <f t="shared" si="0"/>
        <v>DENISSE FUENTES CASTRO|11</v>
      </c>
      <c r="B55" s="3">
        <v>45169</v>
      </c>
      <c r="C55" s="40" t="str">
        <f t="shared" si="4"/>
        <v>8|2023</v>
      </c>
      <c r="D55" s="2" t="s">
        <v>109</v>
      </c>
      <c r="E55" s="2" t="s">
        <v>54</v>
      </c>
      <c r="F55" s="2">
        <v>25227</v>
      </c>
      <c r="G55" s="2" t="s">
        <v>55</v>
      </c>
      <c r="H55" s="3">
        <v>44823</v>
      </c>
      <c r="I55" s="29">
        <f t="shared" si="1"/>
        <v>346</v>
      </c>
      <c r="J55" s="44">
        <f t="shared" si="5"/>
        <v>11</v>
      </c>
      <c r="K55" s="29" t="str">
        <f>VLOOKUP(I55,Etiquetas!B:C,2)</f>
        <v>6 a 12 Meses</v>
      </c>
      <c r="L55" s="41">
        <f t="shared" si="2"/>
        <v>1</v>
      </c>
      <c r="M55" s="41">
        <f t="shared" si="3"/>
        <v>14</v>
      </c>
      <c r="N55" s="5">
        <v>1419167.22</v>
      </c>
      <c r="O55" s="5">
        <v>1599896.2999999998</v>
      </c>
      <c r="P55" s="5">
        <v>1447571.69</v>
      </c>
      <c r="Q55" s="42">
        <f t="shared" si="6"/>
        <v>0.90479094801331816</v>
      </c>
      <c r="R55" s="4">
        <v>170549.7</v>
      </c>
      <c r="S55" s="43">
        <f t="shared" si="7"/>
        <v>0.1066004715430619</v>
      </c>
      <c r="T55" s="5">
        <v>991470.08415000001</v>
      </c>
      <c r="U55" s="5">
        <v>898000</v>
      </c>
      <c r="V55" s="2">
        <v>60</v>
      </c>
      <c r="W55" s="2">
        <v>57</v>
      </c>
      <c r="X55" s="2">
        <v>36</v>
      </c>
      <c r="Y55" s="16">
        <v>18786.890770494392</v>
      </c>
      <c r="Z55" s="5">
        <v>6607.5000000000018</v>
      </c>
    </row>
    <row r="56" spans="1:26" x14ac:dyDescent="0.25">
      <c r="A56" s="22" t="str">
        <f t="shared" si="0"/>
        <v>NELLYE SAAVEDRA SALVADOR|5</v>
      </c>
      <c r="B56" s="3">
        <v>45169</v>
      </c>
      <c r="C56" s="40" t="str">
        <f t="shared" si="4"/>
        <v>8|2023</v>
      </c>
      <c r="D56" s="2" t="s">
        <v>109</v>
      </c>
      <c r="E56" s="2" t="s">
        <v>54</v>
      </c>
      <c r="F56" s="2">
        <v>30049</v>
      </c>
      <c r="G56" s="2" t="s">
        <v>56</v>
      </c>
      <c r="H56" s="3">
        <v>45006</v>
      </c>
      <c r="I56" s="29">
        <f t="shared" si="1"/>
        <v>163</v>
      </c>
      <c r="J56" s="44">
        <f t="shared" si="5"/>
        <v>5</v>
      </c>
      <c r="K56" s="29" t="str">
        <f>VLOOKUP(I56,Etiquetas!B:C,2)</f>
        <v>3 a 6 Meses</v>
      </c>
      <c r="L56" s="41">
        <f t="shared" si="2"/>
        <v>4</v>
      </c>
      <c r="M56" s="41">
        <f t="shared" si="3"/>
        <v>8</v>
      </c>
      <c r="N56" s="5">
        <v>687403.42999999982</v>
      </c>
      <c r="O56" s="5">
        <v>527589.53</v>
      </c>
      <c r="P56" s="5">
        <v>527589.53</v>
      </c>
      <c r="Q56" s="42">
        <f t="shared" si="6"/>
        <v>1</v>
      </c>
      <c r="R56" s="4">
        <v>0</v>
      </c>
      <c r="S56" s="43">
        <f t="shared" si="7"/>
        <v>0</v>
      </c>
      <c r="T56" s="5">
        <v>332879.94390000007</v>
      </c>
      <c r="U56" s="5">
        <v>59000</v>
      </c>
      <c r="V56" s="2">
        <v>13</v>
      </c>
      <c r="W56" s="2">
        <v>21</v>
      </c>
      <c r="X56" s="2">
        <v>20</v>
      </c>
      <c r="Y56" s="16">
        <v>5433.1999755910165</v>
      </c>
      <c r="Z56" s="5">
        <v>2645</v>
      </c>
    </row>
    <row r="57" spans="1:26" x14ac:dyDescent="0.25">
      <c r="A57" s="22" t="str">
        <f t="shared" si="0"/>
        <v>JORGE ALBERTO CONTRERAS SEGUNDO|0</v>
      </c>
      <c r="B57" s="3">
        <v>45169</v>
      </c>
      <c r="C57" s="40" t="str">
        <f t="shared" si="4"/>
        <v>8|2023</v>
      </c>
      <c r="D57" s="2" t="s">
        <v>109</v>
      </c>
      <c r="E57" s="2" t="s">
        <v>54</v>
      </c>
      <c r="F57" s="2">
        <v>34226</v>
      </c>
      <c r="G57" s="2" t="s">
        <v>57</v>
      </c>
      <c r="H57" s="3">
        <v>45154</v>
      </c>
      <c r="I57" s="29">
        <f t="shared" si="1"/>
        <v>15</v>
      </c>
      <c r="J57" s="44">
        <f t="shared" si="5"/>
        <v>0</v>
      </c>
      <c r="K57" s="29" t="str">
        <f>VLOOKUP(I57,Etiquetas!B:C,2)</f>
        <v>&lt; 3 Meses</v>
      </c>
      <c r="L57" s="41">
        <f t="shared" si="2"/>
        <v>0</v>
      </c>
      <c r="M57" s="41">
        <f t="shared" si="3"/>
        <v>3</v>
      </c>
      <c r="N57" s="5">
        <v>575891.45000000007</v>
      </c>
      <c r="O57" s="5">
        <v>540791.86</v>
      </c>
      <c r="P57" s="5">
        <v>540791.86</v>
      </c>
      <c r="Q57" s="42">
        <f t="shared" si="6"/>
        <v>1</v>
      </c>
      <c r="R57" s="4">
        <v>0</v>
      </c>
      <c r="S57" s="43">
        <f t="shared" si="7"/>
        <v>0</v>
      </c>
      <c r="T57" s="5">
        <v>35000</v>
      </c>
      <c r="U57" s="5">
        <v>24000</v>
      </c>
      <c r="V57" s="2">
        <v>0</v>
      </c>
      <c r="W57" s="2">
        <v>4</v>
      </c>
      <c r="X57" s="2">
        <v>1</v>
      </c>
      <c r="Y57" s="16">
        <v>3462.5</v>
      </c>
      <c r="Z57" s="5">
        <v>2300</v>
      </c>
    </row>
    <row r="58" spans="1:26" x14ac:dyDescent="0.25">
      <c r="A58" s="22" t="str">
        <f t="shared" si="0"/>
        <v>MARIA IVONNE CRUZ TRUJANO|16</v>
      </c>
      <c r="B58" s="3">
        <v>45169</v>
      </c>
      <c r="C58" s="40" t="str">
        <f t="shared" si="4"/>
        <v>8|2023</v>
      </c>
      <c r="D58" s="2" t="s">
        <v>109</v>
      </c>
      <c r="E58" s="2" t="s">
        <v>25</v>
      </c>
      <c r="F58" s="2">
        <v>21057</v>
      </c>
      <c r="G58" s="2" t="s">
        <v>26</v>
      </c>
      <c r="H58" s="3">
        <v>44676</v>
      </c>
      <c r="I58" s="29">
        <f t="shared" si="1"/>
        <v>493</v>
      </c>
      <c r="J58" s="44">
        <f t="shared" si="5"/>
        <v>16</v>
      </c>
      <c r="K58" s="29" t="str">
        <f>VLOOKUP(I58,Etiquetas!B:C,2)</f>
        <v>1 a 1.5 años</v>
      </c>
      <c r="L58" s="41">
        <f t="shared" si="2"/>
        <v>15</v>
      </c>
      <c r="M58" s="41">
        <f t="shared" si="3"/>
        <v>16</v>
      </c>
      <c r="N58" s="5">
        <v>500875.08999999997</v>
      </c>
      <c r="O58" s="5">
        <v>1300046.5</v>
      </c>
      <c r="P58" s="5">
        <v>1142769.22</v>
      </c>
      <c r="Q58" s="42">
        <f t="shared" si="6"/>
        <v>0.87902180422007981</v>
      </c>
      <c r="R58" s="4">
        <v>0</v>
      </c>
      <c r="S58" s="43">
        <f t="shared" si="7"/>
        <v>0</v>
      </c>
      <c r="T58" s="5">
        <v>638894.89140000008</v>
      </c>
      <c r="U58" s="5">
        <v>352500</v>
      </c>
      <c r="V58" s="2">
        <v>6</v>
      </c>
      <c r="W58" s="2">
        <v>66</v>
      </c>
      <c r="X58" s="2">
        <v>42</v>
      </c>
      <c r="Y58" s="16">
        <v>4774.0753335679574</v>
      </c>
      <c r="Z58" s="5">
        <v>195</v>
      </c>
    </row>
    <row r="59" spans="1:26" x14ac:dyDescent="0.25">
      <c r="A59" s="22" t="str">
        <f t="shared" si="0"/>
        <v>ROBERTO MERAZ GUTIERREZ|4</v>
      </c>
      <c r="B59" s="3">
        <v>45169</v>
      </c>
      <c r="C59" s="40" t="str">
        <f t="shared" si="4"/>
        <v>8|2023</v>
      </c>
      <c r="D59" s="2" t="s">
        <v>109</v>
      </c>
      <c r="E59" s="2" t="s">
        <v>25</v>
      </c>
      <c r="F59" s="2">
        <v>33373</v>
      </c>
      <c r="G59" s="2" t="s">
        <v>28</v>
      </c>
      <c r="H59" s="3">
        <v>45033</v>
      </c>
      <c r="I59" s="29">
        <f t="shared" si="1"/>
        <v>136</v>
      </c>
      <c r="J59" s="44">
        <f t="shared" si="5"/>
        <v>4</v>
      </c>
      <c r="K59" s="29" t="str">
        <f>VLOOKUP(I59,Etiquetas!B:C,2)</f>
        <v>3 a 6 Meses</v>
      </c>
      <c r="L59" s="41">
        <f t="shared" si="2"/>
        <v>3</v>
      </c>
      <c r="M59" s="41">
        <f t="shared" si="3"/>
        <v>7</v>
      </c>
      <c r="N59" s="5">
        <v>1249698.67</v>
      </c>
      <c r="O59" s="5">
        <v>1128241.7000000002</v>
      </c>
      <c r="P59" s="5">
        <v>1032166.6500000001</v>
      </c>
      <c r="Q59" s="42">
        <f t="shared" si="6"/>
        <v>0.91484532968423338</v>
      </c>
      <c r="R59" s="4">
        <v>0</v>
      </c>
      <c r="S59" s="43">
        <f t="shared" si="7"/>
        <v>0</v>
      </c>
      <c r="T59" s="5">
        <v>560670.31420000002</v>
      </c>
      <c r="U59" s="5">
        <v>469000</v>
      </c>
      <c r="V59" s="2">
        <v>5</v>
      </c>
      <c r="W59" s="2">
        <v>21</v>
      </c>
      <c r="X59" s="2">
        <v>17</v>
      </c>
      <c r="Y59" s="16">
        <v>11283.310140120731</v>
      </c>
      <c r="Z59" s="5">
        <v>1590</v>
      </c>
    </row>
    <row r="60" spans="1:26" x14ac:dyDescent="0.25">
      <c r="A60" s="22" t="str">
        <f t="shared" si="0"/>
        <v>ELIZABETH PEREZ PERALTA|2</v>
      </c>
      <c r="B60" s="3">
        <v>45169</v>
      </c>
      <c r="C60" s="40" t="str">
        <f t="shared" si="4"/>
        <v>8|2023</v>
      </c>
      <c r="D60" s="2" t="s">
        <v>109</v>
      </c>
      <c r="E60" s="2" t="s">
        <v>25</v>
      </c>
      <c r="F60" s="2">
        <v>32596</v>
      </c>
      <c r="G60" s="2" t="s">
        <v>27</v>
      </c>
      <c r="H60" s="3">
        <v>45093</v>
      </c>
      <c r="I60" s="29">
        <f t="shared" si="1"/>
        <v>76</v>
      </c>
      <c r="J60" s="44">
        <f t="shared" si="5"/>
        <v>2</v>
      </c>
      <c r="K60" s="29" t="str">
        <f>VLOOKUP(I60,Etiquetas!B:C,2)</f>
        <v>&lt; 3 Meses</v>
      </c>
      <c r="L60" s="41">
        <f t="shared" si="2"/>
        <v>1</v>
      </c>
      <c r="M60" s="41">
        <f t="shared" si="3"/>
        <v>5</v>
      </c>
      <c r="N60" s="5">
        <v>1162405.6199999999</v>
      </c>
      <c r="O60" s="5">
        <v>417720.51</v>
      </c>
      <c r="P60" s="5">
        <v>417720.51</v>
      </c>
      <c r="Q60" s="42">
        <f t="shared" si="6"/>
        <v>1</v>
      </c>
      <c r="R60" s="4">
        <v>0</v>
      </c>
      <c r="S60" s="43">
        <f t="shared" si="7"/>
        <v>0</v>
      </c>
      <c r="T60" s="5">
        <v>121500</v>
      </c>
      <c r="U60" s="5">
        <v>247000</v>
      </c>
      <c r="V60" s="2">
        <v>18</v>
      </c>
      <c r="W60" s="2">
        <v>4</v>
      </c>
      <c r="X60" s="2">
        <v>3</v>
      </c>
      <c r="Y60" s="16">
        <v>3848.3071622470707</v>
      </c>
      <c r="Z60" s="5">
        <v>5175</v>
      </c>
    </row>
    <row r="61" spans="1:26" x14ac:dyDescent="0.25">
      <c r="A61" s="22" t="str">
        <f t="shared" si="0"/>
        <v>ROSARIO EDITH LINAJE GONZALEZ|1</v>
      </c>
      <c r="B61" s="3">
        <v>45169</v>
      </c>
      <c r="C61" s="40" t="str">
        <f t="shared" si="4"/>
        <v>8|2023</v>
      </c>
      <c r="D61" s="2" t="s">
        <v>109</v>
      </c>
      <c r="E61" s="2" t="s">
        <v>25</v>
      </c>
      <c r="F61" s="2">
        <v>33403</v>
      </c>
      <c r="G61" s="2" t="s">
        <v>29</v>
      </c>
      <c r="H61" s="3">
        <v>45126</v>
      </c>
      <c r="I61" s="29">
        <f t="shared" si="1"/>
        <v>43</v>
      </c>
      <c r="J61" s="44">
        <f t="shared" si="5"/>
        <v>1</v>
      </c>
      <c r="K61" s="29" t="str">
        <f>VLOOKUP(I61,Etiquetas!B:C,2)</f>
        <v>&lt; 3 Meses</v>
      </c>
      <c r="L61" s="41">
        <f t="shared" si="2"/>
        <v>1</v>
      </c>
      <c r="M61" s="41">
        <f t="shared" si="3"/>
        <v>2</v>
      </c>
      <c r="N61" s="5">
        <v>36032.74</v>
      </c>
      <c r="O61" s="5">
        <v>49999.95</v>
      </c>
      <c r="P61" s="5">
        <v>49999.95</v>
      </c>
      <c r="Q61" s="42">
        <f t="shared" si="6"/>
        <v>1</v>
      </c>
      <c r="R61" s="4">
        <v>0</v>
      </c>
      <c r="S61" s="43">
        <f t="shared" si="7"/>
        <v>0</v>
      </c>
      <c r="T61" s="5">
        <v>94485.952133194587</v>
      </c>
      <c r="U61" s="5">
        <v>50000</v>
      </c>
      <c r="V61" s="2">
        <v>9</v>
      </c>
      <c r="W61" s="2">
        <v>0</v>
      </c>
      <c r="X61" s="2">
        <v>0</v>
      </c>
      <c r="Y61" s="16">
        <v>2978.4038204251519</v>
      </c>
      <c r="Z61" s="5">
        <v>1437.5</v>
      </c>
    </row>
    <row r="62" spans="1:26" x14ac:dyDescent="0.25">
      <c r="A62" s="22" t="str">
        <f t="shared" si="0"/>
        <v>LAURA PATRICIA CARRERA QUINTERO|4</v>
      </c>
      <c r="B62" s="3">
        <v>45169</v>
      </c>
      <c r="C62" s="40" t="str">
        <f t="shared" si="4"/>
        <v>8|2023</v>
      </c>
      <c r="D62" s="2" t="s">
        <v>109</v>
      </c>
      <c r="E62" s="2" t="s">
        <v>34</v>
      </c>
      <c r="F62" s="2">
        <v>30869</v>
      </c>
      <c r="G62" s="2" t="s">
        <v>35</v>
      </c>
      <c r="H62" s="3">
        <v>45034</v>
      </c>
      <c r="I62" s="29">
        <f t="shared" si="1"/>
        <v>135</v>
      </c>
      <c r="J62" s="44">
        <f t="shared" si="5"/>
        <v>4</v>
      </c>
      <c r="K62" s="29" t="str">
        <f>VLOOKUP(I62,Etiquetas!B:C,2)</f>
        <v>3 a 6 Meses</v>
      </c>
      <c r="L62" s="41">
        <f t="shared" si="2"/>
        <v>3</v>
      </c>
      <c r="M62" s="41">
        <f t="shared" si="3"/>
        <v>7</v>
      </c>
      <c r="N62" s="5">
        <v>1291001.27</v>
      </c>
      <c r="O62" s="5">
        <v>1283919.5700000005</v>
      </c>
      <c r="P62" s="5">
        <v>1262263.1800000004</v>
      </c>
      <c r="Q62" s="42">
        <f t="shared" si="6"/>
        <v>0.98313259607064007</v>
      </c>
      <c r="R62" s="4">
        <v>0</v>
      </c>
      <c r="S62" s="43">
        <f t="shared" si="7"/>
        <v>0</v>
      </c>
      <c r="T62" s="5">
        <v>584700.6148000001</v>
      </c>
      <c r="U62" s="5">
        <v>396500</v>
      </c>
      <c r="V62" s="2">
        <v>18</v>
      </c>
      <c r="W62" s="2">
        <v>81</v>
      </c>
      <c r="X62" s="2">
        <v>60</v>
      </c>
      <c r="Y62" s="16">
        <v>8795.4353237543619</v>
      </c>
      <c r="Z62" s="5">
        <v>5203.75</v>
      </c>
    </row>
    <row r="63" spans="1:26" x14ac:dyDescent="0.25">
      <c r="A63" s="22" t="str">
        <f t="shared" si="0"/>
        <v>MIRIAM PATRICIA ROSAS AREVALO|0</v>
      </c>
      <c r="B63" s="3">
        <v>45169</v>
      </c>
      <c r="C63" s="40" t="str">
        <f t="shared" si="4"/>
        <v>8|2023</v>
      </c>
      <c r="D63" s="2" t="s">
        <v>109</v>
      </c>
      <c r="E63" s="2" t="s">
        <v>34</v>
      </c>
      <c r="F63" s="2">
        <v>33967</v>
      </c>
      <c r="G63" s="2" t="s">
        <v>36</v>
      </c>
      <c r="H63" s="3">
        <v>45145</v>
      </c>
      <c r="I63" s="29">
        <f t="shared" si="1"/>
        <v>24</v>
      </c>
      <c r="J63" s="44">
        <f t="shared" si="5"/>
        <v>0</v>
      </c>
      <c r="K63" s="29" t="str">
        <f>VLOOKUP(I63,Etiquetas!B:C,2)</f>
        <v>&lt; 3 Meses</v>
      </c>
      <c r="L63" s="41">
        <f t="shared" si="2"/>
        <v>0</v>
      </c>
      <c r="M63" s="41">
        <f t="shared" si="3"/>
        <v>3</v>
      </c>
      <c r="N63" s="5">
        <v>299437.43000000005</v>
      </c>
      <c r="O63" s="5">
        <v>315967.48</v>
      </c>
      <c r="P63" s="5">
        <v>315967.48</v>
      </c>
      <c r="Q63" s="42">
        <f t="shared" si="6"/>
        <v>1</v>
      </c>
      <c r="R63" s="4">
        <v>0</v>
      </c>
      <c r="S63" s="43">
        <f t="shared" si="7"/>
        <v>0</v>
      </c>
      <c r="T63" s="5">
        <v>35000</v>
      </c>
      <c r="U63" s="5">
        <v>94500</v>
      </c>
      <c r="V63" s="2">
        <v>16</v>
      </c>
      <c r="W63" s="2">
        <v>0</v>
      </c>
      <c r="X63" s="2">
        <v>0</v>
      </c>
      <c r="Y63" s="16">
        <v>2812.5</v>
      </c>
      <c r="Z63" s="5">
        <v>1725</v>
      </c>
    </row>
    <row r="64" spans="1:26" x14ac:dyDescent="0.25">
      <c r="A64" s="22" t="str">
        <f t="shared" si="0"/>
        <v>EULALIO MARQUEZ ROJAS|18</v>
      </c>
      <c r="B64" s="3">
        <v>45169</v>
      </c>
      <c r="C64" s="40" t="str">
        <f t="shared" si="4"/>
        <v>8|2023</v>
      </c>
      <c r="D64" s="2" t="s">
        <v>109</v>
      </c>
      <c r="E64" s="2" t="s">
        <v>37</v>
      </c>
      <c r="F64" s="2">
        <v>20173</v>
      </c>
      <c r="G64" s="2" t="s">
        <v>38</v>
      </c>
      <c r="H64" s="3">
        <v>44627</v>
      </c>
      <c r="I64" s="29">
        <f t="shared" si="1"/>
        <v>542</v>
      </c>
      <c r="J64" s="44">
        <f t="shared" si="5"/>
        <v>18</v>
      </c>
      <c r="K64" s="29" t="str">
        <f>VLOOKUP(I64,Etiquetas!B:C,2)</f>
        <v>1.5 a 2 años</v>
      </c>
      <c r="L64" s="41">
        <f t="shared" si="2"/>
        <v>17</v>
      </c>
      <c r="M64" s="41">
        <f t="shared" si="3"/>
        <v>19</v>
      </c>
      <c r="N64" s="5">
        <v>2176958.62</v>
      </c>
      <c r="O64" s="5">
        <v>2581285.0400000005</v>
      </c>
      <c r="P64" s="5">
        <v>2581285.0400000005</v>
      </c>
      <c r="Q64" s="42">
        <f t="shared" si="6"/>
        <v>1</v>
      </c>
      <c r="R64" s="4">
        <v>0</v>
      </c>
      <c r="S64" s="43">
        <f t="shared" si="7"/>
        <v>0</v>
      </c>
      <c r="T64" s="5">
        <v>1061939.8035499998</v>
      </c>
      <c r="U64" s="5">
        <v>1559000</v>
      </c>
      <c r="V64" s="2">
        <v>13</v>
      </c>
      <c r="W64" s="2">
        <v>47</v>
      </c>
      <c r="X64" s="2">
        <v>39</v>
      </c>
      <c r="Y64" s="16">
        <v>13128.744291858764</v>
      </c>
      <c r="Z64" s="5">
        <v>19435</v>
      </c>
    </row>
    <row r="65" spans="1:26" x14ac:dyDescent="0.25">
      <c r="A65" s="22" t="str">
        <f t="shared" si="0"/>
        <v>ARMANDO ALEJANDRO TOVAR BRACAMONTES|17</v>
      </c>
      <c r="B65" s="3">
        <v>45169</v>
      </c>
      <c r="C65" s="40" t="str">
        <f t="shared" si="4"/>
        <v>8|2023</v>
      </c>
      <c r="D65" s="2" t="s">
        <v>109</v>
      </c>
      <c r="E65" s="2" t="s">
        <v>37</v>
      </c>
      <c r="F65" s="2">
        <v>20612</v>
      </c>
      <c r="G65" s="2" t="s">
        <v>39</v>
      </c>
      <c r="H65" s="3">
        <v>44648</v>
      </c>
      <c r="I65" s="29">
        <f t="shared" si="1"/>
        <v>521</v>
      </c>
      <c r="J65" s="44">
        <f t="shared" si="5"/>
        <v>17</v>
      </c>
      <c r="K65" s="29" t="str">
        <f>VLOOKUP(I65,Etiquetas!B:C,2)</f>
        <v>1 a 1.5 años</v>
      </c>
      <c r="L65" s="41">
        <f t="shared" si="2"/>
        <v>16</v>
      </c>
      <c r="M65" s="41">
        <f t="shared" si="3"/>
        <v>20</v>
      </c>
      <c r="N65" s="5">
        <v>1977158.1099999999</v>
      </c>
      <c r="O65" s="5">
        <v>1585912.3200000003</v>
      </c>
      <c r="P65" s="5">
        <v>1585912.3200000003</v>
      </c>
      <c r="Q65" s="42">
        <f t="shared" si="6"/>
        <v>1</v>
      </c>
      <c r="R65" s="4">
        <v>0</v>
      </c>
      <c r="S65" s="43">
        <f t="shared" si="7"/>
        <v>0</v>
      </c>
      <c r="T65" s="5">
        <v>626155.33485000033</v>
      </c>
      <c r="U65" s="5">
        <v>514000</v>
      </c>
      <c r="V65" s="2">
        <v>7</v>
      </c>
      <c r="W65" s="2">
        <v>42</v>
      </c>
      <c r="X65" s="2">
        <v>23</v>
      </c>
      <c r="Y65" s="16">
        <v>6493.75</v>
      </c>
      <c r="Z65" s="5">
        <v>3040</v>
      </c>
    </row>
    <row r="66" spans="1:26" x14ac:dyDescent="0.25">
      <c r="A66" s="22" t="str">
        <f t="shared" si="0"/>
        <v>MARIA ISABEL MUÑOZ SANCHEZ|8</v>
      </c>
      <c r="B66" s="3">
        <v>45169</v>
      </c>
      <c r="C66" s="40" t="str">
        <f t="shared" si="4"/>
        <v>8|2023</v>
      </c>
      <c r="D66" s="2" t="s">
        <v>108</v>
      </c>
      <c r="E66" s="2" t="s">
        <v>9</v>
      </c>
      <c r="F66" s="2">
        <v>27539</v>
      </c>
      <c r="G66" s="2" t="s">
        <v>12</v>
      </c>
      <c r="H66" s="3">
        <v>44902</v>
      </c>
      <c r="I66" s="29">
        <f t="shared" si="1"/>
        <v>267</v>
      </c>
      <c r="J66" s="44">
        <f t="shared" si="5"/>
        <v>8</v>
      </c>
      <c r="K66" s="29" t="str">
        <f>VLOOKUP(I66,Etiquetas!B:C,2)</f>
        <v>6 a 12 Meses</v>
      </c>
      <c r="L66" s="41">
        <f t="shared" si="2"/>
        <v>7</v>
      </c>
      <c r="M66" s="41">
        <f t="shared" si="3"/>
        <v>11</v>
      </c>
      <c r="N66" s="5">
        <v>1242782.1599999999</v>
      </c>
      <c r="O66" s="5">
        <v>1209642.7500000002</v>
      </c>
      <c r="P66" s="5">
        <v>1115673.75</v>
      </c>
      <c r="Q66" s="42">
        <f t="shared" si="6"/>
        <v>0.9223167335975847</v>
      </c>
      <c r="R66" s="4">
        <v>13635.470000000001</v>
      </c>
      <c r="S66" s="43">
        <f t="shared" si="7"/>
        <v>1.1272311597783725E-2</v>
      </c>
      <c r="T66" s="5">
        <v>622590.25060000014</v>
      </c>
      <c r="U66" s="5">
        <v>457000</v>
      </c>
      <c r="V66" s="2">
        <v>16</v>
      </c>
      <c r="W66" s="2">
        <v>48</v>
      </c>
      <c r="X66" s="2">
        <v>29</v>
      </c>
      <c r="Y66" s="16">
        <v>5285.1653760219378</v>
      </c>
      <c r="Z66" s="5">
        <v>975</v>
      </c>
    </row>
    <row r="67" spans="1:26" x14ac:dyDescent="0.25">
      <c r="A67" s="22" t="str">
        <f t="shared" ref="A67:A130" si="8">G67&amp;"|"&amp;J67</f>
        <v>YESICA MERIC OSNAYA SORIANO|2</v>
      </c>
      <c r="B67" s="3">
        <v>45169</v>
      </c>
      <c r="C67" s="40" t="str">
        <f t="shared" si="4"/>
        <v>8|2023</v>
      </c>
      <c r="D67" s="2" t="s">
        <v>108</v>
      </c>
      <c r="E67" s="2" t="s">
        <v>9</v>
      </c>
      <c r="F67" s="2">
        <v>32635</v>
      </c>
      <c r="G67" s="2" t="s">
        <v>10</v>
      </c>
      <c r="H67" s="3">
        <v>45098</v>
      </c>
      <c r="I67" s="29">
        <f t="shared" ref="I67:I130" si="9">B67-H67</f>
        <v>71</v>
      </c>
      <c r="J67" s="44">
        <f t="shared" si="5"/>
        <v>2</v>
      </c>
      <c r="K67" s="29" t="str">
        <f>VLOOKUP(I67,Etiquetas!B:C,2)</f>
        <v>&lt; 3 Meses</v>
      </c>
      <c r="L67" s="41">
        <f t="shared" ref="L67:L130" si="10">_xlfn.MINIFS(J:J,G:G,G67)</f>
        <v>1</v>
      </c>
      <c r="M67" s="41">
        <f t="shared" ref="M67:M130" si="11">_xlfn.MAXIFS(J:J,G:G,G67)</f>
        <v>2</v>
      </c>
      <c r="N67" s="5">
        <v>936906.13</v>
      </c>
      <c r="O67" s="5">
        <v>1386290.6900000002</v>
      </c>
      <c r="P67" s="5">
        <v>1354806.7800000003</v>
      </c>
      <c r="Q67" s="42">
        <f t="shared" si="6"/>
        <v>0.97728909944565823</v>
      </c>
      <c r="R67" s="4">
        <v>0</v>
      </c>
      <c r="S67" s="43">
        <f t="shared" si="7"/>
        <v>0</v>
      </c>
      <c r="T67" s="5">
        <v>471775.28799999977</v>
      </c>
      <c r="U67" s="5">
        <v>569000</v>
      </c>
      <c r="V67" s="2">
        <v>8</v>
      </c>
      <c r="W67" s="2">
        <v>39</v>
      </c>
      <c r="X67" s="2">
        <v>21</v>
      </c>
      <c r="Y67" s="16">
        <v>5843.75</v>
      </c>
      <c r="Z67" s="5">
        <v>3150</v>
      </c>
    </row>
    <row r="68" spans="1:26" x14ac:dyDescent="0.25">
      <c r="A68" s="22" t="str">
        <f t="shared" si="8"/>
        <v>DIANA ELIZABETH GONZALEZ LEON|1</v>
      </c>
      <c r="B68" s="3">
        <v>45169</v>
      </c>
      <c r="C68" s="40" t="str">
        <f t="shared" ref="C68:C131" si="12">MONTH(B68)&amp;"|"&amp;YEAR(B68)</f>
        <v>8|2023</v>
      </c>
      <c r="D68" s="2" t="s">
        <v>108</v>
      </c>
      <c r="E68" s="2" t="s">
        <v>9</v>
      </c>
      <c r="F68" s="2">
        <v>33645</v>
      </c>
      <c r="G68" s="2" t="s">
        <v>11</v>
      </c>
      <c r="H68" s="3">
        <v>45132</v>
      </c>
      <c r="I68" s="29">
        <f t="shared" si="9"/>
        <v>37</v>
      </c>
      <c r="J68" s="44">
        <f t="shared" ref="J68:J131" si="13">ROUNDDOWN(I68/30,0)</f>
        <v>1</v>
      </c>
      <c r="K68" s="29" t="str">
        <f>VLOOKUP(I68,Etiquetas!B:C,2)</f>
        <v>&lt; 3 Meses</v>
      </c>
      <c r="L68" s="41">
        <f t="shared" si="10"/>
        <v>1</v>
      </c>
      <c r="M68" s="41">
        <f t="shared" si="11"/>
        <v>2</v>
      </c>
      <c r="N68" s="5">
        <v>536874.1</v>
      </c>
      <c r="O68" s="5">
        <v>180034.97</v>
      </c>
      <c r="P68" s="5">
        <v>180034.97</v>
      </c>
      <c r="Q68" s="42">
        <f t="shared" ref="Q68:Q131" si="14">IFERROR(P68/O68,0)</f>
        <v>1</v>
      </c>
      <c r="R68" s="4">
        <v>0</v>
      </c>
      <c r="S68" s="43">
        <f t="shared" ref="S68:S131" si="15">IFERROR(R68/O68,0)</f>
        <v>0</v>
      </c>
      <c r="T68" s="5">
        <v>70585.84807492196</v>
      </c>
      <c r="U68" s="5">
        <v>199000</v>
      </c>
      <c r="V68" s="2">
        <v>39</v>
      </c>
      <c r="W68" s="2">
        <v>0</v>
      </c>
      <c r="X68" s="2">
        <v>0</v>
      </c>
      <c r="Y68" s="16">
        <v>3039.4369704177202</v>
      </c>
      <c r="Z68" s="5">
        <v>5462.5</v>
      </c>
    </row>
    <row r="69" spans="1:26" x14ac:dyDescent="0.25">
      <c r="A69" s="22" t="str">
        <f t="shared" si="8"/>
        <v>LETICIA MESINAS ACEVEDO|2</v>
      </c>
      <c r="B69" s="3">
        <v>45169</v>
      </c>
      <c r="C69" s="40" t="str">
        <f t="shared" si="12"/>
        <v>8|2023</v>
      </c>
      <c r="D69" s="2" t="s">
        <v>108</v>
      </c>
      <c r="E69" s="2" t="s">
        <v>13</v>
      </c>
      <c r="F69" s="2">
        <v>32305</v>
      </c>
      <c r="G69" s="2" t="s">
        <v>15</v>
      </c>
      <c r="H69" s="3">
        <v>45083</v>
      </c>
      <c r="I69" s="29">
        <f t="shared" si="9"/>
        <v>86</v>
      </c>
      <c r="J69" s="44">
        <f t="shared" si="13"/>
        <v>2</v>
      </c>
      <c r="K69" s="29" t="str">
        <f>VLOOKUP(I69,Etiquetas!B:C,2)</f>
        <v>&lt; 3 Meses</v>
      </c>
      <c r="L69" s="41">
        <f t="shared" si="10"/>
        <v>1</v>
      </c>
      <c r="M69" s="41">
        <f t="shared" si="11"/>
        <v>3</v>
      </c>
      <c r="N69" s="5">
        <v>1306442.7299999997</v>
      </c>
      <c r="O69" s="5">
        <v>1601493.2000000002</v>
      </c>
      <c r="P69" s="5">
        <v>1563772.4000000004</v>
      </c>
      <c r="Q69" s="42">
        <f t="shared" si="14"/>
        <v>0.97644648132130696</v>
      </c>
      <c r="R69" s="4">
        <v>0</v>
      </c>
      <c r="S69" s="43">
        <f t="shared" si="15"/>
        <v>0</v>
      </c>
      <c r="T69" s="5">
        <v>196875.64500000008</v>
      </c>
      <c r="U69" s="5">
        <v>476500</v>
      </c>
      <c r="V69" s="2">
        <v>17</v>
      </c>
      <c r="W69" s="2">
        <v>80</v>
      </c>
      <c r="X69" s="2">
        <v>47</v>
      </c>
      <c r="Y69" s="16">
        <v>6493.75</v>
      </c>
      <c r="Z69" s="5">
        <v>3600</v>
      </c>
    </row>
    <row r="70" spans="1:26" x14ac:dyDescent="0.25">
      <c r="A70" s="22" t="str">
        <f t="shared" si="8"/>
        <v>CARLOS EMANUEL FLORES ACOSTA|0</v>
      </c>
      <c r="B70" s="3">
        <v>45169</v>
      </c>
      <c r="C70" s="40" t="str">
        <f t="shared" si="12"/>
        <v>8|2023</v>
      </c>
      <c r="D70" s="2" t="s">
        <v>108</v>
      </c>
      <c r="E70" s="2" t="s">
        <v>13</v>
      </c>
      <c r="F70" s="2">
        <v>34232</v>
      </c>
      <c r="G70" s="2" t="s">
        <v>16</v>
      </c>
      <c r="H70" s="3">
        <v>45154</v>
      </c>
      <c r="I70" s="29">
        <f t="shared" si="9"/>
        <v>15</v>
      </c>
      <c r="J70" s="44">
        <f t="shared" si="13"/>
        <v>0</v>
      </c>
      <c r="K70" s="29" t="str">
        <f>VLOOKUP(I70,Etiquetas!B:C,2)</f>
        <v>&lt; 3 Meses</v>
      </c>
      <c r="L70" s="41">
        <f t="shared" si="10"/>
        <v>0</v>
      </c>
      <c r="M70" s="41">
        <f t="shared" si="11"/>
        <v>1</v>
      </c>
      <c r="N70" s="5">
        <v>111912.04</v>
      </c>
      <c r="O70" s="5">
        <v>189999.77000000002</v>
      </c>
      <c r="P70" s="5">
        <v>189999.77000000002</v>
      </c>
      <c r="Q70" s="42">
        <f t="shared" si="14"/>
        <v>1</v>
      </c>
      <c r="R70" s="4">
        <v>0</v>
      </c>
      <c r="S70" s="43">
        <f t="shared" si="15"/>
        <v>0</v>
      </c>
      <c r="T70" s="5">
        <v>35000</v>
      </c>
      <c r="U70" s="5">
        <v>92000</v>
      </c>
      <c r="V70" s="2">
        <v>25</v>
      </c>
      <c r="W70" s="2">
        <v>0</v>
      </c>
      <c r="X70" s="2">
        <v>0</v>
      </c>
      <c r="Y70" s="16">
        <v>2162.5</v>
      </c>
      <c r="Z70" s="5">
        <v>5462.5</v>
      </c>
    </row>
    <row r="71" spans="1:26" x14ac:dyDescent="0.25">
      <c r="A71" s="22" t="str">
        <f t="shared" si="8"/>
        <v>JHOVANNY AGUILAR GARCIA|0</v>
      </c>
      <c r="B71" s="3">
        <v>45169</v>
      </c>
      <c r="C71" s="40" t="str">
        <f t="shared" si="12"/>
        <v>8|2023</v>
      </c>
      <c r="D71" s="2" t="s">
        <v>108</v>
      </c>
      <c r="E71" s="2" t="s">
        <v>13</v>
      </c>
      <c r="F71" s="2">
        <v>34479</v>
      </c>
      <c r="G71" s="2" t="s">
        <v>14</v>
      </c>
      <c r="H71" s="3">
        <v>45162</v>
      </c>
      <c r="I71" s="29">
        <f t="shared" si="9"/>
        <v>7</v>
      </c>
      <c r="J71" s="44">
        <f t="shared" si="13"/>
        <v>0</v>
      </c>
      <c r="K71" s="29" t="str">
        <f>VLOOKUP(I71,Etiquetas!B:C,2)</f>
        <v>&lt; 3 Meses</v>
      </c>
      <c r="L71" s="41">
        <f t="shared" si="10"/>
        <v>0</v>
      </c>
      <c r="M71" s="41">
        <f t="shared" si="11"/>
        <v>2</v>
      </c>
      <c r="N71" s="5">
        <v>194844.87</v>
      </c>
      <c r="O71" s="5">
        <v>71835.66</v>
      </c>
      <c r="P71" s="5">
        <v>71835.66</v>
      </c>
      <c r="Q71" s="42">
        <f t="shared" si="14"/>
        <v>1</v>
      </c>
      <c r="R71" s="4">
        <v>0</v>
      </c>
      <c r="S71" s="43">
        <f t="shared" si="15"/>
        <v>0</v>
      </c>
      <c r="T71" s="5">
        <v>35000</v>
      </c>
      <c r="U71" s="5">
        <v>57000</v>
      </c>
      <c r="V71" s="2">
        <v>2</v>
      </c>
      <c r="W71" s="2">
        <v>0</v>
      </c>
      <c r="X71" s="2">
        <v>0</v>
      </c>
      <c r="Y71" s="16">
        <v>2162.5</v>
      </c>
      <c r="Z71" s="5">
        <v>2012.5</v>
      </c>
    </row>
    <row r="72" spans="1:26" x14ac:dyDescent="0.25">
      <c r="A72" s="22" t="str">
        <f t="shared" si="8"/>
        <v>ISABEL MONSERRAT RAZO MENDEZ|26</v>
      </c>
      <c r="B72" s="3">
        <v>45169</v>
      </c>
      <c r="C72" s="40" t="str">
        <f t="shared" si="12"/>
        <v>8|2023</v>
      </c>
      <c r="D72" s="2" t="s">
        <v>108</v>
      </c>
      <c r="E72" s="2" t="s">
        <v>64</v>
      </c>
      <c r="F72" s="2">
        <v>14019</v>
      </c>
      <c r="G72" s="2" t="s">
        <v>65</v>
      </c>
      <c r="H72" s="3">
        <v>44385</v>
      </c>
      <c r="I72" s="29">
        <f t="shared" si="9"/>
        <v>784</v>
      </c>
      <c r="J72" s="44">
        <f t="shared" si="13"/>
        <v>26</v>
      </c>
      <c r="K72" s="29" t="str">
        <f>VLOOKUP(I72,Etiquetas!B:C,2)</f>
        <v>2 a 2.5 años</v>
      </c>
      <c r="L72" s="41">
        <f t="shared" si="10"/>
        <v>25</v>
      </c>
      <c r="M72" s="41">
        <f t="shared" si="11"/>
        <v>29</v>
      </c>
      <c r="N72" s="5">
        <v>1209670.1500000001</v>
      </c>
      <c r="O72" s="5">
        <v>1250844.9700000002</v>
      </c>
      <c r="P72" s="5">
        <v>1089057.5300000003</v>
      </c>
      <c r="Q72" s="42">
        <f t="shared" si="14"/>
        <v>0.87065748043900282</v>
      </c>
      <c r="R72" s="4">
        <v>33390.080000000002</v>
      </c>
      <c r="S72" s="43">
        <f t="shared" si="15"/>
        <v>2.6694019483485629E-2</v>
      </c>
      <c r="T72" s="5">
        <v>600750.53249999997</v>
      </c>
      <c r="U72" s="5">
        <v>472500</v>
      </c>
      <c r="V72" s="2">
        <v>26</v>
      </c>
      <c r="W72" s="2">
        <v>44</v>
      </c>
      <c r="X72" s="2">
        <v>17</v>
      </c>
      <c r="Y72" s="16">
        <v>10696.785432825331</v>
      </c>
      <c r="Z72" s="5">
        <v>1035</v>
      </c>
    </row>
    <row r="73" spans="1:26" x14ac:dyDescent="0.25">
      <c r="A73" s="22" t="str">
        <f t="shared" si="8"/>
        <v>MONSERRAT DE LA CRUZ MARTINEZ ALVARADO|9</v>
      </c>
      <c r="B73" s="3">
        <v>45169</v>
      </c>
      <c r="C73" s="40" t="str">
        <f t="shared" si="12"/>
        <v>8|2023</v>
      </c>
      <c r="D73" s="2" t="s">
        <v>108</v>
      </c>
      <c r="E73" s="2" t="s">
        <v>64</v>
      </c>
      <c r="F73" s="2">
        <v>26859</v>
      </c>
      <c r="G73" s="2" t="s">
        <v>66</v>
      </c>
      <c r="H73" s="3">
        <v>44881</v>
      </c>
      <c r="I73" s="29">
        <f t="shared" si="9"/>
        <v>288</v>
      </c>
      <c r="J73" s="44">
        <f t="shared" si="13"/>
        <v>9</v>
      </c>
      <c r="K73" s="29" t="str">
        <f>VLOOKUP(I73,Etiquetas!B:C,2)</f>
        <v>6 a 12 Meses</v>
      </c>
      <c r="L73" s="41">
        <f t="shared" si="10"/>
        <v>8</v>
      </c>
      <c r="M73" s="41">
        <f t="shared" si="11"/>
        <v>12</v>
      </c>
      <c r="N73" s="5">
        <v>899518.58000000007</v>
      </c>
      <c r="O73" s="5">
        <v>1009050.7000000002</v>
      </c>
      <c r="P73" s="5">
        <v>822680.57999999984</v>
      </c>
      <c r="Q73" s="42">
        <f t="shared" si="14"/>
        <v>0.81530153043846032</v>
      </c>
      <c r="R73" s="4">
        <v>3000</v>
      </c>
      <c r="S73" s="43">
        <f t="shared" si="15"/>
        <v>2.9730914412922954E-3</v>
      </c>
      <c r="T73" s="5">
        <v>357000.0675</v>
      </c>
      <c r="U73" s="5">
        <v>275500</v>
      </c>
      <c r="V73" s="2">
        <v>94</v>
      </c>
      <c r="W73" s="2">
        <v>28</v>
      </c>
      <c r="X73" s="2">
        <v>8</v>
      </c>
      <c r="Y73" s="16">
        <v>5317.7463833535867</v>
      </c>
      <c r="Z73" s="5">
        <v>862.50000000000023</v>
      </c>
    </row>
    <row r="74" spans="1:26" x14ac:dyDescent="0.25">
      <c r="A74" s="22" t="str">
        <f t="shared" si="8"/>
        <v>JULIO CESAR GONZALEZ ESPINOZA|0</v>
      </c>
      <c r="B74" s="3">
        <v>45169</v>
      </c>
      <c r="C74" s="40" t="str">
        <f t="shared" si="12"/>
        <v>8|2023</v>
      </c>
      <c r="D74" s="2" t="s">
        <v>108</v>
      </c>
      <c r="E74" s="2" t="s">
        <v>64</v>
      </c>
      <c r="F74" s="2">
        <v>33951</v>
      </c>
      <c r="G74" s="2" t="s">
        <v>67</v>
      </c>
      <c r="H74" s="3">
        <v>45145</v>
      </c>
      <c r="I74" s="29">
        <f t="shared" si="9"/>
        <v>24</v>
      </c>
      <c r="J74" s="44">
        <f t="shared" si="13"/>
        <v>0</v>
      </c>
      <c r="K74" s="29" t="str">
        <f>VLOOKUP(I74,Etiquetas!B:C,2)</f>
        <v>&lt; 3 Meses</v>
      </c>
      <c r="L74" s="41">
        <f t="shared" si="10"/>
        <v>0</v>
      </c>
      <c r="M74" s="41">
        <f t="shared" si="11"/>
        <v>3</v>
      </c>
      <c r="N74" s="5">
        <v>162835.17000000001</v>
      </c>
      <c r="O74" s="5">
        <v>69999.199999999997</v>
      </c>
      <c r="P74" s="5">
        <v>69999.199999999997</v>
      </c>
      <c r="Q74" s="42">
        <f t="shared" si="14"/>
        <v>1</v>
      </c>
      <c r="R74" s="4">
        <v>0</v>
      </c>
      <c r="S74" s="43">
        <f t="shared" si="15"/>
        <v>0</v>
      </c>
      <c r="T74" s="5">
        <v>35000</v>
      </c>
      <c r="U74" s="5">
        <v>70000</v>
      </c>
      <c r="V74" s="2">
        <v>36</v>
      </c>
      <c r="W74" s="2">
        <v>0</v>
      </c>
      <c r="X74" s="2">
        <v>0</v>
      </c>
      <c r="Y74" s="16">
        <v>2162.5</v>
      </c>
      <c r="Z74" s="5">
        <v>2012.5</v>
      </c>
    </row>
    <row r="75" spans="1:26" x14ac:dyDescent="0.25">
      <c r="A75" s="22" t="str">
        <f t="shared" si="8"/>
        <v>JULIAN MARTINEZ CORTES|21</v>
      </c>
      <c r="B75" s="3">
        <v>45169</v>
      </c>
      <c r="C75" s="40" t="str">
        <f t="shared" si="12"/>
        <v>8|2023</v>
      </c>
      <c r="D75" s="2" t="s">
        <v>108</v>
      </c>
      <c r="E75" s="2" t="s">
        <v>46</v>
      </c>
      <c r="F75" s="2">
        <v>17299</v>
      </c>
      <c r="G75" s="2" t="s">
        <v>47</v>
      </c>
      <c r="H75" s="3">
        <v>44510</v>
      </c>
      <c r="I75" s="29">
        <f t="shared" si="9"/>
        <v>659</v>
      </c>
      <c r="J75" s="44">
        <f t="shared" si="13"/>
        <v>21</v>
      </c>
      <c r="K75" s="29" t="str">
        <f>VLOOKUP(I75,Etiquetas!B:C,2)</f>
        <v>1.5 a 2 años</v>
      </c>
      <c r="L75" s="41">
        <f t="shared" si="10"/>
        <v>20</v>
      </c>
      <c r="M75" s="41">
        <f t="shared" si="11"/>
        <v>25</v>
      </c>
      <c r="N75" s="5">
        <v>519926.24999999994</v>
      </c>
      <c r="O75" s="5">
        <v>825468.8</v>
      </c>
      <c r="P75" s="5">
        <v>770881.96000000008</v>
      </c>
      <c r="Q75" s="42">
        <f t="shared" si="14"/>
        <v>0.93387171023302162</v>
      </c>
      <c r="R75" s="4">
        <v>0</v>
      </c>
      <c r="S75" s="43">
        <f t="shared" si="15"/>
        <v>0</v>
      </c>
      <c r="T75" s="5">
        <v>748019.8036499999</v>
      </c>
      <c r="U75" s="5">
        <v>641000</v>
      </c>
      <c r="V75" s="2">
        <v>38</v>
      </c>
      <c r="W75" s="2">
        <v>21</v>
      </c>
      <c r="X75" s="2">
        <v>17</v>
      </c>
      <c r="Y75" s="16">
        <v>22537.272958083042</v>
      </c>
      <c r="Z75" s="5">
        <v>0</v>
      </c>
    </row>
    <row r="76" spans="1:26" x14ac:dyDescent="0.25">
      <c r="A76" s="22" t="str">
        <f t="shared" si="8"/>
        <v>JESSICA MARIN DURON|6</v>
      </c>
      <c r="B76" s="3">
        <v>45169</v>
      </c>
      <c r="C76" s="40" t="str">
        <f t="shared" si="12"/>
        <v>8|2023</v>
      </c>
      <c r="D76" s="2" t="s">
        <v>108</v>
      </c>
      <c r="E76" s="2" t="s">
        <v>46</v>
      </c>
      <c r="F76" s="2">
        <v>29508</v>
      </c>
      <c r="G76" s="2" t="s">
        <v>48</v>
      </c>
      <c r="H76" s="3">
        <v>44987</v>
      </c>
      <c r="I76" s="29">
        <f t="shared" si="9"/>
        <v>182</v>
      </c>
      <c r="J76" s="44">
        <f t="shared" si="13"/>
        <v>6</v>
      </c>
      <c r="K76" s="29" t="str">
        <f>VLOOKUP(I76,Etiquetas!B:C,2)</f>
        <v>6 a 12 Meses</v>
      </c>
      <c r="L76" s="41">
        <f t="shared" si="10"/>
        <v>5</v>
      </c>
      <c r="M76" s="41">
        <f t="shared" si="11"/>
        <v>9</v>
      </c>
      <c r="N76" s="5">
        <v>649191.03000000014</v>
      </c>
      <c r="O76" s="5">
        <v>809230.59999999974</v>
      </c>
      <c r="P76" s="5">
        <v>797278.59999999974</v>
      </c>
      <c r="Q76" s="42">
        <f t="shared" si="14"/>
        <v>0.98523041516225407</v>
      </c>
      <c r="R76" s="4">
        <v>0</v>
      </c>
      <c r="S76" s="43">
        <f t="shared" si="15"/>
        <v>0</v>
      </c>
      <c r="T76" s="5">
        <v>499309.97194999998</v>
      </c>
      <c r="U76" s="5">
        <v>374000</v>
      </c>
      <c r="V76" s="2">
        <v>19</v>
      </c>
      <c r="W76" s="2">
        <v>13</v>
      </c>
      <c r="X76" s="2">
        <v>7</v>
      </c>
      <c r="Y76" s="16">
        <v>11264.734558912958</v>
      </c>
      <c r="Z76" s="5">
        <v>3162.5</v>
      </c>
    </row>
    <row r="77" spans="1:26" x14ac:dyDescent="0.25">
      <c r="A77" s="22" t="str">
        <f t="shared" si="8"/>
        <v>JENIFER QUETZALLI REMOLINO|4</v>
      </c>
      <c r="B77" s="3">
        <v>45169</v>
      </c>
      <c r="C77" s="40" t="str">
        <f t="shared" si="12"/>
        <v>8|2023</v>
      </c>
      <c r="D77" s="2" t="s">
        <v>108</v>
      </c>
      <c r="E77" s="2" t="s">
        <v>22</v>
      </c>
      <c r="F77" s="2">
        <v>31036</v>
      </c>
      <c r="G77" s="2" t="s">
        <v>23</v>
      </c>
      <c r="H77" s="3">
        <v>45040</v>
      </c>
      <c r="I77" s="29">
        <f t="shared" si="9"/>
        <v>129</v>
      </c>
      <c r="J77" s="44">
        <f t="shared" si="13"/>
        <v>4</v>
      </c>
      <c r="K77" s="29" t="str">
        <f>VLOOKUP(I77,Etiquetas!B:C,2)</f>
        <v>3 a 6 Meses</v>
      </c>
      <c r="L77" s="41">
        <f t="shared" si="10"/>
        <v>3</v>
      </c>
      <c r="M77" s="41">
        <f t="shared" si="11"/>
        <v>6</v>
      </c>
      <c r="N77" s="5">
        <v>654948.19000000006</v>
      </c>
      <c r="O77" s="5">
        <v>530981.46</v>
      </c>
      <c r="P77" s="5">
        <v>509468.43999999994</v>
      </c>
      <c r="Q77" s="42">
        <f t="shared" si="14"/>
        <v>0.95948442342977469</v>
      </c>
      <c r="R77" s="4">
        <v>0</v>
      </c>
      <c r="S77" s="43">
        <f t="shared" si="15"/>
        <v>0</v>
      </c>
      <c r="T77" s="5">
        <v>437045.05425000004</v>
      </c>
      <c r="U77" s="5">
        <v>208000</v>
      </c>
      <c r="V77" s="2">
        <v>16</v>
      </c>
      <c r="W77" s="2">
        <v>12</v>
      </c>
      <c r="X77" s="2">
        <v>7</v>
      </c>
      <c r="Y77" s="16">
        <v>7746.2028381703758</v>
      </c>
      <c r="Z77" s="5">
        <v>4120</v>
      </c>
    </row>
    <row r="78" spans="1:26" x14ac:dyDescent="0.25">
      <c r="A78" s="22" t="str">
        <f t="shared" si="8"/>
        <v>BRAULIO GUZMAN JIMENEZ|4</v>
      </c>
      <c r="B78" s="3">
        <v>45169</v>
      </c>
      <c r="C78" s="40" t="str">
        <f t="shared" si="12"/>
        <v>8|2023</v>
      </c>
      <c r="D78" s="2" t="s">
        <v>108</v>
      </c>
      <c r="E78" s="2" t="s">
        <v>22</v>
      </c>
      <c r="F78" s="2">
        <v>31037</v>
      </c>
      <c r="G78" s="2" t="s">
        <v>24</v>
      </c>
      <c r="H78" s="3">
        <v>45040</v>
      </c>
      <c r="I78" s="29">
        <f t="shared" si="9"/>
        <v>129</v>
      </c>
      <c r="J78" s="44">
        <f t="shared" si="13"/>
        <v>4</v>
      </c>
      <c r="K78" s="29" t="str">
        <f>VLOOKUP(I78,Etiquetas!B:C,2)</f>
        <v>3 a 6 Meses</v>
      </c>
      <c r="L78" s="41">
        <f t="shared" si="10"/>
        <v>3</v>
      </c>
      <c r="M78" s="41">
        <f t="shared" si="11"/>
        <v>7</v>
      </c>
      <c r="N78" s="5">
        <v>558836.07999999996</v>
      </c>
      <c r="O78" s="5">
        <v>485813.00999999995</v>
      </c>
      <c r="P78" s="5">
        <v>436099.26999999996</v>
      </c>
      <c r="Q78" s="42">
        <f t="shared" si="14"/>
        <v>0.89766898173435083</v>
      </c>
      <c r="R78" s="4">
        <v>0</v>
      </c>
      <c r="S78" s="43">
        <f t="shared" si="15"/>
        <v>0</v>
      </c>
      <c r="T78" s="5">
        <v>408624.82800000004</v>
      </c>
      <c r="U78" s="5">
        <v>164000</v>
      </c>
      <c r="V78" s="2">
        <v>8</v>
      </c>
      <c r="W78" s="2">
        <v>5</v>
      </c>
      <c r="X78" s="2">
        <v>4</v>
      </c>
      <c r="Y78" s="16">
        <v>7871.1319988027772</v>
      </c>
      <c r="Z78" s="5">
        <v>420.00000000000011</v>
      </c>
    </row>
    <row r="79" spans="1:26" x14ac:dyDescent="0.25">
      <c r="A79" s="22" t="str">
        <f t="shared" si="8"/>
        <v>MARCELO TZITZIHUA TZITZIHUA|11</v>
      </c>
      <c r="B79" s="3">
        <v>45169</v>
      </c>
      <c r="C79" s="40" t="str">
        <f t="shared" si="12"/>
        <v>8|2023</v>
      </c>
      <c r="D79" s="2" t="s">
        <v>108</v>
      </c>
      <c r="E79" s="2" t="s">
        <v>58</v>
      </c>
      <c r="F79" s="2">
        <v>25225</v>
      </c>
      <c r="G79" s="2" t="s">
        <v>59</v>
      </c>
      <c r="H79" s="3">
        <v>44823</v>
      </c>
      <c r="I79" s="29">
        <f t="shared" si="9"/>
        <v>346</v>
      </c>
      <c r="J79" s="44">
        <f t="shared" si="13"/>
        <v>11</v>
      </c>
      <c r="K79" s="29" t="str">
        <f>VLOOKUP(I79,Etiquetas!B:C,2)</f>
        <v>6 a 12 Meses</v>
      </c>
      <c r="L79" s="41">
        <f t="shared" si="10"/>
        <v>10</v>
      </c>
      <c r="M79" s="41">
        <f t="shared" si="11"/>
        <v>14</v>
      </c>
      <c r="N79" s="5">
        <v>1474241.2899999996</v>
      </c>
      <c r="O79" s="5">
        <v>1404558.1600000001</v>
      </c>
      <c r="P79" s="5">
        <v>1142413.2700000003</v>
      </c>
      <c r="Q79" s="42">
        <f t="shared" si="14"/>
        <v>0.81336131356781993</v>
      </c>
      <c r="R79" s="4">
        <v>17188.34</v>
      </c>
      <c r="S79" s="43">
        <f t="shared" si="15"/>
        <v>1.223754237417979E-2</v>
      </c>
      <c r="T79" s="5">
        <v>817690.57064999989</v>
      </c>
      <c r="U79" s="5">
        <v>423500</v>
      </c>
      <c r="V79" s="2">
        <v>10</v>
      </c>
      <c r="W79" s="2">
        <v>66</v>
      </c>
      <c r="X79" s="2">
        <v>34</v>
      </c>
      <c r="Y79" s="16">
        <v>13940.082828684905</v>
      </c>
      <c r="Z79" s="5">
        <v>585</v>
      </c>
    </row>
    <row r="80" spans="1:26" x14ac:dyDescent="0.25">
      <c r="A80" s="22" t="str">
        <f t="shared" si="8"/>
        <v>FERNANDO MANUEL VELASCO RIVERA|9</v>
      </c>
      <c r="B80" s="3">
        <v>45169</v>
      </c>
      <c r="C80" s="40" t="str">
        <f t="shared" si="12"/>
        <v>8|2023</v>
      </c>
      <c r="D80" s="2" t="s">
        <v>108</v>
      </c>
      <c r="E80" s="2" t="s">
        <v>58</v>
      </c>
      <c r="F80" s="2">
        <v>27027</v>
      </c>
      <c r="G80" s="2" t="s">
        <v>60</v>
      </c>
      <c r="H80" s="3">
        <v>44887</v>
      </c>
      <c r="I80" s="29">
        <f t="shared" si="9"/>
        <v>282</v>
      </c>
      <c r="J80" s="44">
        <f t="shared" si="13"/>
        <v>9</v>
      </c>
      <c r="K80" s="29" t="str">
        <f>VLOOKUP(I80,Etiquetas!B:C,2)</f>
        <v>6 a 12 Meses</v>
      </c>
      <c r="L80" s="41">
        <f t="shared" si="10"/>
        <v>8</v>
      </c>
      <c r="M80" s="41">
        <f t="shared" si="11"/>
        <v>12</v>
      </c>
      <c r="N80" s="5">
        <v>1569240.0399999996</v>
      </c>
      <c r="O80" s="5">
        <v>1545810.5099999998</v>
      </c>
      <c r="P80" s="5">
        <v>1283095.9299999997</v>
      </c>
      <c r="Q80" s="42">
        <f t="shared" si="14"/>
        <v>0.83004735813317754</v>
      </c>
      <c r="R80" s="4">
        <v>73324.45</v>
      </c>
      <c r="S80" s="43">
        <f t="shared" si="15"/>
        <v>4.7434306809053854E-2</v>
      </c>
      <c r="T80" s="5">
        <v>878145.92835000064</v>
      </c>
      <c r="U80" s="5">
        <v>433000</v>
      </c>
      <c r="V80" s="2">
        <v>4</v>
      </c>
      <c r="W80" s="2">
        <v>93</v>
      </c>
      <c r="X80" s="2">
        <v>48</v>
      </c>
      <c r="Y80" s="16">
        <v>13516.452307257905</v>
      </c>
      <c r="Z80" s="5">
        <v>682.5</v>
      </c>
    </row>
    <row r="81" spans="1:26" x14ac:dyDescent="0.25">
      <c r="A81" s="22" t="str">
        <f t="shared" si="8"/>
        <v>ELSA FERNANDEZ REYES|1</v>
      </c>
      <c r="B81" s="3">
        <v>45169</v>
      </c>
      <c r="C81" s="40" t="str">
        <f t="shared" si="12"/>
        <v>8|2023</v>
      </c>
      <c r="D81" s="2" t="s">
        <v>108</v>
      </c>
      <c r="E81" s="2" t="s">
        <v>58</v>
      </c>
      <c r="F81" s="2">
        <v>32999</v>
      </c>
      <c r="G81" s="2" t="s">
        <v>61</v>
      </c>
      <c r="H81" s="3">
        <v>45110</v>
      </c>
      <c r="I81" s="29">
        <f t="shared" si="9"/>
        <v>59</v>
      </c>
      <c r="J81" s="44">
        <f t="shared" si="13"/>
        <v>1</v>
      </c>
      <c r="K81" s="29" t="str">
        <f>VLOOKUP(I81,Etiquetas!B:C,2)</f>
        <v>&lt; 3 Meses</v>
      </c>
      <c r="L81" s="41">
        <f t="shared" si="10"/>
        <v>0</v>
      </c>
      <c r="M81" s="41">
        <f t="shared" si="11"/>
        <v>2</v>
      </c>
      <c r="N81" s="5">
        <v>37660.450000000004</v>
      </c>
      <c r="O81" s="5">
        <v>29880.66</v>
      </c>
      <c r="P81" s="5">
        <v>29880.66</v>
      </c>
      <c r="Q81" s="42">
        <f t="shared" si="14"/>
        <v>1</v>
      </c>
      <c r="R81" s="4">
        <v>0</v>
      </c>
      <c r="S81" s="43">
        <f t="shared" si="15"/>
        <v>0</v>
      </c>
      <c r="T81" s="5">
        <v>121500</v>
      </c>
      <c r="U81" s="5">
        <v>4000</v>
      </c>
      <c r="V81" s="2">
        <v>7</v>
      </c>
      <c r="W81" s="2">
        <v>0</v>
      </c>
      <c r="X81" s="2">
        <v>0</v>
      </c>
      <c r="Y81" s="16">
        <v>3350.6833810265694</v>
      </c>
      <c r="Z81" s="5">
        <v>575</v>
      </c>
    </row>
    <row r="82" spans="1:26" x14ac:dyDescent="0.25">
      <c r="A82" s="22" t="str">
        <f t="shared" si="8"/>
        <v>JAEL BRAVO REYES|0</v>
      </c>
      <c r="B82" s="3">
        <v>45169</v>
      </c>
      <c r="C82" s="40" t="str">
        <f t="shared" si="12"/>
        <v>8|2023</v>
      </c>
      <c r="D82" s="2" t="s">
        <v>108</v>
      </c>
      <c r="E82" s="2" t="s">
        <v>58</v>
      </c>
      <c r="F82" s="2">
        <v>33874</v>
      </c>
      <c r="G82" s="2" t="s">
        <v>62</v>
      </c>
      <c r="H82" s="3">
        <v>45140</v>
      </c>
      <c r="I82" s="29">
        <f t="shared" si="9"/>
        <v>29</v>
      </c>
      <c r="J82" s="44">
        <f t="shared" si="13"/>
        <v>0</v>
      </c>
      <c r="K82" s="29" t="str">
        <f>VLOOKUP(I82,Etiquetas!B:C,2)</f>
        <v>&lt; 3 Meses</v>
      </c>
      <c r="L82" s="41">
        <f t="shared" si="10"/>
        <v>0</v>
      </c>
      <c r="M82" s="41">
        <f t="shared" si="11"/>
        <v>4</v>
      </c>
      <c r="N82" s="5">
        <v>2650.01</v>
      </c>
      <c r="O82" s="5">
        <v>105948.41</v>
      </c>
      <c r="P82" s="5">
        <v>105948.41</v>
      </c>
      <c r="Q82" s="42">
        <f t="shared" si="14"/>
        <v>1</v>
      </c>
      <c r="R82" s="4">
        <v>0</v>
      </c>
      <c r="S82" s="43">
        <f t="shared" si="15"/>
        <v>0</v>
      </c>
      <c r="T82" s="5">
        <v>35000</v>
      </c>
      <c r="U82" s="5">
        <v>112000</v>
      </c>
      <c r="V82" s="2">
        <v>48</v>
      </c>
      <c r="W82" s="2">
        <v>0</v>
      </c>
      <c r="X82" s="2">
        <v>0</v>
      </c>
      <c r="Y82" s="16">
        <v>2162.5</v>
      </c>
      <c r="Z82" s="5">
        <v>3737.5</v>
      </c>
    </row>
    <row r="83" spans="1:26" x14ac:dyDescent="0.25">
      <c r="A83" s="22" t="str">
        <f t="shared" si="8"/>
        <v>OLIVIA LOPEZ HERNANDEZ|7</v>
      </c>
      <c r="B83" s="3">
        <v>45169</v>
      </c>
      <c r="C83" s="40" t="str">
        <f t="shared" si="12"/>
        <v>8|2023</v>
      </c>
      <c r="D83" s="2" t="s">
        <v>108</v>
      </c>
      <c r="E83" s="2" t="s">
        <v>30</v>
      </c>
      <c r="F83" s="2">
        <v>28375</v>
      </c>
      <c r="G83" s="2" t="s">
        <v>31</v>
      </c>
      <c r="H83" s="3">
        <v>44949</v>
      </c>
      <c r="I83" s="29">
        <f t="shared" si="9"/>
        <v>220</v>
      </c>
      <c r="J83" s="44">
        <f t="shared" si="13"/>
        <v>7</v>
      </c>
      <c r="K83" s="29" t="str">
        <f>VLOOKUP(I83,Etiquetas!B:C,2)</f>
        <v>6 a 12 Meses</v>
      </c>
      <c r="L83" s="41">
        <f t="shared" si="10"/>
        <v>6</v>
      </c>
      <c r="M83" s="41">
        <f t="shared" si="11"/>
        <v>9</v>
      </c>
      <c r="N83" s="5">
        <v>845339.12000000011</v>
      </c>
      <c r="O83" s="5">
        <v>796736.29999999993</v>
      </c>
      <c r="P83" s="5">
        <v>722878.28</v>
      </c>
      <c r="Q83" s="42">
        <f t="shared" si="14"/>
        <v>0.90729929086951366</v>
      </c>
      <c r="R83" s="4">
        <v>0</v>
      </c>
      <c r="S83" s="43">
        <f t="shared" si="15"/>
        <v>0</v>
      </c>
      <c r="T83" s="5">
        <v>555665.45455000002</v>
      </c>
      <c r="U83" s="5">
        <v>424000</v>
      </c>
      <c r="V83" s="2">
        <v>34</v>
      </c>
      <c r="W83" s="2">
        <v>32</v>
      </c>
      <c r="X83" s="2">
        <v>19</v>
      </c>
      <c r="Y83" s="16">
        <v>13247.989418712485</v>
      </c>
      <c r="Z83" s="5">
        <v>862.50000000000023</v>
      </c>
    </row>
    <row r="84" spans="1:26" x14ac:dyDescent="0.25">
      <c r="A84" s="22" t="str">
        <f t="shared" si="8"/>
        <v>ISAAC VINICIO BACILIO ESPITIA|1</v>
      </c>
      <c r="B84" s="3">
        <v>45169</v>
      </c>
      <c r="C84" s="40" t="str">
        <f t="shared" si="12"/>
        <v>8|2023</v>
      </c>
      <c r="D84" s="2" t="s">
        <v>108</v>
      </c>
      <c r="E84" s="2" t="s">
        <v>30</v>
      </c>
      <c r="F84" s="2">
        <v>33376</v>
      </c>
      <c r="G84" s="2" t="s">
        <v>32</v>
      </c>
      <c r="H84" s="3">
        <v>45124</v>
      </c>
      <c r="I84" s="29">
        <f t="shared" si="9"/>
        <v>45</v>
      </c>
      <c r="J84" s="44">
        <f t="shared" si="13"/>
        <v>1</v>
      </c>
      <c r="K84" s="29" t="str">
        <f>VLOOKUP(I84,Etiquetas!B:C,2)</f>
        <v>&lt; 3 Meses</v>
      </c>
      <c r="L84" s="41">
        <f t="shared" si="10"/>
        <v>0</v>
      </c>
      <c r="M84" s="41">
        <f t="shared" si="11"/>
        <v>2</v>
      </c>
      <c r="N84" s="5">
        <v>178939.23</v>
      </c>
      <c r="O84" s="5">
        <v>508040.27999999997</v>
      </c>
      <c r="P84" s="5">
        <v>490994.8</v>
      </c>
      <c r="Q84" s="42">
        <f t="shared" si="14"/>
        <v>0.96644856584993621</v>
      </c>
      <c r="R84" s="4">
        <v>0</v>
      </c>
      <c r="S84" s="43">
        <f t="shared" si="15"/>
        <v>0</v>
      </c>
      <c r="T84" s="5">
        <v>189258.81533428718</v>
      </c>
      <c r="U84" s="5">
        <v>381000</v>
      </c>
      <c r="V84" s="2">
        <v>11</v>
      </c>
      <c r="W84" s="2">
        <v>20</v>
      </c>
      <c r="X84" s="2">
        <v>15</v>
      </c>
      <c r="Y84" s="16">
        <v>4305.0032928929195</v>
      </c>
      <c r="Z84" s="5">
        <v>5175</v>
      </c>
    </row>
    <row r="85" spans="1:26" x14ac:dyDescent="0.25">
      <c r="A85" s="22" t="str">
        <f t="shared" si="8"/>
        <v>HECTOR CORONEL VENTURA|1</v>
      </c>
      <c r="B85" s="3">
        <v>45169</v>
      </c>
      <c r="C85" s="40" t="str">
        <f t="shared" si="12"/>
        <v>8|2023</v>
      </c>
      <c r="D85" s="2" t="s">
        <v>108</v>
      </c>
      <c r="E85" s="2" t="s">
        <v>30</v>
      </c>
      <c r="F85" s="2">
        <v>33499</v>
      </c>
      <c r="G85" s="2" t="s">
        <v>33</v>
      </c>
      <c r="H85" s="3">
        <v>45128</v>
      </c>
      <c r="I85" s="29">
        <f t="shared" si="9"/>
        <v>41</v>
      </c>
      <c r="J85" s="44">
        <f t="shared" si="13"/>
        <v>1</v>
      </c>
      <c r="K85" s="29" t="str">
        <f>VLOOKUP(I85,Etiquetas!B:C,2)</f>
        <v>&lt; 3 Meses</v>
      </c>
      <c r="L85" s="41">
        <f t="shared" si="10"/>
        <v>0</v>
      </c>
      <c r="M85" s="41">
        <f t="shared" si="11"/>
        <v>4</v>
      </c>
      <c r="N85" s="5">
        <v>533654.06999999995</v>
      </c>
      <c r="O85" s="5">
        <v>1143374.9300000002</v>
      </c>
      <c r="P85" s="5">
        <v>1143374.9300000002</v>
      </c>
      <c r="Q85" s="42">
        <f t="shared" si="14"/>
        <v>1</v>
      </c>
      <c r="R85" s="4">
        <v>0</v>
      </c>
      <c r="S85" s="43">
        <f t="shared" si="15"/>
        <v>0</v>
      </c>
      <c r="T85" s="5">
        <v>85031.73777315297</v>
      </c>
      <c r="U85" s="5">
        <v>809500</v>
      </c>
      <c r="V85" s="2">
        <v>31</v>
      </c>
      <c r="W85" s="2">
        <v>2</v>
      </c>
      <c r="X85" s="2">
        <v>1</v>
      </c>
      <c r="Y85" s="16">
        <v>5193.75</v>
      </c>
      <c r="Z85" s="5">
        <v>25443.75</v>
      </c>
    </row>
    <row r="86" spans="1:26" x14ac:dyDescent="0.25">
      <c r="A86" s="22" t="str">
        <f t="shared" si="8"/>
        <v>YADIRA LIZBETH RODRIGUEZ COLLADO|5</v>
      </c>
      <c r="B86" s="3">
        <v>45199</v>
      </c>
      <c r="C86" s="40" t="str">
        <f t="shared" si="12"/>
        <v>9|2023</v>
      </c>
      <c r="D86" s="2" t="s">
        <v>63</v>
      </c>
      <c r="E86" s="2" t="s">
        <v>68</v>
      </c>
      <c r="F86" s="2">
        <v>31096</v>
      </c>
      <c r="G86" s="2" t="s">
        <v>69</v>
      </c>
      <c r="H86" s="3">
        <v>45041</v>
      </c>
      <c r="I86" s="29">
        <f t="shared" si="9"/>
        <v>158</v>
      </c>
      <c r="J86" s="44">
        <f t="shared" si="13"/>
        <v>5</v>
      </c>
      <c r="K86" s="29" t="str">
        <f>VLOOKUP(I86,Etiquetas!B:C,2)</f>
        <v>3 a 6 Meses</v>
      </c>
      <c r="L86" s="41">
        <f t="shared" si="10"/>
        <v>3</v>
      </c>
      <c r="M86" s="41">
        <f t="shared" si="11"/>
        <v>5</v>
      </c>
      <c r="N86" s="5">
        <v>1240496.8400000001</v>
      </c>
      <c r="O86" s="5">
        <v>1044506.0099999999</v>
      </c>
      <c r="P86" s="5">
        <v>824039.17999999993</v>
      </c>
      <c r="Q86" s="42">
        <f t="shared" si="14"/>
        <v>0.78892717907865362</v>
      </c>
      <c r="R86" s="4">
        <v>27937.97</v>
      </c>
      <c r="S86" s="43">
        <f t="shared" si="15"/>
        <v>2.67475435588925E-2</v>
      </c>
      <c r="T86" s="5">
        <v>664875.64500000025</v>
      </c>
      <c r="U86" s="5">
        <v>128500</v>
      </c>
      <c r="V86" s="2">
        <v>1</v>
      </c>
      <c r="W86" s="2">
        <v>62</v>
      </c>
      <c r="X86" s="2">
        <v>8</v>
      </c>
      <c r="Y86" s="16">
        <v>17770.518201925912</v>
      </c>
      <c r="Z86" s="5">
        <v>675</v>
      </c>
    </row>
    <row r="87" spans="1:26" x14ac:dyDescent="0.25">
      <c r="A87" s="22" t="str">
        <f t="shared" si="8"/>
        <v>MARIBEL RODRIGUEZ CARRIZOZA|18</v>
      </c>
      <c r="B87" s="3">
        <v>45199</v>
      </c>
      <c r="C87" s="40" t="str">
        <f t="shared" si="12"/>
        <v>9|2023</v>
      </c>
      <c r="D87" s="2" t="s">
        <v>109</v>
      </c>
      <c r="E87" s="2" t="s">
        <v>40</v>
      </c>
      <c r="F87" s="2">
        <v>20314</v>
      </c>
      <c r="G87" s="2" t="s">
        <v>41</v>
      </c>
      <c r="H87" s="3">
        <v>44634</v>
      </c>
      <c r="I87" s="29">
        <f t="shared" si="9"/>
        <v>565</v>
      </c>
      <c r="J87" s="44">
        <f t="shared" si="13"/>
        <v>18</v>
      </c>
      <c r="K87" s="29" t="str">
        <f>VLOOKUP(I87,Etiquetas!B:C,2)</f>
        <v>1.5 a 2 años</v>
      </c>
      <c r="L87" s="41">
        <f t="shared" si="10"/>
        <v>16</v>
      </c>
      <c r="M87" s="41">
        <f t="shared" si="11"/>
        <v>20</v>
      </c>
      <c r="N87" s="5">
        <v>1170570.54</v>
      </c>
      <c r="O87" s="5">
        <v>1064137.6600000001</v>
      </c>
      <c r="P87" s="5">
        <v>974220.06</v>
      </c>
      <c r="Q87" s="42">
        <f t="shared" si="14"/>
        <v>0.91550190978110846</v>
      </c>
      <c r="R87" s="4">
        <v>0</v>
      </c>
      <c r="S87" s="43">
        <f t="shared" si="15"/>
        <v>0</v>
      </c>
      <c r="T87" s="5">
        <v>564135.60739999998</v>
      </c>
      <c r="U87" s="5">
        <v>274500</v>
      </c>
      <c r="V87" s="2">
        <v>0</v>
      </c>
      <c r="W87" s="2">
        <v>54</v>
      </c>
      <c r="X87" s="2">
        <v>30</v>
      </c>
      <c r="Y87" s="16">
        <v>11463.596691557113</v>
      </c>
      <c r="Z87" s="5">
        <v>0</v>
      </c>
    </row>
    <row r="88" spans="1:26" x14ac:dyDescent="0.25">
      <c r="A88" s="22" t="str">
        <f t="shared" si="8"/>
        <v>KARINA TERRAZAS OLVERA|18</v>
      </c>
      <c r="B88" s="3">
        <v>45199</v>
      </c>
      <c r="C88" s="40" t="str">
        <f t="shared" si="12"/>
        <v>9|2023</v>
      </c>
      <c r="D88" s="2" t="s">
        <v>109</v>
      </c>
      <c r="E88" s="2" t="s">
        <v>40</v>
      </c>
      <c r="F88" s="2">
        <v>20315</v>
      </c>
      <c r="G88" s="2" t="s">
        <v>42</v>
      </c>
      <c r="H88" s="3">
        <v>44634</v>
      </c>
      <c r="I88" s="29">
        <f t="shared" si="9"/>
        <v>565</v>
      </c>
      <c r="J88" s="44">
        <f t="shared" si="13"/>
        <v>18</v>
      </c>
      <c r="K88" s="29" t="str">
        <f>VLOOKUP(I88,Etiquetas!B:C,2)</f>
        <v>1.5 a 2 años</v>
      </c>
      <c r="L88" s="41">
        <f t="shared" si="10"/>
        <v>16</v>
      </c>
      <c r="M88" s="41">
        <f t="shared" si="11"/>
        <v>20</v>
      </c>
      <c r="N88" s="5">
        <v>905327.28999999992</v>
      </c>
      <c r="O88" s="5">
        <v>842405.35000000009</v>
      </c>
      <c r="P88" s="5">
        <v>755546.18</v>
      </c>
      <c r="Q88" s="42">
        <f t="shared" si="14"/>
        <v>0.89689147866879049</v>
      </c>
      <c r="R88" s="4">
        <v>14499.54</v>
      </c>
      <c r="S88" s="43">
        <f t="shared" si="15"/>
        <v>1.7212070175005416E-2</v>
      </c>
      <c r="T88" s="5">
        <v>613719.56825000001</v>
      </c>
      <c r="U88" s="5">
        <v>256500</v>
      </c>
      <c r="V88" s="2">
        <v>8</v>
      </c>
      <c r="W88" s="2">
        <v>39</v>
      </c>
      <c r="X88" s="2">
        <v>7</v>
      </c>
      <c r="Y88" s="16">
        <v>15269.010854329199</v>
      </c>
      <c r="Z88" s="5">
        <v>487.5</v>
      </c>
    </row>
    <row r="89" spans="1:26" x14ac:dyDescent="0.25">
      <c r="A89" s="22" t="str">
        <f t="shared" si="8"/>
        <v>LIZBETH GUADALUPE MUJICA HERNANDEZ|5</v>
      </c>
      <c r="B89" s="3">
        <v>45199</v>
      </c>
      <c r="C89" s="40" t="str">
        <f t="shared" si="12"/>
        <v>9|2023</v>
      </c>
      <c r="D89" s="2" t="s">
        <v>109</v>
      </c>
      <c r="E89" s="2" t="s">
        <v>40</v>
      </c>
      <c r="F89" s="2">
        <v>30967</v>
      </c>
      <c r="G89" s="2" t="s">
        <v>43</v>
      </c>
      <c r="H89" s="3">
        <v>45036</v>
      </c>
      <c r="I89" s="29">
        <f t="shared" si="9"/>
        <v>163</v>
      </c>
      <c r="J89" s="44">
        <f t="shared" si="13"/>
        <v>5</v>
      </c>
      <c r="K89" s="29" t="str">
        <f>VLOOKUP(I89,Etiquetas!B:C,2)</f>
        <v>3 a 6 Meses</v>
      </c>
      <c r="L89" s="41">
        <f t="shared" si="10"/>
        <v>3</v>
      </c>
      <c r="M89" s="41">
        <f t="shared" si="11"/>
        <v>7</v>
      </c>
      <c r="N89" s="5">
        <v>2179159.9500000002</v>
      </c>
      <c r="O89" s="5">
        <v>2072482.76</v>
      </c>
      <c r="P89" s="5">
        <v>1830304.5500000003</v>
      </c>
      <c r="Q89" s="42">
        <f t="shared" si="14"/>
        <v>0.88314585063182882</v>
      </c>
      <c r="R89" s="4">
        <v>45491.19</v>
      </c>
      <c r="S89" s="43">
        <f t="shared" si="15"/>
        <v>2.1950093326711197E-2</v>
      </c>
      <c r="T89" s="5">
        <v>581965.22609999997</v>
      </c>
      <c r="U89" s="5">
        <v>564000</v>
      </c>
      <c r="V89" s="2">
        <v>6</v>
      </c>
      <c r="W89" s="2">
        <v>75</v>
      </c>
      <c r="X89" s="2">
        <v>52</v>
      </c>
      <c r="Y89" s="16">
        <v>9525</v>
      </c>
      <c r="Z89" s="5">
        <v>975</v>
      </c>
    </row>
    <row r="90" spans="1:26" x14ac:dyDescent="0.25">
      <c r="A90" s="22" t="str">
        <f t="shared" si="8"/>
        <v>ANDRES DE JESUS PALOMARES PASTRANA|2</v>
      </c>
      <c r="B90" s="3">
        <v>45199</v>
      </c>
      <c r="C90" s="40" t="str">
        <f t="shared" si="12"/>
        <v>9|2023</v>
      </c>
      <c r="D90" s="2" t="s">
        <v>109</v>
      </c>
      <c r="E90" s="2" t="s">
        <v>40</v>
      </c>
      <c r="F90" s="2">
        <v>33543</v>
      </c>
      <c r="G90" s="2" t="s">
        <v>44</v>
      </c>
      <c r="H90" s="3">
        <v>45128</v>
      </c>
      <c r="I90" s="29">
        <f t="shared" si="9"/>
        <v>71</v>
      </c>
      <c r="J90" s="44">
        <f t="shared" si="13"/>
        <v>2</v>
      </c>
      <c r="K90" s="29" t="str">
        <f>VLOOKUP(I90,Etiquetas!B:C,2)</f>
        <v>&lt; 3 Meses</v>
      </c>
      <c r="L90" s="41">
        <f t="shared" si="10"/>
        <v>1</v>
      </c>
      <c r="M90" s="41">
        <f t="shared" si="11"/>
        <v>2</v>
      </c>
      <c r="N90" s="5">
        <v>489022.56</v>
      </c>
      <c r="O90" s="5">
        <v>465823.65999999986</v>
      </c>
      <c r="P90" s="5">
        <v>337395.12999999995</v>
      </c>
      <c r="Q90" s="42">
        <f t="shared" si="14"/>
        <v>0.72429796717496064</v>
      </c>
      <c r="R90" s="4">
        <v>12849.640000000001</v>
      </c>
      <c r="S90" s="43">
        <f t="shared" si="15"/>
        <v>2.7584773173608239E-2</v>
      </c>
      <c r="T90" s="5">
        <v>278430.20629999996</v>
      </c>
      <c r="U90" s="5">
        <v>111500</v>
      </c>
      <c r="V90" s="2">
        <v>0</v>
      </c>
      <c r="W90" s="2">
        <v>0</v>
      </c>
      <c r="X90" s="2">
        <v>0</v>
      </c>
      <c r="Y90" s="16">
        <v>5262.443690769248</v>
      </c>
      <c r="Z90" s="5">
        <v>2000</v>
      </c>
    </row>
    <row r="91" spans="1:26" x14ac:dyDescent="0.25">
      <c r="A91" s="22" t="str">
        <f t="shared" si="8"/>
        <v>GUADALUPE CARMONA ANTONIO|1</v>
      </c>
      <c r="B91" s="3">
        <v>45199</v>
      </c>
      <c r="C91" s="40" t="str">
        <f t="shared" si="12"/>
        <v>9|2023</v>
      </c>
      <c r="D91" s="2" t="s">
        <v>109</v>
      </c>
      <c r="E91" s="2" t="s">
        <v>40</v>
      </c>
      <c r="F91" s="2">
        <v>33878</v>
      </c>
      <c r="G91" s="2" t="s">
        <v>45</v>
      </c>
      <c r="H91" s="3">
        <v>45140</v>
      </c>
      <c r="I91" s="29">
        <f t="shared" si="9"/>
        <v>59</v>
      </c>
      <c r="J91" s="44">
        <f t="shared" si="13"/>
        <v>1</v>
      </c>
      <c r="K91" s="29" t="str">
        <f>VLOOKUP(I91,Etiquetas!B:C,2)</f>
        <v>&lt; 3 Meses</v>
      </c>
      <c r="L91" s="41">
        <f t="shared" si="10"/>
        <v>0</v>
      </c>
      <c r="M91" s="41">
        <f t="shared" si="11"/>
        <v>4</v>
      </c>
      <c r="N91" s="5">
        <v>129111.69</v>
      </c>
      <c r="O91" s="5">
        <v>212272.25999999998</v>
      </c>
      <c r="P91" s="5">
        <v>212272.25999999998</v>
      </c>
      <c r="Q91" s="42">
        <f t="shared" si="14"/>
        <v>1</v>
      </c>
      <c r="R91" s="4">
        <v>0</v>
      </c>
      <c r="S91" s="43">
        <f t="shared" si="15"/>
        <v>0</v>
      </c>
      <c r="T91" s="5">
        <v>121500</v>
      </c>
      <c r="U91" s="5">
        <v>130000</v>
      </c>
      <c r="V91" s="2">
        <v>22</v>
      </c>
      <c r="W91" s="2">
        <v>0</v>
      </c>
      <c r="X91" s="2">
        <v>0</v>
      </c>
      <c r="Y91" s="16">
        <v>3919.1237161224813</v>
      </c>
      <c r="Z91" s="5">
        <v>3450</v>
      </c>
    </row>
    <row r="92" spans="1:26" x14ac:dyDescent="0.25">
      <c r="A92" s="22" t="str">
        <f t="shared" si="8"/>
        <v>MARISELA HERNANDEZ MORINCHEL|12</v>
      </c>
      <c r="B92" s="3">
        <v>45199</v>
      </c>
      <c r="C92" s="40" t="str">
        <f t="shared" si="12"/>
        <v>9|2023</v>
      </c>
      <c r="D92" s="2" t="s">
        <v>109</v>
      </c>
      <c r="E92" s="2" t="s">
        <v>17</v>
      </c>
      <c r="F92" s="2">
        <v>25237</v>
      </c>
      <c r="G92" s="2" t="s">
        <v>18</v>
      </c>
      <c r="H92" s="3">
        <v>44824</v>
      </c>
      <c r="I92" s="29">
        <f t="shared" si="9"/>
        <v>375</v>
      </c>
      <c r="J92" s="44">
        <f t="shared" si="13"/>
        <v>12</v>
      </c>
      <c r="K92" s="29" t="str">
        <f>VLOOKUP(I92,Etiquetas!B:C,2)</f>
        <v>1 a 1.5 años</v>
      </c>
      <c r="L92" s="41">
        <f t="shared" si="10"/>
        <v>10</v>
      </c>
      <c r="M92" s="41">
        <f t="shared" si="11"/>
        <v>12</v>
      </c>
      <c r="N92" s="5">
        <v>1674124.0600000005</v>
      </c>
      <c r="O92" s="5">
        <v>1781623.3099999998</v>
      </c>
      <c r="P92" s="5">
        <v>1557807.92</v>
      </c>
      <c r="Q92" s="42">
        <f t="shared" si="14"/>
        <v>0.87437558279364902</v>
      </c>
      <c r="R92" s="4">
        <v>32300.42</v>
      </c>
      <c r="S92" s="43">
        <f t="shared" si="15"/>
        <v>1.8129769530238128E-2</v>
      </c>
      <c r="T92" s="5">
        <v>1233213.2402499998</v>
      </c>
      <c r="U92" s="5">
        <v>918000</v>
      </c>
      <c r="V92" s="2">
        <v>12</v>
      </c>
      <c r="W92" s="2">
        <v>84</v>
      </c>
      <c r="X92" s="2">
        <v>64</v>
      </c>
      <c r="Y92" s="16">
        <v>26068.041738319102</v>
      </c>
      <c r="Z92" s="5">
        <v>780.00000000000023</v>
      </c>
    </row>
    <row r="93" spans="1:26" x14ac:dyDescent="0.25">
      <c r="A93" s="22" t="str">
        <f t="shared" si="8"/>
        <v>BRENDA DANIELA RODRIGUEZ REYES|8</v>
      </c>
      <c r="B93" s="3">
        <v>45199</v>
      </c>
      <c r="C93" s="40" t="str">
        <f t="shared" si="12"/>
        <v>9|2023</v>
      </c>
      <c r="D93" s="2" t="s">
        <v>109</v>
      </c>
      <c r="E93" s="2" t="s">
        <v>17</v>
      </c>
      <c r="F93" s="2">
        <v>28239</v>
      </c>
      <c r="G93" s="2" t="s">
        <v>19</v>
      </c>
      <c r="H93" s="3">
        <v>44943</v>
      </c>
      <c r="I93" s="29">
        <f t="shared" si="9"/>
        <v>256</v>
      </c>
      <c r="J93" s="44">
        <f t="shared" si="13"/>
        <v>8</v>
      </c>
      <c r="K93" s="29" t="str">
        <f>VLOOKUP(I93,Etiquetas!B:C,2)</f>
        <v>6 a 12 Meses</v>
      </c>
      <c r="L93" s="41">
        <f t="shared" si="10"/>
        <v>6</v>
      </c>
      <c r="M93" s="41">
        <f t="shared" si="11"/>
        <v>10</v>
      </c>
      <c r="N93" s="5">
        <v>396423.34000000008</v>
      </c>
      <c r="O93" s="5">
        <v>500316.26999999996</v>
      </c>
      <c r="P93" s="5">
        <v>467932.39999999997</v>
      </c>
      <c r="Q93" s="42">
        <f t="shared" si="14"/>
        <v>0.93527320228862432</v>
      </c>
      <c r="R93" s="4">
        <v>0</v>
      </c>
      <c r="S93" s="43">
        <f t="shared" si="15"/>
        <v>0</v>
      </c>
      <c r="T93" s="5">
        <v>345269.57165</v>
      </c>
      <c r="U93" s="5">
        <v>318000</v>
      </c>
      <c r="V93" s="2">
        <v>9</v>
      </c>
      <c r="W93" s="2">
        <v>16</v>
      </c>
      <c r="X93" s="2">
        <v>13</v>
      </c>
      <c r="Y93" s="16">
        <v>6984.5986956018714</v>
      </c>
      <c r="Z93" s="5">
        <v>2130</v>
      </c>
    </row>
    <row r="94" spans="1:26" x14ac:dyDescent="0.25">
      <c r="A94" s="22" t="str">
        <f t="shared" si="8"/>
        <v>ARIAN AGUILAR PLATA|7</v>
      </c>
      <c r="B94" s="3">
        <v>45199</v>
      </c>
      <c r="C94" s="40" t="str">
        <f t="shared" si="12"/>
        <v>9|2023</v>
      </c>
      <c r="D94" s="2" t="s">
        <v>109</v>
      </c>
      <c r="E94" s="2" t="s">
        <v>17</v>
      </c>
      <c r="F94" s="2">
        <v>28894</v>
      </c>
      <c r="G94" s="2" t="s">
        <v>20</v>
      </c>
      <c r="H94" s="3">
        <v>44966</v>
      </c>
      <c r="I94" s="29">
        <f t="shared" si="9"/>
        <v>233</v>
      </c>
      <c r="J94" s="44">
        <f t="shared" si="13"/>
        <v>7</v>
      </c>
      <c r="K94" s="29" t="str">
        <f>VLOOKUP(I94,Etiquetas!B:C,2)</f>
        <v>6 a 12 Meses</v>
      </c>
      <c r="L94" s="41">
        <f t="shared" si="10"/>
        <v>5</v>
      </c>
      <c r="M94" s="41">
        <f t="shared" si="11"/>
        <v>7</v>
      </c>
      <c r="N94" s="5">
        <v>694011.52</v>
      </c>
      <c r="O94" s="5">
        <v>634245.62</v>
      </c>
      <c r="P94" s="5">
        <v>571013.06999999995</v>
      </c>
      <c r="Q94" s="42">
        <f t="shared" si="14"/>
        <v>0.90030274075838312</v>
      </c>
      <c r="R94" s="4">
        <v>0</v>
      </c>
      <c r="S94" s="43">
        <f t="shared" si="15"/>
        <v>0</v>
      </c>
      <c r="T94" s="5">
        <v>416614.89900000003</v>
      </c>
      <c r="U94" s="5">
        <v>150000</v>
      </c>
      <c r="V94" s="2">
        <v>16</v>
      </c>
      <c r="W94" s="2">
        <v>25</v>
      </c>
      <c r="X94" s="2">
        <v>16</v>
      </c>
      <c r="Y94" s="16">
        <v>6297.063158107977</v>
      </c>
      <c r="Z94" s="5">
        <v>1065</v>
      </c>
    </row>
    <row r="95" spans="1:26" x14ac:dyDescent="0.25">
      <c r="A95" s="22" t="str">
        <f t="shared" si="8"/>
        <v>MARIA ANGELICA VILLA MARTINEZ|1</v>
      </c>
      <c r="B95" s="3">
        <v>45199</v>
      </c>
      <c r="C95" s="40" t="str">
        <f t="shared" si="12"/>
        <v>9|2023</v>
      </c>
      <c r="D95" s="2" t="s">
        <v>109</v>
      </c>
      <c r="E95" s="2" t="s">
        <v>17</v>
      </c>
      <c r="F95" s="2">
        <v>33995</v>
      </c>
      <c r="G95" s="2" t="s">
        <v>21</v>
      </c>
      <c r="H95" s="3">
        <v>45146</v>
      </c>
      <c r="I95" s="29">
        <f t="shared" si="9"/>
        <v>53</v>
      </c>
      <c r="J95" s="44">
        <f t="shared" si="13"/>
        <v>1</v>
      </c>
      <c r="K95" s="29" t="str">
        <f>VLOOKUP(I95,Etiquetas!B:C,2)</f>
        <v>&lt; 3 Meses</v>
      </c>
      <c r="L95" s="41">
        <f t="shared" si="10"/>
        <v>0</v>
      </c>
      <c r="M95" s="41">
        <f t="shared" si="11"/>
        <v>1</v>
      </c>
      <c r="N95" s="5">
        <v>99999.8</v>
      </c>
      <c r="O95" s="5">
        <v>200810.02999999997</v>
      </c>
      <c r="P95" s="5">
        <v>200810.02999999997</v>
      </c>
      <c r="Q95" s="42">
        <f t="shared" si="14"/>
        <v>1</v>
      </c>
      <c r="R95" s="4">
        <v>0</v>
      </c>
      <c r="S95" s="43">
        <f t="shared" si="15"/>
        <v>0</v>
      </c>
      <c r="T95" s="5">
        <v>121500</v>
      </c>
      <c r="U95" s="5">
        <v>142000</v>
      </c>
      <c r="V95" s="2">
        <v>27</v>
      </c>
      <c r="W95" s="2">
        <v>0</v>
      </c>
      <c r="X95" s="2">
        <v>0</v>
      </c>
      <c r="Y95" s="16">
        <v>3253.8500816345395</v>
      </c>
      <c r="Z95" s="5">
        <v>3450</v>
      </c>
    </row>
    <row r="96" spans="1:26" x14ac:dyDescent="0.25">
      <c r="A96" s="22" t="str">
        <f t="shared" si="8"/>
        <v>LAURA LORENA PEREZ MENDOZA|4</v>
      </c>
      <c r="B96" s="3">
        <v>45199</v>
      </c>
      <c r="C96" s="40" t="str">
        <f t="shared" si="12"/>
        <v>9|2023</v>
      </c>
      <c r="D96" s="2" t="s">
        <v>109</v>
      </c>
      <c r="E96" s="2" t="s">
        <v>49</v>
      </c>
      <c r="F96" s="2">
        <v>31346</v>
      </c>
      <c r="G96" s="22" t="s">
        <v>93</v>
      </c>
      <c r="H96" s="3">
        <v>45054</v>
      </c>
      <c r="I96" s="29">
        <f t="shared" si="9"/>
        <v>145</v>
      </c>
      <c r="J96" s="44">
        <f t="shared" si="13"/>
        <v>4</v>
      </c>
      <c r="K96" s="29" t="str">
        <f>VLOOKUP(I96,Etiquetas!B:C,2)</f>
        <v>3 a 6 Meses</v>
      </c>
      <c r="L96" s="41">
        <f t="shared" si="10"/>
        <v>2</v>
      </c>
      <c r="M96" s="41">
        <f t="shared" si="11"/>
        <v>6</v>
      </c>
      <c r="N96" s="5">
        <v>762765.2</v>
      </c>
      <c r="O96" s="5">
        <v>1074855.1599999999</v>
      </c>
      <c r="P96" s="5">
        <v>1015171.8600000002</v>
      </c>
      <c r="Q96" s="42">
        <f t="shared" si="14"/>
        <v>0.94447316976177542</v>
      </c>
      <c r="R96" s="4">
        <v>0</v>
      </c>
      <c r="S96" s="43">
        <f t="shared" si="15"/>
        <v>0</v>
      </c>
      <c r="T96" s="5">
        <v>475518.95814999996</v>
      </c>
      <c r="U96" s="5">
        <v>572000</v>
      </c>
      <c r="V96" s="2">
        <v>36</v>
      </c>
      <c r="W96" s="2">
        <v>61</v>
      </c>
      <c r="X96" s="2">
        <v>42</v>
      </c>
      <c r="Y96" s="16">
        <v>11514.877062150777</v>
      </c>
      <c r="Z96" s="5">
        <v>18007.5</v>
      </c>
    </row>
    <row r="97" spans="1:26" x14ac:dyDescent="0.25">
      <c r="A97" s="22" t="str">
        <f t="shared" si="8"/>
        <v>RODOLFO ALBERTO SORIANO MEJIA|1</v>
      </c>
      <c r="B97" s="3">
        <v>45199</v>
      </c>
      <c r="C97" s="40" t="str">
        <f t="shared" si="12"/>
        <v>9|2023</v>
      </c>
      <c r="D97" s="2" t="s">
        <v>109</v>
      </c>
      <c r="E97" s="2" t="s">
        <v>49</v>
      </c>
      <c r="F97" s="2">
        <v>33877</v>
      </c>
      <c r="G97" s="2" t="s">
        <v>50</v>
      </c>
      <c r="H97" s="3">
        <v>45140</v>
      </c>
      <c r="I97" s="29">
        <f t="shared" si="9"/>
        <v>59</v>
      </c>
      <c r="J97" s="44">
        <f t="shared" si="13"/>
        <v>1</v>
      </c>
      <c r="K97" s="29" t="str">
        <f>VLOOKUP(I97,Etiquetas!B:C,2)</f>
        <v>&lt; 3 Meses</v>
      </c>
      <c r="L97" s="41">
        <f t="shared" si="10"/>
        <v>0</v>
      </c>
      <c r="M97" s="41">
        <f t="shared" si="11"/>
        <v>1</v>
      </c>
      <c r="N97" s="5">
        <v>410462.61999999994</v>
      </c>
      <c r="O97" s="5">
        <v>287325.49</v>
      </c>
      <c r="P97" s="5">
        <v>265951.44</v>
      </c>
      <c r="Q97" s="42">
        <f t="shared" si="14"/>
        <v>0.92561032437463175</v>
      </c>
      <c r="R97" s="4">
        <v>0</v>
      </c>
      <c r="S97" s="43">
        <f t="shared" si="15"/>
        <v>0</v>
      </c>
      <c r="T97" s="5">
        <v>121500</v>
      </c>
      <c r="U97" s="5">
        <v>81000</v>
      </c>
      <c r="V97" s="2">
        <v>3</v>
      </c>
      <c r="W97" s="2">
        <v>0</v>
      </c>
      <c r="X97" s="2">
        <v>0</v>
      </c>
      <c r="Y97" s="16">
        <v>2812.5</v>
      </c>
      <c r="Z97" s="5">
        <v>2000</v>
      </c>
    </row>
    <row r="98" spans="1:26" x14ac:dyDescent="0.25">
      <c r="A98" s="22" t="str">
        <f t="shared" si="8"/>
        <v>JONNY ROMAN GARCIA VALENTINO|44</v>
      </c>
      <c r="B98" s="3">
        <v>45199</v>
      </c>
      <c r="C98" s="40" t="str">
        <f t="shared" si="12"/>
        <v>9|2023</v>
      </c>
      <c r="D98" s="2" t="s">
        <v>109</v>
      </c>
      <c r="E98" s="2" t="s">
        <v>51</v>
      </c>
      <c r="F98" s="2">
        <v>34012</v>
      </c>
      <c r="G98" s="2" t="s">
        <v>53</v>
      </c>
      <c r="H98" s="3">
        <v>43850</v>
      </c>
      <c r="I98" s="29">
        <f t="shared" si="9"/>
        <v>1349</v>
      </c>
      <c r="J98" s="44">
        <f t="shared" si="13"/>
        <v>44</v>
      </c>
      <c r="K98" s="29" t="str">
        <f>VLOOKUP(I98,Etiquetas!B:C,2)</f>
        <v>Mas de 3 años</v>
      </c>
      <c r="L98" s="41">
        <f t="shared" si="10"/>
        <v>42</v>
      </c>
      <c r="M98" s="41">
        <f t="shared" si="11"/>
        <v>47</v>
      </c>
      <c r="N98" s="5">
        <v>1274313.6500000001</v>
      </c>
      <c r="O98" s="5">
        <v>1485091.73</v>
      </c>
      <c r="P98" s="5">
        <v>1368427.69</v>
      </c>
      <c r="Q98" s="42">
        <f t="shared" si="14"/>
        <v>0.92144320943730529</v>
      </c>
      <c r="R98" s="4">
        <v>0</v>
      </c>
      <c r="S98" s="43">
        <f t="shared" si="15"/>
        <v>0</v>
      </c>
      <c r="T98" s="5">
        <v>655805.02805000008</v>
      </c>
      <c r="U98" s="5">
        <v>674000</v>
      </c>
      <c r="V98" s="2">
        <v>6</v>
      </c>
      <c r="W98" s="2">
        <v>0</v>
      </c>
      <c r="X98" s="2">
        <v>0</v>
      </c>
      <c r="Y98" s="16">
        <v>16606.835268328221</v>
      </c>
      <c r="Z98" s="5">
        <v>7025</v>
      </c>
    </row>
    <row r="99" spans="1:26" x14ac:dyDescent="0.25">
      <c r="A99" s="22" t="str">
        <f t="shared" si="8"/>
        <v>NADINE GUADALUPE URIBE SANTIAGO|8</v>
      </c>
      <c r="B99" s="3">
        <v>45199</v>
      </c>
      <c r="C99" s="40" t="str">
        <f t="shared" si="12"/>
        <v>9|2023</v>
      </c>
      <c r="D99" s="2" t="s">
        <v>109</v>
      </c>
      <c r="E99" s="2" t="s">
        <v>51</v>
      </c>
      <c r="F99" s="2">
        <v>33385</v>
      </c>
      <c r="G99" s="2" t="s">
        <v>52</v>
      </c>
      <c r="H99" s="3">
        <v>44958</v>
      </c>
      <c r="I99" s="29">
        <f t="shared" si="9"/>
        <v>241</v>
      </c>
      <c r="J99" s="44">
        <f t="shared" si="13"/>
        <v>8</v>
      </c>
      <c r="K99" s="29" t="str">
        <f>VLOOKUP(I99,Etiquetas!B:C,2)</f>
        <v>6 a 12 Meses</v>
      </c>
      <c r="L99" s="41">
        <f t="shared" si="10"/>
        <v>6</v>
      </c>
      <c r="M99" s="41">
        <f t="shared" si="11"/>
        <v>10</v>
      </c>
      <c r="N99" s="5">
        <v>1659826.48</v>
      </c>
      <c r="O99" s="5">
        <v>1795144.8599999996</v>
      </c>
      <c r="P99" s="5">
        <v>1518395.77</v>
      </c>
      <c r="Q99" s="42">
        <f t="shared" si="14"/>
        <v>0.84583467542558111</v>
      </c>
      <c r="R99" s="4">
        <v>63527.03</v>
      </c>
      <c r="S99" s="43">
        <f t="shared" si="15"/>
        <v>3.5388247163518613E-2</v>
      </c>
      <c r="T99" s="5">
        <v>1124406.0352500002</v>
      </c>
      <c r="U99" s="5">
        <v>853000</v>
      </c>
      <c r="V99" s="2">
        <v>0</v>
      </c>
      <c r="W99" s="2">
        <v>56</v>
      </c>
      <c r="X99" s="2">
        <v>34</v>
      </c>
      <c r="Y99" s="16">
        <v>21994.263172011237</v>
      </c>
      <c r="Z99" s="5">
        <v>8385</v>
      </c>
    </row>
    <row r="100" spans="1:26" x14ac:dyDescent="0.25">
      <c r="A100" s="22" t="str">
        <f t="shared" si="8"/>
        <v>ULISES URIEL PARTIDA MENDEZ|0</v>
      </c>
      <c r="B100" s="3">
        <v>45199</v>
      </c>
      <c r="C100" s="40" t="str">
        <f t="shared" si="12"/>
        <v>9|2023</v>
      </c>
      <c r="D100" s="2" t="s">
        <v>109</v>
      </c>
      <c r="E100" s="2" t="s">
        <v>51</v>
      </c>
      <c r="F100" s="2">
        <v>35102</v>
      </c>
      <c r="G100" s="2" t="s">
        <v>77</v>
      </c>
      <c r="H100" s="3">
        <v>45187</v>
      </c>
      <c r="I100" s="29">
        <f t="shared" si="9"/>
        <v>12</v>
      </c>
      <c r="J100" s="44">
        <f t="shared" si="13"/>
        <v>0</v>
      </c>
      <c r="K100" s="29" t="str">
        <f>VLOOKUP(I100,Etiquetas!B:C,2)</f>
        <v>&lt; 3 Meses</v>
      </c>
      <c r="L100" s="41">
        <f t="shared" si="10"/>
        <v>0</v>
      </c>
      <c r="M100" s="41">
        <f t="shared" si="11"/>
        <v>2</v>
      </c>
      <c r="N100" s="5"/>
      <c r="O100" s="5"/>
      <c r="P100" s="5">
        <v>0</v>
      </c>
      <c r="Q100" s="42">
        <f t="shared" si="14"/>
        <v>0</v>
      </c>
      <c r="R100" s="4">
        <v>0</v>
      </c>
      <c r="S100" s="43">
        <f t="shared" si="15"/>
        <v>0</v>
      </c>
      <c r="T100" s="5">
        <v>35000</v>
      </c>
      <c r="U100" s="5">
        <v>0</v>
      </c>
      <c r="V100" s="2">
        <v>5</v>
      </c>
      <c r="W100" s="2">
        <v>0</v>
      </c>
      <c r="X100" s="2">
        <v>0</v>
      </c>
      <c r="Y100" s="16">
        <v>2162.5</v>
      </c>
      <c r="Z100" s="5">
        <v>2000</v>
      </c>
    </row>
    <row r="101" spans="1:26" x14ac:dyDescent="0.25">
      <c r="A101" s="22" t="str">
        <f t="shared" si="8"/>
        <v>DENISSE FUENTES CASTRO|12</v>
      </c>
      <c r="B101" s="3">
        <v>45199</v>
      </c>
      <c r="C101" s="40" t="str">
        <f t="shared" si="12"/>
        <v>9|2023</v>
      </c>
      <c r="D101" s="2" t="s">
        <v>109</v>
      </c>
      <c r="E101" s="2" t="s">
        <v>54</v>
      </c>
      <c r="F101" s="2">
        <v>25227</v>
      </c>
      <c r="G101" s="2" t="s">
        <v>55</v>
      </c>
      <c r="H101" s="3">
        <v>44823</v>
      </c>
      <c r="I101" s="29">
        <f t="shared" si="9"/>
        <v>376</v>
      </c>
      <c r="J101" s="44">
        <f t="shared" si="13"/>
        <v>12</v>
      </c>
      <c r="K101" s="29" t="str">
        <f>VLOOKUP(I101,Etiquetas!B:C,2)</f>
        <v>1 a 1.5 años</v>
      </c>
      <c r="L101" s="41">
        <f t="shared" si="10"/>
        <v>1</v>
      </c>
      <c r="M101" s="41">
        <f t="shared" si="11"/>
        <v>14</v>
      </c>
      <c r="N101" s="5">
        <v>1599896.2999999998</v>
      </c>
      <c r="O101" s="5">
        <v>1090773.07</v>
      </c>
      <c r="P101" s="5">
        <v>849632.9</v>
      </c>
      <c r="Q101" s="42">
        <f t="shared" si="14"/>
        <v>0.77892727953028762</v>
      </c>
      <c r="R101" s="4">
        <v>13290.72</v>
      </c>
      <c r="S101" s="43">
        <f t="shared" si="15"/>
        <v>1.2184679256887043E-2</v>
      </c>
      <c r="T101" s="5">
        <v>415745.03739999997</v>
      </c>
      <c r="U101" s="5">
        <v>89000</v>
      </c>
      <c r="V101" s="2">
        <v>21</v>
      </c>
      <c r="W101" s="2">
        <v>25</v>
      </c>
      <c r="X101" s="2">
        <v>5</v>
      </c>
      <c r="Y101" s="16">
        <v>5843.75</v>
      </c>
      <c r="Z101" s="5">
        <v>1537.5000000000005</v>
      </c>
    </row>
    <row r="102" spans="1:26" x14ac:dyDescent="0.25">
      <c r="A102" s="22" t="str">
        <f t="shared" si="8"/>
        <v>NELLYE SAAVEDRA SALVADOR|6</v>
      </c>
      <c r="B102" s="3">
        <v>45199</v>
      </c>
      <c r="C102" s="40" t="str">
        <f t="shared" si="12"/>
        <v>9|2023</v>
      </c>
      <c r="D102" s="2" t="s">
        <v>109</v>
      </c>
      <c r="E102" s="2" t="s">
        <v>54</v>
      </c>
      <c r="F102" s="2">
        <v>30049</v>
      </c>
      <c r="G102" s="2" t="s">
        <v>56</v>
      </c>
      <c r="H102" s="3">
        <v>45006</v>
      </c>
      <c r="I102" s="29">
        <f t="shared" si="9"/>
        <v>193</v>
      </c>
      <c r="J102" s="44">
        <f t="shared" si="13"/>
        <v>6</v>
      </c>
      <c r="K102" s="29" t="str">
        <f>VLOOKUP(I102,Etiquetas!B:C,2)</f>
        <v>6 a 12 Meses</v>
      </c>
      <c r="L102" s="41">
        <f t="shared" si="10"/>
        <v>4</v>
      </c>
      <c r="M102" s="41">
        <f t="shared" si="11"/>
        <v>8</v>
      </c>
      <c r="N102" s="5">
        <v>537514.53</v>
      </c>
      <c r="O102" s="5">
        <v>499608.65</v>
      </c>
      <c r="P102" s="5">
        <v>499608.65</v>
      </c>
      <c r="Q102" s="42">
        <f t="shared" si="14"/>
        <v>1</v>
      </c>
      <c r="R102" s="4">
        <v>0</v>
      </c>
      <c r="S102" s="43">
        <f t="shared" si="15"/>
        <v>0</v>
      </c>
      <c r="T102" s="5">
        <v>384654.59795000002</v>
      </c>
      <c r="U102" s="5">
        <v>193000</v>
      </c>
      <c r="V102" s="2">
        <v>6</v>
      </c>
      <c r="W102" s="2">
        <v>16</v>
      </c>
      <c r="X102" s="2">
        <v>11</v>
      </c>
      <c r="Y102" s="16">
        <v>6911.1570936676289</v>
      </c>
      <c r="Z102" s="5">
        <v>2645</v>
      </c>
    </row>
    <row r="103" spans="1:26" x14ac:dyDescent="0.25">
      <c r="A103" s="22" t="str">
        <f t="shared" si="8"/>
        <v>JORGE ALBERTO CONTRERAS SEGUNDO|1</v>
      </c>
      <c r="B103" s="3">
        <v>45199</v>
      </c>
      <c r="C103" s="40" t="str">
        <f t="shared" si="12"/>
        <v>9|2023</v>
      </c>
      <c r="D103" s="2" t="s">
        <v>109</v>
      </c>
      <c r="E103" s="2" t="s">
        <v>54</v>
      </c>
      <c r="F103" s="2">
        <v>34226</v>
      </c>
      <c r="G103" s="2" t="s">
        <v>57</v>
      </c>
      <c r="H103" s="3">
        <v>45154</v>
      </c>
      <c r="I103" s="29">
        <f t="shared" si="9"/>
        <v>45</v>
      </c>
      <c r="J103" s="44">
        <f t="shared" si="13"/>
        <v>1</v>
      </c>
      <c r="K103" s="29" t="str">
        <f>VLOOKUP(I103,Etiquetas!B:C,2)</f>
        <v>&lt; 3 Meses</v>
      </c>
      <c r="L103" s="41">
        <f t="shared" si="10"/>
        <v>0</v>
      </c>
      <c r="M103" s="41">
        <f t="shared" si="11"/>
        <v>3</v>
      </c>
      <c r="N103" s="5">
        <v>530866.86</v>
      </c>
      <c r="O103" s="5">
        <v>533139.66</v>
      </c>
      <c r="P103" s="5">
        <v>372616.19000000006</v>
      </c>
      <c r="Q103" s="42">
        <f t="shared" si="14"/>
        <v>0.69890915637377271</v>
      </c>
      <c r="R103" s="4">
        <v>0</v>
      </c>
      <c r="S103" s="43">
        <f t="shared" si="15"/>
        <v>0</v>
      </c>
      <c r="T103" s="5">
        <v>187730.42749999999</v>
      </c>
      <c r="U103" s="5">
        <v>114000</v>
      </c>
      <c r="V103" s="2">
        <v>20</v>
      </c>
      <c r="W103" s="2">
        <v>0</v>
      </c>
      <c r="X103" s="2">
        <v>0</v>
      </c>
      <c r="Y103" s="16">
        <v>3462.5</v>
      </c>
      <c r="Z103" s="5">
        <v>2000</v>
      </c>
    </row>
    <row r="104" spans="1:26" x14ac:dyDescent="0.25">
      <c r="A104" s="22" t="str">
        <f t="shared" si="8"/>
        <v>HUGO ENRIQUE SEVILLANO ONOFRE|0</v>
      </c>
      <c r="B104" s="3">
        <v>45199</v>
      </c>
      <c r="C104" s="40" t="str">
        <f t="shared" si="12"/>
        <v>9|2023</v>
      </c>
      <c r="D104" s="2" t="s">
        <v>109</v>
      </c>
      <c r="E104" s="2" t="s">
        <v>54</v>
      </c>
      <c r="F104" s="2">
        <v>34786</v>
      </c>
      <c r="G104" s="2" t="s">
        <v>78</v>
      </c>
      <c r="H104" s="3">
        <v>45173</v>
      </c>
      <c r="I104" s="29">
        <f t="shared" si="9"/>
        <v>26</v>
      </c>
      <c r="J104" s="44">
        <f t="shared" si="13"/>
        <v>0</v>
      </c>
      <c r="K104" s="29" t="str">
        <f>VLOOKUP(I104,Etiquetas!B:C,2)</f>
        <v>&lt; 3 Meses</v>
      </c>
      <c r="L104" s="41">
        <f t="shared" si="10"/>
        <v>0</v>
      </c>
      <c r="M104" s="41">
        <f t="shared" si="11"/>
        <v>1</v>
      </c>
      <c r="N104" s="5">
        <v>0</v>
      </c>
      <c r="O104" s="5">
        <v>83866.45</v>
      </c>
      <c r="P104" s="5">
        <v>83866.45</v>
      </c>
      <c r="Q104" s="42">
        <f t="shared" si="14"/>
        <v>1</v>
      </c>
      <c r="R104" s="4">
        <v>0</v>
      </c>
      <c r="S104" s="43">
        <f t="shared" si="15"/>
        <v>0</v>
      </c>
      <c r="T104" s="5">
        <v>35000</v>
      </c>
      <c r="U104" s="5">
        <v>94000</v>
      </c>
      <c r="V104" s="2">
        <v>22</v>
      </c>
      <c r="W104" s="2">
        <v>0</v>
      </c>
      <c r="X104" s="2">
        <v>0</v>
      </c>
      <c r="Y104" s="16">
        <v>2162.5</v>
      </c>
      <c r="Z104" s="5">
        <v>2000</v>
      </c>
    </row>
    <row r="105" spans="1:26" x14ac:dyDescent="0.25">
      <c r="A105" s="22" t="str">
        <f t="shared" si="8"/>
        <v>ROBERTO MERAZ GUTIERREZ|5</v>
      </c>
      <c r="B105" s="3">
        <v>45199</v>
      </c>
      <c r="C105" s="40" t="str">
        <f t="shared" si="12"/>
        <v>9|2023</v>
      </c>
      <c r="D105" s="2" t="s">
        <v>109</v>
      </c>
      <c r="E105" s="2" t="s">
        <v>25</v>
      </c>
      <c r="F105" s="2">
        <v>33373</v>
      </c>
      <c r="G105" s="2" t="s">
        <v>28</v>
      </c>
      <c r="H105" s="3">
        <v>45033</v>
      </c>
      <c r="I105" s="29">
        <f t="shared" si="9"/>
        <v>166</v>
      </c>
      <c r="J105" s="44">
        <f t="shared" si="13"/>
        <v>5</v>
      </c>
      <c r="K105" s="29" t="str">
        <f>VLOOKUP(I105,Etiquetas!B:C,2)</f>
        <v>3 a 6 Meses</v>
      </c>
      <c r="L105" s="41">
        <f t="shared" si="10"/>
        <v>3</v>
      </c>
      <c r="M105" s="41">
        <f t="shared" si="11"/>
        <v>7</v>
      </c>
      <c r="N105" s="5">
        <v>1410681.9299999997</v>
      </c>
      <c r="O105" s="5">
        <v>1400508.2900000003</v>
      </c>
      <c r="P105" s="5">
        <v>1388104.6100000003</v>
      </c>
      <c r="Q105" s="42">
        <f t="shared" si="14"/>
        <v>0.99114344407058097</v>
      </c>
      <c r="R105" s="4">
        <v>0</v>
      </c>
      <c r="S105" s="43">
        <f t="shared" si="15"/>
        <v>0</v>
      </c>
      <c r="T105" s="5">
        <v>376390.0486000001</v>
      </c>
      <c r="U105" s="5">
        <v>420500</v>
      </c>
      <c r="V105" s="2">
        <v>1</v>
      </c>
      <c r="W105" s="2">
        <v>12</v>
      </c>
      <c r="X105" s="2">
        <v>9</v>
      </c>
      <c r="Y105" s="16">
        <v>6582.6858310042035</v>
      </c>
      <c r="Z105" s="5">
        <v>2616.25</v>
      </c>
    </row>
    <row r="106" spans="1:26" x14ac:dyDescent="0.25">
      <c r="A106" s="22" t="str">
        <f t="shared" si="8"/>
        <v>ELIZABETH PEREZ PERALTA|3</v>
      </c>
      <c r="B106" s="3">
        <v>45199</v>
      </c>
      <c r="C106" s="40" t="str">
        <f t="shared" si="12"/>
        <v>9|2023</v>
      </c>
      <c r="D106" s="2" t="s">
        <v>109</v>
      </c>
      <c r="E106" s="2" t="s">
        <v>25</v>
      </c>
      <c r="F106" s="2">
        <v>32596</v>
      </c>
      <c r="G106" s="2" t="s">
        <v>27</v>
      </c>
      <c r="H106" s="3">
        <v>45093</v>
      </c>
      <c r="I106" s="29">
        <f t="shared" si="9"/>
        <v>106</v>
      </c>
      <c r="J106" s="44">
        <f t="shared" si="13"/>
        <v>3</v>
      </c>
      <c r="K106" s="29" t="str">
        <f>VLOOKUP(I106,Etiquetas!B:C,2)</f>
        <v>3 a 6 Meses</v>
      </c>
      <c r="L106" s="41">
        <f t="shared" si="10"/>
        <v>1</v>
      </c>
      <c r="M106" s="41">
        <f t="shared" si="11"/>
        <v>5</v>
      </c>
      <c r="N106" s="5">
        <v>1328148.5799999998</v>
      </c>
      <c r="O106" s="5">
        <v>1237666.1099999996</v>
      </c>
      <c r="P106" s="5">
        <v>1189361.3399999999</v>
      </c>
      <c r="Q106" s="42">
        <f t="shared" si="14"/>
        <v>0.96097108128782827</v>
      </c>
      <c r="R106" s="4">
        <v>0</v>
      </c>
      <c r="S106" s="43">
        <f t="shared" si="15"/>
        <v>0</v>
      </c>
      <c r="T106" s="5">
        <v>318269.55119999999</v>
      </c>
      <c r="U106" s="5">
        <v>309000</v>
      </c>
      <c r="V106" s="2">
        <v>19</v>
      </c>
      <c r="W106" s="2">
        <v>0</v>
      </c>
      <c r="X106" s="2">
        <v>0</v>
      </c>
      <c r="Y106" s="16">
        <v>10206.69605373756</v>
      </c>
      <c r="Z106" s="5">
        <v>4725</v>
      </c>
    </row>
    <row r="107" spans="1:26" x14ac:dyDescent="0.25">
      <c r="A107" s="22" t="str">
        <f t="shared" si="8"/>
        <v>ROSARIO EDITH LINAJE GONZALEZ|2</v>
      </c>
      <c r="B107" s="3">
        <v>45199</v>
      </c>
      <c r="C107" s="40" t="str">
        <f t="shared" si="12"/>
        <v>9|2023</v>
      </c>
      <c r="D107" s="2" t="s">
        <v>109</v>
      </c>
      <c r="E107" s="2" t="s">
        <v>25</v>
      </c>
      <c r="F107" s="2">
        <v>33403</v>
      </c>
      <c r="G107" s="2" t="s">
        <v>29</v>
      </c>
      <c r="H107" s="3">
        <v>45126</v>
      </c>
      <c r="I107" s="29">
        <f t="shared" si="9"/>
        <v>73</v>
      </c>
      <c r="J107" s="44">
        <f t="shared" si="13"/>
        <v>2</v>
      </c>
      <c r="K107" s="29" t="str">
        <f>VLOOKUP(I107,Etiquetas!B:C,2)</f>
        <v>&lt; 3 Meses</v>
      </c>
      <c r="L107" s="41">
        <f t="shared" si="10"/>
        <v>1</v>
      </c>
      <c r="M107" s="41">
        <f t="shared" si="11"/>
        <v>2</v>
      </c>
      <c r="N107" s="5">
        <v>136481.84999999998</v>
      </c>
      <c r="O107" s="5">
        <v>325987.45</v>
      </c>
      <c r="P107" s="5">
        <v>325987.45</v>
      </c>
      <c r="Q107" s="42">
        <f t="shared" si="14"/>
        <v>1</v>
      </c>
      <c r="R107" s="4">
        <v>0</v>
      </c>
      <c r="S107" s="43">
        <f t="shared" si="15"/>
        <v>0</v>
      </c>
      <c r="T107" s="5">
        <v>121500</v>
      </c>
      <c r="U107" s="5">
        <v>232000</v>
      </c>
      <c r="V107" s="2">
        <v>32</v>
      </c>
      <c r="W107" s="2">
        <v>0</v>
      </c>
      <c r="X107" s="2">
        <v>0</v>
      </c>
      <c r="Y107" s="16">
        <v>3962.3138094736837</v>
      </c>
      <c r="Z107" s="5">
        <v>6037.5</v>
      </c>
    </row>
    <row r="108" spans="1:26" x14ac:dyDescent="0.25">
      <c r="A108" s="22" t="str">
        <f t="shared" si="8"/>
        <v>LAURA PATRICIA CARRERA QUINTERO|5</v>
      </c>
      <c r="B108" s="3">
        <v>45199</v>
      </c>
      <c r="C108" s="40" t="str">
        <f t="shared" si="12"/>
        <v>9|2023</v>
      </c>
      <c r="D108" s="2" t="s">
        <v>109</v>
      </c>
      <c r="E108" s="2" t="s">
        <v>34</v>
      </c>
      <c r="F108" s="2">
        <v>30869</v>
      </c>
      <c r="G108" s="2" t="s">
        <v>35</v>
      </c>
      <c r="H108" s="3">
        <v>45034</v>
      </c>
      <c r="I108" s="29">
        <f t="shared" si="9"/>
        <v>165</v>
      </c>
      <c r="J108" s="44">
        <f t="shared" si="13"/>
        <v>5</v>
      </c>
      <c r="K108" s="29" t="str">
        <f>VLOOKUP(I108,Etiquetas!B:C,2)</f>
        <v>3 a 6 Meses</v>
      </c>
      <c r="L108" s="41">
        <f t="shared" si="10"/>
        <v>3</v>
      </c>
      <c r="M108" s="41">
        <f t="shared" si="11"/>
        <v>7</v>
      </c>
      <c r="N108" s="5">
        <v>1283919.5700000005</v>
      </c>
      <c r="O108" s="5">
        <v>1390725.68</v>
      </c>
      <c r="P108" s="5">
        <v>1381772.8699999999</v>
      </c>
      <c r="Q108" s="42">
        <f t="shared" si="14"/>
        <v>0.99356249033957578</v>
      </c>
      <c r="R108" s="4">
        <v>0</v>
      </c>
      <c r="S108" s="43">
        <f t="shared" si="15"/>
        <v>0</v>
      </c>
      <c r="T108" s="5">
        <v>837540.80939999979</v>
      </c>
      <c r="U108" s="5">
        <v>610500</v>
      </c>
      <c r="V108" s="2">
        <v>15</v>
      </c>
      <c r="W108" s="2">
        <v>94</v>
      </c>
      <c r="X108" s="2">
        <v>63</v>
      </c>
      <c r="Y108" s="16">
        <v>21523.020441310597</v>
      </c>
      <c r="Z108" s="5">
        <v>9085</v>
      </c>
    </row>
    <row r="109" spans="1:26" x14ac:dyDescent="0.25">
      <c r="A109" s="22" t="str">
        <f t="shared" si="8"/>
        <v>MIRIAM PATRICIA ROSAS AREVALO|1</v>
      </c>
      <c r="B109" s="3">
        <v>45199</v>
      </c>
      <c r="C109" s="40" t="str">
        <f t="shared" si="12"/>
        <v>9|2023</v>
      </c>
      <c r="D109" s="2" t="s">
        <v>109</v>
      </c>
      <c r="E109" s="2" t="s">
        <v>34</v>
      </c>
      <c r="F109" s="2">
        <v>33967</v>
      </c>
      <c r="G109" s="2" t="s">
        <v>36</v>
      </c>
      <c r="H109" s="3">
        <v>45145</v>
      </c>
      <c r="I109" s="29">
        <f t="shared" si="9"/>
        <v>54</v>
      </c>
      <c r="J109" s="44">
        <f t="shared" si="13"/>
        <v>1</v>
      </c>
      <c r="K109" s="29" t="str">
        <f>VLOOKUP(I109,Etiquetas!B:C,2)</f>
        <v>&lt; 3 Meses</v>
      </c>
      <c r="L109" s="41">
        <f t="shared" si="10"/>
        <v>0</v>
      </c>
      <c r="M109" s="41">
        <f t="shared" si="11"/>
        <v>3</v>
      </c>
      <c r="N109" s="5">
        <v>387715.89999999991</v>
      </c>
      <c r="O109" s="5">
        <v>423493.14</v>
      </c>
      <c r="P109" s="5">
        <v>423493.14</v>
      </c>
      <c r="Q109" s="42">
        <f t="shared" si="14"/>
        <v>1</v>
      </c>
      <c r="R109" s="4">
        <v>0</v>
      </c>
      <c r="S109" s="43">
        <f t="shared" si="15"/>
        <v>0</v>
      </c>
      <c r="T109" s="5">
        <v>160500.2175</v>
      </c>
      <c r="U109" s="5">
        <v>133500</v>
      </c>
      <c r="V109" s="2">
        <v>34</v>
      </c>
      <c r="W109" s="2">
        <v>0</v>
      </c>
      <c r="X109" s="2">
        <v>0</v>
      </c>
      <c r="Y109" s="16">
        <v>3503.9304671989221</v>
      </c>
      <c r="Z109" s="5">
        <v>2587.5</v>
      </c>
    </row>
    <row r="110" spans="1:26" x14ac:dyDescent="0.25">
      <c r="A110" s="22" t="str">
        <f t="shared" si="8"/>
        <v>EULALIO MARQUEZ ROJAS|19</v>
      </c>
      <c r="B110" s="3">
        <v>45199</v>
      </c>
      <c r="C110" s="40" t="str">
        <f t="shared" si="12"/>
        <v>9|2023</v>
      </c>
      <c r="D110" s="2" t="s">
        <v>109</v>
      </c>
      <c r="E110" s="2" t="s">
        <v>37</v>
      </c>
      <c r="F110" s="2">
        <v>20173</v>
      </c>
      <c r="G110" s="2" t="s">
        <v>38</v>
      </c>
      <c r="H110" s="3">
        <v>44627</v>
      </c>
      <c r="I110" s="29">
        <f t="shared" si="9"/>
        <v>572</v>
      </c>
      <c r="J110" s="44">
        <f t="shared" si="13"/>
        <v>19</v>
      </c>
      <c r="K110" s="29" t="str">
        <f>VLOOKUP(I110,Etiquetas!B:C,2)</f>
        <v>1.5 a 2 años</v>
      </c>
      <c r="L110" s="41">
        <f t="shared" si="10"/>
        <v>17</v>
      </c>
      <c r="M110" s="41">
        <f t="shared" si="11"/>
        <v>19</v>
      </c>
      <c r="N110" s="5">
        <v>2581285.0400000005</v>
      </c>
      <c r="O110" s="5">
        <v>2300683.11</v>
      </c>
      <c r="P110" s="5">
        <v>2295178.48</v>
      </c>
      <c r="Q110" s="42">
        <f t="shared" si="14"/>
        <v>0.99760739322331105</v>
      </c>
      <c r="R110" s="4">
        <v>0</v>
      </c>
      <c r="S110" s="43">
        <f t="shared" si="15"/>
        <v>0</v>
      </c>
      <c r="T110" s="5">
        <v>522120.15145</v>
      </c>
      <c r="U110" s="5">
        <v>675500</v>
      </c>
      <c r="V110" s="2">
        <v>6</v>
      </c>
      <c r="W110" s="2">
        <v>46</v>
      </c>
      <c r="X110" s="2">
        <v>38</v>
      </c>
      <c r="Y110" s="16">
        <v>8225</v>
      </c>
      <c r="Z110" s="5">
        <v>5635</v>
      </c>
    </row>
    <row r="111" spans="1:26" x14ac:dyDescent="0.25">
      <c r="A111" s="22" t="str">
        <f t="shared" si="8"/>
        <v>ARMANDO ALEJANDRO TOVAR BRACAMONTES|18</v>
      </c>
      <c r="B111" s="3">
        <v>45199</v>
      </c>
      <c r="C111" s="40" t="str">
        <f t="shared" si="12"/>
        <v>9|2023</v>
      </c>
      <c r="D111" s="2" t="s">
        <v>109</v>
      </c>
      <c r="E111" s="2" t="s">
        <v>37</v>
      </c>
      <c r="F111" s="2">
        <v>20612</v>
      </c>
      <c r="G111" s="2" t="s">
        <v>39</v>
      </c>
      <c r="H111" s="3">
        <v>44648</v>
      </c>
      <c r="I111" s="29">
        <f t="shared" si="9"/>
        <v>551</v>
      </c>
      <c r="J111" s="44">
        <f t="shared" si="13"/>
        <v>18</v>
      </c>
      <c r="K111" s="29" t="str">
        <f>VLOOKUP(I111,Etiquetas!B:C,2)</f>
        <v>1.5 a 2 años</v>
      </c>
      <c r="L111" s="41">
        <f t="shared" si="10"/>
        <v>16</v>
      </c>
      <c r="M111" s="41">
        <f t="shared" si="11"/>
        <v>20</v>
      </c>
      <c r="N111" s="5">
        <v>1585912.3200000003</v>
      </c>
      <c r="O111" s="5">
        <v>2025186.81</v>
      </c>
      <c r="P111" s="5">
        <v>1964710.9899999998</v>
      </c>
      <c r="Q111" s="42">
        <f t="shared" si="14"/>
        <v>0.97013815234161027</v>
      </c>
      <c r="R111" s="4">
        <v>0</v>
      </c>
      <c r="S111" s="43">
        <f t="shared" si="15"/>
        <v>0</v>
      </c>
      <c r="T111" s="5">
        <v>354839.91390000004</v>
      </c>
      <c r="U111" s="5">
        <v>1324000</v>
      </c>
      <c r="V111" s="2">
        <v>7</v>
      </c>
      <c r="W111" s="2">
        <v>47</v>
      </c>
      <c r="X111" s="2">
        <v>41</v>
      </c>
      <c r="Y111" s="16">
        <v>5625</v>
      </c>
      <c r="Z111" s="5">
        <v>3500</v>
      </c>
    </row>
    <row r="112" spans="1:26" x14ac:dyDescent="0.25">
      <c r="A112" s="22" t="str">
        <f t="shared" si="8"/>
        <v>MARIA ISABEL MUÑOZ SANCHEZ|9</v>
      </c>
      <c r="B112" s="3">
        <v>45199</v>
      </c>
      <c r="C112" s="40" t="str">
        <f t="shared" si="12"/>
        <v>9|2023</v>
      </c>
      <c r="D112" s="2" t="s">
        <v>108</v>
      </c>
      <c r="E112" s="2" t="s">
        <v>9</v>
      </c>
      <c r="F112" s="2">
        <v>27539</v>
      </c>
      <c r="G112" s="2" t="s">
        <v>12</v>
      </c>
      <c r="H112" s="3">
        <v>44902</v>
      </c>
      <c r="I112" s="29">
        <f t="shared" si="9"/>
        <v>297</v>
      </c>
      <c r="J112" s="44">
        <f t="shared" si="13"/>
        <v>9</v>
      </c>
      <c r="K112" s="29" t="str">
        <f>VLOOKUP(I112,Etiquetas!B:C,2)</f>
        <v>6 a 12 Meses</v>
      </c>
      <c r="L112" s="41">
        <f t="shared" si="10"/>
        <v>7</v>
      </c>
      <c r="M112" s="41">
        <f t="shared" si="11"/>
        <v>11</v>
      </c>
      <c r="N112" s="5">
        <v>1209642.7500000002</v>
      </c>
      <c r="O112" s="5">
        <v>1051330.49</v>
      </c>
      <c r="P112" s="5">
        <v>773199.91</v>
      </c>
      <c r="Q112" s="42">
        <f t="shared" si="14"/>
        <v>0.7354489547810984</v>
      </c>
      <c r="R112" s="4">
        <v>0</v>
      </c>
      <c r="S112" s="43">
        <f t="shared" si="15"/>
        <v>0</v>
      </c>
      <c r="T112" s="5">
        <v>624280.15350000001</v>
      </c>
      <c r="U112" s="5">
        <v>309000</v>
      </c>
      <c r="V112" s="2">
        <v>9</v>
      </c>
      <c r="W112" s="2">
        <v>45</v>
      </c>
      <c r="X112" s="2">
        <v>18</v>
      </c>
      <c r="Y112" s="16">
        <v>9184.1161090667138</v>
      </c>
      <c r="Z112" s="5">
        <v>487.5</v>
      </c>
    </row>
    <row r="113" spans="1:26" x14ac:dyDescent="0.25">
      <c r="A113" s="22" t="str">
        <f t="shared" si="8"/>
        <v>DIANA ELIZABETH GONZALEZ LEON|2</v>
      </c>
      <c r="B113" s="3">
        <v>45199</v>
      </c>
      <c r="C113" s="40" t="str">
        <f t="shared" si="12"/>
        <v>9|2023</v>
      </c>
      <c r="D113" s="2" t="s">
        <v>108</v>
      </c>
      <c r="E113" s="2" t="s">
        <v>9</v>
      </c>
      <c r="F113" s="2">
        <v>33645</v>
      </c>
      <c r="G113" s="2" t="s">
        <v>11</v>
      </c>
      <c r="H113" s="3">
        <v>45132</v>
      </c>
      <c r="I113" s="29">
        <f t="shared" si="9"/>
        <v>67</v>
      </c>
      <c r="J113" s="44">
        <f t="shared" si="13"/>
        <v>2</v>
      </c>
      <c r="K113" s="29" t="str">
        <f>VLOOKUP(I113,Etiquetas!B:C,2)</f>
        <v>&lt; 3 Meses</v>
      </c>
      <c r="L113" s="41">
        <f t="shared" si="10"/>
        <v>1</v>
      </c>
      <c r="M113" s="41">
        <f t="shared" si="11"/>
        <v>2</v>
      </c>
      <c r="N113" s="5">
        <v>882169.9</v>
      </c>
      <c r="O113" s="5">
        <v>184924.64</v>
      </c>
      <c r="P113" s="5">
        <v>184924.64</v>
      </c>
      <c r="Q113" s="42">
        <f t="shared" si="14"/>
        <v>1</v>
      </c>
      <c r="R113" s="4">
        <v>0</v>
      </c>
      <c r="S113" s="43">
        <f t="shared" si="15"/>
        <v>0</v>
      </c>
      <c r="T113" s="5">
        <v>121500</v>
      </c>
      <c r="U113" s="5">
        <v>55000</v>
      </c>
      <c r="V113" s="2">
        <v>19</v>
      </c>
      <c r="W113" s="2">
        <v>0</v>
      </c>
      <c r="X113" s="2">
        <v>0</v>
      </c>
      <c r="Y113" s="16">
        <v>3114.2574574874011</v>
      </c>
      <c r="Z113" s="5">
        <v>2000</v>
      </c>
    </row>
    <row r="114" spans="1:26" x14ac:dyDescent="0.25">
      <c r="A114" s="22" t="str">
        <f t="shared" si="8"/>
        <v>HASLEY RODRIGUEZ GARCIA|0</v>
      </c>
      <c r="B114" s="3">
        <v>45199</v>
      </c>
      <c r="C114" s="40" t="str">
        <f t="shared" si="12"/>
        <v>9|2023</v>
      </c>
      <c r="D114" s="2" t="s">
        <v>108</v>
      </c>
      <c r="E114" s="2" t="s">
        <v>9</v>
      </c>
      <c r="F114" s="2">
        <v>34963</v>
      </c>
      <c r="G114" s="2" t="s">
        <v>70</v>
      </c>
      <c r="H114" s="3">
        <v>45177</v>
      </c>
      <c r="I114" s="29">
        <f t="shared" si="9"/>
        <v>22</v>
      </c>
      <c r="J114" s="44">
        <f t="shared" si="13"/>
        <v>0</v>
      </c>
      <c r="K114" s="29" t="str">
        <f>VLOOKUP(I114,Etiquetas!B:C,2)</f>
        <v>&lt; 3 Meses</v>
      </c>
      <c r="L114" s="41">
        <f t="shared" si="10"/>
        <v>0</v>
      </c>
      <c r="M114" s="41">
        <f t="shared" si="11"/>
        <v>2</v>
      </c>
      <c r="N114" s="5"/>
      <c r="O114" s="5"/>
      <c r="P114" s="5">
        <v>0</v>
      </c>
      <c r="Q114" s="42">
        <f t="shared" si="14"/>
        <v>0</v>
      </c>
      <c r="R114" s="4">
        <v>0</v>
      </c>
      <c r="S114" s="43">
        <f t="shared" si="15"/>
        <v>0</v>
      </c>
      <c r="T114" s="5">
        <v>35000</v>
      </c>
      <c r="U114" s="5">
        <v>0</v>
      </c>
      <c r="V114" s="2">
        <v>0</v>
      </c>
      <c r="W114" s="2">
        <v>0</v>
      </c>
      <c r="X114" s="2">
        <v>0</v>
      </c>
      <c r="Y114" s="16">
        <v>2162.5</v>
      </c>
      <c r="Z114" s="5">
        <v>2000</v>
      </c>
    </row>
    <row r="115" spans="1:26" x14ac:dyDescent="0.25">
      <c r="A115" s="22" t="str">
        <f t="shared" si="8"/>
        <v>LETICIA MESINAS ACEVEDO|3</v>
      </c>
      <c r="B115" s="3">
        <v>45199</v>
      </c>
      <c r="C115" s="40" t="str">
        <f t="shared" si="12"/>
        <v>9|2023</v>
      </c>
      <c r="D115" s="2" t="s">
        <v>108</v>
      </c>
      <c r="E115" s="2" t="s">
        <v>13</v>
      </c>
      <c r="F115" s="2">
        <v>32305</v>
      </c>
      <c r="G115" s="2" t="s">
        <v>15</v>
      </c>
      <c r="H115" s="3">
        <v>45083</v>
      </c>
      <c r="I115" s="29">
        <f t="shared" si="9"/>
        <v>116</v>
      </c>
      <c r="J115" s="44">
        <f t="shared" si="13"/>
        <v>3</v>
      </c>
      <c r="K115" s="29" t="str">
        <f>VLOOKUP(I115,Etiquetas!B:C,2)</f>
        <v>3 a 6 Meses</v>
      </c>
      <c r="L115" s="41">
        <f t="shared" si="10"/>
        <v>1</v>
      </c>
      <c r="M115" s="41">
        <f t="shared" si="11"/>
        <v>3</v>
      </c>
      <c r="N115" s="5">
        <v>1242300.47</v>
      </c>
      <c r="O115" s="5">
        <v>1077362.5899999999</v>
      </c>
      <c r="P115" s="5">
        <v>1048529.1199999999</v>
      </c>
      <c r="Q115" s="42">
        <f t="shared" si="14"/>
        <v>0.9732369860735558</v>
      </c>
      <c r="R115" s="4">
        <v>0</v>
      </c>
      <c r="S115" s="43">
        <f t="shared" si="15"/>
        <v>0</v>
      </c>
      <c r="T115" s="5">
        <v>728251.01250000019</v>
      </c>
      <c r="U115" s="5">
        <v>328000</v>
      </c>
      <c r="V115" s="2">
        <v>0</v>
      </c>
      <c r="W115" s="2">
        <v>80</v>
      </c>
      <c r="X115" s="2">
        <v>38</v>
      </c>
      <c r="Y115" s="16">
        <v>14519.021231180699</v>
      </c>
      <c r="Z115" s="5">
        <v>2700</v>
      </c>
    </row>
    <row r="116" spans="1:26" x14ac:dyDescent="0.25">
      <c r="A116" s="22" t="str">
        <f t="shared" si="8"/>
        <v>CARLOS EMANUEL FLORES ACOSTA|1</v>
      </c>
      <c r="B116" s="3">
        <v>45199</v>
      </c>
      <c r="C116" s="40" t="str">
        <f t="shared" si="12"/>
        <v>9|2023</v>
      </c>
      <c r="D116" s="2" t="s">
        <v>108</v>
      </c>
      <c r="E116" s="2" t="s">
        <v>13</v>
      </c>
      <c r="F116" s="2">
        <v>34232</v>
      </c>
      <c r="G116" s="2" t="s">
        <v>16</v>
      </c>
      <c r="H116" s="3">
        <v>45154</v>
      </c>
      <c r="I116" s="29">
        <f t="shared" si="9"/>
        <v>45</v>
      </c>
      <c r="J116" s="44">
        <f t="shared" si="13"/>
        <v>1</v>
      </c>
      <c r="K116" s="29" t="str">
        <f>VLOOKUP(I116,Etiquetas!B:C,2)</f>
        <v>&lt; 3 Meses</v>
      </c>
      <c r="L116" s="41">
        <f t="shared" si="10"/>
        <v>0</v>
      </c>
      <c r="M116" s="41">
        <f t="shared" si="11"/>
        <v>1</v>
      </c>
      <c r="N116" s="5">
        <v>274843.96000000002</v>
      </c>
      <c r="O116" s="5">
        <v>641112.62</v>
      </c>
      <c r="P116" s="5">
        <v>614216.88</v>
      </c>
      <c r="Q116" s="42">
        <f t="shared" si="14"/>
        <v>0.95804833790356525</v>
      </c>
      <c r="R116" s="4">
        <v>0</v>
      </c>
      <c r="S116" s="43">
        <f t="shared" si="15"/>
        <v>0</v>
      </c>
      <c r="T116" s="5">
        <v>106900</v>
      </c>
      <c r="U116" s="5">
        <v>142000</v>
      </c>
      <c r="V116" s="2">
        <v>15</v>
      </c>
      <c r="W116" s="2">
        <v>0</v>
      </c>
      <c r="X116" s="2">
        <v>0</v>
      </c>
      <c r="Y116" s="16">
        <v>3233.6746116276317</v>
      </c>
      <c r="Z116" s="5">
        <v>2000</v>
      </c>
    </row>
    <row r="117" spans="1:26" x14ac:dyDescent="0.25">
      <c r="A117" s="22" t="str">
        <f t="shared" si="8"/>
        <v>JHOVANNY AGUILAR GARCIA|1</v>
      </c>
      <c r="B117" s="3">
        <v>45199</v>
      </c>
      <c r="C117" s="40" t="str">
        <f t="shared" si="12"/>
        <v>9|2023</v>
      </c>
      <c r="D117" s="2" t="s">
        <v>108</v>
      </c>
      <c r="E117" s="2" t="s">
        <v>13</v>
      </c>
      <c r="F117" s="2">
        <v>34479</v>
      </c>
      <c r="G117" s="2" t="s">
        <v>14</v>
      </c>
      <c r="H117" s="3">
        <v>45162</v>
      </c>
      <c r="I117" s="29">
        <f t="shared" si="9"/>
        <v>37</v>
      </c>
      <c r="J117" s="44">
        <f t="shared" si="13"/>
        <v>1</v>
      </c>
      <c r="K117" s="29" t="str">
        <f>VLOOKUP(I117,Etiquetas!B:C,2)</f>
        <v>&lt; 3 Meses</v>
      </c>
      <c r="L117" s="41">
        <f t="shared" si="10"/>
        <v>0</v>
      </c>
      <c r="M117" s="41">
        <f t="shared" si="11"/>
        <v>2</v>
      </c>
      <c r="N117" s="5">
        <v>467536.38</v>
      </c>
      <c r="O117" s="5">
        <v>539135.69999999995</v>
      </c>
      <c r="P117" s="5">
        <v>528995.05999999994</v>
      </c>
      <c r="Q117" s="42">
        <f t="shared" si="14"/>
        <v>0.98119093207888108</v>
      </c>
      <c r="R117" s="4">
        <v>0</v>
      </c>
      <c r="S117" s="43">
        <f t="shared" si="15"/>
        <v>0</v>
      </c>
      <c r="T117" s="5">
        <v>71910</v>
      </c>
      <c r="U117" s="5">
        <v>166000</v>
      </c>
      <c r="V117" s="2">
        <v>17</v>
      </c>
      <c r="W117" s="2">
        <v>0</v>
      </c>
      <c r="X117" s="2">
        <v>0</v>
      </c>
      <c r="Y117" s="16">
        <v>2524.9868367503805</v>
      </c>
      <c r="Z117" s="5">
        <v>2300</v>
      </c>
    </row>
    <row r="118" spans="1:26" x14ac:dyDescent="0.25">
      <c r="A118" s="22" t="str">
        <f t="shared" si="8"/>
        <v>EDUARDO ABEL CARBAJAL BALDERAS|0</v>
      </c>
      <c r="B118" s="3">
        <v>45199</v>
      </c>
      <c r="C118" s="40" t="str">
        <f t="shared" si="12"/>
        <v>9|2023</v>
      </c>
      <c r="D118" s="2" t="s">
        <v>108</v>
      </c>
      <c r="E118" s="2" t="s">
        <v>13</v>
      </c>
      <c r="F118" s="2">
        <v>34961</v>
      </c>
      <c r="G118" s="2" t="s">
        <v>72</v>
      </c>
      <c r="H118" s="3">
        <v>45177</v>
      </c>
      <c r="I118" s="29">
        <f t="shared" si="9"/>
        <v>22</v>
      </c>
      <c r="J118" s="44">
        <f t="shared" si="13"/>
        <v>0</v>
      </c>
      <c r="K118" s="29" t="str">
        <f>VLOOKUP(I118,Etiquetas!B:C,2)</f>
        <v>&lt; 3 Meses</v>
      </c>
      <c r="L118" s="41">
        <f t="shared" si="10"/>
        <v>0</v>
      </c>
      <c r="M118" s="41">
        <f t="shared" si="11"/>
        <v>2</v>
      </c>
      <c r="N118" s="5"/>
      <c r="O118" s="5"/>
      <c r="P118" s="5">
        <v>0</v>
      </c>
      <c r="Q118" s="42">
        <f t="shared" si="14"/>
        <v>0</v>
      </c>
      <c r="R118" s="4">
        <v>0</v>
      </c>
      <c r="S118" s="43">
        <f t="shared" si="15"/>
        <v>0</v>
      </c>
      <c r="T118" s="5">
        <v>35000</v>
      </c>
      <c r="U118" s="5">
        <v>0</v>
      </c>
      <c r="V118" s="2">
        <v>0</v>
      </c>
      <c r="W118" s="2">
        <v>0</v>
      </c>
      <c r="X118" s="2">
        <v>0</v>
      </c>
      <c r="Y118" s="16">
        <v>2162.5</v>
      </c>
      <c r="Z118" s="5">
        <v>2000</v>
      </c>
    </row>
    <row r="119" spans="1:26" x14ac:dyDescent="0.25">
      <c r="A119" s="22" t="str">
        <f t="shared" si="8"/>
        <v>VICTOR MANUEL SANCHEZ PEREZ|0</v>
      </c>
      <c r="B119" s="3">
        <v>45199</v>
      </c>
      <c r="C119" s="40" t="str">
        <f t="shared" si="12"/>
        <v>9|2023</v>
      </c>
      <c r="D119" s="2" t="s">
        <v>108</v>
      </c>
      <c r="E119" s="2" t="s">
        <v>13</v>
      </c>
      <c r="G119" s="2" t="s">
        <v>73</v>
      </c>
      <c r="H119" s="3">
        <v>45194</v>
      </c>
      <c r="I119" s="29">
        <f t="shared" si="9"/>
        <v>5</v>
      </c>
      <c r="J119" s="44">
        <f t="shared" si="13"/>
        <v>0</v>
      </c>
      <c r="K119" s="29" t="str">
        <f>VLOOKUP(I119,Etiquetas!B:C,2)</f>
        <v>&lt; 3 Meses</v>
      </c>
      <c r="L119" s="41">
        <f t="shared" si="10"/>
        <v>0</v>
      </c>
      <c r="M119" s="41">
        <f t="shared" si="11"/>
        <v>0</v>
      </c>
      <c r="N119" s="5"/>
      <c r="O119" s="5"/>
      <c r="P119" s="5">
        <v>0</v>
      </c>
      <c r="Q119" s="42">
        <f t="shared" si="14"/>
        <v>0</v>
      </c>
      <c r="R119" s="4">
        <v>0</v>
      </c>
      <c r="S119" s="43">
        <f t="shared" si="15"/>
        <v>0</v>
      </c>
      <c r="T119" s="5">
        <v>35000</v>
      </c>
      <c r="U119" s="5">
        <v>0</v>
      </c>
      <c r="V119" s="2">
        <v>0</v>
      </c>
      <c r="W119" s="2">
        <v>0</v>
      </c>
      <c r="X119" s="2">
        <v>0</v>
      </c>
      <c r="Y119" s="16">
        <v>2162.5</v>
      </c>
      <c r="Z119" s="5">
        <v>2000</v>
      </c>
    </row>
    <row r="120" spans="1:26" x14ac:dyDescent="0.25">
      <c r="A120" s="22" t="str">
        <f t="shared" si="8"/>
        <v>ISABEL MONSERRAT RAZO MENDEZ|27</v>
      </c>
      <c r="B120" s="3">
        <v>45199</v>
      </c>
      <c r="C120" s="40" t="str">
        <f t="shared" si="12"/>
        <v>9|2023</v>
      </c>
      <c r="D120" s="2" t="s">
        <v>108</v>
      </c>
      <c r="E120" s="2" t="s">
        <v>64</v>
      </c>
      <c r="F120" s="2">
        <v>14019</v>
      </c>
      <c r="G120" s="2" t="s">
        <v>65</v>
      </c>
      <c r="H120" s="3">
        <v>44385</v>
      </c>
      <c r="I120" s="29">
        <f t="shared" si="9"/>
        <v>814</v>
      </c>
      <c r="J120" s="44">
        <f t="shared" si="13"/>
        <v>27</v>
      </c>
      <c r="K120" s="29" t="str">
        <f>VLOOKUP(I120,Etiquetas!B:C,2)</f>
        <v>2 a 2.5 años</v>
      </c>
      <c r="L120" s="41">
        <f t="shared" si="10"/>
        <v>25</v>
      </c>
      <c r="M120" s="41">
        <f t="shared" si="11"/>
        <v>29</v>
      </c>
      <c r="N120" s="5">
        <v>916201.06</v>
      </c>
      <c r="O120" s="5">
        <v>888577.54</v>
      </c>
      <c r="P120" s="5">
        <v>652482.48999999987</v>
      </c>
      <c r="Q120" s="42">
        <f t="shared" si="14"/>
        <v>0.73430000267618722</v>
      </c>
      <c r="R120" s="4">
        <v>9013.9699999999993</v>
      </c>
      <c r="S120" s="43">
        <f t="shared" si="15"/>
        <v>1.0144269457902345E-2</v>
      </c>
      <c r="T120" s="5">
        <v>827115.58285000001</v>
      </c>
      <c r="U120" s="5">
        <v>67500</v>
      </c>
      <c r="V120" s="2">
        <v>12</v>
      </c>
      <c r="W120" s="2">
        <v>82</v>
      </c>
      <c r="X120" s="2">
        <v>26</v>
      </c>
      <c r="Y120" s="16">
        <v>2162.5</v>
      </c>
      <c r="Z120" s="5">
        <v>2000</v>
      </c>
    </row>
    <row r="121" spans="1:26" x14ac:dyDescent="0.25">
      <c r="A121" s="22" t="str">
        <f t="shared" si="8"/>
        <v>MONSERRAT DE LA CRUZ MARTINEZ ALVARADO|10</v>
      </c>
      <c r="B121" s="3">
        <v>45199</v>
      </c>
      <c r="C121" s="40" t="str">
        <f t="shared" si="12"/>
        <v>9|2023</v>
      </c>
      <c r="D121" s="2" t="s">
        <v>108</v>
      </c>
      <c r="E121" s="2" t="s">
        <v>64</v>
      </c>
      <c r="F121" s="2">
        <v>26859</v>
      </c>
      <c r="G121" s="2" t="s">
        <v>66</v>
      </c>
      <c r="H121" s="3">
        <v>44881</v>
      </c>
      <c r="I121" s="29">
        <f t="shared" si="9"/>
        <v>318</v>
      </c>
      <c r="J121" s="44">
        <f t="shared" si="13"/>
        <v>10</v>
      </c>
      <c r="K121" s="29" t="str">
        <f>VLOOKUP(I121,Etiquetas!B:C,2)</f>
        <v>6 a 12 Meses</v>
      </c>
      <c r="L121" s="41">
        <f t="shared" si="10"/>
        <v>8</v>
      </c>
      <c r="M121" s="41">
        <f t="shared" si="11"/>
        <v>12</v>
      </c>
      <c r="N121" s="5">
        <v>925998.67</v>
      </c>
      <c r="O121" s="5">
        <v>719485.41999999993</v>
      </c>
      <c r="P121" s="5">
        <v>437180.23</v>
      </c>
      <c r="Q121" s="42">
        <f t="shared" si="14"/>
        <v>0.60762903298304505</v>
      </c>
      <c r="R121" s="4">
        <v>4681.07</v>
      </c>
      <c r="S121" s="43">
        <f t="shared" si="15"/>
        <v>6.5061360103725249E-3</v>
      </c>
      <c r="T121" s="5">
        <v>425460.37685</v>
      </c>
      <c r="U121" s="5">
        <v>8500</v>
      </c>
      <c r="V121" s="2">
        <v>41</v>
      </c>
      <c r="W121" s="2">
        <v>24</v>
      </c>
      <c r="X121" s="2">
        <v>10</v>
      </c>
      <c r="Y121" s="16">
        <v>2162.5</v>
      </c>
      <c r="Z121" s="5">
        <v>2000</v>
      </c>
    </row>
    <row r="122" spans="1:26" x14ac:dyDescent="0.25">
      <c r="A122" s="22" t="str">
        <f t="shared" si="8"/>
        <v>JULIO CESAR GONZALEZ ESPINOZA|1</v>
      </c>
      <c r="B122" s="3">
        <v>45199</v>
      </c>
      <c r="C122" s="40" t="str">
        <f t="shared" si="12"/>
        <v>9|2023</v>
      </c>
      <c r="D122" s="2" t="s">
        <v>108</v>
      </c>
      <c r="E122" s="2" t="s">
        <v>64</v>
      </c>
      <c r="F122" s="2">
        <v>33951</v>
      </c>
      <c r="G122" s="2" t="s">
        <v>67</v>
      </c>
      <c r="H122" s="3">
        <v>45145</v>
      </c>
      <c r="I122" s="29">
        <f t="shared" si="9"/>
        <v>54</v>
      </c>
      <c r="J122" s="44">
        <f t="shared" si="13"/>
        <v>1</v>
      </c>
      <c r="K122" s="29" t="str">
        <f>VLOOKUP(I122,Etiquetas!B:C,2)</f>
        <v>&lt; 3 Meses</v>
      </c>
      <c r="L122" s="41">
        <f t="shared" si="10"/>
        <v>0</v>
      </c>
      <c r="M122" s="41">
        <f t="shared" si="11"/>
        <v>3</v>
      </c>
      <c r="N122" s="5">
        <v>441601.98</v>
      </c>
      <c r="O122" s="5">
        <v>191521.13</v>
      </c>
      <c r="P122" s="5">
        <v>191521.13</v>
      </c>
      <c r="Q122" s="42">
        <f t="shared" si="14"/>
        <v>1</v>
      </c>
      <c r="R122" s="4">
        <v>0</v>
      </c>
      <c r="S122" s="43">
        <f t="shared" si="15"/>
        <v>0</v>
      </c>
      <c r="T122" s="5">
        <v>121500</v>
      </c>
      <c r="U122" s="5">
        <v>18500</v>
      </c>
      <c r="V122" s="2">
        <v>15</v>
      </c>
      <c r="W122" s="2">
        <v>0</v>
      </c>
      <c r="X122" s="2">
        <v>0</v>
      </c>
      <c r="Y122" s="16">
        <v>2162.5</v>
      </c>
      <c r="Z122" s="5">
        <v>2000</v>
      </c>
    </row>
    <row r="123" spans="1:26" x14ac:dyDescent="0.25">
      <c r="A123" s="22" t="str">
        <f t="shared" si="8"/>
        <v>JULIAN MARTINEZ CORTES|22</v>
      </c>
      <c r="B123" s="3">
        <v>45199</v>
      </c>
      <c r="C123" s="40" t="str">
        <f t="shared" si="12"/>
        <v>9|2023</v>
      </c>
      <c r="D123" s="2" t="s">
        <v>108</v>
      </c>
      <c r="E123" s="2" t="s">
        <v>46</v>
      </c>
      <c r="F123" s="2">
        <v>17299</v>
      </c>
      <c r="G123" s="2" t="s">
        <v>47</v>
      </c>
      <c r="H123" s="3">
        <v>44510</v>
      </c>
      <c r="I123" s="29">
        <f t="shared" si="9"/>
        <v>689</v>
      </c>
      <c r="J123" s="44">
        <f t="shared" si="13"/>
        <v>22</v>
      </c>
      <c r="K123" s="29" t="str">
        <f>VLOOKUP(I123,Etiquetas!B:C,2)</f>
        <v>1.5 a 2 años</v>
      </c>
      <c r="L123" s="41">
        <f t="shared" si="10"/>
        <v>20</v>
      </c>
      <c r="M123" s="41">
        <f t="shared" si="11"/>
        <v>25</v>
      </c>
      <c r="N123" s="5">
        <v>825468.8</v>
      </c>
      <c r="O123" s="5">
        <v>733878.24000000011</v>
      </c>
      <c r="P123" s="5">
        <v>679291.40000000014</v>
      </c>
      <c r="Q123" s="42">
        <f t="shared" si="14"/>
        <v>0.92561866938580983</v>
      </c>
      <c r="R123" s="4">
        <v>0</v>
      </c>
      <c r="S123" s="43">
        <f t="shared" si="15"/>
        <v>0</v>
      </c>
      <c r="T123" s="5">
        <v>427520.13644999993</v>
      </c>
      <c r="U123" s="5">
        <v>163000</v>
      </c>
      <c r="V123" s="2">
        <v>14</v>
      </c>
      <c r="W123" s="2">
        <v>31</v>
      </c>
      <c r="X123" s="2">
        <v>15</v>
      </c>
      <c r="Y123" s="16">
        <v>4112.5</v>
      </c>
      <c r="Z123" s="5">
        <v>0</v>
      </c>
    </row>
    <row r="124" spans="1:26" x14ac:dyDescent="0.25">
      <c r="A124" s="22" t="str">
        <f t="shared" si="8"/>
        <v>JESSICA MARIN DURON|7</v>
      </c>
      <c r="B124" s="3">
        <v>45199</v>
      </c>
      <c r="C124" s="40" t="str">
        <f t="shared" si="12"/>
        <v>9|2023</v>
      </c>
      <c r="D124" s="2" t="s">
        <v>108</v>
      </c>
      <c r="E124" s="2" t="s">
        <v>46</v>
      </c>
      <c r="F124" s="2">
        <v>29508</v>
      </c>
      <c r="G124" s="2" t="s">
        <v>48</v>
      </c>
      <c r="H124" s="3">
        <v>44987</v>
      </c>
      <c r="I124" s="29">
        <f t="shared" si="9"/>
        <v>212</v>
      </c>
      <c r="J124" s="44">
        <f t="shared" si="13"/>
        <v>7</v>
      </c>
      <c r="K124" s="29" t="str">
        <f>VLOOKUP(I124,Etiquetas!B:C,2)</f>
        <v>6 a 12 Meses</v>
      </c>
      <c r="L124" s="41">
        <f t="shared" si="10"/>
        <v>5</v>
      </c>
      <c r="M124" s="41">
        <f t="shared" si="11"/>
        <v>9</v>
      </c>
      <c r="N124" s="5">
        <v>809230.59999999974</v>
      </c>
      <c r="O124" s="5">
        <v>892166.98</v>
      </c>
      <c r="P124" s="5">
        <v>732890.07000000007</v>
      </c>
      <c r="Q124" s="42">
        <f t="shared" si="14"/>
        <v>0.82147186169118258</v>
      </c>
      <c r="R124" s="4">
        <v>0</v>
      </c>
      <c r="S124" s="43">
        <f t="shared" si="15"/>
        <v>0</v>
      </c>
      <c r="T124" s="5">
        <v>422465.01870000002</v>
      </c>
      <c r="U124" s="5">
        <v>407000</v>
      </c>
      <c r="V124" s="2">
        <v>0</v>
      </c>
      <c r="W124" s="2">
        <v>13</v>
      </c>
      <c r="X124" s="2">
        <v>7</v>
      </c>
      <c r="Y124" s="16">
        <v>4543.75</v>
      </c>
      <c r="Z124" s="5">
        <v>1500</v>
      </c>
    </row>
    <row r="125" spans="1:26" x14ac:dyDescent="0.25">
      <c r="A125" s="22" t="str">
        <f t="shared" si="8"/>
        <v>JENIFER QUETZALLI REMOLINO|5</v>
      </c>
      <c r="B125" s="3">
        <v>45199</v>
      </c>
      <c r="C125" s="40" t="str">
        <f t="shared" si="12"/>
        <v>9|2023</v>
      </c>
      <c r="D125" s="2" t="s">
        <v>108</v>
      </c>
      <c r="E125" s="2" t="s">
        <v>22</v>
      </c>
      <c r="F125" s="2">
        <v>31036</v>
      </c>
      <c r="G125" s="2" t="s">
        <v>23</v>
      </c>
      <c r="H125" s="3">
        <v>45040</v>
      </c>
      <c r="I125" s="29">
        <f t="shared" si="9"/>
        <v>159</v>
      </c>
      <c r="J125" s="44">
        <f t="shared" si="13"/>
        <v>5</v>
      </c>
      <c r="K125" s="29" t="str">
        <f>VLOOKUP(I125,Etiquetas!B:C,2)</f>
        <v>3 a 6 Meses</v>
      </c>
      <c r="L125" s="41">
        <f t="shared" si="10"/>
        <v>3</v>
      </c>
      <c r="M125" s="41">
        <f t="shared" si="11"/>
        <v>6</v>
      </c>
      <c r="N125" s="5">
        <v>530981.46</v>
      </c>
      <c r="O125" s="5">
        <v>560430.12</v>
      </c>
      <c r="P125" s="5">
        <v>560430.12</v>
      </c>
      <c r="Q125" s="42">
        <f t="shared" si="14"/>
        <v>1</v>
      </c>
      <c r="R125" s="4">
        <v>0</v>
      </c>
      <c r="S125" s="43">
        <f t="shared" si="15"/>
        <v>0</v>
      </c>
      <c r="T125" s="5">
        <v>610289.91215000011</v>
      </c>
      <c r="U125" s="5">
        <v>271500</v>
      </c>
      <c r="V125" s="2">
        <v>19</v>
      </c>
      <c r="W125" s="2">
        <v>49</v>
      </c>
      <c r="X125" s="2">
        <v>25</v>
      </c>
      <c r="Y125" s="16">
        <v>13775.116280660142</v>
      </c>
      <c r="Z125" s="5">
        <v>6785</v>
      </c>
    </row>
    <row r="126" spans="1:26" x14ac:dyDescent="0.25">
      <c r="A126" s="22" t="str">
        <f t="shared" si="8"/>
        <v>BRAULIO GUZMAN JIMENEZ|5</v>
      </c>
      <c r="B126" s="3">
        <v>45199</v>
      </c>
      <c r="C126" s="40" t="str">
        <f t="shared" si="12"/>
        <v>9|2023</v>
      </c>
      <c r="D126" s="2" t="s">
        <v>108</v>
      </c>
      <c r="E126" s="2" t="s">
        <v>22</v>
      </c>
      <c r="F126" s="2">
        <v>31037</v>
      </c>
      <c r="G126" s="2" t="s">
        <v>24</v>
      </c>
      <c r="H126" s="3">
        <v>45040</v>
      </c>
      <c r="I126" s="29">
        <f t="shared" si="9"/>
        <v>159</v>
      </c>
      <c r="J126" s="44">
        <f t="shared" si="13"/>
        <v>5</v>
      </c>
      <c r="K126" s="29" t="str">
        <f>VLOOKUP(I126,Etiquetas!B:C,2)</f>
        <v>3 a 6 Meses</v>
      </c>
      <c r="L126" s="41">
        <f t="shared" si="10"/>
        <v>3</v>
      </c>
      <c r="M126" s="41">
        <f t="shared" si="11"/>
        <v>7</v>
      </c>
      <c r="N126" s="5">
        <v>485813.00999999995</v>
      </c>
      <c r="O126" s="5">
        <v>436167.04000000004</v>
      </c>
      <c r="P126" s="5">
        <v>364192.37</v>
      </c>
      <c r="Q126" s="42">
        <f t="shared" si="14"/>
        <v>0.83498370257413301</v>
      </c>
      <c r="R126" s="4">
        <v>0</v>
      </c>
      <c r="S126" s="43">
        <f t="shared" si="15"/>
        <v>0</v>
      </c>
      <c r="T126" s="5">
        <v>392924.85790000006</v>
      </c>
      <c r="U126" s="5">
        <v>126500</v>
      </c>
      <c r="V126" s="2">
        <v>8</v>
      </c>
      <c r="W126" s="2">
        <v>15</v>
      </c>
      <c r="X126" s="2">
        <v>6</v>
      </c>
      <c r="Y126" s="16">
        <v>8152.6225971401673</v>
      </c>
      <c r="Z126" s="5">
        <v>315</v>
      </c>
    </row>
    <row r="127" spans="1:26" x14ac:dyDescent="0.25">
      <c r="A127" s="22" t="str">
        <f t="shared" si="8"/>
        <v>CRISTIAN MANUEL TENORIO CORELLA|1</v>
      </c>
      <c r="B127" s="3">
        <v>45199</v>
      </c>
      <c r="C127" s="40" t="str">
        <f t="shared" si="12"/>
        <v>9|2023</v>
      </c>
      <c r="D127" s="2" t="s">
        <v>108</v>
      </c>
      <c r="E127" s="2" t="s">
        <v>22</v>
      </c>
      <c r="F127" s="2">
        <v>34424</v>
      </c>
      <c r="G127" s="2" t="s">
        <v>74</v>
      </c>
      <c r="H127" s="3">
        <v>45159</v>
      </c>
      <c r="I127" s="29">
        <f t="shared" si="9"/>
        <v>40</v>
      </c>
      <c r="J127" s="44">
        <f t="shared" si="13"/>
        <v>1</v>
      </c>
      <c r="K127" s="29" t="str">
        <f>VLOOKUP(I127,Etiquetas!B:C,2)</f>
        <v>&lt; 3 Meses</v>
      </c>
      <c r="L127" s="41">
        <f t="shared" si="10"/>
        <v>1</v>
      </c>
      <c r="M127" s="41">
        <f t="shared" si="11"/>
        <v>1</v>
      </c>
      <c r="N127" s="5">
        <v>0</v>
      </c>
      <c r="O127" s="5">
        <v>27488.06</v>
      </c>
      <c r="P127" s="5">
        <v>27488.06</v>
      </c>
      <c r="Q127" s="42">
        <f t="shared" si="14"/>
        <v>1</v>
      </c>
      <c r="R127" s="4">
        <v>0</v>
      </c>
      <c r="S127" s="43">
        <f t="shared" si="15"/>
        <v>0</v>
      </c>
      <c r="T127" s="5">
        <v>83025</v>
      </c>
      <c r="U127" s="5">
        <v>35000</v>
      </c>
      <c r="V127" s="2">
        <v>9</v>
      </c>
      <c r="W127" s="2">
        <v>0</v>
      </c>
      <c r="X127" s="2">
        <v>0</v>
      </c>
      <c r="Y127" s="16">
        <v>3345.9732142857147</v>
      </c>
      <c r="Z127" s="5">
        <v>2000</v>
      </c>
    </row>
    <row r="128" spans="1:26" x14ac:dyDescent="0.25">
      <c r="A128" s="22" t="str">
        <f t="shared" si="8"/>
        <v>OSCAR MELENDEZ GONZALEZ|0</v>
      </c>
      <c r="B128" s="3">
        <v>45199</v>
      </c>
      <c r="C128" s="40" t="str">
        <f t="shared" si="12"/>
        <v>9|2023</v>
      </c>
      <c r="D128" s="2" t="s">
        <v>108</v>
      </c>
      <c r="E128" s="2" t="s">
        <v>22</v>
      </c>
      <c r="G128" s="2" t="s">
        <v>75</v>
      </c>
      <c r="H128" s="3">
        <v>45188</v>
      </c>
      <c r="I128" s="29">
        <f t="shared" si="9"/>
        <v>11</v>
      </c>
      <c r="J128" s="44">
        <f t="shared" si="13"/>
        <v>0</v>
      </c>
      <c r="K128" s="29" t="str">
        <f>VLOOKUP(I128,Etiquetas!B:C,2)</f>
        <v>&lt; 3 Meses</v>
      </c>
      <c r="L128" s="41">
        <f t="shared" si="10"/>
        <v>0</v>
      </c>
      <c r="M128" s="41">
        <f t="shared" si="11"/>
        <v>0</v>
      </c>
      <c r="N128" s="5"/>
      <c r="O128" s="5"/>
      <c r="P128" s="5">
        <v>0</v>
      </c>
      <c r="Q128" s="42">
        <f t="shared" si="14"/>
        <v>0</v>
      </c>
      <c r="R128" s="4">
        <v>0</v>
      </c>
      <c r="S128" s="43">
        <f t="shared" si="15"/>
        <v>0</v>
      </c>
      <c r="T128" s="5">
        <v>35000</v>
      </c>
      <c r="U128" s="5">
        <v>0</v>
      </c>
      <c r="V128" s="2">
        <v>0</v>
      </c>
      <c r="W128" s="2">
        <v>0</v>
      </c>
      <c r="X128" s="2">
        <v>0</v>
      </c>
      <c r="Y128" s="16">
        <v>2162.5</v>
      </c>
      <c r="Z128" s="5">
        <v>2000</v>
      </c>
    </row>
    <row r="129" spans="1:26" x14ac:dyDescent="0.25">
      <c r="A129" s="22" t="str">
        <f t="shared" si="8"/>
        <v>MARCELO TZITZIHUA TZITZIHUA|12</v>
      </c>
      <c r="B129" s="3">
        <v>45199</v>
      </c>
      <c r="C129" s="40" t="str">
        <f t="shared" si="12"/>
        <v>9|2023</v>
      </c>
      <c r="D129" s="2" t="s">
        <v>108</v>
      </c>
      <c r="E129" s="2" t="s">
        <v>58</v>
      </c>
      <c r="F129" s="2">
        <v>25225</v>
      </c>
      <c r="G129" s="2" t="s">
        <v>59</v>
      </c>
      <c r="H129" s="3">
        <v>44823</v>
      </c>
      <c r="I129" s="29">
        <f t="shared" si="9"/>
        <v>376</v>
      </c>
      <c r="J129" s="44">
        <f t="shared" si="13"/>
        <v>12</v>
      </c>
      <c r="K129" s="29" t="str">
        <f>VLOOKUP(I129,Etiquetas!B:C,2)</f>
        <v>1 a 1.5 años</v>
      </c>
      <c r="L129" s="41">
        <f t="shared" si="10"/>
        <v>10</v>
      </c>
      <c r="M129" s="41">
        <f t="shared" si="11"/>
        <v>14</v>
      </c>
      <c r="N129" s="5">
        <v>1401241.43</v>
      </c>
      <c r="O129" s="5">
        <v>1152167.2899999998</v>
      </c>
      <c r="P129" s="5">
        <v>790451.65999999992</v>
      </c>
      <c r="Q129" s="42">
        <f t="shared" si="14"/>
        <v>0.68605632780982706</v>
      </c>
      <c r="R129" s="4">
        <v>54378.92</v>
      </c>
      <c r="S129" s="43">
        <f t="shared" si="15"/>
        <v>4.719706979357139E-2</v>
      </c>
      <c r="T129" s="5">
        <v>934224.71825000003</v>
      </c>
      <c r="U129" s="5">
        <v>212500</v>
      </c>
      <c r="V129" s="2">
        <v>3</v>
      </c>
      <c r="W129" s="2">
        <v>87</v>
      </c>
      <c r="X129" s="2">
        <v>21</v>
      </c>
      <c r="Y129" s="16">
        <v>23995.3500029719</v>
      </c>
      <c r="Z129" s="5">
        <v>325</v>
      </c>
    </row>
    <row r="130" spans="1:26" x14ac:dyDescent="0.25">
      <c r="A130" s="22" t="str">
        <f t="shared" si="8"/>
        <v>FERNANDO MANUEL VELASCO RIVERA|10</v>
      </c>
      <c r="B130" s="3">
        <v>45199</v>
      </c>
      <c r="C130" s="40" t="str">
        <f t="shared" si="12"/>
        <v>9|2023</v>
      </c>
      <c r="D130" s="2" t="s">
        <v>108</v>
      </c>
      <c r="E130" s="2" t="s">
        <v>58</v>
      </c>
      <c r="F130" s="2">
        <v>27027</v>
      </c>
      <c r="G130" s="2" t="s">
        <v>60</v>
      </c>
      <c r="H130" s="3">
        <v>44887</v>
      </c>
      <c r="I130" s="29">
        <f t="shared" si="9"/>
        <v>312</v>
      </c>
      <c r="J130" s="44">
        <f t="shared" si="13"/>
        <v>10</v>
      </c>
      <c r="K130" s="29" t="str">
        <f>VLOOKUP(I130,Etiquetas!B:C,2)</f>
        <v>6 a 12 Meses</v>
      </c>
      <c r="L130" s="41">
        <f t="shared" si="10"/>
        <v>8</v>
      </c>
      <c r="M130" s="41">
        <f t="shared" si="11"/>
        <v>12</v>
      </c>
      <c r="N130" s="5">
        <v>1541353.7099999997</v>
      </c>
      <c r="O130" s="5">
        <v>1240101.8700000001</v>
      </c>
      <c r="P130" s="5">
        <v>963610.61999999976</v>
      </c>
      <c r="Q130" s="42">
        <f t="shared" si="14"/>
        <v>0.7770415022436824</v>
      </c>
      <c r="R130" s="4">
        <v>63906.170000000006</v>
      </c>
      <c r="S130" s="43">
        <f t="shared" si="15"/>
        <v>5.1533000268760176E-2</v>
      </c>
      <c r="T130" s="5">
        <v>734570.99144999997</v>
      </c>
      <c r="U130" s="5">
        <v>184000</v>
      </c>
      <c r="V130" s="2">
        <v>0</v>
      </c>
      <c r="W130" s="2">
        <v>80</v>
      </c>
      <c r="X130" s="2">
        <v>32</v>
      </c>
      <c r="Y130" s="16">
        <v>14751.850259299516</v>
      </c>
      <c r="Z130" s="5">
        <v>585</v>
      </c>
    </row>
    <row r="131" spans="1:26" x14ac:dyDescent="0.25">
      <c r="A131" s="22" t="str">
        <f t="shared" ref="A131:A194" si="16">G131&amp;"|"&amp;J131</f>
        <v>ELSA FERNANDEZ REYES|2</v>
      </c>
      <c r="B131" s="3">
        <v>45199</v>
      </c>
      <c r="C131" s="40" t="str">
        <f t="shared" si="12"/>
        <v>9|2023</v>
      </c>
      <c r="D131" s="2" t="s">
        <v>108</v>
      </c>
      <c r="E131" s="2" t="s">
        <v>58</v>
      </c>
      <c r="F131" s="2">
        <v>32999</v>
      </c>
      <c r="G131" s="2" t="s">
        <v>61</v>
      </c>
      <c r="H131" s="3">
        <v>45110</v>
      </c>
      <c r="I131" s="29">
        <f t="shared" ref="I131:I194" si="17">B131-H131</f>
        <v>89</v>
      </c>
      <c r="J131" s="44">
        <f t="shared" si="13"/>
        <v>2</v>
      </c>
      <c r="K131" s="29" t="str">
        <f>VLOOKUP(I131,Etiquetas!B:C,2)</f>
        <v>&lt; 3 Meses</v>
      </c>
      <c r="L131" s="41">
        <f t="shared" ref="L131:L194" si="18">_xlfn.MINIFS(J:J,G:G,G131)</f>
        <v>0</v>
      </c>
      <c r="M131" s="41">
        <f t="shared" ref="M131:M194" si="19">_xlfn.MAXIFS(J:J,G:G,G131)</f>
        <v>2</v>
      </c>
      <c r="N131" s="5">
        <v>33197.39</v>
      </c>
      <c r="O131" s="5">
        <v>20668.97</v>
      </c>
      <c r="P131" s="5">
        <v>20668.97</v>
      </c>
      <c r="Q131" s="42">
        <f t="shared" si="14"/>
        <v>1</v>
      </c>
      <c r="R131" s="4">
        <v>0</v>
      </c>
      <c r="S131" s="43">
        <f t="shared" si="15"/>
        <v>0</v>
      </c>
      <c r="T131" s="5">
        <v>279000</v>
      </c>
      <c r="U131" s="5">
        <v>0</v>
      </c>
      <c r="V131" s="2">
        <v>17</v>
      </c>
      <c r="W131" s="2">
        <v>0</v>
      </c>
      <c r="X131" s="2">
        <v>0</v>
      </c>
      <c r="Y131" s="16">
        <v>2162.5</v>
      </c>
      <c r="Z131" s="5">
        <v>2000</v>
      </c>
    </row>
    <row r="132" spans="1:26" x14ac:dyDescent="0.25">
      <c r="A132" s="22" t="str">
        <f t="shared" si="16"/>
        <v>JAEL BRAVO REYES|1</v>
      </c>
      <c r="B132" s="3">
        <v>45199</v>
      </c>
      <c r="C132" s="40" t="str">
        <f t="shared" ref="C132:C195" si="20">MONTH(B132)&amp;"|"&amp;YEAR(B132)</f>
        <v>9|2023</v>
      </c>
      <c r="D132" s="2" t="s">
        <v>108</v>
      </c>
      <c r="E132" s="2" t="s">
        <v>58</v>
      </c>
      <c r="F132" s="2">
        <v>33874</v>
      </c>
      <c r="G132" s="2" t="s">
        <v>62</v>
      </c>
      <c r="H132" s="3">
        <v>45140</v>
      </c>
      <c r="I132" s="29">
        <f t="shared" si="17"/>
        <v>59</v>
      </c>
      <c r="J132" s="44">
        <f t="shared" ref="J132:J195" si="21">ROUNDDOWN(I132/30,0)</f>
        <v>1</v>
      </c>
      <c r="K132" s="29" t="str">
        <f>VLOOKUP(I132,Etiquetas!B:C,2)</f>
        <v>&lt; 3 Meses</v>
      </c>
      <c r="L132" s="41">
        <f t="shared" si="18"/>
        <v>0</v>
      </c>
      <c r="M132" s="41">
        <f t="shared" si="19"/>
        <v>4</v>
      </c>
      <c r="N132" s="5">
        <v>110405.20999999999</v>
      </c>
      <c r="O132" s="5">
        <v>179489.19</v>
      </c>
      <c r="P132" s="5">
        <v>179489.19</v>
      </c>
      <c r="Q132" s="42">
        <f t="shared" ref="Q132:Q195" si="22">IFERROR(P132/O132,0)</f>
        <v>1</v>
      </c>
      <c r="R132" s="4">
        <v>0</v>
      </c>
      <c r="S132" s="43">
        <f t="shared" ref="S132:S195" si="23">IFERROR(R132/O132,0)</f>
        <v>0</v>
      </c>
      <c r="T132" s="5">
        <v>121500</v>
      </c>
      <c r="U132" s="5">
        <v>110000</v>
      </c>
      <c r="V132" s="2">
        <v>18</v>
      </c>
      <c r="W132" s="2">
        <v>0</v>
      </c>
      <c r="X132" s="2">
        <v>0</v>
      </c>
      <c r="Y132" s="16">
        <v>2162.5</v>
      </c>
      <c r="Z132" s="5">
        <v>2875</v>
      </c>
    </row>
    <row r="133" spans="1:26" x14ac:dyDescent="0.25">
      <c r="A133" s="22" t="str">
        <f t="shared" si="16"/>
        <v>OLIVIA LOPEZ HERNANDEZ|8</v>
      </c>
      <c r="B133" s="3">
        <v>45199</v>
      </c>
      <c r="C133" s="40" t="str">
        <f t="shared" si="20"/>
        <v>9|2023</v>
      </c>
      <c r="D133" s="2" t="s">
        <v>108</v>
      </c>
      <c r="E133" s="2" t="s">
        <v>30</v>
      </c>
      <c r="F133" s="2">
        <v>28375</v>
      </c>
      <c r="G133" s="2" t="s">
        <v>31</v>
      </c>
      <c r="H133" s="3">
        <v>44949</v>
      </c>
      <c r="I133" s="29">
        <f t="shared" si="17"/>
        <v>250</v>
      </c>
      <c r="J133" s="44">
        <f t="shared" si="21"/>
        <v>8</v>
      </c>
      <c r="K133" s="29" t="str">
        <f>VLOOKUP(I133,Etiquetas!B:C,2)</f>
        <v>6 a 12 Meses</v>
      </c>
      <c r="L133" s="41">
        <f t="shared" si="18"/>
        <v>6</v>
      </c>
      <c r="M133" s="41">
        <f t="shared" si="19"/>
        <v>9</v>
      </c>
      <c r="N133" s="5">
        <v>1207162.49</v>
      </c>
      <c r="O133" s="5">
        <v>739415.01</v>
      </c>
      <c r="P133" s="5">
        <v>651404.42999999993</v>
      </c>
      <c r="Q133" s="42">
        <f t="shared" si="22"/>
        <v>0.88097268947786156</v>
      </c>
      <c r="R133" s="4">
        <v>0</v>
      </c>
      <c r="S133" s="43">
        <f t="shared" si="23"/>
        <v>0</v>
      </c>
      <c r="T133" s="5">
        <v>619749.74600000004</v>
      </c>
      <c r="U133" s="5">
        <v>312000</v>
      </c>
      <c r="V133" s="2">
        <v>33</v>
      </c>
      <c r="W133" s="2">
        <v>63</v>
      </c>
      <c r="X133" s="2">
        <v>24</v>
      </c>
      <c r="Y133" s="16">
        <v>10838.365689353539</v>
      </c>
      <c r="Z133" s="5">
        <v>540</v>
      </c>
    </row>
    <row r="134" spans="1:26" x14ac:dyDescent="0.25">
      <c r="A134" s="22" t="str">
        <f t="shared" si="16"/>
        <v>ISAAC VINICIO BACILIO ESPITIA|2</v>
      </c>
      <c r="B134" s="3">
        <v>45199</v>
      </c>
      <c r="C134" s="40" t="str">
        <f t="shared" si="20"/>
        <v>9|2023</v>
      </c>
      <c r="D134" s="2" t="s">
        <v>108</v>
      </c>
      <c r="E134" s="2" t="s">
        <v>30</v>
      </c>
      <c r="F134" s="2">
        <v>33376</v>
      </c>
      <c r="G134" s="2" t="s">
        <v>32</v>
      </c>
      <c r="H134" s="3">
        <v>45124</v>
      </c>
      <c r="I134" s="29">
        <f t="shared" si="17"/>
        <v>75</v>
      </c>
      <c r="J134" s="44">
        <f t="shared" si="21"/>
        <v>2</v>
      </c>
      <c r="K134" s="29" t="str">
        <f>VLOOKUP(I134,Etiquetas!B:C,2)</f>
        <v>&lt; 3 Meses</v>
      </c>
      <c r="L134" s="41">
        <f t="shared" si="18"/>
        <v>0</v>
      </c>
      <c r="M134" s="41">
        <f t="shared" si="19"/>
        <v>2</v>
      </c>
      <c r="N134" s="5">
        <v>97614.09</v>
      </c>
      <c r="O134" s="5">
        <v>594277.58000000007</v>
      </c>
      <c r="P134" s="5">
        <v>577232.10000000009</v>
      </c>
      <c r="Q134" s="42">
        <f t="shared" si="22"/>
        <v>0.97131730932874838</v>
      </c>
      <c r="R134" s="4">
        <v>0</v>
      </c>
      <c r="S134" s="43">
        <f t="shared" si="23"/>
        <v>0</v>
      </c>
      <c r="T134" s="5">
        <v>221030.17200000002</v>
      </c>
      <c r="U134" s="5">
        <v>268000</v>
      </c>
      <c r="V134" s="2">
        <v>3</v>
      </c>
      <c r="W134" s="2">
        <v>20</v>
      </c>
      <c r="X134" s="2">
        <v>16</v>
      </c>
      <c r="Y134" s="16">
        <v>3462.5</v>
      </c>
      <c r="Z134" s="5">
        <v>8000</v>
      </c>
    </row>
    <row r="135" spans="1:26" x14ac:dyDescent="0.25">
      <c r="A135" s="22" t="str">
        <f t="shared" si="16"/>
        <v>HECTOR CORONEL VENTURA|2</v>
      </c>
      <c r="B135" s="3">
        <v>45199</v>
      </c>
      <c r="C135" s="40" t="str">
        <f t="shared" si="20"/>
        <v>9|2023</v>
      </c>
      <c r="D135" s="2" t="s">
        <v>108</v>
      </c>
      <c r="E135" s="2" t="s">
        <v>30</v>
      </c>
      <c r="F135" s="2">
        <v>33499</v>
      </c>
      <c r="G135" s="2" t="s">
        <v>33</v>
      </c>
      <c r="H135" s="3">
        <v>45128</v>
      </c>
      <c r="I135" s="29">
        <f t="shared" si="17"/>
        <v>71</v>
      </c>
      <c r="J135" s="44">
        <f t="shared" si="21"/>
        <v>2</v>
      </c>
      <c r="K135" s="29" t="str">
        <f>VLOOKUP(I135,Etiquetas!B:C,2)</f>
        <v>&lt; 3 Meses</v>
      </c>
      <c r="L135" s="41">
        <f t="shared" si="18"/>
        <v>0</v>
      </c>
      <c r="M135" s="41">
        <f t="shared" si="19"/>
        <v>4</v>
      </c>
      <c r="N135" s="5">
        <v>1143374.9300000002</v>
      </c>
      <c r="O135" s="5">
        <v>1114403.3900000001</v>
      </c>
      <c r="P135" s="5">
        <v>1114403.3900000001</v>
      </c>
      <c r="Q135" s="42">
        <f t="shared" si="22"/>
        <v>1</v>
      </c>
      <c r="R135" s="4">
        <v>0</v>
      </c>
      <c r="S135" s="43">
        <f t="shared" si="23"/>
        <v>0</v>
      </c>
      <c r="T135" s="5">
        <v>129375</v>
      </c>
      <c r="U135" s="5">
        <v>305000</v>
      </c>
      <c r="V135" s="2">
        <v>14</v>
      </c>
      <c r="W135" s="2">
        <v>13</v>
      </c>
      <c r="X135" s="2">
        <v>9</v>
      </c>
      <c r="Y135" s="16">
        <v>4543.75</v>
      </c>
      <c r="Z135" s="5">
        <v>3450</v>
      </c>
    </row>
    <row r="136" spans="1:26" x14ac:dyDescent="0.25">
      <c r="A136" s="22" t="str">
        <f t="shared" si="16"/>
        <v>ANA CRISTINA HERNANDEZ PEREZ|0</v>
      </c>
      <c r="B136" s="3">
        <v>45199</v>
      </c>
      <c r="C136" s="40" t="str">
        <f t="shared" si="20"/>
        <v>9|2023</v>
      </c>
      <c r="D136" s="2" t="s">
        <v>108</v>
      </c>
      <c r="E136" s="2" t="s">
        <v>30</v>
      </c>
      <c r="F136" s="2">
        <v>34962</v>
      </c>
      <c r="G136" s="2" t="s">
        <v>76</v>
      </c>
      <c r="H136" s="3">
        <v>45177</v>
      </c>
      <c r="I136" s="29">
        <f t="shared" si="17"/>
        <v>22</v>
      </c>
      <c r="J136" s="44">
        <f t="shared" si="21"/>
        <v>0</v>
      </c>
      <c r="K136" s="29" t="str">
        <f>VLOOKUP(I136,Etiquetas!B:C,2)</f>
        <v>&lt; 3 Meses</v>
      </c>
      <c r="L136" s="41">
        <f t="shared" si="18"/>
        <v>0</v>
      </c>
      <c r="M136" s="41">
        <f t="shared" si="19"/>
        <v>1</v>
      </c>
      <c r="N136" s="5">
        <v>0</v>
      </c>
      <c r="O136" s="5">
        <v>56000</v>
      </c>
      <c r="P136" s="5">
        <v>56000</v>
      </c>
      <c r="Q136" s="42">
        <f t="shared" si="22"/>
        <v>1</v>
      </c>
      <c r="R136" s="4">
        <v>0</v>
      </c>
      <c r="S136" s="43">
        <f t="shared" si="23"/>
        <v>0</v>
      </c>
      <c r="T136" s="5">
        <v>35000</v>
      </c>
      <c r="U136" s="5">
        <v>56000</v>
      </c>
      <c r="V136" s="2">
        <v>6</v>
      </c>
      <c r="W136" s="2">
        <v>0</v>
      </c>
      <c r="X136" s="2">
        <v>0</v>
      </c>
      <c r="Y136" s="16">
        <v>2162.5</v>
      </c>
      <c r="Z136" s="5">
        <v>2000</v>
      </c>
    </row>
    <row r="137" spans="1:26" x14ac:dyDescent="0.25">
      <c r="A137" s="22" t="str">
        <f t="shared" si="16"/>
        <v>MARIA DE JESUS DIAZ LOPEZ|0</v>
      </c>
      <c r="B137" s="3">
        <v>45230</v>
      </c>
      <c r="C137" s="40" t="str">
        <f t="shared" si="20"/>
        <v>10|2023</v>
      </c>
      <c r="D137" s="2" t="s">
        <v>63</v>
      </c>
      <c r="E137" s="17" t="s">
        <v>68</v>
      </c>
      <c r="F137" s="18">
        <v>35429</v>
      </c>
      <c r="G137" s="17" t="s">
        <v>89</v>
      </c>
      <c r="H137" s="3">
        <v>45201</v>
      </c>
      <c r="I137" s="29">
        <f t="shared" si="17"/>
        <v>29</v>
      </c>
      <c r="J137" s="44">
        <f t="shared" si="21"/>
        <v>0</v>
      </c>
      <c r="K137" s="29" t="str">
        <f>VLOOKUP(I137,Etiquetas!B:C,2)</f>
        <v>&lt; 3 Meses</v>
      </c>
      <c r="L137" s="41">
        <f t="shared" si="18"/>
        <v>0</v>
      </c>
      <c r="M137" s="41">
        <f t="shared" si="19"/>
        <v>0</v>
      </c>
      <c r="N137" s="5">
        <v>365848.01</v>
      </c>
      <c r="O137" s="5">
        <v>458864.25</v>
      </c>
      <c r="P137" s="5">
        <v>364978.08</v>
      </c>
      <c r="Q137" s="42">
        <f t="shared" si="22"/>
        <v>0.79539445489597416</v>
      </c>
      <c r="R137" s="4">
        <v>0</v>
      </c>
      <c r="S137" s="43">
        <f t="shared" si="23"/>
        <v>0</v>
      </c>
      <c r="T137" s="5">
        <v>35000</v>
      </c>
      <c r="U137" s="5">
        <v>87999.87</v>
      </c>
      <c r="V137" s="2">
        <v>2</v>
      </c>
      <c r="W137" s="2">
        <v>0</v>
      </c>
      <c r="X137" s="2">
        <v>0</v>
      </c>
      <c r="Y137" s="16">
        <v>2162.5</v>
      </c>
      <c r="Z137" s="5">
        <v>2000</v>
      </c>
    </row>
    <row r="138" spans="1:26" x14ac:dyDescent="0.25">
      <c r="A138" s="22" t="str">
        <f t="shared" si="16"/>
        <v>MARIBEL RODRIGUEZ CARRIZOZA|19</v>
      </c>
      <c r="B138" s="3">
        <v>45230</v>
      </c>
      <c r="C138" s="40" t="str">
        <f t="shared" si="20"/>
        <v>10|2023</v>
      </c>
      <c r="D138" s="2" t="s">
        <v>109</v>
      </c>
      <c r="E138" s="17" t="s">
        <v>40</v>
      </c>
      <c r="F138" s="18">
        <v>20314</v>
      </c>
      <c r="G138" s="17" t="s">
        <v>41</v>
      </c>
      <c r="H138" s="3">
        <v>44634</v>
      </c>
      <c r="I138" s="29">
        <f t="shared" si="17"/>
        <v>596</v>
      </c>
      <c r="J138" s="44">
        <f t="shared" si="21"/>
        <v>19</v>
      </c>
      <c r="K138" s="29" t="str">
        <f>VLOOKUP(I138,Etiquetas!B:C,2)</f>
        <v>1.5 a 2 años</v>
      </c>
      <c r="L138" s="41">
        <f t="shared" si="18"/>
        <v>16</v>
      </c>
      <c r="M138" s="41">
        <f t="shared" si="19"/>
        <v>20</v>
      </c>
      <c r="N138" s="5">
        <v>1064137.6600000001</v>
      </c>
      <c r="O138" s="5">
        <v>1238700.4699999997</v>
      </c>
      <c r="P138" s="5">
        <v>1129795.4099999997</v>
      </c>
      <c r="Q138" s="42">
        <f t="shared" si="22"/>
        <v>0.91208119909730878</v>
      </c>
      <c r="R138" s="4">
        <v>15010.15</v>
      </c>
      <c r="S138" s="43">
        <f t="shared" si="23"/>
        <v>1.2117659081860204E-2</v>
      </c>
      <c r="T138" s="5">
        <v>493910.13504999998</v>
      </c>
      <c r="U138" s="5">
        <v>581642.99000000022</v>
      </c>
      <c r="V138" s="2">
        <v>5</v>
      </c>
      <c r="W138" s="2">
        <v>42</v>
      </c>
      <c r="X138" s="2">
        <v>26</v>
      </c>
      <c r="Y138" s="16">
        <v>11003.90510495659</v>
      </c>
      <c r="Z138" s="5">
        <v>0</v>
      </c>
    </row>
    <row r="139" spans="1:26" x14ac:dyDescent="0.25">
      <c r="A139" s="22" t="str">
        <f t="shared" si="16"/>
        <v>KARINA TERRAZAS OLVERA|19</v>
      </c>
      <c r="B139" s="3">
        <v>45230</v>
      </c>
      <c r="C139" s="40" t="str">
        <f t="shared" si="20"/>
        <v>10|2023</v>
      </c>
      <c r="D139" s="2" t="s">
        <v>109</v>
      </c>
      <c r="E139" s="17" t="s">
        <v>40</v>
      </c>
      <c r="F139" s="18">
        <v>20315</v>
      </c>
      <c r="G139" s="17" t="s">
        <v>42</v>
      </c>
      <c r="H139" s="3">
        <v>44634</v>
      </c>
      <c r="I139" s="29">
        <f t="shared" si="17"/>
        <v>596</v>
      </c>
      <c r="J139" s="44">
        <f t="shared" si="21"/>
        <v>19</v>
      </c>
      <c r="K139" s="29" t="str">
        <f>VLOOKUP(I139,Etiquetas!B:C,2)</f>
        <v>1.5 a 2 años</v>
      </c>
      <c r="L139" s="41">
        <f t="shared" si="18"/>
        <v>16</v>
      </c>
      <c r="M139" s="41">
        <f t="shared" si="19"/>
        <v>20</v>
      </c>
      <c r="N139" s="5">
        <v>842405.35000000009</v>
      </c>
      <c r="O139" s="5">
        <v>858344.55000000016</v>
      </c>
      <c r="P139" s="5">
        <v>776365.67</v>
      </c>
      <c r="Q139" s="42">
        <f t="shared" si="22"/>
        <v>0.90449187333920844</v>
      </c>
      <c r="R139" s="4">
        <v>0</v>
      </c>
      <c r="S139" s="43">
        <f t="shared" si="23"/>
        <v>0</v>
      </c>
      <c r="T139" s="5">
        <v>476115.5675</v>
      </c>
      <c r="U139" s="5">
        <v>305500.21000000014</v>
      </c>
      <c r="V139" s="2">
        <v>14</v>
      </c>
      <c r="W139" s="2">
        <v>42</v>
      </c>
      <c r="X139" s="2">
        <v>16</v>
      </c>
      <c r="Y139" s="16">
        <v>11051.083469027542</v>
      </c>
      <c r="Z139" s="5">
        <v>487.5</v>
      </c>
    </row>
    <row r="140" spans="1:26" x14ac:dyDescent="0.25">
      <c r="A140" s="22" t="str">
        <f t="shared" si="16"/>
        <v>LIZBETH GUADALUPE MUJICA HERNANDEZ|6</v>
      </c>
      <c r="B140" s="3">
        <v>45230</v>
      </c>
      <c r="C140" s="40" t="str">
        <f t="shared" si="20"/>
        <v>10|2023</v>
      </c>
      <c r="D140" s="2" t="s">
        <v>109</v>
      </c>
      <c r="E140" s="17" t="s">
        <v>40</v>
      </c>
      <c r="F140" s="18">
        <v>30967</v>
      </c>
      <c r="G140" s="17" t="s">
        <v>43</v>
      </c>
      <c r="H140" s="3">
        <v>45036</v>
      </c>
      <c r="I140" s="29">
        <f t="shared" si="17"/>
        <v>194</v>
      </c>
      <c r="J140" s="44">
        <f t="shared" si="21"/>
        <v>6</v>
      </c>
      <c r="K140" s="29" t="str">
        <f>VLOOKUP(I140,Etiquetas!B:C,2)</f>
        <v>6 a 12 Meses</v>
      </c>
      <c r="L140" s="41">
        <f t="shared" si="18"/>
        <v>3</v>
      </c>
      <c r="M140" s="41">
        <f t="shared" si="19"/>
        <v>7</v>
      </c>
      <c r="N140" s="5">
        <v>2072482.76</v>
      </c>
      <c r="O140" s="5">
        <v>2001855.1199999999</v>
      </c>
      <c r="P140" s="5">
        <v>1677368.03</v>
      </c>
      <c r="Q140" s="42">
        <f t="shared" si="22"/>
        <v>0.83790680616287561</v>
      </c>
      <c r="R140" s="4">
        <v>0</v>
      </c>
      <c r="S140" s="43">
        <f t="shared" si="23"/>
        <v>0</v>
      </c>
      <c r="T140" s="5">
        <v>612905.61790000007</v>
      </c>
      <c r="U140" s="5">
        <v>596539.08000000019</v>
      </c>
      <c r="V140" s="2">
        <v>9</v>
      </c>
      <c r="W140" s="2">
        <v>120</v>
      </c>
      <c r="X140" s="2">
        <v>52</v>
      </c>
      <c r="Y140" s="16">
        <v>6275</v>
      </c>
      <c r="Z140" s="5">
        <v>975</v>
      </c>
    </row>
    <row r="141" spans="1:26" x14ac:dyDescent="0.25">
      <c r="A141" s="22" t="str">
        <f t="shared" si="16"/>
        <v>GUADALUPE CARMONA ANTONIO|3</v>
      </c>
      <c r="B141" s="3">
        <v>45230</v>
      </c>
      <c r="C141" s="40" t="str">
        <f t="shared" si="20"/>
        <v>10|2023</v>
      </c>
      <c r="D141" s="2" t="s">
        <v>109</v>
      </c>
      <c r="E141" s="17" t="s">
        <v>40</v>
      </c>
      <c r="F141" s="18">
        <v>33878</v>
      </c>
      <c r="G141" s="17" t="s">
        <v>45</v>
      </c>
      <c r="H141" s="3">
        <v>45140</v>
      </c>
      <c r="I141" s="29">
        <f t="shared" si="17"/>
        <v>90</v>
      </c>
      <c r="J141" s="44">
        <f t="shared" si="21"/>
        <v>3</v>
      </c>
      <c r="K141" s="29" t="str">
        <f>VLOOKUP(I141,Etiquetas!B:C,2)</f>
        <v>3 a 6 Meses</v>
      </c>
      <c r="L141" s="41">
        <f t="shared" si="18"/>
        <v>0</v>
      </c>
      <c r="M141" s="41">
        <f t="shared" si="19"/>
        <v>4</v>
      </c>
      <c r="N141" s="5">
        <v>212272.25999999998</v>
      </c>
      <c r="O141" s="5">
        <v>196949.75</v>
      </c>
      <c r="P141" s="5">
        <v>196949.75</v>
      </c>
      <c r="Q141" s="42">
        <f t="shared" si="22"/>
        <v>1</v>
      </c>
      <c r="R141" s="4">
        <v>0</v>
      </c>
      <c r="S141" s="43">
        <f t="shared" si="23"/>
        <v>0</v>
      </c>
      <c r="T141" s="5">
        <v>204000</v>
      </c>
      <c r="U141" s="5">
        <v>54500.520000000004</v>
      </c>
      <c r="V141" s="2">
        <v>0</v>
      </c>
      <c r="W141" s="2">
        <v>0</v>
      </c>
      <c r="X141" s="2">
        <v>0</v>
      </c>
      <c r="Y141" s="16">
        <v>7171.9620408456813</v>
      </c>
      <c r="Z141" s="5">
        <v>2012.5</v>
      </c>
    </row>
    <row r="142" spans="1:26" x14ac:dyDescent="0.25">
      <c r="A142" s="22" t="str">
        <f t="shared" si="16"/>
        <v>BRENDA BERENICE CASTRO HERNÁNDEZ |0</v>
      </c>
      <c r="B142" s="3">
        <v>45230</v>
      </c>
      <c r="C142" s="40" t="str">
        <f t="shared" si="20"/>
        <v>10|2023</v>
      </c>
      <c r="D142" s="2" t="s">
        <v>109</v>
      </c>
      <c r="E142" s="2" t="s">
        <v>40</v>
      </c>
      <c r="F142" s="2">
        <v>35609</v>
      </c>
      <c r="G142" s="20" t="s">
        <v>87</v>
      </c>
      <c r="H142" s="3">
        <v>45208</v>
      </c>
      <c r="I142" s="29">
        <f t="shared" si="17"/>
        <v>22</v>
      </c>
      <c r="J142" s="44">
        <f t="shared" si="21"/>
        <v>0</v>
      </c>
      <c r="K142" s="29" t="str">
        <f>VLOOKUP(I142,Etiquetas!B:C,2)</f>
        <v>&lt; 3 Meses</v>
      </c>
      <c r="L142" s="41">
        <f t="shared" si="18"/>
        <v>0</v>
      </c>
      <c r="M142" s="41">
        <f t="shared" si="19"/>
        <v>1</v>
      </c>
      <c r="N142" s="5"/>
      <c r="O142" s="5"/>
      <c r="P142" s="5">
        <v>0</v>
      </c>
      <c r="Q142" s="42">
        <f t="shared" si="22"/>
        <v>0</v>
      </c>
      <c r="R142" s="4">
        <v>0</v>
      </c>
      <c r="S142" s="43">
        <f t="shared" si="23"/>
        <v>0</v>
      </c>
      <c r="T142" s="5">
        <v>35000</v>
      </c>
      <c r="U142" s="5">
        <v>0</v>
      </c>
      <c r="V142" s="2">
        <v>0</v>
      </c>
      <c r="W142" s="2">
        <v>0</v>
      </c>
      <c r="X142" s="2">
        <v>0</v>
      </c>
      <c r="Y142" s="16">
        <v>8662.5</v>
      </c>
      <c r="Z142" s="5" t="s">
        <v>71</v>
      </c>
    </row>
    <row r="143" spans="1:26" x14ac:dyDescent="0.25">
      <c r="A143" s="22" t="str">
        <f t="shared" si="16"/>
        <v>BRENDA DANIELA RODRIGUEZ REYES|9</v>
      </c>
      <c r="B143" s="3">
        <v>45230</v>
      </c>
      <c r="C143" s="40" t="str">
        <f t="shared" si="20"/>
        <v>10|2023</v>
      </c>
      <c r="D143" s="2" t="s">
        <v>109</v>
      </c>
      <c r="E143" s="17" t="s">
        <v>17</v>
      </c>
      <c r="F143" s="18">
        <v>28239</v>
      </c>
      <c r="G143" s="17" t="s">
        <v>19</v>
      </c>
      <c r="H143" s="3">
        <v>44943</v>
      </c>
      <c r="I143" s="29">
        <f t="shared" si="17"/>
        <v>287</v>
      </c>
      <c r="J143" s="44">
        <f t="shared" si="21"/>
        <v>9</v>
      </c>
      <c r="K143" s="29" t="str">
        <f>VLOOKUP(I143,Etiquetas!B:C,2)</f>
        <v>6 a 12 Meses</v>
      </c>
      <c r="L143" s="41">
        <f t="shared" si="18"/>
        <v>6</v>
      </c>
      <c r="M143" s="41">
        <f t="shared" si="19"/>
        <v>10</v>
      </c>
      <c r="N143" s="5">
        <v>500316.26999999996</v>
      </c>
      <c r="O143" s="5">
        <v>395042.07</v>
      </c>
      <c r="P143" s="5">
        <v>359208.76</v>
      </c>
      <c r="Q143" s="42">
        <f t="shared" si="22"/>
        <v>0.90929242042499425</v>
      </c>
      <c r="R143" s="4">
        <v>0</v>
      </c>
      <c r="S143" s="43">
        <f t="shared" si="23"/>
        <v>0</v>
      </c>
      <c r="T143" s="5">
        <v>408065.53294999985</v>
      </c>
      <c r="U143" s="5">
        <v>71000.19</v>
      </c>
      <c r="V143" s="2">
        <v>6</v>
      </c>
      <c r="W143" s="2">
        <v>26</v>
      </c>
      <c r="X143" s="2">
        <v>17</v>
      </c>
      <c r="Y143" s="16">
        <v>5519.2737493247387</v>
      </c>
      <c r="Z143" s="5">
        <v>0</v>
      </c>
    </row>
    <row r="144" spans="1:26" x14ac:dyDescent="0.25">
      <c r="A144" s="22" t="str">
        <f t="shared" si="16"/>
        <v>TANIA NAVARRETE SILVA|0</v>
      </c>
      <c r="B144" s="3">
        <v>45230</v>
      </c>
      <c r="C144" s="40" t="str">
        <f t="shared" si="20"/>
        <v>10|2023</v>
      </c>
      <c r="D144" s="2" t="s">
        <v>109</v>
      </c>
      <c r="E144" s="17" t="s">
        <v>17</v>
      </c>
      <c r="F144" s="18">
        <v>35971</v>
      </c>
      <c r="G144" s="17" t="s">
        <v>82</v>
      </c>
      <c r="H144" s="3">
        <v>45222</v>
      </c>
      <c r="I144" s="29">
        <f t="shared" si="17"/>
        <v>8</v>
      </c>
      <c r="J144" s="44">
        <f t="shared" si="21"/>
        <v>0</v>
      </c>
      <c r="K144" s="29" t="str">
        <f>VLOOKUP(I144,Etiquetas!B:C,2)</f>
        <v>&lt; 3 Meses</v>
      </c>
      <c r="L144" s="41">
        <f t="shared" si="18"/>
        <v>0</v>
      </c>
      <c r="M144" s="41">
        <f t="shared" si="19"/>
        <v>1</v>
      </c>
      <c r="N144" s="5">
        <v>0</v>
      </c>
      <c r="O144" s="5">
        <v>123999.45000000001</v>
      </c>
      <c r="P144" s="5">
        <v>123999.45000000001</v>
      </c>
      <c r="Q144" s="42">
        <f t="shared" si="22"/>
        <v>1</v>
      </c>
      <c r="R144" s="4">
        <v>0</v>
      </c>
      <c r="S144" s="43">
        <f t="shared" si="23"/>
        <v>0</v>
      </c>
      <c r="T144" s="5">
        <v>35000</v>
      </c>
      <c r="U144" s="5">
        <v>123999.45</v>
      </c>
      <c r="V144" s="2">
        <v>6</v>
      </c>
      <c r="W144" s="2">
        <v>0</v>
      </c>
      <c r="X144" s="2">
        <v>0</v>
      </c>
      <c r="Y144" s="16">
        <v>8662.5</v>
      </c>
      <c r="Z144" s="5">
        <v>3737.5</v>
      </c>
    </row>
    <row r="145" spans="1:26" x14ac:dyDescent="0.25">
      <c r="A145" s="22" t="str">
        <f t="shared" si="16"/>
        <v>DULCE YURIKO NISHIKAWA MOLINA|0</v>
      </c>
      <c r="B145" s="3">
        <v>45230</v>
      </c>
      <c r="C145" s="40" t="str">
        <f t="shared" si="20"/>
        <v>10|2023</v>
      </c>
      <c r="D145" s="2" t="s">
        <v>109</v>
      </c>
      <c r="E145" s="2" t="s">
        <v>17</v>
      </c>
      <c r="F145" s="2">
        <v>35961</v>
      </c>
      <c r="G145" s="19" t="s">
        <v>83</v>
      </c>
      <c r="H145" s="3">
        <v>45222</v>
      </c>
      <c r="I145" s="29">
        <f t="shared" si="17"/>
        <v>8</v>
      </c>
      <c r="J145" s="44">
        <f t="shared" si="21"/>
        <v>0</v>
      </c>
      <c r="K145" s="29" t="str">
        <f>VLOOKUP(I145,Etiquetas!B:C,2)</f>
        <v>&lt; 3 Meses</v>
      </c>
      <c r="L145" s="41">
        <f t="shared" si="18"/>
        <v>0</v>
      </c>
      <c r="M145" s="41">
        <f t="shared" si="19"/>
        <v>1</v>
      </c>
      <c r="N145" s="5"/>
      <c r="O145" s="5"/>
      <c r="P145" s="5">
        <v>0</v>
      </c>
      <c r="Q145" s="42">
        <f t="shared" si="22"/>
        <v>0</v>
      </c>
      <c r="R145" s="4">
        <v>0</v>
      </c>
      <c r="S145" s="43">
        <f t="shared" si="23"/>
        <v>0</v>
      </c>
      <c r="T145" s="5">
        <v>35000</v>
      </c>
      <c r="U145" s="5">
        <v>0</v>
      </c>
      <c r="V145" s="2">
        <v>0</v>
      </c>
      <c r="W145" s="2">
        <v>0</v>
      </c>
      <c r="X145" s="2">
        <v>0</v>
      </c>
      <c r="Y145" s="16">
        <v>3462.5</v>
      </c>
      <c r="Z145" s="5" t="s">
        <v>71</v>
      </c>
    </row>
    <row r="146" spans="1:26" x14ac:dyDescent="0.25">
      <c r="A146" s="22" t="str">
        <f t="shared" si="16"/>
        <v>LAURA LORENA PEREZ MENDOZA|5</v>
      </c>
      <c r="B146" s="3">
        <v>45230</v>
      </c>
      <c r="C146" s="40" t="str">
        <f t="shared" si="20"/>
        <v>10|2023</v>
      </c>
      <c r="D146" s="2" t="s">
        <v>109</v>
      </c>
      <c r="E146" s="17" t="s">
        <v>49</v>
      </c>
      <c r="F146" s="18">
        <v>31346</v>
      </c>
      <c r="G146" s="22" t="s">
        <v>93</v>
      </c>
      <c r="H146" s="3">
        <v>45054</v>
      </c>
      <c r="I146" s="29">
        <f t="shared" si="17"/>
        <v>176</v>
      </c>
      <c r="J146" s="44">
        <f t="shared" si="21"/>
        <v>5</v>
      </c>
      <c r="K146" s="29" t="str">
        <f>VLOOKUP(I146,Etiquetas!B:C,2)</f>
        <v>3 a 6 Meses</v>
      </c>
      <c r="L146" s="41">
        <f t="shared" si="18"/>
        <v>2</v>
      </c>
      <c r="M146" s="41">
        <f t="shared" si="19"/>
        <v>6</v>
      </c>
      <c r="N146" s="5">
        <v>1074855.1599999999</v>
      </c>
      <c r="O146" s="5">
        <v>1311278.8</v>
      </c>
      <c r="P146" s="5">
        <v>1256139.9400000002</v>
      </c>
      <c r="Q146" s="42">
        <f t="shared" si="22"/>
        <v>0.95795031537152897</v>
      </c>
      <c r="R146" s="4">
        <v>0</v>
      </c>
      <c r="S146" s="43">
        <f t="shared" si="23"/>
        <v>0</v>
      </c>
      <c r="T146" s="5">
        <v>276399.97200000001</v>
      </c>
      <c r="U146" s="5">
        <v>549998.68999999983</v>
      </c>
      <c r="V146" s="2">
        <v>35</v>
      </c>
      <c r="W146" s="2">
        <v>25</v>
      </c>
      <c r="X146" s="2">
        <v>9</v>
      </c>
      <c r="Y146" s="16">
        <v>4543.75</v>
      </c>
      <c r="Z146" s="5">
        <v>7360</v>
      </c>
    </row>
    <row r="147" spans="1:26" x14ac:dyDescent="0.25">
      <c r="A147" s="22" t="str">
        <f t="shared" si="16"/>
        <v>JONNY ROMAN GARCIA VALENTINO|46</v>
      </c>
      <c r="B147" s="3">
        <v>45230</v>
      </c>
      <c r="C147" s="40" t="str">
        <f t="shared" si="20"/>
        <v>10|2023</v>
      </c>
      <c r="D147" s="2" t="s">
        <v>109</v>
      </c>
      <c r="E147" s="17" t="s">
        <v>51</v>
      </c>
      <c r="F147" s="18">
        <v>34012</v>
      </c>
      <c r="G147" s="17" t="s">
        <v>53</v>
      </c>
      <c r="H147" s="3">
        <v>43850</v>
      </c>
      <c r="I147" s="29">
        <f t="shared" si="17"/>
        <v>1380</v>
      </c>
      <c r="J147" s="44">
        <f t="shared" si="21"/>
        <v>46</v>
      </c>
      <c r="K147" s="29" t="str">
        <f>VLOOKUP(I147,Etiquetas!B:C,2)</f>
        <v>Mas de 3 años</v>
      </c>
      <c r="L147" s="41">
        <f t="shared" si="18"/>
        <v>42</v>
      </c>
      <c r="M147" s="41">
        <f t="shared" si="19"/>
        <v>47</v>
      </c>
      <c r="N147" s="5">
        <v>1485091.73</v>
      </c>
      <c r="O147" s="5">
        <v>1481288.89</v>
      </c>
      <c r="P147" s="5">
        <v>1378601.8499999999</v>
      </c>
      <c r="Q147" s="42">
        <f t="shared" si="22"/>
        <v>0.93067723609268405</v>
      </c>
      <c r="R147" s="4">
        <v>0</v>
      </c>
      <c r="S147" s="43">
        <f t="shared" si="23"/>
        <v>0</v>
      </c>
      <c r="T147" s="5">
        <v>1084885.4114000001</v>
      </c>
      <c r="U147" s="5">
        <v>644000.28</v>
      </c>
      <c r="V147" s="2">
        <v>3</v>
      </c>
      <c r="W147" s="2">
        <v>0</v>
      </c>
      <c r="X147" s="2">
        <v>0</v>
      </c>
      <c r="Y147" s="16">
        <v>18447.063802798621</v>
      </c>
      <c r="Z147" s="5">
        <v>4845</v>
      </c>
    </row>
    <row r="148" spans="1:26" x14ac:dyDescent="0.25">
      <c r="A148" s="22" t="str">
        <f t="shared" si="16"/>
        <v>ULISES URIEL PARTIDA MENDEZ|1</v>
      </c>
      <c r="B148" s="3">
        <v>45230</v>
      </c>
      <c r="C148" s="40" t="str">
        <f t="shared" si="20"/>
        <v>10|2023</v>
      </c>
      <c r="D148" s="2" t="s">
        <v>109</v>
      </c>
      <c r="E148" s="17" t="s">
        <v>51</v>
      </c>
      <c r="F148" s="18">
        <v>35102</v>
      </c>
      <c r="G148" s="17" t="s">
        <v>77</v>
      </c>
      <c r="H148" s="45">
        <v>45188</v>
      </c>
      <c r="I148" s="29">
        <f t="shared" si="17"/>
        <v>42</v>
      </c>
      <c r="J148" s="44">
        <f t="shared" si="21"/>
        <v>1</v>
      </c>
      <c r="K148" s="29" t="str">
        <f>VLOOKUP(I148,Etiquetas!B:C,2)</f>
        <v>&lt; 3 Meses</v>
      </c>
      <c r="L148" s="41">
        <f t="shared" si="18"/>
        <v>0</v>
      </c>
      <c r="M148" s="41">
        <f t="shared" si="19"/>
        <v>2</v>
      </c>
      <c r="N148" s="5">
        <v>0</v>
      </c>
      <c r="O148" s="5">
        <v>65991.66</v>
      </c>
      <c r="P148" s="5">
        <v>65991.66</v>
      </c>
      <c r="Q148" s="42">
        <f t="shared" si="22"/>
        <v>1</v>
      </c>
      <c r="R148" s="4">
        <v>0</v>
      </c>
      <c r="S148" s="43">
        <f t="shared" si="23"/>
        <v>0</v>
      </c>
      <c r="T148" s="5">
        <v>68954.214360041617</v>
      </c>
      <c r="U148" s="5">
        <v>73999.710000000006</v>
      </c>
      <c r="V148" s="2">
        <v>12</v>
      </c>
      <c r="W148" s="2">
        <v>0</v>
      </c>
      <c r="X148" s="2">
        <v>0</v>
      </c>
      <c r="Y148" s="16">
        <v>3649.2288538724547</v>
      </c>
      <c r="Z148" s="5">
        <v>1667.5</v>
      </c>
    </row>
    <row r="149" spans="1:26" x14ac:dyDescent="0.25">
      <c r="A149" s="22" t="str">
        <f t="shared" si="16"/>
        <v>NADINE GUADALUPE URIBE SANTIAGO|9</v>
      </c>
      <c r="B149" s="3">
        <v>45230</v>
      </c>
      <c r="C149" s="40" t="str">
        <f t="shared" si="20"/>
        <v>10|2023</v>
      </c>
      <c r="D149" s="2" t="s">
        <v>109</v>
      </c>
      <c r="E149" s="17" t="s">
        <v>51</v>
      </c>
      <c r="F149" s="18">
        <v>33385</v>
      </c>
      <c r="G149" s="17" t="s">
        <v>52</v>
      </c>
      <c r="H149" s="3">
        <v>44958</v>
      </c>
      <c r="I149" s="29">
        <f t="shared" si="17"/>
        <v>272</v>
      </c>
      <c r="J149" s="44">
        <f t="shared" si="21"/>
        <v>9</v>
      </c>
      <c r="K149" s="29" t="str">
        <f>VLOOKUP(I149,Etiquetas!B:C,2)</f>
        <v>6 a 12 Meses</v>
      </c>
      <c r="L149" s="41">
        <f t="shared" si="18"/>
        <v>6</v>
      </c>
      <c r="M149" s="41">
        <f t="shared" si="19"/>
        <v>10</v>
      </c>
      <c r="N149" s="5">
        <v>1807599.4199999997</v>
      </c>
      <c r="O149" s="5">
        <v>1911661.51</v>
      </c>
      <c r="P149" s="5">
        <v>1623493.82</v>
      </c>
      <c r="Q149" s="42">
        <f t="shared" si="22"/>
        <v>0.84925799442391869</v>
      </c>
      <c r="R149" s="4">
        <v>845.78</v>
      </c>
      <c r="S149" s="43">
        <f t="shared" si="23"/>
        <v>4.4243188220073539E-4</v>
      </c>
      <c r="T149" s="5">
        <v>652790.06285000034</v>
      </c>
      <c r="U149" s="5">
        <v>512500.21000000014</v>
      </c>
      <c r="V149" s="2">
        <v>0</v>
      </c>
      <c r="W149" s="2">
        <v>44</v>
      </c>
      <c r="X149" s="2">
        <v>16</v>
      </c>
      <c r="Y149" s="16">
        <v>4543.75</v>
      </c>
      <c r="Z149" s="5">
        <v>9615</v>
      </c>
    </row>
    <row r="150" spans="1:26" x14ac:dyDescent="0.25">
      <c r="A150" s="22" t="str">
        <f t="shared" si="16"/>
        <v>NELLYE SAAVEDRA SALVADOR|7</v>
      </c>
      <c r="B150" s="3">
        <v>45230</v>
      </c>
      <c r="C150" s="40" t="str">
        <f t="shared" si="20"/>
        <v>10|2023</v>
      </c>
      <c r="D150" s="2" t="s">
        <v>109</v>
      </c>
      <c r="E150" s="17" t="s">
        <v>54</v>
      </c>
      <c r="F150" s="18">
        <v>30049</v>
      </c>
      <c r="G150" s="17" t="s">
        <v>56</v>
      </c>
      <c r="H150" s="3">
        <v>45006</v>
      </c>
      <c r="I150" s="29">
        <f t="shared" si="17"/>
        <v>224</v>
      </c>
      <c r="J150" s="44">
        <f t="shared" si="21"/>
        <v>7</v>
      </c>
      <c r="K150" s="29" t="str">
        <f>VLOOKUP(I150,Etiquetas!B:C,2)</f>
        <v>6 a 12 Meses</v>
      </c>
      <c r="L150" s="41">
        <f t="shared" si="18"/>
        <v>4</v>
      </c>
      <c r="M150" s="41">
        <f t="shared" si="19"/>
        <v>8</v>
      </c>
      <c r="N150" s="5">
        <v>504757.98</v>
      </c>
      <c r="O150" s="5">
        <v>655471.85</v>
      </c>
      <c r="P150" s="5">
        <v>597818.32000000007</v>
      </c>
      <c r="Q150" s="42">
        <f t="shared" si="22"/>
        <v>0.9120427063343759</v>
      </c>
      <c r="R150" s="4">
        <v>0</v>
      </c>
      <c r="S150" s="43">
        <f t="shared" si="23"/>
        <v>0</v>
      </c>
      <c r="T150" s="5">
        <v>509569.28939999989</v>
      </c>
      <c r="U150" s="5">
        <v>425500.53999999992</v>
      </c>
      <c r="V150" s="2">
        <v>51</v>
      </c>
      <c r="W150" s="2">
        <v>27</v>
      </c>
      <c r="X150" s="2">
        <v>20</v>
      </c>
      <c r="Y150" s="16">
        <v>11752.778622064572</v>
      </c>
      <c r="Z150" s="5">
        <v>690</v>
      </c>
    </row>
    <row r="151" spans="1:26" x14ac:dyDescent="0.25">
      <c r="A151" s="22" t="str">
        <f t="shared" si="16"/>
        <v>JORGE ALBERTO CONTRERAS SEGUNDO|2</v>
      </c>
      <c r="B151" s="3">
        <v>45230</v>
      </c>
      <c r="C151" s="40" t="str">
        <f t="shared" si="20"/>
        <v>10|2023</v>
      </c>
      <c r="D151" s="2" t="s">
        <v>109</v>
      </c>
      <c r="E151" s="17" t="s">
        <v>54</v>
      </c>
      <c r="F151" s="18">
        <v>34226</v>
      </c>
      <c r="G151" s="17" t="s">
        <v>57</v>
      </c>
      <c r="H151" s="3">
        <v>45154</v>
      </c>
      <c r="I151" s="29">
        <f t="shared" si="17"/>
        <v>76</v>
      </c>
      <c r="J151" s="44">
        <f t="shared" si="21"/>
        <v>2</v>
      </c>
      <c r="K151" s="29" t="str">
        <f>VLOOKUP(I151,Etiquetas!B:C,2)</f>
        <v>&lt; 3 Meses</v>
      </c>
      <c r="L151" s="41">
        <f t="shared" si="18"/>
        <v>0</v>
      </c>
      <c r="M151" s="41">
        <f t="shared" si="19"/>
        <v>3</v>
      </c>
      <c r="N151" s="5">
        <v>527990.33000000007</v>
      </c>
      <c r="O151" s="5">
        <v>533168.67000000004</v>
      </c>
      <c r="P151" s="5">
        <v>533168.67000000004</v>
      </c>
      <c r="Q151" s="42">
        <f t="shared" si="22"/>
        <v>1</v>
      </c>
      <c r="R151" s="4">
        <v>0</v>
      </c>
      <c r="S151" s="43">
        <f t="shared" si="23"/>
        <v>0</v>
      </c>
      <c r="T151" s="5">
        <v>188625.17499999999</v>
      </c>
      <c r="U151" s="5">
        <v>144500.24999999997</v>
      </c>
      <c r="V151" s="2">
        <v>35</v>
      </c>
      <c r="W151" s="2">
        <v>0</v>
      </c>
      <c r="X151" s="2">
        <v>0</v>
      </c>
      <c r="Y151" s="16">
        <v>2162.5</v>
      </c>
      <c r="Z151" s="5">
        <v>2000</v>
      </c>
    </row>
    <row r="152" spans="1:26" x14ac:dyDescent="0.25">
      <c r="A152" s="22" t="str">
        <f t="shared" si="16"/>
        <v>HUGO ENRIQUE SEVILLANO ONOFRE|1</v>
      </c>
      <c r="B152" s="3">
        <v>45230</v>
      </c>
      <c r="C152" s="40" t="str">
        <f t="shared" si="20"/>
        <v>10|2023</v>
      </c>
      <c r="D152" s="2" t="s">
        <v>109</v>
      </c>
      <c r="E152" s="17" t="s">
        <v>54</v>
      </c>
      <c r="F152" s="18">
        <v>34786</v>
      </c>
      <c r="G152" s="17" t="s">
        <v>78</v>
      </c>
      <c r="H152" s="3">
        <v>45173</v>
      </c>
      <c r="I152" s="29">
        <f t="shared" si="17"/>
        <v>57</v>
      </c>
      <c r="J152" s="44">
        <f t="shared" si="21"/>
        <v>1</v>
      </c>
      <c r="K152" s="29" t="str">
        <f>VLOOKUP(I152,Etiquetas!B:C,2)</f>
        <v>&lt; 3 Meses</v>
      </c>
      <c r="L152" s="41">
        <f t="shared" si="18"/>
        <v>0</v>
      </c>
      <c r="M152" s="41">
        <f t="shared" si="19"/>
        <v>1</v>
      </c>
      <c r="N152" s="5">
        <v>83866.45</v>
      </c>
      <c r="O152" s="5">
        <v>62312.639999999999</v>
      </c>
      <c r="P152" s="5">
        <v>62312.639999999999</v>
      </c>
      <c r="Q152" s="42">
        <f t="shared" si="22"/>
        <v>1</v>
      </c>
      <c r="R152" s="4">
        <v>0</v>
      </c>
      <c r="S152" s="43">
        <f t="shared" si="23"/>
        <v>0</v>
      </c>
      <c r="T152" s="5">
        <v>97000</v>
      </c>
      <c r="U152" s="5">
        <v>0</v>
      </c>
      <c r="V152" s="2">
        <v>13</v>
      </c>
      <c r="W152" s="2">
        <v>0</v>
      </c>
      <c r="X152" s="2">
        <v>0</v>
      </c>
      <c r="Y152" s="16">
        <v>6150.6455484726539</v>
      </c>
      <c r="Z152" s="5">
        <v>2000</v>
      </c>
    </row>
    <row r="153" spans="1:26" x14ac:dyDescent="0.25">
      <c r="A153" s="22" t="str">
        <f t="shared" si="16"/>
        <v>DENISSE FUENTES CASTRO|1</v>
      </c>
      <c r="B153" s="3">
        <v>45230</v>
      </c>
      <c r="C153" s="40" t="str">
        <f t="shared" si="20"/>
        <v>10|2023</v>
      </c>
      <c r="D153" s="2" t="s">
        <v>109</v>
      </c>
      <c r="E153" s="17" t="s">
        <v>54</v>
      </c>
      <c r="F153" s="18">
        <v>25227</v>
      </c>
      <c r="G153" s="17" t="s">
        <v>55</v>
      </c>
      <c r="H153" s="21">
        <v>45187</v>
      </c>
      <c r="I153" s="29">
        <f t="shared" si="17"/>
        <v>43</v>
      </c>
      <c r="J153" s="44">
        <f t="shared" si="21"/>
        <v>1</v>
      </c>
      <c r="K153" s="29" t="str">
        <f>VLOOKUP(I153,Etiquetas!B:C,2)</f>
        <v>&lt; 3 Meses</v>
      </c>
      <c r="L153" s="41">
        <f t="shared" si="18"/>
        <v>1</v>
      </c>
      <c r="M153" s="41">
        <f t="shared" si="19"/>
        <v>14</v>
      </c>
      <c r="N153" s="5">
        <v>1090773.07</v>
      </c>
      <c r="O153" s="5">
        <v>1399575.2000000004</v>
      </c>
      <c r="P153" s="5">
        <v>1194708.5600000003</v>
      </c>
      <c r="Q153" s="42">
        <f t="shared" si="22"/>
        <v>0.85362227052894335</v>
      </c>
      <c r="R153" s="4">
        <v>0</v>
      </c>
      <c r="S153" s="43">
        <f t="shared" si="23"/>
        <v>0</v>
      </c>
      <c r="T153" s="5">
        <v>608154.84105000005</v>
      </c>
      <c r="U153" s="5">
        <v>831535.17999999982</v>
      </c>
      <c r="V153" s="2">
        <v>7</v>
      </c>
      <c r="W153" s="2">
        <v>25</v>
      </c>
      <c r="X153" s="2">
        <v>15</v>
      </c>
      <c r="Y153" s="16">
        <v>16173.440760706768</v>
      </c>
      <c r="Z153" s="5">
        <v>4612.5</v>
      </c>
    </row>
    <row r="154" spans="1:26" x14ac:dyDescent="0.25">
      <c r="A154" s="22" t="str">
        <f t="shared" si="16"/>
        <v>ROBERTO MERAZ GUTIERREZ|6</v>
      </c>
      <c r="B154" s="3">
        <v>45230</v>
      </c>
      <c r="C154" s="40" t="str">
        <f t="shared" si="20"/>
        <v>10|2023</v>
      </c>
      <c r="D154" s="2" t="s">
        <v>109</v>
      </c>
      <c r="E154" s="17" t="s">
        <v>25</v>
      </c>
      <c r="F154" s="18">
        <v>33373</v>
      </c>
      <c r="G154" s="17" t="s">
        <v>28</v>
      </c>
      <c r="H154" s="3">
        <v>45033</v>
      </c>
      <c r="I154" s="29">
        <f t="shared" si="17"/>
        <v>197</v>
      </c>
      <c r="J154" s="44">
        <f t="shared" si="21"/>
        <v>6</v>
      </c>
      <c r="K154" s="29" t="str">
        <f>VLOOKUP(I154,Etiquetas!B:C,2)</f>
        <v>6 a 12 Meses</v>
      </c>
      <c r="L154" s="41">
        <f t="shared" si="18"/>
        <v>3</v>
      </c>
      <c r="M154" s="41">
        <f t="shared" si="19"/>
        <v>7</v>
      </c>
      <c r="N154" s="5">
        <v>1400508.2900000003</v>
      </c>
      <c r="O154" s="5">
        <v>1376339.9999999995</v>
      </c>
      <c r="P154" s="5">
        <v>1291066.31</v>
      </c>
      <c r="Q154" s="42">
        <f t="shared" si="22"/>
        <v>0.9380431506749789</v>
      </c>
      <c r="R154" s="4">
        <v>0</v>
      </c>
      <c r="S154" s="43">
        <f t="shared" si="23"/>
        <v>0</v>
      </c>
      <c r="T154" s="5">
        <v>485549.82924999995</v>
      </c>
      <c r="U154" s="5">
        <v>518999.96000000008</v>
      </c>
      <c r="V154" s="2">
        <v>7</v>
      </c>
      <c r="W154" s="2">
        <v>20</v>
      </c>
      <c r="X154" s="2">
        <v>10</v>
      </c>
      <c r="Y154" s="16">
        <v>3106.2504176951011</v>
      </c>
      <c r="Z154" s="5">
        <v>3390</v>
      </c>
    </row>
    <row r="155" spans="1:26" x14ac:dyDescent="0.25">
      <c r="A155" s="22" t="str">
        <f t="shared" si="16"/>
        <v>ELIZABETH PEREZ PERALTA|4</v>
      </c>
      <c r="B155" s="3">
        <v>45230</v>
      </c>
      <c r="C155" s="40" t="str">
        <f t="shared" si="20"/>
        <v>10|2023</v>
      </c>
      <c r="D155" s="2" t="s">
        <v>109</v>
      </c>
      <c r="E155" s="17" t="s">
        <v>25</v>
      </c>
      <c r="F155" s="18">
        <v>32596</v>
      </c>
      <c r="G155" s="17" t="s">
        <v>27</v>
      </c>
      <c r="H155" s="3">
        <v>45093</v>
      </c>
      <c r="I155" s="29">
        <f t="shared" si="17"/>
        <v>137</v>
      </c>
      <c r="J155" s="44">
        <f t="shared" si="21"/>
        <v>4</v>
      </c>
      <c r="K155" s="29" t="str">
        <f>VLOOKUP(I155,Etiquetas!B:C,2)</f>
        <v>3 a 6 Meses</v>
      </c>
      <c r="L155" s="41">
        <f t="shared" si="18"/>
        <v>1</v>
      </c>
      <c r="M155" s="41">
        <f t="shared" si="19"/>
        <v>5</v>
      </c>
      <c r="N155" s="5">
        <v>1237666.1099999996</v>
      </c>
      <c r="O155" s="5">
        <v>1029276.8400000002</v>
      </c>
      <c r="P155" s="5">
        <v>958143.37999999977</v>
      </c>
      <c r="Q155" s="42">
        <f t="shared" si="22"/>
        <v>0.93088986632595327</v>
      </c>
      <c r="R155" s="4">
        <v>0</v>
      </c>
      <c r="S155" s="43">
        <f t="shared" si="23"/>
        <v>0</v>
      </c>
      <c r="T155" s="5">
        <v>473180.13524999993</v>
      </c>
      <c r="U155" s="5">
        <v>281874.26</v>
      </c>
      <c r="V155" s="2">
        <v>9</v>
      </c>
      <c r="W155" s="2">
        <v>0</v>
      </c>
      <c r="X155" s="2">
        <v>0</v>
      </c>
      <c r="Y155" s="16">
        <v>3377.0293223283606</v>
      </c>
      <c r="Z155" s="5">
        <v>0</v>
      </c>
    </row>
    <row r="156" spans="1:26" x14ac:dyDescent="0.25">
      <c r="A156" s="22" t="str">
        <f t="shared" si="16"/>
        <v>YESSICA ADELAIDA DELGADILLO MIRANDA|0</v>
      </c>
      <c r="B156" s="3">
        <v>45230</v>
      </c>
      <c r="C156" s="40" t="str">
        <f t="shared" si="20"/>
        <v>10|2023</v>
      </c>
      <c r="D156" s="2" t="s">
        <v>109</v>
      </c>
      <c r="E156" s="2" t="s">
        <v>25</v>
      </c>
      <c r="F156" s="2">
        <v>36042</v>
      </c>
      <c r="G156" s="19" t="s">
        <v>85</v>
      </c>
      <c r="H156" s="3">
        <v>45223</v>
      </c>
      <c r="I156" s="29">
        <f t="shared" si="17"/>
        <v>7</v>
      </c>
      <c r="J156" s="44">
        <f t="shared" si="21"/>
        <v>0</v>
      </c>
      <c r="K156" s="29" t="str">
        <f>VLOOKUP(I156,Etiquetas!B:C,2)</f>
        <v>&lt; 3 Meses</v>
      </c>
      <c r="L156" s="41">
        <f t="shared" si="18"/>
        <v>0</v>
      </c>
      <c r="M156" s="41">
        <f t="shared" si="19"/>
        <v>1</v>
      </c>
      <c r="N156" s="5"/>
      <c r="O156" s="5"/>
      <c r="P156" s="5">
        <v>0</v>
      </c>
      <c r="Q156" s="42">
        <f t="shared" si="22"/>
        <v>0</v>
      </c>
      <c r="R156" s="4">
        <v>0</v>
      </c>
      <c r="S156" s="43">
        <f t="shared" si="23"/>
        <v>0</v>
      </c>
      <c r="T156" s="5">
        <v>35000</v>
      </c>
      <c r="U156" s="5">
        <v>0</v>
      </c>
      <c r="V156" s="2">
        <v>0</v>
      </c>
      <c r="W156" s="2">
        <v>0</v>
      </c>
      <c r="X156" s="2">
        <v>0</v>
      </c>
      <c r="Y156" s="16">
        <v>4762.5</v>
      </c>
      <c r="Z156" s="5" t="s">
        <v>71</v>
      </c>
    </row>
    <row r="157" spans="1:26" x14ac:dyDescent="0.25">
      <c r="A157" s="22" t="str">
        <f t="shared" si="16"/>
        <v>LAURA PATRICIA CARRERA QUINTERO|6</v>
      </c>
      <c r="B157" s="3">
        <v>45230</v>
      </c>
      <c r="C157" s="40" t="str">
        <f t="shared" si="20"/>
        <v>10|2023</v>
      </c>
      <c r="D157" s="2" t="s">
        <v>109</v>
      </c>
      <c r="E157" s="17" t="s">
        <v>34</v>
      </c>
      <c r="F157" s="18">
        <v>30869</v>
      </c>
      <c r="G157" s="17" t="s">
        <v>35</v>
      </c>
      <c r="H157" s="3">
        <v>45034</v>
      </c>
      <c r="I157" s="29">
        <f t="shared" si="17"/>
        <v>196</v>
      </c>
      <c r="J157" s="44">
        <f t="shared" si="21"/>
        <v>6</v>
      </c>
      <c r="K157" s="29" t="str">
        <f>VLOOKUP(I157,Etiquetas!B:C,2)</f>
        <v>6 a 12 Meses</v>
      </c>
      <c r="L157" s="41">
        <f t="shared" si="18"/>
        <v>3</v>
      </c>
      <c r="M157" s="41">
        <f t="shared" si="19"/>
        <v>7</v>
      </c>
      <c r="N157" s="5">
        <v>1390725.68</v>
      </c>
      <c r="O157" s="5">
        <v>1147073.1199999999</v>
      </c>
      <c r="P157" s="5">
        <v>1129228.75</v>
      </c>
      <c r="Q157" s="42">
        <f t="shared" si="22"/>
        <v>0.98444356363263064</v>
      </c>
      <c r="R157" s="4">
        <v>0</v>
      </c>
      <c r="S157" s="43">
        <f t="shared" si="23"/>
        <v>0</v>
      </c>
      <c r="T157" s="5">
        <v>615819.89484999992</v>
      </c>
      <c r="U157" s="5">
        <v>241001.0100000001</v>
      </c>
      <c r="V157" s="2">
        <v>21</v>
      </c>
      <c r="W157" s="2">
        <v>69</v>
      </c>
      <c r="X157" s="2">
        <v>29</v>
      </c>
      <c r="Y157" s="16">
        <v>5306.1299235304232</v>
      </c>
      <c r="Z157" s="5">
        <v>2242.5</v>
      </c>
    </row>
    <row r="158" spans="1:26" x14ac:dyDescent="0.25">
      <c r="A158" s="22" t="str">
        <f t="shared" si="16"/>
        <v>MIRIAM PATRICIA ROSAS AREVALO|2</v>
      </c>
      <c r="B158" s="3">
        <v>45230</v>
      </c>
      <c r="C158" s="40" t="str">
        <f t="shared" si="20"/>
        <v>10|2023</v>
      </c>
      <c r="D158" s="2" t="s">
        <v>109</v>
      </c>
      <c r="E158" s="17" t="s">
        <v>34</v>
      </c>
      <c r="F158" s="18">
        <v>33967</v>
      </c>
      <c r="G158" s="17" t="s">
        <v>36</v>
      </c>
      <c r="H158" s="3">
        <v>45145</v>
      </c>
      <c r="I158" s="29">
        <f t="shared" si="17"/>
        <v>85</v>
      </c>
      <c r="J158" s="44">
        <f t="shared" si="21"/>
        <v>2</v>
      </c>
      <c r="K158" s="29" t="str">
        <f>VLOOKUP(I158,Etiquetas!B:C,2)</f>
        <v>&lt; 3 Meses</v>
      </c>
      <c r="L158" s="41">
        <f t="shared" si="18"/>
        <v>0</v>
      </c>
      <c r="M158" s="41">
        <f t="shared" si="19"/>
        <v>3</v>
      </c>
      <c r="N158" s="5">
        <v>423493.14</v>
      </c>
      <c r="O158" s="5">
        <v>355936.92000000004</v>
      </c>
      <c r="P158" s="5">
        <v>355936.92000000004</v>
      </c>
      <c r="Q158" s="42">
        <f t="shared" si="22"/>
        <v>1</v>
      </c>
      <c r="R158" s="4">
        <v>0</v>
      </c>
      <c r="S158" s="43">
        <f t="shared" si="23"/>
        <v>0</v>
      </c>
      <c r="T158" s="5">
        <v>339500.12599999993</v>
      </c>
      <c r="U158" s="5">
        <v>93000.12999999999</v>
      </c>
      <c r="V158" s="2">
        <v>12</v>
      </c>
      <c r="W158" s="2">
        <v>2</v>
      </c>
      <c r="X158" s="2">
        <v>0</v>
      </c>
      <c r="Y158" s="16">
        <v>9758.3845542690942</v>
      </c>
      <c r="Z158" s="5">
        <v>2000</v>
      </c>
    </row>
    <row r="159" spans="1:26" x14ac:dyDescent="0.25">
      <c r="A159" s="22" t="str">
        <f t="shared" si="16"/>
        <v>ARMANDO ALEJANDRO TOVAR BRACAMONTES|19</v>
      </c>
      <c r="B159" s="3">
        <v>45230</v>
      </c>
      <c r="C159" s="40" t="str">
        <f t="shared" si="20"/>
        <v>10|2023</v>
      </c>
      <c r="D159" s="2" t="s">
        <v>109</v>
      </c>
      <c r="E159" s="17" t="s">
        <v>37</v>
      </c>
      <c r="F159" s="18">
        <v>20612</v>
      </c>
      <c r="G159" s="17" t="s">
        <v>39</v>
      </c>
      <c r="H159" s="3">
        <v>44648</v>
      </c>
      <c r="I159" s="29">
        <f t="shared" si="17"/>
        <v>582</v>
      </c>
      <c r="J159" s="44">
        <f t="shared" si="21"/>
        <v>19</v>
      </c>
      <c r="K159" s="29" t="str">
        <f>VLOOKUP(I159,Etiquetas!B:C,2)</f>
        <v>1.5 a 2 años</v>
      </c>
      <c r="L159" s="41">
        <f t="shared" si="18"/>
        <v>16</v>
      </c>
      <c r="M159" s="41">
        <f t="shared" si="19"/>
        <v>20</v>
      </c>
      <c r="N159" s="5">
        <v>2025186.81</v>
      </c>
      <c r="O159" s="5">
        <v>2198186.8200000003</v>
      </c>
      <c r="P159" s="5">
        <v>2129521.5599999996</v>
      </c>
      <c r="Q159" s="42">
        <f t="shared" si="22"/>
        <v>0.96876277331150562</v>
      </c>
      <c r="R159" s="4">
        <v>0</v>
      </c>
      <c r="S159" s="43">
        <f t="shared" si="23"/>
        <v>0</v>
      </c>
      <c r="T159" s="5">
        <v>649984.89004999993</v>
      </c>
      <c r="U159" s="5">
        <v>1036499.2199999997</v>
      </c>
      <c r="V159" s="2">
        <v>21</v>
      </c>
      <c r="W159" s="2">
        <v>25</v>
      </c>
      <c r="X159" s="2">
        <v>23</v>
      </c>
      <c r="Y159" s="16">
        <v>3675</v>
      </c>
      <c r="Z159" s="5">
        <v>8910</v>
      </c>
    </row>
    <row r="160" spans="1:26" x14ac:dyDescent="0.25">
      <c r="A160" s="22" t="str">
        <f t="shared" si="16"/>
        <v>MARIA ISABEL MUÑOZ SANCHEZ|10</v>
      </c>
      <c r="B160" s="3">
        <v>45230</v>
      </c>
      <c r="C160" s="40" t="str">
        <f t="shared" si="20"/>
        <v>10|2023</v>
      </c>
      <c r="D160" s="2" t="s">
        <v>108</v>
      </c>
      <c r="E160" s="17" t="s">
        <v>9</v>
      </c>
      <c r="F160" s="18">
        <v>27539</v>
      </c>
      <c r="G160" s="17" t="s">
        <v>12</v>
      </c>
      <c r="H160" s="3">
        <v>44902</v>
      </c>
      <c r="I160" s="29">
        <f t="shared" si="17"/>
        <v>328</v>
      </c>
      <c r="J160" s="44">
        <f t="shared" si="21"/>
        <v>10</v>
      </c>
      <c r="K160" s="29" t="str">
        <f>VLOOKUP(I160,Etiquetas!B:C,2)</f>
        <v>6 a 12 Meses</v>
      </c>
      <c r="L160" s="41">
        <f t="shared" si="18"/>
        <v>7</v>
      </c>
      <c r="M160" s="41">
        <f t="shared" si="19"/>
        <v>11</v>
      </c>
      <c r="N160" s="5">
        <v>1051330.49</v>
      </c>
      <c r="O160" s="5">
        <v>968250.62</v>
      </c>
      <c r="P160" s="5">
        <v>749763.19</v>
      </c>
      <c r="Q160" s="42">
        <f t="shared" si="22"/>
        <v>0.77434826739382823</v>
      </c>
      <c r="R160" s="4">
        <v>7792.63</v>
      </c>
      <c r="S160" s="43">
        <f t="shared" si="23"/>
        <v>8.0481538963538182E-3</v>
      </c>
      <c r="T160" s="5">
        <v>701994.62589999998</v>
      </c>
      <c r="U160" s="5">
        <v>274999.71999999997</v>
      </c>
      <c r="V160" s="2">
        <v>6</v>
      </c>
      <c r="W160" s="2">
        <v>33</v>
      </c>
      <c r="X160" s="2">
        <v>22</v>
      </c>
      <c r="Y160" s="16">
        <v>10869.718061712916</v>
      </c>
      <c r="Z160" s="5">
        <v>487.5</v>
      </c>
    </row>
    <row r="161" spans="1:26" x14ac:dyDescent="0.25">
      <c r="A161" s="22" t="str">
        <f t="shared" si="16"/>
        <v>HASLEY RODRIGUEZ GARCIA|1</v>
      </c>
      <c r="B161" s="3">
        <v>45230</v>
      </c>
      <c r="C161" s="40" t="str">
        <f t="shared" si="20"/>
        <v>10|2023</v>
      </c>
      <c r="D161" s="2" t="s">
        <v>108</v>
      </c>
      <c r="E161" s="17" t="s">
        <v>9</v>
      </c>
      <c r="F161" s="18">
        <v>34963</v>
      </c>
      <c r="G161" s="17" t="s">
        <v>70</v>
      </c>
      <c r="H161" s="3">
        <v>45177</v>
      </c>
      <c r="I161" s="29">
        <f t="shared" si="17"/>
        <v>53</v>
      </c>
      <c r="J161" s="44">
        <f t="shared" si="21"/>
        <v>1</v>
      </c>
      <c r="K161" s="29" t="str">
        <f>VLOOKUP(I161,Etiquetas!B:C,2)</f>
        <v>&lt; 3 Meses</v>
      </c>
      <c r="L161" s="41">
        <f t="shared" si="18"/>
        <v>0</v>
      </c>
      <c r="M161" s="41">
        <f t="shared" si="19"/>
        <v>2</v>
      </c>
      <c r="N161" s="5">
        <v>580055.13</v>
      </c>
      <c r="O161" s="5">
        <v>776696.58000000007</v>
      </c>
      <c r="P161" s="5">
        <v>776696.58000000007</v>
      </c>
      <c r="Q161" s="42">
        <f t="shared" si="22"/>
        <v>1</v>
      </c>
      <c r="R161" s="4">
        <v>0</v>
      </c>
      <c r="S161" s="43">
        <f t="shared" si="23"/>
        <v>0</v>
      </c>
      <c r="T161" s="5">
        <v>97000</v>
      </c>
      <c r="U161" s="5">
        <v>481000.03000000009</v>
      </c>
      <c r="V161" s="2">
        <v>1</v>
      </c>
      <c r="W161" s="2">
        <v>0</v>
      </c>
      <c r="X161" s="2">
        <v>0</v>
      </c>
      <c r="Y161" s="16">
        <v>8135.5357142857147</v>
      </c>
      <c r="Z161" s="5">
        <v>9343.75</v>
      </c>
    </row>
    <row r="162" spans="1:26" x14ac:dyDescent="0.25">
      <c r="A162" s="22" t="str">
        <f t="shared" si="16"/>
        <v>ANAHI JIMENEZ RAMOS|0</v>
      </c>
      <c r="B162" s="3">
        <v>45230</v>
      </c>
      <c r="C162" s="40" t="str">
        <f t="shared" si="20"/>
        <v>10|2023</v>
      </c>
      <c r="D162" s="2" t="s">
        <v>108</v>
      </c>
      <c r="E162" s="17" t="s">
        <v>9</v>
      </c>
      <c r="F162" s="2">
        <v>36084</v>
      </c>
      <c r="G162" s="19" t="s">
        <v>79</v>
      </c>
      <c r="H162" s="3">
        <v>45226</v>
      </c>
      <c r="I162" s="29">
        <f t="shared" si="17"/>
        <v>4</v>
      </c>
      <c r="J162" s="44">
        <f t="shared" si="21"/>
        <v>0</v>
      </c>
      <c r="K162" s="29" t="str">
        <f>VLOOKUP(I162,Etiquetas!B:C,2)</f>
        <v>&lt; 3 Meses</v>
      </c>
      <c r="L162" s="41">
        <f t="shared" si="18"/>
        <v>0</v>
      </c>
      <c r="M162" s="41">
        <f t="shared" si="19"/>
        <v>1</v>
      </c>
      <c r="N162" s="5"/>
      <c r="O162" s="5"/>
      <c r="P162" s="5">
        <v>0</v>
      </c>
      <c r="Q162" s="42">
        <f t="shared" si="22"/>
        <v>0</v>
      </c>
      <c r="R162" s="4">
        <v>0</v>
      </c>
      <c r="S162" s="43">
        <f t="shared" si="23"/>
        <v>0</v>
      </c>
      <c r="T162" s="5">
        <v>35000</v>
      </c>
      <c r="U162" s="5">
        <v>0</v>
      </c>
      <c r="V162" s="2">
        <v>0</v>
      </c>
      <c r="W162" s="2">
        <v>0</v>
      </c>
      <c r="X162" s="2">
        <v>0</v>
      </c>
      <c r="Y162" s="16">
        <v>2162.5</v>
      </c>
      <c r="Z162" s="5">
        <v>2000</v>
      </c>
    </row>
    <row r="163" spans="1:26" x14ac:dyDescent="0.25">
      <c r="A163" s="22" t="str">
        <f t="shared" si="16"/>
        <v>JHOVANNY AGUILAR GARCIA|2</v>
      </c>
      <c r="B163" s="3">
        <v>45230</v>
      </c>
      <c r="C163" s="40" t="str">
        <f t="shared" si="20"/>
        <v>10|2023</v>
      </c>
      <c r="D163" s="2" t="s">
        <v>108</v>
      </c>
      <c r="E163" s="17" t="s">
        <v>13</v>
      </c>
      <c r="F163" s="18">
        <v>34479</v>
      </c>
      <c r="G163" s="17" t="s">
        <v>14</v>
      </c>
      <c r="H163" s="3">
        <v>45162</v>
      </c>
      <c r="I163" s="29">
        <f t="shared" si="17"/>
        <v>68</v>
      </c>
      <c r="J163" s="44">
        <f t="shared" si="21"/>
        <v>2</v>
      </c>
      <c r="K163" s="29" t="str">
        <f>VLOOKUP(I163,Etiquetas!B:C,2)</f>
        <v>&lt; 3 Meses</v>
      </c>
      <c r="L163" s="41">
        <f t="shared" si="18"/>
        <v>0</v>
      </c>
      <c r="M163" s="41">
        <f t="shared" si="19"/>
        <v>2</v>
      </c>
      <c r="N163" s="5">
        <v>540844.75</v>
      </c>
      <c r="O163" s="5">
        <v>629149.35</v>
      </c>
      <c r="P163" s="5">
        <v>623685.68999999994</v>
      </c>
      <c r="Q163" s="42">
        <f t="shared" si="22"/>
        <v>0.99131579806925008</v>
      </c>
      <c r="R163" s="4">
        <v>0</v>
      </c>
      <c r="S163" s="43">
        <f t="shared" si="23"/>
        <v>0</v>
      </c>
      <c r="T163" s="5">
        <v>331319.97195000004</v>
      </c>
      <c r="U163" s="5">
        <v>337999.97000000003</v>
      </c>
      <c r="V163" s="2">
        <v>28</v>
      </c>
      <c r="W163" s="2">
        <v>0</v>
      </c>
      <c r="X163" s="2">
        <v>0</v>
      </c>
      <c r="Y163" s="16">
        <v>5061.391395619944</v>
      </c>
      <c r="Z163" s="5">
        <v>5750</v>
      </c>
    </row>
    <row r="164" spans="1:26" x14ac:dyDescent="0.25">
      <c r="A164" s="22" t="str">
        <f t="shared" si="16"/>
        <v>EDUARDO ABEL CARBAJAL|1</v>
      </c>
      <c r="B164" s="3">
        <v>45230</v>
      </c>
      <c r="C164" s="40" t="str">
        <f t="shared" si="20"/>
        <v>10|2023</v>
      </c>
      <c r="D164" s="2" t="s">
        <v>108</v>
      </c>
      <c r="E164" s="17" t="s">
        <v>13</v>
      </c>
      <c r="F164" s="18">
        <v>34961</v>
      </c>
      <c r="G164" s="17" t="s">
        <v>80</v>
      </c>
      <c r="H164" s="3">
        <v>45177</v>
      </c>
      <c r="I164" s="29">
        <f t="shared" si="17"/>
        <v>53</v>
      </c>
      <c r="J164" s="44">
        <f t="shared" si="21"/>
        <v>1</v>
      </c>
      <c r="K164" s="29" t="str">
        <f>VLOOKUP(I164,Etiquetas!B:C,2)</f>
        <v>&lt; 3 Meses</v>
      </c>
      <c r="L164" s="41">
        <f t="shared" si="18"/>
        <v>1</v>
      </c>
      <c r="M164" s="41">
        <f t="shared" si="19"/>
        <v>1</v>
      </c>
      <c r="N164" s="5">
        <v>49205.409999999996</v>
      </c>
      <c r="O164" s="5">
        <v>340230.22</v>
      </c>
      <c r="P164" s="5">
        <v>340230.22</v>
      </c>
      <c r="Q164" s="42">
        <f t="shared" si="22"/>
        <v>1</v>
      </c>
      <c r="R164" s="4">
        <v>0</v>
      </c>
      <c r="S164" s="43">
        <f t="shared" si="23"/>
        <v>0</v>
      </c>
      <c r="T164" s="5">
        <v>35000</v>
      </c>
      <c r="U164" s="5">
        <v>331999.43000000011</v>
      </c>
      <c r="V164" s="2">
        <v>46</v>
      </c>
      <c r="W164" s="2">
        <v>0</v>
      </c>
      <c r="X164" s="2">
        <v>0</v>
      </c>
      <c r="Y164" s="16">
        <v>2162.5</v>
      </c>
      <c r="Z164" s="5">
        <v>8625</v>
      </c>
    </row>
    <row r="165" spans="1:26" x14ac:dyDescent="0.25">
      <c r="A165" s="22" t="str">
        <f t="shared" si="16"/>
        <v>RAUL RODRIGUEZ PEREZ|0</v>
      </c>
      <c r="B165" s="3">
        <v>45230</v>
      </c>
      <c r="C165" s="40" t="str">
        <f t="shared" si="20"/>
        <v>10|2023</v>
      </c>
      <c r="D165" s="2" t="s">
        <v>108</v>
      </c>
      <c r="E165" s="2" t="s">
        <v>13</v>
      </c>
      <c r="F165" s="2">
        <v>35841</v>
      </c>
      <c r="G165" s="19" t="s">
        <v>81</v>
      </c>
      <c r="H165" s="3">
        <v>45217</v>
      </c>
      <c r="I165" s="29">
        <f t="shared" si="17"/>
        <v>13</v>
      </c>
      <c r="J165" s="44">
        <f t="shared" si="21"/>
        <v>0</v>
      </c>
      <c r="K165" s="29" t="str">
        <f>VLOOKUP(I165,Etiquetas!B:C,2)</f>
        <v>&lt; 3 Meses</v>
      </c>
      <c r="L165" s="41">
        <f t="shared" si="18"/>
        <v>0</v>
      </c>
      <c r="M165" s="41">
        <f t="shared" si="19"/>
        <v>1</v>
      </c>
      <c r="N165" s="5"/>
      <c r="O165" s="5"/>
      <c r="P165" s="5">
        <v>0</v>
      </c>
      <c r="Q165" s="42">
        <f t="shared" si="22"/>
        <v>0</v>
      </c>
      <c r="R165" s="4">
        <v>0</v>
      </c>
      <c r="S165" s="43">
        <f t="shared" si="23"/>
        <v>0</v>
      </c>
      <c r="T165" s="5">
        <v>35000</v>
      </c>
      <c r="U165" s="5">
        <v>0</v>
      </c>
      <c r="V165" s="2">
        <v>0</v>
      </c>
      <c r="W165" s="2">
        <v>0</v>
      </c>
      <c r="X165" s="2">
        <v>0</v>
      </c>
      <c r="Y165" s="16">
        <v>2162.5</v>
      </c>
      <c r="Z165" s="5">
        <v>2000</v>
      </c>
    </row>
    <row r="166" spans="1:26" x14ac:dyDescent="0.25">
      <c r="A166" s="22" t="str">
        <f t="shared" si="16"/>
        <v>MONSERRAT DE LA CRUZ MARTINEZ ALVARADO|11</v>
      </c>
      <c r="B166" s="3">
        <v>45230</v>
      </c>
      <c r="C166" s="40" t="str">
        <f t="shared" si="20"/>
        <v>10|2023</v>
      </c>
      <c r="D166" s="2" t="s">
        <v>108</v>
      </c>
      <c r="E166" s="17" t="s">
        <v>64</v>
      </c>
      <c r="F166" s="18">
        <v>26859</v>
      </c>
      <c r="G166" s="17" t="s">
        <v>66</v>
      </c>
      <c r="H166" s="21">
        <v>44881</v>
      </c>
      <c r="I166" s="29">
        <f t="shared" si="17"/>
        <v>349</v>
      </c>
      <c r="J166" s="44">
        <f t="shared" si="21"/>
        <v>11</v>
      </c>
      <c r="K166" s="29" t="str">
        <f>VLOOKUP(I166,Etiquetas!B:C,2)</f>
        <v>6 a 12 Meses</v>
      </c>
      <c r="L166" s="41">
        <f t="shared" si="18"/>
        <v>8</v>
      </c>
      <c r="M166" s="41">
        <f t="shared" si="19"/>
        <v>12</v>
      </c>
      <c r="N166" s="5">
        <v>719485.41999999993</v>
      </c>
      <c r="O166" s="5">
        <v>576343.26</v>
      </c>
      <c r="P166" s="5">
        <v>363449.94</v>
      </c>
      <c r="Q166" s="42">
        <f t="shared" si="22"/>
        <v>0.63061367283101388</v>
      </c>
      <c r="R166" s="4">
        <v>82742.149999999994</v>
      </c>
      <c r="S166" s="43">
        <f t="shared" si="23"/>
        <v>0.14356401079453934</v>
      </c>
      <c r="T166" s="5">
        <v>463053.85930000007</v>
      </c>
      <c r="U166" s="5">
        <v>126499.11</v>
      </c>
      <c r="V166" s="2">
        <v>49</v>
      </c>
      <c r="W166" s="2">
        <v>37</v>
      </c>
      <c r="X166" s="2">
        <v>4</v>
      </c>
      <c r="Y166" s="16">
        <v>10857.211961248246</v>
      </c>
      <c r="Z166" s="5">
        <v>517.5</v>
      </c>
    </row>
    <row r="167" spans="1:26" x14ac:dyDescent="0.25">
      <c r="A167" s="22" t="str">
        <f t="shared" si="16"/>
        <v>JULIO CESAR GONZALEZ ESPINOZA|2</v>
      </c>
      <c r="B167" s="3">
        <v>45230</v>
      </c>
      <c r="C167" s="40" t="str">
        <f t="shared" si="20"/>
        <v>10|2023</v>
      </c>
      <c r="D167" s="2" t="s">
        <v>108</v>
      </c>
      <c r="E167" s="17" t="s">
        <v>64</v>
      </c>
      <c r="F167" s="18">
        <v>33951</v>
      </c>
      <c r="G167" s="17" t="s">
        <v>67</v>
      </c>
      <c r="H167" s="3">
        <v>45145</v>
      </c>
      <c r="I167" s="29">
        <f t="shared" si="17"/>
        <v>85</v>
      </c>
      <c r="J167" s="44">
        <f t="shared" si="21"/>
        <v>2</v>
      </c>
      <c r="K167" s="29" t="str">
        <f>VLOOKUP(I167,Etiquetas!B:C,2)</f>
        <v>&lt; 3 Meses</v>
      </c>
      <c r="L167" s="41">
        <f t="shared" si="18"/>
        <v>0</v>
      </c>
      <c r="M167" s="41">
        <f t="shared" si="19"/>
        <v>3</v>
      </c>
      <c r="N167" s="5">
        <v>363737.76</v>
      </c>
      <c r="O167" s="5">
        <v>440566.51</v>
      </c>
      <c r="P167" s="5">
        <v>436179.98000000004</v>
      </c>
      <c r="Q167" s="42">
        <f t="shared" si="22"/>
        <v>0.99004343294273556</v>
      </c>
      <c r="R167" s="4">
        <v>0</v>
      </c>
      <c r="S167" s="43">
        <f t="shared" si="23"/>
        <v>0</v>
      </c>
      <c r="T167" s="5">
        <v>287200.35699999996</v>
      </c>
      <c r="U167" s="5">
        <v>169499.86</v>
      </c>
      <c r="V167" s="2">
        <v>23</v>
      </c>
      <c r="W167" s="2">
        <v>0</v>
      </c>
      <c r="X167" s="2">
        <v>0</v>
      </c>
      <c r="Y167" s="16">
        <v>7042.5505896143359</v>
      </c>
      <c r="Z167" s="5">
        <v>2000</v>
      </c>
    </row>
    <row r="168" spans="1:26" x14ac:dyDescent="0.25">
      <c r="A168" s="22" t="str">
        <f t="shared" si="16"/>
        <v>JULLIET MONTILLO GANG|0</v>
      </c>
      <c r="B168" s="3">
        <v>45230</v>
      </c>
      <c r="C168" s="40" t="str">
        <f t="shared" si="20"/>
        <v>10|2023</v>
      </c>
      <c r="D168" s="2" t="s">
        <v>108</v>
      </c>
      <c r="E168" s="17" t="s">
        <v>64</v>
      </c>
      <c r="F168" s="18">
        <v>35610</v>
      </c>
      <c r="G168" s="17" t="s">
        <v>88</v>
      </c>
      <c r="H168" s="3">
        <v>45208</v>
      </c>
      <c r="I168" s="29">
        <f t="shared" si="17"/>
        <v>22</v>
      </c>
      <c r="J168" s="44">
        <f t="shared" si="21"/>
        <v>0</v>
      </c>
      <c r="K168" s="29" t="str">
        <f>VLOOKUP(I168,Etiquetas!B:C,2)</f>
        <v>&lt; 3 Meses</v>
      </c>
      <c r="L168" s="41">
        <f t="shared" si="18"/>
        <v>0</v>
      </c>
      <c r="M168" s="41">
        <f t="shared" si="19"/>
        <v>1</v>
      </c>
      <c r="N168" s="5">
        <v>42950.229999999996</v>
      </c>
      <c r="O168" s="5">
        <v>120712.59</v>
      </c>
      <c r="P168" s="5">
        <v>120712.59</v>
      </c>
      <c r="Q168" s="42">
        <f t="shared" si="22"/>
        <v>1</v>
      </c>
      <c r="R168" s="4">
        <v>0</v>
      </c>
      <c r="S168" s="43">
        <f t="shared" si="23"/>
        <v>0</v>
      </c>
      <c r="T168" s="5">
        <v>35000</v>
      </c>
      <c r="U168" s="5">
        <v>97999.12</v>
      </c>
      <c r="V168" s="2">
        <v>21</v>
      </c>
      <c r="W168" s="2">
        <v>0</v>
      </c>
      <c r="X168" s="2">
        <v>0</v>
      </c>
      <c r="Y168" s="16">
        <v>2162.5</v>
      </c>
      <c r="Z168" s="5">
        <v>2875</v>
      </c>
    </row>
    <row r="169" spans="1:26" x14ac:dyDescent="0.25">
      <c r="A169" s="22" t="str">
        <f t="shared" si="16"/>
        <v>JULIAN MARTINEZ CORTES|24</v>
      </c>
      <c r="B169" s="3">
        <v>45230</v>
      </c>
      <c r="C169" s="40" t="str">
        <f t="shared" si="20"/>
        <v>10|2023</v>
      </c>
      <c r="D169" s="2" t="s">
        <v>108</v>
      </c>
      <c r="E169" s="17" t="s">
        <v>46</v>
      </c>
      <c r="F169" s="18">
        <v>17299</v>
      </c>
      <c r="G169" s="17" t="s">
        <v>47</v>
      </c>
      <c r="H169" s="3">
        <v>44510</v>
      </c>
      <c r="I169" s="29">
        <f t="shared" si="17"/>
        <v>720</v>
      </c>
      <c r="J169" s="44">
        <f t="shared" si="21"/>
        <v>24</v>
      </c>
      <c r="K169" s="29" t="str">
        <f>VLOOKUP(I169,Etiquetas!B:C,2)</f>
        <v>2 a 2.5 años</v>
      </c>
      <c r="L169" s="41">
        <f t="shared" si="18"/>
        <v>20</v>
      </c>
      <c r="M169" s="41">
        <f t="shared" si="19"/>
        <v>25</v>
      </c>
      <c r="N169" s="5">
        <v>733878.24000000011</v>
      </c>
      <c r="O169" s="5">
        <v>604773.24</v>
      </c>
      <c r="P169" s="5">
        <v>590866.65</v>
      </c>
      <c r="Q169" s="42">
        <f t="shared" si="22"/>
        <v>0.97700528217815996</v>
      </c>
      <c r="R169" s="4">
        <v>34984.94</v>
      </c>
      <c r="S169" s="43">
        <f t="shared" si="23"/>
        <v>5.7848029122452578E-2</v>
      </c>
      <c r="T169" s="5">
        <v>359790.14965000004</v>
      </c>
      <c r="U169" s="5">
        <v>213149.33999999997</v>
      </c>
      <c r="V169" s="2">
        <v>3</v>
      </c>
      <c r="W169" s="2">
        <v>18</v>
      </c>
      <c r="X169" s="2">
        <v>13</v>
      </c>
      <c r="Y169" s="16">
        <v>3938.2556584237177</v>
      </c>
      <c r="Z169" s="5">
        <v>260</v>
      </c>
    </row>
    <row r="170" spans="1:26" x14ac:dyDescent="0.25">
      <c r="A170" s="22" t="str">
        <f t="shared" si="16"/>
        <v>JESSICA MARIN DURON|8</v>
      </c>
      <c r="B170" s="3">
        <v>45230</v>
      </c>
      <c r="C170" s="40" t="str">
        <f t="shared" si="20"/>
        <v>10|2023</v>
      </c>
      <c r="D170" s="2" t="s">
        <v>108</v>
      </c>
      <c r="E170" s="17" t="s">
        <v>46</v>
      </c>
      <c r="F170" s="18">
        <v>29508</v>
      </c>
      <c r="G170" s="17" t="s">
        <v>48</v>
      </c>
      <c r="H170" s="3">
        <v>44987</v>
      </c>
      <c r="I170" s="29">
        <f t="shared" si="17"/>
        <v>243</v>
      </c>
      <c r="J170" s="44">
        <f t="shared" si="21"/>
        <v>8</v>
      </c>
      <c r="K170" s="29" t="str">
        <f>VLOOKUP(I170,Etiquetas!B:C,2)</f>
        <v>6 a 12 Meses</v>
      </c>
      <c r="L170" s="41">
        <f t="shared" si="18"/>
        <v>5</v>
      </c>
      <c r="M170" s="41">
        <f t="shared" si="19"/>
        <v>9</v>
      </c>
      <c r="N170" s="5">
        <v>892166.98</v>
      </c>
      <c r="O170" s="5">
        <v>878059.23</v>
      </c>
      <c r="P170" s="5">
        <v>720046.32</v>
      </c>
      <c r="Q170" s="42">
        <f t="shared" si="22"/>
        <v>0.82004299413833392</v>
      </c>
      <c r="R170" s="4">
        <v>0</v>
      </c>
      <c r="S170" s="43">
        <f t="shared" si="23"/>
        <v>0</v>
      </c>
      <c r="T170" s="5">
        <v>536335.21505</v>
      </c>
      <c r="U170" s="5">
        <v>238999.95</v>
      </c>
      <c r="V170" s="2">
        <v>1</v>
      </c>
      <c r="W170" s="2">
        <v>30</v>
      </c>
      <c r="X170" s="2">
        <v>17</v>
      </c>
      <c r="Y170" s="16">
        <v>7063.2105148269729</v>
      </c>
      <c r="Z170" s="5">
        <v>1065</v>
      </c>
    </row>
    <row r="171" spans="1:26" x14ac:dyDescent="0.25">
      <c r="A171" s="22" t="str">
        <f t="shared" si="16"/>
        <v>JENIFER QUETZALLI REMOLINO|6</v>
      </c>
      <c r="B171" s="3">
        <v>45230</v>
      </c>
      <c r="C171" s="40" t="str">
        <f t="shared" si="20"/>
        <v>10|2023</v>
      </c>
      <c r="D171" s="2" t="s">
        <v>108</v>
      </c>
      <c r="E171" s="17" t="s">
        <v>22</v>
      </c>
      <c r="F171" s="18">
        <v>31036</v>
      </c>
      <c r="G171" s="17" t="s">
        <v>23</v>
      </c>
      <c r="H171" s="3">
        <v>45040</v>
      </c>
      <c r="I171" s="29">
        <f t="shared" si="17"/>
        <v>190</v>
      </c>
      <c r="J171" s="44">
        <f t="shared" si="21"/>
        <v>6</v>
      </c>
      <c r="K171" s="29" t="str">
        <f>VLOOKUP(I171,Etiquetas!B:C,2)</f>
        <v>6 a 12 Meses</v>
      </c>
      <c r="L171" s="41">
        <f t="shared" si="18"/>
        <v>3</v>
      </c>
      <c r="M171" s="41">
        <f t="shared" si="19"/>
        <v>6</v>
      </c>
      <c r="N171" s="5">
        <v>560430.12</v>
      </c>
      <c r="O171" s="5">
        <v>717936.73</v>
      </c>
      <c r="P171" s="5">
        <v>709554.81</v>
      </c>
      <c r="Q171" s="42">
        <f t="shared" si="22"/>
        <v>0.98832498791362866</v>
      </c>
      <c r="R171" s="4">
        <v>0</v>
      </c>
      <c r="S171" s="43">
        <f t="shared" si="23"/>
        <v>0</v>
      </c>
      <c r="T171" s="5">
        <v>353199.97415000002</v>
      </c>
      <c r="U171" s="5">
        <v>446499.21000000014</v>
      </c>
      <c r="V171" s="2">
        <v>20</v>
      </c>
      <c r="W171" s="2">
        <v>27</v>
      </c>
      <c r="X171" s="2">
        <v>14</v>
      </c>
      <c r="Y171" s="16">
        <v>4025.1021265831278</v>
      </c>
      <c r="Z171" s="5">
        <v>8510</v>
      </c>
    </row>
    <row r="172" spans="1:26" x14ac:dyDescent="0.25">
      <c r="A172" s="22" t="str">
        <f t="shared" si="16"/>
        <v>BRAULIO GUZMAN JIMENEZ|6</v>
      </c>
      <c r="B172" s="3">
        <v>45230</v>
      </c>
      <c r="C172" s="40" t="str">
        <f t="shared" si="20"/>
        <v>10|2023</v>
      </c>
      <c r="D172" s="2" t="s">
        <v>108</v>
      </c>
      <c r="E172" s="17" t="s">
        <v>22</v>
      </c>
      <c r="F172" s="18">
        <v>31037</v>
      </c>
      <c r="G172" s="17" t="s">
        <v>24</v>
      </c>
      <c r="H172" s="3">
        <v>45040</v>
      </c>
      <c r="I172" s="29">
        <f t="shared" si="17"/>
        <v>190</v>
      </c>
      <c r="J172" s="44">
        <f t="shared" si="21"/>
        <v>6</v>
      </c>
      <c r="K172" s="29" t="str">
        <f>VLOOKUP(I172,Etiquetas!B:C,2)</f>
        <v>6 a 12 Meses</v>
      </c>
      <c r="L172" s="41">
        <f t="shared" si="18"/>
        <v>3</v>
      </c>
      <c r="M172" s="41">
        <f t="shared" si="19"/>
        <v>7</v>
      </c>
      <c r="N172" s="5">
        <v>436167.04000000004</v>
      </c>
      <c r="O172" s="5">
        <v>474371.97999999992</v>
      </c>
      <c r="P172" s="5">
        <v>373422.04</v>
      </c>
      <c r="Q172" s="42">
        <f t="shared" si="22"/>
        <v>0.78719244758090479</v>
      </c>
      <c r="R172" s="4">
        <v>0</v>
      </c>
      <c r="S172" s="43">
        <f t="shared" si="23"/>
        <v>0</v>
      </c>
      <c r="T172" s="5">
        <v>282509.78265000001</v>
      </c>
      <c r="U172" s="5">
        <v>237499.25000000006</v>
      </c>
      <c r="V172" s="2">
        <v>9</v>
      </c>
      <c r="W172" s="2">
        <v>32</v>
      </c>
      <c r="X172" s="2">
        <v>13</v>
      </c>
      <c r="Y172" s="16">
        <v>5558.7514108577334</v>
      </c>
      <c r="Z172" s="5">
        <v>315</v>
      </c>
    </row>
    <row r="173" spans="1:26" x14ac:dyDescent="0.25">
      <c r="A173" s="22" t="str">
        <f t="shared" si="16"/>
        <v>MARI JOSE TLAPANCO SANTIAGO|0</v>
      </c>
      <c r="B173" s="3">
        <v>45230</v>
      </c>
      <c r="C173" s="40" t="str">
        <f t="shared" si="20"/>
        <v>10|2023</v>
      </c>
      <c r="D173" s="2" t="s">
        <v>108</v>
      </c>
      <c r="E173" s="2" t="s">
        <v>22</v>
      </c>
      <c r="F173" s="2">
        <v>35878</v>
      </c>
      <c r="G173" s="19" t="s">
        <v>84</v>
      </c>
      <c r="H173" s="3">
        <v>45218</v>
      </c>
      <c r="I173" s="29">
        <f t="shared" si="17"/>
        <v>12</v>
      </c>
      <c r="J173" s="44">
        <f t="shared" si="21"/>
        <v>0</v>
      </c>
      <c r="K173" s="29" t="str">
        <f>VLOOKUP(I173,Etiquetas!B:C,2)</f>
        <v>&lt; 3 Meses</v>
      </c>
      <c r="L173" s="41">
        <f t="shared" si="18"/>
        <v>0</v>
      </c>
      <c r="M173" s="41">
        <f t="shared" si="19"/>
        <v>1</v>
      </c>
      <c r="N173" s="5"/>
      <c r="O173" s="5"/>
      <c r="P173" s="5">
        <v>0</v>
      </c>
      <c r="Q173" s="42">
        <f t="shared" si="22"/>
        <v>0</v>
      </c>
      <c r="R173" s="4">
        <v>0</v>
      </c>
      <c r="S173" s="43">
        <f t="shared" si="23"/>
        <v>0</v>
      </c>
      <c r="T173" s="5">
        <v>35000</v>
      </c>
      <c r="U173" s="5">
        <v>0</v>
      </c>
      <c r="V173" s="2">
        <v>0</v>
      </c>
      <c r="W173" s="2">
        <v>0</v>
      </c>
      <c r="X173" s="2">
        <v>0</v>
      </c>
      <c r="Y173" s="16">
        <v>3462.5</v>
      </c>
      <c r="Z173" s="5" t="s">
        <v>71</v>
      </c>
    </row>
    <row r="174" spans="1:26" x14ac:dyDescent="0.25">
      <c r="A174" s="22" t="str">
        <f t="shared" si="16"/>
        <v>MARCELO TZITZIHUA TZITZIHUA|13</v>
      </c>
      <c r="B174" s="3">
        <v>45230</v>
      </c>
      <c r="C174" s="40" t="str">
        <f t="shared" si="20"/>
        <v>10|2023</v>
      </c>
      <c r="D174" s="2" t="s">
        <v>108</v>
      </c>
      <c r="E174" s="17" t="s">
        <v>58</v>
      </c>
      <c r="F174" s="18">
        <v>25225</v>
      </c>
      <c r="G174" s="17" t="s">
        <v>59</v>
      </c>
      <c r="H174" s="3">
        <v>44823</v>
      </c>
      <c r="I174" s="29">
        <f t="shared" si="17"/>
        <v>407</v>
      </c>
      <c r="J174" s="44">
        <f t="shared" si="21"/>
        <v>13</v>
      </c>
      <c r="K174" s="29" t="str">
        <f>VLOOKUP(I174,Etiquetas!B:C,2)</f>
        <v>1 a 1.5 años</v>
      </c>
      <c r="L174" s="41">
        <f t="shared" si="18"/>
        <v>10</v>
      </c>
      <c r="M174" s="41">
        <f t="shared" si="19"/>
        <v>14</v>
      </c>
      <c r="N174" s="5">
        <v>1149245.43</v>
      </c>
      <c r="O174" s="5">
        <v>1076910.8900000001</v>
      </c>
      <c r="P174" s="5">
        <v>509560.23</v>
      </c>
      <c r="Q174" s="42">
        <f t="shared" si="22"/>
        <v>0.47316842529097269</v>
      </c>
      <c r="R174" s="4">
        <v>33174.18</v>
      </c>
      <c r="S174" s="43">
        <f t="shared" si="23"/>
        <v>3.0804944316237714E-2</v>
      </c>
      <c r="T174" s="5">
        <v>617000.23329999996</v>
      </c>
      <c r="U174" s="5">
        <v>219000.18</v>
      </c>
      <c r="V174" s="2">
        <v>22</v>
      </c>
      <c r="W174" s="2">
        <v>60</v>
      </c>
      <c r="X174" s="2">
        <v>7</v>
      </c>
      <c r="Y174" s="16">
        <v>7381.6520402632741</v>
      </c>
      <c r="Z174" s="5">
        <v>130</v>
      </c>
    </row>
    <row r="175" spans="1:26" x14ac:dyDescent="0.25">
      <c r="A175" s="22" t="str">
        <f t="shared" si="16"/>
        <v>FERNANDO MANUEL VELASCO RIVERA|11</v>
      </c>
      <c r="B175" s="3">
        <v>45230</v>
      </c>
      <c r="C175" s="40" t="str">
        <f t="shared" si="20"/>
        <v>10|2023</v>
      </c>
      <c r="D175" s="2" t="s">
        <v>108</v>
      </c>
      <c r="E175" s="17" t="s">
        <v>58</v>
      </c>
      <c r="F175" s="18">
        <v>27027</v>
      </c>
      <c r="G175" s="17" t="s">
        <v>60</v>
      </c>
      <c r="H175" s="3">
        <v>44887</v>
      </c>
      <c r="I175" s="29">
        <f t="shared" si="17"/>
        <v>343</v>
      </c>
      <c r="J175" s="44">
        <f t="shared" si="21"/>
        <v>11</v>
      </c>
      <c r="K175" s="29" t="str">
        <f>VLOOKUP(I175,Etiquetas!B:C,2)</f>
        <v>6 a 12 Meses</v>
      </c>
      <c r="L175" s="41">
        <f t="shared" si="18"/>
        <v>8</v>
      </c>
      <c r="M175" s="41">
        <f t="shared" si="19"/>
        <v>12</v>
      </c>
      <c r="N175" s="5">
        <v>1236672.57</v>
      </c>
      <c r="O175" s="5">
        <v>1132439.3199999998</v>
      </c>
      <c r="P175" s="5">
        <v>722358.54999999981</v>
      </c>
      <c r="Q175" s="42">
        <f t="shared" si="22"/>
        <v>0.63787837214977661</v>
      </c>
      <c r="R175" s="4">
        <v>26199.53</v>
      </c>
      <c r="S175" s="43">
        <f t="shared" si="23"/>
        <v>2.3135482438034739E-2</v>
      </c>
      <c r="T175" s="5">
        <v>684260.51084999996</v>
      </c>
      <c r="U175" s="5">
        <v>254000.7099999999</v>
      </c>
      <c r="V175" s="2">
        <v>0</v>
      </c>
      <c r="W175" s="2">
        <v>77</v>
      </c>
      <c r="X175" s="2">
        <v>22</v>
      </c>
      <c r="Y175" s="16">
        <v>11203.69831594063</v>
      </c>
      <c r="Z175" s="5">
        <v>487.5</v>
      </c>
    </row>
    <row r="176" spans="1:26" x14ac:dyDescent="0.25">
      <c r="A176" s="22" t="str">
        <f t="shared" si="16"/>
        <v>JAEL BRAVO REYES|3</v>
      </c>
      <c r="B176" s="3">
        <v>45230</v>
      </c>
      <c r="C176" s="40" t="str">
        <f t="shared" si="20"/>
        <v>10|2023</v>
      </c>
      <c r="D176" s="2" t="s">
        <v>108</v>
      </c>
      <c r="E176" s="17" t="s">
        <v>58</v>
      </c>
      <c r="F176" s="18">
        <v>33874</v>
      </c>
      <c r="G176" s="17" t="s">
        <v>62</v>
      </c>
      <c r="H176" s="3">
        <v>45140</v>
      </c>
      <c r="I176" s="29">
        <f t="shared" si="17"/>
        <v>90</v>
      </c>
      <c r="J176" s="44">
        <f t="shared" si="21"/>
        <v>3</v>
      </c>
      <c r="K176" s="29" t="str">
        <f>VLOOKUP(I176,Etiquetas!B:C,2)</f>
        <v>3 a 6 Meses</v>
      </c>
      <c r="L176" s="41">
        <f t="shared" si="18"/>
        <v>0</v>
      </c>
      <c r="M176" s="41">
        <f t="shared" si="19"/>
        <v>4</v>
      </c>
      <c r="N176" s="5">
        <v>182918.49</v>
      </c>
      <c r="O176" s="5">
        <v>424277.02</v>
      </c>
      <c r="P176" s="5">
        <v>424277.02</v>
      </c>
      <c r="Q176" s="42">
        <f t="shared" si="22"/>
        <v>1</v>
      </c>
      <c r="R176" s="4">
        <v>0</v>
      </c>
      <c r="S176" s="43">
        <f t="shared" si="23"/>
        <v>0</v>
      </c>
      <c r="T176" s="5">
        <v>204000</v>
      </c>
      <c r="U176" s="5">
        <v>305999.86000000004</v>
      </c>
      <c r="V176" s="2">
        <v>33</v>
      </c>
      <c r="W176" s="2">
        <v>0</v>
      </c>
      <c r="X176" s="2">
        <v>0</v>
      </c>
      <c r="Y176" s="16">
        <v>4831.9255426235532</v>
      </c>
      <c r="Z176" s="5">
        <v>8625</v>
      </c>
    </row>
    <row r="177" spans="1:26" x14ac:dyDescent="0.25">
      <c r="A177" s="22" t="str">
        <f t="shared" si="16"/>
        <v>OLIVIA LOPEZ HERNANDEZ|9</v>
      </c>
      <c r="B177" s="3">
        <v>45230</v>
      </c>
      <c r="C177" s="40" t="str">
        <f t="shared" si="20"/>
        <v>10|2023</v>
      </c>
      <c r="D177" s="2" t="s">
        <v>108</v>
      </c>
      <c r="E177" s="17" t="s">
        <v>30</v>
      </c>
      <c r="F177" s="18">
        <v>28375</v>
      </c>
      <c r="G177" s="17" t="s">
        <v>31</v>
      </c>
      <c r="H177" s="3">
        <v>44949</v>
      </c>
      <c r="I177" s="29">
        <f t="shared" si="17"/>
        <v>281</v>
      </c>
      <c r="J177" s="44">
        <f t="shared" si="21"/>
        <v>9</v>
      </c>
      <c r="K177" s="29" t="str">
        <f>VLOOKUP(I177,Etiquetas!B:C,2)</f>
        <v>6 a 12 Meses</v>
      </c>
      <c r="L177" s="41">
        <f t="shared" si="18"/>
        <v>6</v>
      </c>
      <c r="M177" s="41">
        <f t="shared" si="19"/>
        <v>9</v>
      </c>
      <c r="N177" s="5">
        <v>1302065.29</v>
      </c>
      <c r="O177" s="5">
        <v>1311201.8799999999</v>
      </c>
      <c r="P177" s="5">
        <v>1163070.82</v>
      </c>
      <c r="Q177" s="42">
        <f t="shared" si="22"/>
        <v>0.88702650426340157</v>
      </c>
      <c r="R177" s="4">
        <v>376</v>
      </c>
      <c r="S177" s="43">
        <f t="shared" si="23"/>
        <v>2.8675980848959736E-4</v>
      </c>
      <c r="T177" s="5">
        <v>423500.19579999999</v>
      </c>
      <c r="U177" s="5">
        <v>375000.04999999981</v>
      </c>
      <c r="V177" s="2">
        <v>8</v>
      </c>
      <c r="W177" s="2">
        <v>50</v>
      </c>
      <c r="X177" s="2">
        <v>17</v>
      </c>
      <c r="Y177" s="16">
        <v>6588.9200655608229</v>
      </c>
      <c r="Z177" s="5">
        <v>1305</v>
      </c>
    </row>
    <row r="178" spans="1:26" x14ac:dyDescent="0.25">
      <c r="A178" s="22" t="str">
        <f t="shared" si="16"/>
        <v>HECTOR CORONEL VENTURA|3</v>
      </c>
      <c r="B178" s="3">
        <v>45230</v>
      </c>
      <c r="C178" s="40" t="str">
        <f t="shared" si="20"/>
        <v>10|2023</v>
      </c>
      <c r="D178" s="2" t="s">
        <v>108</v>
      </c>
      <c r="E178" s="17" t="s">
        <v>30</v>
      </c>
      <c r="F178" s="18">
        <v>33499</v>
      </c>
      <c r="G178" s="17" t="s">
        <v>33</v>
      </c>
      <c r="H178" s="3">
        <v>45128</v>
      </c>
      <c r="I178" s="29">
        <f t="shared" si="17"/>
        <v>102</v>
      </c>
      <c r="J178" s="44">
        <f t="shared" si="21"/>
        <v>3</v>
      </c>
      <c r="K178" s="29" t="str">
        <f>VLOOKUP(I178,Etiquetas!B:C,2)</f>
        <v>3 a 6 Meses</v>
      </c>
      <c r="L178" s="41">
        <f t="shared" si="18"/>
        <v>0</v>
      </c>
      <c r="M178" s="41">
        <f t="shared" si="19"/>
        <v>4</v>
      </c>
      <c r="N178" s="5">
        <v>1114403.3900000001</v>
      </c>
      <c r="O178" s="5">
        <v>775926.45</v>
      </c>
      <c r="P178" s="5">
        <v>775926.45</v>
      </c>
      <c r="Q178" s="42">
        <f t="shared" si="22"/>
        <v>1</v>
      </c>
      <c r="R178" s="4">
        <v>0</v>
      </c>
      <c r="S178" s="43">
        <f t="shared" si="23"/>
        <v>0</v>
      </c>
      <c r="T178" s="5">
        <v>226249.99299999996</v>
      </c>
      <c r="U178" s="5">
        <v>67500.03</v>
      </c>
      <c r="V178" s="2">
        <v>28</v>
      </c>
      <c r="W178" s="2">
        <v>10</v>
      </c>
      <c r="X178" s="2">
        <v>7</v>
      </c>
      <c r="Y178" s="16">
        <v>5193.75</v>
      </c>
      <c r="Z178" s="5">
        <v>2875</v>
      </c>
    </row>
    <row r="179" spans="1:26" x14ac:dyDescent="0.25">
      <c r="A179" s="22" t="str">
        <f t="shared" si="16"/>
        <v>ANA CRISTINA HERNANDEZ PEREZ|1</v>
      </c>
      <c r="B179" s="3">
        <v>45230</v>
      </c>
      <c r="C179" s="40" t="str">
        <f t="shared" si="20"/>
        <v>10|2023</v>
      </c>
      <c r="D179" s="2" t="s">
        <v>108</v>
      </c>
      <c r="E179" s="17" t="s">
        <v>30</v>
      </c>
      <c r="F179" s="18">
        <v>34962</v>
      </c>
      <c r="G179" s="17" t="s">
        <v>76</v>
      </c>
      <c r="H179" s="3">
        <v>45177</v>
      </c>
      <c r="I179" s="29">
        <f t="shared" si="17"/>
        <v>53</v>
      </c>
      <c r="J179" s="44">
        <f t="shared" si="21"/>
        <v>1</v>
      </c>
      <c r="K179" s="29" t="str">
        <f>VLOOKUP(I179,Etiquetas!B:C,2)</f>
        <v>&lt; 3 Meses</v>
      </c>
      <c r="L179" s="41">
        <f t="shared" si="18"/>
        <v>0</v>
      </c>
      <c r="M179" s="41">
        <f t="shared" si="19"/>
        <v>1</v>
      </c>
      <c r="N179" s="5">
        <v>56000</v>
      </c>
      <c r="O179" s="5">
        <v>43665.95</v>
      </c>
      <c r="P179" s="5">
        <v>43665.95</v>
      </c>
      <c r="Q179" s="42">
        <f t="shared" si="22"/>
        <v>1</v>
      </c>
      <c r="R179" s="4">
        <v>0</v>
      </c>
      <c r="S179" s="43">
        <f t="shared" si="23"/>
        <v>0</v>
      </c>
      <c r="T179" s="5">
        <v>97000</v>
      </c>
      <c r="U179" s="5">
        <v>0</v>
      </c>
      <c r="V179" s="2">
        <v>12</v>
      </c>
      <c r="W179" s="2">
        <v>0</v>
      </c>
      <c r="X179" s="2">
        <v>0</v>
      </c>
      <c r="Y179" s="16">
        <v>4467.7029240537377</v>
      </c>
      <c r="Z179" s="5">
        <v>2000</v>
      </c>
    </row>
    <row r="180" spans="1:26" x14ac:dyDescent="0.25">
      <c r="A180" s="22" t="str">
        <f t="shared" si="16"/>
        <v>MARIO GUILLERMO PEREZ MORALES|0</v>
      </c>
      <c r="B180" s="3">
        <v>45230</v>
      </c>
      <c r="C180" s="40" t="str">
        <f t="shared" si="20"/>
        <v>10|2023</v>
      </c>
      <c r="D180" s="2" t="s">
        <v>108</v>
      </c>
      <c r="E180" s="17" t="s">
        <v>30</v>
      </c>
      <c r="F180" s="2">
        <v>36071</v>
      </c>
      <c r="G180" s="19" t="s">
        <v>86</v>
      </c>
      <c r="H180" s="3">
        <v>45225</v>
      </c>
      <c r="I180" s="29">
        <f t="shared" si="17"/>
        <v>5</v>
      </c>
      <c r="J180" s="44">
        <f t="shared" si="21"/>
        <v>0</v>
      </c>
      <c r="K180" s="29" t="str">
        <f>VLOOKUP(I180,Etiquetas!B:C,2)</f>
        <v>&lt; 3 Meses</v>
      </c>
      <c r="L180" s="41">
        <f t="shared" si="18"/>
        <v>0</v>
      </c>
      <c r="M180" s="41">
        <f t="shared" si="19"/>
        <v>1</v>
      </c>
      <c r="N180" s="5"/>
      <c r="O180" s="5"/>
      <c r="P180" s="5">
        <v>0</v>
      </c>
      <c r="Q180" s="42">
        <f t="shared" si="22"/>
        <v>0</v>
      </c>
      <c r="R180" s="4">
        <v>0</v>
      </c>
      <c r="S180" s="43">
        <f t="shared" si="23"/>
        <v>0</v>
      </c>
      <c r="T180" s="5">
        <v>35000</v>
      </c>
      <c r="U180" s="5">
        <v>0</v>
      </c>
      <c r="V180" s="2">
        <v>0</v>
      </c>
      <c r="W180" s="2">
        <v>0</v>
      </c>
      <c r="X180" s="2">
        <v>0</v>
      </c>
      <c r="Y180" s="16">
        <v>4112.5</v>
      </c>
      <c r="Z180" s="5" t="s">
        <v>71</v>
      </c>
    </row>
    <row r="181" spans="1:26" x14ac:dyDescent="0.25">
      <c r="A181" s="22" t="str">
        <f t="shared" si="16"/>
        <v>MARÍA DE JESÚS DÍAZ LÓPEZ |1</v>
      </c>
      <c r="B181" s="8">
        <v>45260</v>
      </c>
      <c r="C181" s="40" t="str">
        <f t="shared" si="20"/>
        <v>11|2023</v>
      </c>
      <c r="D181" s="2" t="s">
        <v>99</v>
      </c>
      <c r="E181" s="10" t="s">
        <v>68</v>
      </c>
      <c r="F181" s="11">
        <v>35429</v>
      </c>
      <c r="G181" s="10" t="s">
        <v>106</v>
      </c>
      <c r="H181" s="15">
        <v>45201</v>
      </c>
      <c r="I181" s="29">
        <f t="shared" si="17"/>
        <v>59</v>
      </c>
      <c r="J181" s="44">
        <f t="shared" si="21"/>
        <v>1</v>
      </c>
      <c r="K181" s="29" t="str">
        <f>VLOOKUP(I181,Etiquetas!B:C,2)</f>
        <v>&lt; 3 Meses</v>
      </c>
      <c r="L181" s="41">
        <f t="shared" si="18"/>
        <v>1</v>
      </c>
      <c r="M181" s="41">
        <f t="shared" si="19"/>
        <v>1</v>
      </c>
      <c r="N181" s="26">
        <v>458864.25</v>
      </c>
      <c r="O181" s="5">
        <v>404002.47</v>
      </c>
      <c r="P181" s="5">
        <v>279609.66000000003</v>
      </c>
      <c r="Q181" s="42">
        <f t="shared" si="22"/>
        <v>0.69209888741521819</v>
      </c>
      <c r="R181" s="4">
        <v>0</v>
      </c>
      <c r="S181" s="43">
        <f t="shared" si="23"/>
        <v>0</v>
      </c>
      <c r="T181" s="6"/>
      <c r="U181" s="5">
        <v>40499.849999999991</v>
      </c>
      <c r="V181" s="27">
        <v>1</v>
      </c>
      <c r="W181" s="14">
        <v>0</v>
      </c>
      <c r="X181" s="14">
        <v>0</v>
      </c>
      <c r="Y181" s="7">
        <v>8591</v>
      </c>
      <c r="Z181" s="28">
        <v>2000</v>
      </c>
    </row>
    <row r="182" spans="1:26" x14ac:dyDescent="0.25">
      <c r="A182" s="22" t="str">
        <f t="shared" si="16"/>
        <v>KARINA TERRAZAS OLVERA|20</v>
      </c>
      <c r="B182" s="8">
        <v>45260</v>
      </c>
      <c r="C182" s="40" t="str">
        <f t="shared" si="20"/>
        <v>11|2023</v>
      </c>
      <c r="D182" s="2" t="s">
        <v>98</v>
      </c>
      <c r="E182" s="23" t="s">
        <v>40</v>
      </c>
      <c r="F182" s="24">
        <v>20315</v>
      </c>
      <c r="G182" s="17" t="s">
        <v>42</v>
      </c>
      <c r="H182" s="25">
        <v>44634</v>
      </c>
      <c r="I182" s="29">
        <f t="shared" si="17"/>
        <v>626</v>
      </c>
      <c r="J182" s="44">
        <f t="shared" si="21"/>
        <v>20</v>
      </c>
      <c r="K182" s="29" t="str">
        <f>VLOOKUP(I182,Etiquetas!B:C,2)</f>
        <v>1.5 a 2 años</v>
      </c>
      <c r="L182" s="41">
        <f t="shared" si="18"/>
        <v>16</v>
      </c>
      <c r="M182" s="41">
        <f t="shared" si="19"/>
        <v>20</v>
      </c>
      <c r="N182" s="26">
        <v>858344.55000000016</v>
      </c>
      <c r="O182" s="5">
        <v>934386.79</v>
      </c>
      <c r="P182" s="5">
        <v>871262.82000000007</v>
      </c>
      <c r="Q182" s="42">
        <f t="shared" si="22"/>
        <v>0.93244342634595678</v>
      </c>
      <c r="R182" s="4">
        <v>13734.17</v>
      </c>
      <c r="S182" s="43">
        <f t="shared" si="23"/>
        <v>1.4698591789809014E-2</v>
      </c>
      <c r="T182" s="6">
        <v>534805.70329999994</v>
      </c>
      <c r="U182" s="5">
        <v>379999.68999999994</v>
      </c>
      <c r="V182" s="27">
        <v>14</v>
      </c>
      <c r="W182" s="14">
        <v>44</v>
      </c>
      <c r="X182" s="14">
        <v>20</v>
      </c>
      <c r="Y182" s="7">
        <v>12944.75</v>
      </c>
      <c r="Z182" s="28">
        <v>2014.9349919999995</v>
      </c>
    </row>
    <row r="183" spans="1:26" x14ac:dyDescent="0.25">
      <c r="A183" s="22" t="str">
        <f t="shared" si="16"/>
        <v>MARIBEL RODRIGUEZ CARRIZOZA|20</v>
      </c>
      <c r="B183" s="8">
        <v>45260</v>
      </c>
      <c r="C183" s="40" t="str">
        <f t="shared" si="20"/>
        <v>11|2023</v>
      </c>
      <c r="D183" s="2" t="s">
        <v>98</v>
      </c>
      <c r="E183" s="23" t="s">
        <v>40</v>
      </c>
      <c r="F183" s="24">
        <v>20314</v>
      </c>
      <c r="G183" s="17" t="s">
        <v>41</v>
      </c>
      <c r="H183" s="25">
        <v>44634</v>
      </c>
      <c r="I183" s="29">
        <f t="shared" si="17"/>
        <v>626</v>
      </c>
      <c r="J183" s="44">
        <f t="shared" si="21"/>
        <v>20</v>
      </c>
      <c r="K183" s="29" t="str">
        <f>VLOOKUP(I183,Etiquetas!B:C,2)</f>
        <v>1.5 a 2 años</v>
      </c>
      <c r="L183" s="41">
        <f t="shared" si="18"/>
        <v>16</v>
      </c>
      <c r="M183" s="41">
        <f t="shared" si="19"/>
        <v>20</v>
      </c>
      <c r="N183" s="26">
        <v>1238700.4699999997</v>
      </c>
      <c r="O183" s="5">
        <v>1144337.3899999999</v>
      </c>
      <c r="P183" s="5">
        <v>1061477.1399999999</v>
      </c>
      <c r="Q183" s="42">
        <f t="shared" si="22"/>
        <v>0.92759106647734368</v>
      </c>
      <c r="R183" s="4">
        <v>58965.35</v>
      </c>
      <c r="S183" s="43">
        <f t="shared" si="23"/>
        <v>5.1527941422939962E-2</v>
      </c>
      <c r="T183" s="6">
        <v>518220.33934999997</v>
      </c>
      <c r="U183" s="5">
        <v>258001.05</v>
      </c>
      <c r="V183" s="27">
        <v>4</v>
      </c>
      <c r="W183" s="14">
        <v>53</v>
      </c>
      <c r="X183" s="14">
        <v>29</v>
      </c>
      <c r="Y183" s="7">
        <v>13854</v>
      </c>
      <c r="Z183" s="28">
        <v>143.69683499999968</v>
      </c>
    </row>
    <row r="184" spans="1:26" x14ac:dyDescent="0.25">
      <c r="A184" s="22" t="str">
        <f t="shared" si="16"/>
        <v>LIZBETH GUADALUPE MUJICA HERNANDEZ|7</v>
      </c>
      <c r="B184" s="8">
        <v>45260</v>
      </c>
      <c r="C184" s="40" t="str">
        <f t="shared" si="20"/>
        <v>11|2023</v>
      </c>
      <c r="D184" s="2" t="s">
        <v>98</v>
      </c>
      <c r="E184" s="23" t="s">
        <v>40</v>
      </c>
      <c r="F184" s="24">
        <v>30967</v>
      </c>
      <c r="G184" s="17" t="s">
        <v>43</v>
      </c>
      <c r="H184" s="25">
        <v>45036</v>
      </c>
      <c r="I184" s="29">
        <f t="shared" si="17"/>
        <v>224</v>
      </c>
      <c r="J184" s="44">
        <f t="shared" si="21"/>
        <v>7</v>
      </c>
      <c r="K184" s="29" t="str">
        <f>VLOOKUP(I184,Etiquetas!B:C,2)</f>
        <v>6 a 12 Meses</v>
      </c>
      <c r="L184" s="41">
        <f t="shared" si="18"/>
        <v>3</v>
      </c>
      <c r="M184" s="41">
        <f t="shared" si="19"/>
        <v>7</v>
      </c>
      <c r="N184" s="26">
        <v>2001855.1199999999</v>
      </c>
      <c r="O184" s="5">
        <v>2260776.13</v>
      </c>
      <c r="P184" s="5">
        <v>2009240.4900000002</v>
      </c>
      <c r="Q184" s="42">
        <f t="shared" si="22"/>
        <v>0.8887392534527514</v>
      </c>
      <c r="R184" s="4">
        <v>36823.07</v>
      </c>
      <c r="S184" s="43">
        <f t="shared" si="23"/>
        <v>1.6287800243184627E-2</v>
      </c>
      <c r="T184" s="6">
        <v>706175.45054999995</v>
      </c>
      <c r="U184" s="5">
        <v>771502.73000000045</v>
      </c>
      <c r="V184" s="27">
        <v>7</v>
      </c>
      <c r="W184" s="14">
        <v>109</v>
      </c>
      <c r="X184" s="14">
        <v>44</v>
      </c>
      <c r="Y184" s="7">
        <v>17677.5</v>
      </c>
      <c r="Z184" s="28">
        <v>0</v>
      </c>
    </row>
    <row r="185" spans="1:26" x14ac:dyDescent="0.25">
      <c r="A185" s="22" t="str">
        <f t="shared" si="16"/>
        <v>GUADALUPE CARMONA ANTONIO|4</v>
      </c>
      <c r="B185" s="8">
        <v>45260</v>
      </c>
      <c r="C185" s="40" t="str">
        <f t="shared" si="20"/>
        <v>11|2023</v>
      </c>
      <c r="D185" s="2" t="s">
        <v>98</v>
      </c>
      <c r="E185" s="23" t="s">
        <v>40</v>
      </c>
      <c r="F185" s="24">
        <v>33878</v>
      </c>
      <c r="G185" s="17" t="s">
        <v>45</v>
      </c>
      <c r="H185" s="25">
        <v>45140</v>
      </c>
      <c r="I185" s="29">
        <f t="shared" si="17"/>
        <v>120</v>
      </c>
      <c r="J185" s="44">
        <f t="shared" si="21"/>
        <v>4</v>
      </c>
      <c r="K185" s="29" t="str">
        <f>VLOOKUP(I185,Etiquetas!B:C,2)</f>
        <v>3 a 6 Meses</v>
      </c>
      <c r="L185" s="41">
        <f t="shared" si="18"/>
        <v>0</v>
      </c>
      <c r="M185" s="41">
        <f t="shared" si="19"/>
        <v>4</v>
      </c>
      <c r="N185" s="26">
        <v>415467.24999999994</v>
      </c>
      <c r="O185" s="5">
        <v>455162.30999999994</v>
      </c>
      <c r="P185" s="5">
        <v>455162.30999999994</v>
      </c>
      <c r="Q185" s="42">
        <f t="shared" si="22"/>
        <v>1</v>
      </c>
      <c r="R185" s="4">
        <v>0</v>
      </c>
      <c r="S185" s="43">
        <f t="shared" si="23"/>
        <v>0</v>
      </c>
      <c r="T185" s="6">
        <v>204000</v>
      </c>
      <c r="U185" s="5">
        <v>190999.92</v>
      </c>
      <c r="V185" s="27">
        <v>4</v>
      </c>
      <c r="W185" s="14">
        <v>0</v>
      </c>
      <c r="X185" s="14">
        <v>0</v>
      </c>
      <c r="Y185" s="7">
        <v>17669.449999999997</v>
      </c>
      <c r="Z185" s="28">
        <v>4137.1125000000002</v>
      </c>
    </row>
    <row r="186" spans="1:26" x14ac:dyDescent="0.25">
      <c r="A186" s="22" t="str">
        <f t="shared" si="16"/>
        <v>BRENDA BERENICE CASTRO HERNÁNDEZ |1</v>
      </c>
      <c r="B186" s="8">
        <v>45260</v>
      </c>
      <c r="C186" s="40" t="str">
        <f t="shared" si="20"/>
        <v>11|2023</v>
      </c>
      <c r="D186" s="2" t="s">
        <v>98</v>
      </c>
      <c r="E186" s="23" t="s">
        <v>40</v>
      </c>
      <c r="F186" s="24">
        <v>35609</v>
      </c>
      <c r="G186" s="17" t="s">
        <v>87</v>
      </c>
      <c r="H186" s="25">
        <v>45208</v>
      </c>
      <c r="I186" s="29">
        <f t="shared" si="17"/>
        <v>52</v>
      </c>
      <c r="J186" s="44">
        <f t="shared" si="21"/>
        <v>1</v>
      </c>
      <c r="K186" s="29" t="str">
        <f>VLOOKUP(I186,Etiquetas!B:C,2)</f>
        <v>&lt; 3 Meses</v>
      </c>
      <c r="L186" s="41">
        <f t="shared" si="18"/>
        <v>0</v>
      </c>
      <c r="M186" s="41">
        <f t="shared" si="19"/>
        <v>1</v>
      </c>
      <c r="N186" s="26">
        <v>0</v>
      </c>
      <c r="O186" s="5">
        <v>62737.320000000007</v>
      </c>
      <c r="P186" s="5">
        <v>62737.320000000007</v>
      </c>
      <c r="Q186" s="42">
        <f t="shared" si="22"/>
        <v>1</v>
      </c>
      <c r="R186" s="4">
        <v>0</v>
      </c>
      <c r="S186" s="43">
        <f t="shared" si="23"/>
        <v>0</v>
      </c>
      <c r="T186" s="6"/>
      <c r="U186" s="5">
        <v>63500.26999999999</v>
      </c>
      <c r="V186" s="27">
        <v>8</v>
      </c>
      <c r="W186" s="14">
        <v>0</v>
      </c>
      <c r="X186" s="14">
        <v>0</v>
      </c>
      <c r="Y186" s="7">
        <v>16127.65</v>
      </c>
      <c r="Z186" s="28">
        <v>2000</v>
      </c>
    </row>
    <row r="187" spans="1:26" x14ac:dyDescent="0.25">
      <c r="A187" s="22" t="str">
        <f t="shared" si="16"/>
        <v>BRENDA DANIELA RODRIGUEZ REYES|10</v>
      </c>
      <c r="B187" s="8">
        <v>45260</v>
      </c>
      <c r="C187" s="40" t="str">
        <f t="shared" si="20"/>
        <v>11|2023</v>
      </c>
      <c r="D187" s="2" t="s">
        <v>98</v>
      </c>
      <c r="E187" s="23" t="s">
        <v>17</v>
      </c>
      <c r="F187" s="24">
        <v>28239</v>
      </c>
      <c r="G187" s="17" t="s">
        <v>19</v>
      </c>
      <c r="H187" s="25">
        <v>44943</v>
      </c>
      <c r="I187" s="29">
        <f t="shared" si="17"/>
        <v>317</v>
      </c>
      <c r="J187" s="44">
        <f t="shared" si="21"/>
        <v>10</v>
      </c>
      <c r="K187" s="29" t="str">
        <f>VLOOKUP(I187,Etiquetas!B:C,2)</f>
        <v>6 a 12 Meses</v>
      </c>
      <c r="L187" s="41">
        <f t="shared" si="18"/>
        <v>6</v>
      </c>
      <c r="M187" s="41">
        <f t="shared" si="19"/>
        <v>10</v>
      </c>
      <c r="N187" s="26">
        <v>1002090.0100000001</v>
      </c>
      <c r="O187" s="5">
        <v>796323.99</v>
      </c>
      <c r="P187" s="5">
        <v>787562.79</v>
      </c>
      <c r="Q187" s="42">
        <f t="shared" si="22"/>
        <v>0.98899794542168706</v>
      </c>
      <c r="R187" s="4">
        <v>5394.52</v>
      </c>
      <c r="S187" s="43">
        <f t="shared" si="23"/>
        <v>6.7742778915903315E-3</v>
      </c>
      <c r="T187" s="6">
        <v>335859.97125</v>
      </c>
      <c r="U187" s="5">
        <v>267500.13</v>
      </c>
      <c r="V187" s="27">
        <v>15</v>
      </c>
      <c r="W187" s="14">
        <v>18</v>
      </c>
      <c r="X187" s="14">
        <v>10</v>
      </c>
      <c r="Y187" s="7">
        <v>12515.55</v>
      </c>
      <c r="Z187" s="28">
        <v>3851.68</v>
      </c>
    </row>
    <row r="188" spans="1:26" x14ac:dyDescent="0.25">
      <c r="A188" s="22" t="str">
        <f t="shared" si="16"/>
        <v>DULCE YURIKO NISHIKAWA MOLINA|1</v>
      </c>
      <c r="B188" s="8">
        <v>45260</v>
      </c>
      <c r="C188" s="40" t="str">
        <f t="shared" si="20"/>
        <v>11|2023</v>
      </c>
      <c r="D188" s="2" t="s">
        <v>98</v>
      </c>
      <c r="E188" s="23" t="s">
        <v>17</v>
      </c>
      <c r="F188" s="24">
        <v>35961</v>
      </c>
      <c r="G188" s="17" t="s">
        <v>83</v>
      </c>
      <c r="H188" s="25">
        <v>45222</v>
      </c>
      <c r="I188" s="29">
        <f t="shared" si="17"/>
        <v>38</v>
      </c>
      <c r="J188" s="44">
        <f t="shared" si="21"/>
        <v>1</v>
      </c>
      <c r="K188" s="29" t="str">
        <f>VLOOKUP(I188,Etiquetas!B:C,2)</f>
        <v>&lt; 3 Meses</v>
      </c>
      <c r="L188" s="41">
        <f t="shared" si="18"/>
        <v>0</v>
      </c>
      <c r="M188" s="41">
        <f t="shared" si="19"/>
        <v>1</v>
      </c>
      <c r="N188" s="26">
        <v>130965.55</v>
      </c>
      <c r="O188" s="5">
        <v>279141.53999999998</v>
      </c>
      <c r="P188" s="5">
        <v>279141.53999999998</v>
      </c>
      <c r="Q188" s="42">
        <f t="shared" si="22"/>
        <v>1</v>
      </c>
      <c r="R188" s="4">
        <v>0</v>
      </c>
      <c r="S188" s="43">
        <f t="shared" si="23"/>
        <v>0</v>
      </c>
      <c r="T188" s="6">
        <v>59610</v>
      </c>
      <c r="U188" s="5">
        <v>223000.13999999998</v>
      </c>
      <c r="V188" s="27">
        <v>5</v>
      </c>
      <c r="W188" s="14">
        <v>0</v>
      </c>
      <c r="X188" s="14">
        <v>0</v>
      </c>
      <c r="Y188" s="7">
        <v>7506.2150000000001</v>
      </c>
      <c r="Z188" s="28">
        <v>2218.4</v>
      </c>
    </row>
    <row r="189" spans="1:26" x14ac:dyDescent="0.25">
      <c r="A189" s="22" t="str">
        <f t="shared" si="16"/>
        <v>TANIA NAVARRETE SILVA|1</v>
      </c>
      <c r="B189" s="8">
        <v>45260</v>
      </c>
      <c r="C189" s="40" t="str">
        <f t="shared" si="20"/>
        <v>11|2023</v>
      </c>
      <c r="D189" s="2" t="s">
        <v>98</v>
      </c>
      <c r="E189" s="23" t="s">
        <v>17</v>
      </c>
      <c r="F189" s="24">
        <v>35971</v>
      </c>
      <c r="G189" s="17" t="s">
        <v>82</v>
      </c>
      <c r="H189" s="25">
        <v>45222</v>
      </c>
      <c r="I189" s="29">
        <f t="shared" si="17"/>
        <v>38</v>
      </c>
      <c r="J189" s="44">
        <f t="shared" si="21"/>
        <v>1</v>
      </c>
      <c r="K189" s="29" t="str">
        <f>VLOOKUP(I189,Etiquetas!B:C,2)</f>
        <v>&lt; 3 Meses</v>
      </c>
      <c r="L189" s="41">
        <f t="shared" si="18"/>
        <v>0</v>
      </c>
      <c r="M189" s="41">
        <f t="shared" si="19"/>
        <v>1</v>
      </c>
      <c r="N189" s="26">
        <v>520990.77</v>
      </c>
      <c r="O189" s="5">
        <v>522667.75999999995</v>
      </c>
      <c r="P189" s="5">
        <v>467797.97000000003</v>
      </c>
      <c r="Q189" s="42">
        <f t="shared" si="22"/>
        <v>0.89501975404031053</v>
      </c>
      <c r="R189" s="4">
        <v>0</v>
      </c>
      <c r="S189" s="43">
        <f t="shared" si="23"/>
        <v>0</v>
      </c>
      <c r="T189" s="6">
        <v>126440</v>
      </c>
      <c r="U189" s="5">
        <v>213499.74</v>
      </c>
      <c r="V189" s="27">
        <v>18</v>
      </c>
      <c r="W189" s="14">
        <v>0</v>
      </c>
      <c r="X189" s="14">
        <v>0</v>
      </c>
      <c r="Y189" s="7">
        <v>7937.6</v>
      </c>
      <c r="Z189" s="28">
        <v>2000</v>
      </c>
    </row>
    <row r="190" spans="1:26" x14ac:dyDescent="0.25">
      <c r="A190" s="22" t="str">
        <f t="shared" si="16"/>
        <v>LAURA LORENA PEREZ MENDOZA|6</v>
      </c>
      <c r="B190" s="8">
        <v>45260</v>
      </c>
      <c r="C190" s="40" t="str">
        <f t="shared" si="20"/>
        <v>11|2023</v>
      </c>
      <c r="D190" s="2" t="s">
        <v>98</v>
      </c>
      <c r="E190" s="23" t="s">
        <v>49</v>
      </c>
      <c r="F190" s="24">
        <v>31346</v>
      </c>
      <c r="G190" s="22" t="s">
        <v>93</v>
      </c>
      <c r="H190" s="25">
        <v>45054</v>
      </c>
      <c r="I190" s="29">
        <f t="shared" si="17"/>
        <v>206</v>
      </c>
      <c r="J190" s="44">
        <f t="shared" si="21"/>
        <v>6</v>
      </c>
      <c r="K190" s="29" t="str">
        <f>VLOOKUP(I190,Etiquetas!B:C,2)</f>
        <v>6 a 12 Meses</v>
      </c>
      <c r="L190" s="41">
        <f t="shared" si="18"/>
        <v>2</v>
      </c>
      <c r="M190" s="41">
        <f t="shared" si="19"/>
        <v>6</v>
      </c>
      <c r="N190" s="26">
        <v>1319549.2000000002</v>
      </c>
      <c r="O190" s="5">
        <v>1262447.9299999995</v>
      </c>
      <c r="P190" s="5">
        <v>1152814.8299999996</v>
      </c>
      <c r="Q190" s="42">
        <f t="shared" si="22"/>
        <v>0.91315831932965352</v>
      </c>
      <c r="R190" s="4">
        <v>9648.84</v>
      </c>
      <c r="S190" s="43">
        <f t="shared" si="23"/>
        <v>7.6429607674987467E-3</v>
      </c>
      <c r="T190" s="6"/>
      <c r="U190" s="5">
        <v>313999.86999999988</v>
      </c>
      <c r="V190" s="27">
        <v>16</v>
      </c>
      <c r="W190" s="14">
        <v>58</v>
      </c>
      <c r="X190" s="14">
        <v>21</v>
      </c>
      <c r="Y190" s="7">
        <v>16081</v>
      </c>
      <c r="Z190" s="28">
        <v>2081.5028500000008</v>
      </c>
    </row>
    <row r="191" spans="1:26" x14ac:dyDescent="0.25">
      <c r="A191" s="22" t="str">
        <f t="shared" si="16"/>
        <v>JUAN MANUEL HERNANDEZ HERNANDEZ|0</v>
      </c>
      <c r="B191" s="8">
        <v>45260</v>
      </c>
      <c r="C191" s="40" t="str">
        <f t="shared" si="20"/>
        <v>11|2023</v>
      </c>
      <c r="D191" s="2" t="s">
        <v>98</v>
      </c>
      <c r="E191" s="23" t="s">
        <v>49</v>
      </c>
      <c r="F191" s="24">
        <v>36153</v>
      </c>
      <c r="G191" s="17" t="s">
        <v>104</v>
      </c>
      <c r="H191" s="25">
        <v>45231</v>
      </c>
      <c r="I191" s="29">
        <f t="shared" si="17"/>
        <v>29</v>
      </c>
      <c r="J191" s="44">
        <f t="shared" si="21"/>
        <v>0</v>
      </c>
      <c r="K191" s="29" t="str">
        <f>VLOOKUP(I191,Etiquetas!B:C,2)</f>
        <v>&lt; 3 Meses</v>
      </c>
      <c r="L191" s="41">
        <f t="shared" si="18"/>
        <v>0</v>
      </c>
      <c r="M191" s="41">
        <f t="shared" si="19"/>
        <v>0</v>
      </c>
      <c r="N191" s="26">
        <v>0</v>
      </c>
      <c r="O191" s="5">
        <v>84999.09</v>
      </c>
      <c r="P191" s="5">
        <v>84999.09</v>
      </c>
      <c r="Q191" s="42">
        <f t="shared" si="22"/>
        <v>1</v>
      </c>
      <c r="R191" s="4">
        <v>0</v>
      </c>
      <c r="S191" s="43">
        <f t="shared" si="23"/>
        <v>0</v>
      </c>
      <c r="T191" s="6">
        <v>41440</v>
      </c>
      <c r="U191" s="5">
        <v>84999.09</v>
      </c>
      <c r="V191" s="27">
        <v>15</v>
      </c>
      <c r="W191" s="14">
        <v>0</v>
      </c>
      <c r="X191" s="14">
        <v>0</v>
      </c>
      <c r="Y191" s="7">
        <v>6816.9699999999993</v>
      </c>
      <c r="Z191" s="28">
        <v>2000</v>
      </c>
    </row>
    <row r="192" spans="1:26" x14ac:dyDescent="0.25">
      <c r="A192" s="22" t="str">
        <f t="shared" si="16"/>
        <v>JUAN ANTONIO POZOS VALVERDE|0</v>
      </c>
      <c r="B192" s="8">
        <v>45260</v>
      </c>
      <c r="C192" s="40" t="str">
        <f t="shared" si="20"/>
        <v>11|2023</v>
      </c>
      <c r="D192" s="2" t="s">
        <v>98</v>
      </c>
      <c r="E192" s="23" t="s">
        <v>49</v>
      </c>
      <c r="F192" s="24">
        <v>36305</v>
      </c>
      <c r="G192" s="17" t="s">
        <v>103</v>
      </c>
      <c r="H192" s="25">
        <v>45240</v>
      </c>
      <c r="I192" s="29">
        <f t="shared" si="17"/>
        <v>20</v>
      </c>
      <c r="J192" s="44">
        <f t="shared" si="21"/>
        <v>0</v>
      </c>
      <c r="K192" s="29" t="str">
        <f>VLOOKUP(I192,Etiquetas!B:C,2)</f>
        <v>&lt; 3 Meses</v>
      </c>
      <c r="L192" s="41">
        <f t="shared" si="18"/>
        <v>0</v>
      </c>
      <c r="M192" s="41">
        <f t="shared" si="19"/>
        <v>0</v>
      </c>
      <c r="N192" s="26">
        <v>0</v>
      </c>
      <c r="O192" s="5">
        <v>134148</v>
      </c>
      <c r="P192" s="5">
        <v>134148</v>
      </c>
      <c r="Q192" s="42">
        <f t="shared" si="22"/>
        <v>1</v>
      </c>
      <c r="R192" s="4">
        <v>0</v>
      </c>
      <c r="S192" s="43">
        <f t="shared" si="23"/>
        <v>0</v>
      </c>
      <c r="T192" s="6"/>
      <c r="U192" s="5">
        <v>135999.38</v>
      </c>
      <c r="V192" s="27">
        <v>12</v>
      </c>
      <c r="W192" s="14">
        <v>0</v>
      </c>
      <c r="X192" s="14">
        <v>0</v>
      </c>
      <c r="Y192" s="7">
        <v>9327.65</v>
      </c>
      <c r="Z192" s="28">
        <v>2000</v>
      </c>
    </row>
    <row r="193" spans="1:26" x14ac:dyDescent="0.25">
      <c r="A193" s="22" t="str">
        <f t="shared" si="16"/>
        <v>JONNY ROMAN GARCIA VALENTINO|47</v>
      </c>
      <c r="B193" s="8">
        <v>45260</v>
      </c>
      <c r="C193" s="40" t="str">
        <f t="shared" si="20"/>
        <v>11|2023</v>
      </c>
      <c r="D193" s="2" t="s">
        <v>98</v>
      </c>
      <c r="E193" s="10" t="s">
        <v>51</v>
      </c>
      <c r="F193" s="11">
        <v>34012</v>
      </c>
      <c r="G193" s="10" t="s">
        <v>53</v>
      </c>
      <c r="H193" s="15">
        <v>43850</v>
      </c>
      <c r="I193" s="29">
        <f t="shared" si="17"/>
        <v>1410</v>
      </c>
      <c r="J193" s="44">
        <f t="shared" si="21"/>
        <v>47</v>
      </c>
      <c r="K193" s="29" t="str">
        <f>VLOOKUP(I193,Etiquetas!B:C,2)</f>
        <v>Mas de 3 años</v>
      </c>
      <c r="L193" s="41">
        <f t="shared" si="18"/>
        <v>42</v>
      </c>
      <c r="M193" s="41">
        <f t="shared" si="19"/>
        <v>47</v>
      </c>
      <c r="N193" s="26">
        <v>1765376.25</v>
      </c>
      <c r="O193" s="5">
        <v>1947662.8499999996</v>
      </c>
      <c r="P193" s="5">
        <v>1827719.6299999997</v>
      </c>
      <c r="Q193" s="42">
        <f t="shared" si="22"/>
        <v>0.93841684663236247</v>
      </c>
      <c r="R193" s="4">
        <v>0</v>
      </c>
      <c r="S193" s="43">
        <f t="shared" si="23"/>
        <v>0</v>
      </c>
      <c r="T193" s="6">
        <v>586259.97794999997</v>
      </c>
      <c r="U193" s="5">
        <v>818499.80999999994</v>
      </c>
      <c r="V193" s="27">
        <v>0</v>
      </c>
      <c r="W193" s="14">
        <v>0</v>
      </c>
      <c r="X193" s="14">
        <v>0</v>
      </c>
      <c r="Y193" s="7">
        <v>14341.5</v>
      </c>
      <c r="Z193" s="28">
        <v>3631.2847425</v>
      </c>
    </row>
    <row r="194" spans="1:26" x14ac:dyDescent="0.25">
      <c r="A194" s="22" t="str">
        <f t="shared" si="16"/>
        <v>NADINE GUADALUPE URIBE SANTIAGO|10</v>
      </c>
      <c r="B194" s="8">
        <v>45260</v>
      </c>
      <c r="C194" s="40" t="str">
        <f t="shared" si="20"/>
        <v>11|2023</v>
      </c>
      <c r="D194" s="2" t="s">
        <v>98</v>
      </c>
      <c r="E194" s="10" t="s">
        <v>51</v>
      </c>
      <c r="F194" s="11">
        <v>33385</v>
      </c>
      <c r="G194" s="10" t="s">
        <v>52</v>
      </c>
      <c r="H194" s="15">
        <v>44958</v>
      </c>
      <c r="I194" s="29">
        <f t="shared" si="17"/>
        <v>302</v>
      </c>
      <c r="J194" s="44">
        <f t="shared" si="21"/>
        <v>10</v>
      </c>
      <c r="K194" s="29" t="str">
        <f>VLOOKUP(I194,Etiquetas!B:C,2)</f>
        <v>6 a 12 Meses</v>
      </c>
      <c r="L194" s="41">
        <f t="shared" si="18"/>
        <v>6</v>
      </c>
      <c r="M194" s="41">
        <f t="shared" si="19"/>
        <v>10</v>
      </c>
      <c r="N194" s="26">
        <v>1627574.1500000001</v>
      </c>
      <c r="O194" s="5">
        <v>1799860.9000000001</v>
      </c>
      <c r="P194" s="5">
        <v>1647078.1500000001</v>
      </c>
      <c r="Q194" s="42">
        <f t="shared" si="22"/>
        <v>0.91511413465340574</v>
      </c>
      <c r="R194" s="4">
        <v>118809.76</v>
      </c>
      <c r="S194" s="43">
        <f t="shared" si="23"/>
        <v>6.6010523368778107E-2</v>
      </c>
      <c r="T194" s="6">
        <v>973930.27449999982</v>
      </c>
      <c r="U194" s="5">
        <v>815499.47</v>
      </c>
      <c r="V194" s="27">
        <v>9</v>
      </c>
      <c r="W194" s="14">
        <v>67</v>
      </c>
      <c r="X194" s="14">
        <v>43</v>
      </c>
      <c r="Y194" s="7">
        <v>17516.5</v>
      </c>
      <c r="Z194" s="28">
        <v>0</v>
      </c>
    </row>
    <row r="195" spans="1:26" x14ac:dyDescent="0.25">
      <c r="A195" s="22" t="str">
        <f t="shared" ref="A195:A226" si="24">G195&amp;"|"&amp;J195</f>
        <v>ULISES URIEL PARTIDA MENDEZ|2</v>
      </c>
      <c r="B195" s="8">
        <v>45260</v>
      </c>
      <c r="C195" s="40" t="str">
        <f t="shared" si="20"/>
        <v>11|2023</v>
      </c>
      <c r="D195" s="2" t="s">
        <v>98</v>
      </c>
      <c r="E195" s="10" t="s">
        <v>51</v>
      </c>
      <c r="F195" s="11">
        <v>35102</v>
      </c>
      <c r="G195" s="10" t="s">
        <v>77</v>
      </c>
      <c r="H195" s="15">
        <v>45187</v>
      </c>
      <c r="I195" s="29">
        <f t="shared" ref="I195:I258" si="25">B195-H195</f>
        <v>73</v>
      </c>
      <c r="J195" s="44">
        <f t="shared" si="21"/>
        <v>2</v>
      </c>
      <c r="K195" s="29" t="str">
        <f>VLOOKUP(I195,Etiquetas!B:C,2)</f>
        <v>&lt; 3 Meses</v>
      </c>
      <c r="L195" s="41">
        <f t="shared" ref="L195:L226" si="26">_xlfn.MINIFS(J:J,G:G,G195)</f>
        <v>0</v>
      </c>
      <c r="M195" s="41">
        <f t="shared" ref="M195:M226" si="27">_xlfn.MAXIFS(J:J,G:G,G195)</f>
        <v>2</v>
      </c>
      <c r="N195" s="26">
        <v>65991.66</v>
      </c>
      <c r="O195" s="5">
        <v>128614.11</v>
      </c>
      <c r="P195" s="5">
        <v>128614.11</v>
      </c>
      <c r="Q195" s="42">
        <f t="shared" si="22"/>
        <v>1</v>
      </c>
      <c r="R195" s="4">
        <v>0</v>
      </c>
      <c r="S195" s="43">
        <f t="shared" si="23"/>
        <v>0</v>
      </c>
      <c r="T195" s="6">
        <v>97000</v>
      </c>
      <c r="U195" s="5">
        <v>76999.520000000019</v>
      </c>
      <c r="V195" s="27">
        <v>8</v>
      </c>
      <c r="W195" s="14">
        <v>0</v>
      </c>
      <c r="X195" s="14">
        <v>0</v>
      </c>
      <c r="Y195" s="7">
        <v>7806.2</v>
      </c>
      <c r="Z195" s="28">
        <v>2000</v>
      </c>
    </row>
    <row r="196" spans="1:26" x14ac:dyDescent="0.25">
      <c r="A196" s="22" t="str">
        <f t="shared" si="24"/>
        <v>ANA LIZBETH MORA RAMIREZ|0</v>
      </c>
      <c r="B196" s="8">
        <v>45260</v>
      </c>
      <c r="C196" s="40" t="str">
        <f t="shared" ref="C196:C226" si="28">MONTH(B196)&amp;"|"&amp;YEAR(B196)</f>
        <v>11|2023</v>
      </c>
      <c r="D196" s="2" t="s">
        <v>98</v>
      </c>
      <c r="E196" s="10" t="s">
        <v>51</v>
      </c>
      <c r="F196" s="11">
        <v>36251</v>
      </c>
      <c r="G196" s="10" t="s">
        <v>105</v>
      </c>
      <c r="H196" s="15">
        <v>45238</v>
      </c>
      <c r="I196" s="29">
        <f t="shared" si="25"/>
        <v>22</v>
      </c>
      <c r="J196" s="44">
        <f t="shared" ref="J196:J226" si="29">ROUNDDOWN(I196/30,0)</f>
        <v>0</v>
      </c>
      <c r="K196" s="29" t="str">
        <f>VLOOKUP(I196,Etiquetas!B:C,2)</f>
        <v>&lt; 3 Meses</v>
      </c>
      <c r="L196" s="41">
        <f t="shared" si="26"/>
        <v>0</v>
      </c>
      <c r="M196" s="41">
        <f t="shared" si="27"/>
        <v>0</v>
      </c>
      <c r="N196" s="26">
        <v>0</v>
      </c>
      <c r="O196" s="5">
        <v>79999.839999999997</v>
      </c>
      <c r="P196" s="5">
        <v>79999.839999999997</v>
      </c>
      <c r="Q196" s="42">
        <f t="shared" ref="Q196:Q226" si="30">IFERROR(P196/O196,0)</f>
        <v>1</v>
      </c>
      <c r="R196" s="4">
        <v>0</v>
      </c>
      <c r="S196" s="43">
        <f t="shared" ref="S196:S226" si="31">IFERROR(R196/O196,0)</f>
        <v>0</v>
      </c>
      <c r="T196" s="6"/>
      <c r="U196" s="5">
        <v>79999.839999999997</v>
      </c>
      <c r="V196" s="27">
        <v>23</v>
      </c>
      <c r="W196" s="14">
        <v>0</v>
      </c>
      <c r="X196" s="14">
        <v>0</v>
      </c>
      <c r="Y196" s="7">
        <v>9327.65</v>
      </c>
      <c r="Z196" s="28">
        <v>2000</v>
      </c>
    </row>
    <row r="197" spans="1:26" x14ac:dyDescent="0.25">
      <c r="A197" s="22" t="str">
        <f t="shared" si="24"/>
        <v>DENISSE FUENTES CASTRO|14</v>
      </c>
      <c r="B197" s="8">
        <v>45260</v>
      </c>
      <c r="C197" s="40" t="str">
        <f t="shared" si="28"/>
        <v>11|2023</v>
      </c>
      <c r="D197" s="2" t="s">
        <v>98</v>
      </c>
      <c r="E197" s="10" t="s">
        <v>54</v>
      </c>
      <c r="F197" s="11">
        <v>25227</v>
      </c>
      <c r="G197" s="10" t="s">
        <v>55</v>
      </c>
      <c r="H197" s="15">
        <v>44823</v>
      </c>
      <c r="I197" s="29">
        <f t="shared" si="25"/>
        <v>437</v>
      </c>
      <c r="J197" s="44">
        <f t="shared" si="29"/>
        <v>14</v>
      </c>
      <c r="K197" s="29" t="str">
        <f>VLOOKUP(I197,Etiquetas!B:C,2)</f>
        <v>1 a 1.5 años</v>
      </c>
      <c r="L197" s="41">
        <f t="shared" si="26"/>
        <v>1</v>
      </c>
      <c r="M197" s="41">
        <f t="shared" si="27"/>
        <v>14</v>
      </c>
      <c r="N197" s="26">
        <v>1399575.2000000004</v>
      </c>
      <c r="O197" s="5">
        <v>1334367.3899999999</v>
      </c>
      <c r="P197" s="5">
        <v>1084596.52</v>
      </c>
      <c r="Q197" s="42">
        <f t="shared" si="30"/>
        <v>0.81281701585947785</v>
      </c>
      <c r="R197" s="4">
        <v>15837.4</v>
      </c>
      <c r="S197" s="43">
        <f t="shared" si="31"/>
        <v>1.1868845206116736E-2</v>
      </c>
      <c r="T197" s="6">
        <v>574215.37804999982</v>
      </c>
      <c r="U197" s="5">
        <v>500500.26</v>
      </c>
      <c r="V197" s="27">
        <v>16</v>
      </c>
      <c r="W197" s="14">
        <v>56</v>
      </c>
      <c r="X197" s="14">
        <v>43</v>
      </c>
      <c r="Y197" s="7">
        <v>13432</v>
      </c>
      <c r="Z197" s="28">
        <v>0</v>
      </c>
    </row>
    <row r="198" spans="1:26" x14ac:dyDescent="0.25">
      <c r="A198" s="22" t="str">
        <f t="shared" si="24"/>
        <v>NELLYE SAAVEDRA SALVADOR|8</v>
      </c>
      <c r="B198" s="8">
        <v>45260</v>
      </c>
      <c r="C198" s="40" t="str">
        <f t="shared" si="28"/>
        <v>11|2023</v>
      </c>
      <c r="D198" s="2" t="s">
        <v>98</v>
      </c>
      <c r="E198" s="10" t="s">
        <v>54</v>
      </c>
      <c r="F198" s="11">
        <v>30049</v>
      </c>
      <c r="G198" s="10" t="s">
        <v>56</v>
      </c>
      <c r="H198" s="15">
        <v>45006</v>
      </c>
      <c r="I198" s="29">
        <f t="shared" si="25"/>
        <v>254</v>
      </c>
      <c r="J198" s="44">
        <f t="shared" si="29"/>
        <v>8</v>
      </c>
      <c r="K198" s="29" t="str">
        <f>VLOOKUP(I198,Etiquetas!B:C,2)</f>
        <v>6 a 12 Meses</v>
      </c>
      <c r="L198" s="41">
        <f t="shared" si="26"/>
        <v>4</v>
      </c>
      <c r="M198" s="41">
        <f t="shared" si="27"/>
        <v>8</v>
      </c>
      <c r="N198" s="26">
        <v>672758.6</v>
      </c>
      <c r="O198" s="5">
        <v>845608.16999999993</v>
      </c>
      <c r="P198" s="5">
        <v>787954.6399999999</v>
      </c>
      <c r="Q198" s="42">
        <f t="shared" si="30"/>
        <v>0.93182004142651553</v>
      </c>
      <c r="R198" s="4">
        <v>0</v>
      </c>
      <c r="S198" s="43">
        <f t="shared" si="31"/>
        <v>0</v>
      </c>
      <c r="T198" s="6">
        <v>486019.33614999999</v>
      </c>
      <c r="U198" s="5">
        <v>452000.23999999987</v>
      </c>
      <c r="V198" s="27">
        <v>1</v>
      </c>
      <c r="W198" s="14">
        <v>30</v>
      </c>
      <c r="X198" s="14">
        <v>17</v>
      </c>
      <c r="Y198" s="7">
        <v>17465</v>
      </c>
      <c r="Z198" s="28">
        <v>775.12139199999979</v>
      </c>
    </row>
    <row r="199" spans="1:26" x14ac:dyDescent="0.25">
      <c r="A199" s="22" t="str">
        <f t="shared" si="24"/>
        <v>JORGE ALBERTO CONTRERAS SEGUNDO|3</v>
      </c>
      <c r="B199" s="8">
        <v>45260</v>
      </c>
      <c r="C199" s="40" t="str">
        <f t="shared" si="28"/>
        <v>11|2023</v>
      </c>
      <c r="D199" s="2" t="s">
        <v>98</v>
      </c>
      <c r="E199" s="10" t="s">
        <v>54</v>
      </c>
      <c r="F199" s="11">
        <v>34226</v>
      </c>
      <c r="G199" s="10" t="s">
        <v>57</v>
      </c>
      <c r="H199" s="15">
        <v>45154</v>
      </c>
      <c r="I199" s="29">
        <f t="shared" si="25"/>
        <v>106</v>
      </c>
      <c r="J199" s="44">
        <f t="shared" si="29"/>
        <v>3</v>
      </c>
      <c r="K199" s="29" t="str">
        <f>VLOOKUP(I199,Etiquetas!B:C,2)</f>
        <v>3 a 6 Meses</v>
      </c>
      <c r="L199" s="41">
        <f t="shared" si="26"/>
        <v>0</v>
      </c>
      <c r="M199" s="41">
        <f t="shared" si="27"/>
        <v>3</v>
      </c>
      <c r="N199" s="26">
        <v>515881.92</v>
      </c>
      <c r="O199" s="5">
        <v>641885.73</v>
      </c>
      <c r="P199" s="5">
        <v>612326.6</v>
      </c>
      <c r="Q199" s="42">
        <f t="shared" si="30"/>
        <v>0.95394954488238892</v>
      </c>
      <c r="R199" s="4">
        <v>0</v>
      </c>
      <c r="S199" s="43">
        <f t="shared" si="31"/>
        <v>0</v>
      </c>
      <c r="T199" s="6">
        <v>358500.46799999999</v>
      </c>
      <c r="U199" s="5">
        <v>253501.21999999986</v>
      </c>
      <c r="V199" s="27">
        <v>24</v>
      </c>
      <c r="W199" s="14">
        <v>1</v>
      </c>
      <c r="X199" s="14">
        <v>0</v>
      </c>
      <c r="Y199" s="7">
        <v>11036.5</v>
      </c>
      <c r="Z199" s="28">
        <v>2303.8173999999999</v>
      </c>
    </row>
    <row r="200" spans="1:26" x14ac:dyDescent="0.25">
      <c r="A200" s="22" t="str">
        <f t="shared" si="24"/>
        <v>ROBERTO MERAZ GUTIERREZ|7</v>
      </c>
      <c r="B200" s="8">
        <v>45260</v>
      </c>
      <c r="C200" s="40" t="str">
        <f t="shared" si="28"/>
        <v>11|2023</v>
      </c>
      <c r="D200" s="2" t="s">
        <v>98</v>
      </c>
      <c r="E200" s="10" t="s">
        <v>25</v>
      </c>
      <c r="F200" s="11">
        <v>33373</v>
      </c>
      <c r="G200" s="10" t="s">
        <v>28</v>
      </c>
      <c r="H200" s="15">
        <v>45033</v>
      </c>
      <c r="I200" s="29">
        <f t="shared" si="25"/>
        <v>227</v>
      </c>
      <c r="J200" s="44">
        <f t="shared" si="29"/>
        <v>7</v>
      </c>
      <c r="K200" s="29" t="str">
        <f>VLOOKUP(I200,Etiquetas!B:C,2)</f>
        <v>6 a 12 Meses</v>
      </c>
      <c r="L200" s="41">
        <f t="shared" si="26"/>
        <v>3</v>
      </c>
      <c r="M200" s="41">
        <f t="shared" si="27"/>
        <v>7</v>
      </c>
      <c r="N200" s="26">
        <v>1376339.9999999995</v>
      </c>
      <c r="O200" s="5">
        <v>1433027.89</v>
      </c>
      <c r="P200" s="5">
        <v>1282297.7500000002</v>
      </c>
      <c r="Q200" s="42">
        <f t="shared" si="30"/>
        <v>0.89481702271684349</v>
      </c>
      <c r="R200" s="4">
        <v>0</v>
      </c>
      <c r="S200" s="43">
        <f t="shared" si="31"/>
        <v>0</v>
      </c>
      <c r="T200" s="6">
        <v>486295.16940000001</v>
      </c>
      <c r="U200" s="5">
        <v>445500.71</v>
      </c>
      <c r="V200" s="27">
        <v>7</v>
      </c>
      <c r="W200" s="14">
        <v>39</v>
      </c>
      <c r="X200" s="14">
        <v>11</v>
      </c>
      <c r="Y200" s="7">
        <v>19226.5</v>
      </c>
      <c r="Z200" s="28">
        <v>0</v>
      </c>
    </row>
    <row r="201" spans="1:26" x14ac:dyDescent="0.25">
      <c r="A201" s="22" t="str">
        <f t="shared" si="24"/>
        <v>ELIZABETH PEREZ PERALTA|5</v>
      </c>
      <c r="B201" s="8">
        <v>45260</v>
      </c>
      <c r="C201" s="40" t="str">
        <f t="shared" si="28"/>
        <v>11|2023</v>
      </c>
      <c r="D201" s="2" t="s">
        <v>98</v>
      </c>
      <c r="E201" s="10" t="s">
        <v>25</v>
      </c>
      <c r="F201" s="11">
        <v>32596</v>
      </c>
      <c r="G201" s="10" t="s">
        <v>27</v>
      </c>
      <c r="H201" s="15">
        <v>45093</v>
      </c>
      <c r="I201" s="29">
        <f t="shared" si="25"/>
        <v>167</v>
      </c>
      <c r="J201" s="44">
        <f t="shared" si="29"/>
        <v>5</v>
      </c>
      <c r="K201" s="29" t="str">
        <f>VLOOKUP(I201,Etiquetas!B:C,2)</f>
        <v>3 a 6 Meses</v>
      </c>
      <c r="L201" s="41">
        <f t="shared" si="26"/>
        <v>1</v>
      </c>
      <c r="M201" s="41">
        <f t="shared" si="27"/>
        <v>5</v>
      </c>
      <c r="N201" s="26">
        <v>1029276.8400000002</v>
      </c>
      <c r="O201" s="5">
        <v>1153428.69</v>
      </c>
      <c r="P201" s="5">
        <v>1029927.5</v>
      </c>
      <c r="Q201" s="42">
        <f t="shared" si="30"/>
        <v>0.89292689607018538</v>
      </c>
      <c r="R201" s="4">
        <v>0</v>
      </c>
      <c r="S201" s="43">
        <f t="shared" si="31"/>
        <v>0</v>
      </c>
      <c r="T201" s="6">
        <v>864449.86210000003</v>
      </c>
      <c r="U201" s="5">
        <v>493499.8600000001</v>
      </c>
      <c r="V201" s="27">
        <v>6</v>
      </c>
      <c r="W201" s="14">
        <v>21</v>
      </c>
      <c r="X201" s="14">
        <v>5</v>
      </c>
      <c r="Y201" s="7">
        <v>15885.750000000002</v>
      </c>
      <c r="Z201" s="28">
        <v>0</v>
      </c>
    </row>
    <row r="202" spans="1:26" x14ac:dyDescent="0.25">
      <c r="A202" s="22" t="str">
        <f t="shared" si="24"/>
        <v>YESSICA ADELAIDA DELGADILLO MIRANDA|1</v>
      </c>
      <c r="B202" s="8">
        <v>45260</v>
      </c>
      <c r="C202" s="40" t="str">
        <f t="shared" si="28"/>
        <v>11|2023</v>
      </c>
      <c r="D202" s="2" t="s">
        <v>98</v>
      </c>
      <c r="E202" s="10" t="s">
        <v>25</v>
      </c>
      <c r="F202" s="11">
        <v>36042</v>
      </c>
      <c r="G202" s="10" t="s">
        <v>85</v>
      </c>
      <c r="H202" s="15">
        <v>45223</v>
      </c>
      <c r="I202" s="29">
        <f t="shared" si="25"/>
        <v>37</v>
      </c>
      <c r="J202" s="44">
        <f t="shared" si="29"/>
        <v>1</v>
      </c>
      <c r="K202" s="29" t="str">
        <f>VLOOKUP(I202,Etiquetas!B:C,2)</f>
        <v>&lt; 3 Meses</v>
      </c>
      <c r="L202" s="41">
        <f t="shared" si="26"/>
        <v>0</v>
      </c>
      <c r="M202" s="41">
        <f t="shared" si="27"/>
        <v>1</v>
      </c>
      <c r="N202" s="26">
        <v>218996.48000000001</v>
      </c>
      <c r="O202" s="5">
        <v>249323.05</v>
      </c>
      <c r="P202" s="5">
        <v>232910.99</v>
      </c>
      <c r="Q202" s="42">
        <f t="shared" si="30"/>
        <v>0.93417351504403623</v>
      </c>
      <c r="R202" s="4">
        <v>0</v>
      </c>
      <c r="S202" s="43">
        <f t="shared" si="31"/>
        <v>0</v>
      </c>
      <c r="T202" s="6">
        <v>59240</v>
      </c>
      <c r="U202" s="5">
        <v>117999.66000000002</v>
      </c>
      <c r="V202" s="27">
        <v>8</v>
      </c>
      <c r="W202" s="14">
        <v>0</v>
      </c>
      <c r="X202" s="14">
        <v>0</v>
      </c>
      <c r="Y202" s="7">
        <v>6567.2</v>
      </c>
      <c r="Z202" s="28">
        <v>2000</v>
      </c>
    </row>
    <row r="203" spans="1:26" x14ac:dyDescent="0.25">
      <c r="A203" s="22" t="str">
        <f t="shared" si="24"/>
        <v>LAURA PATRICIA CARRERA QUINTERO|7</v>
      </c>
      <c r="B203" s="8">
        <v>45260</v>
      </c>
      <c r="C203" s="40" t="str">
        <f t="shared" si="28"/>
        <v>11|2023</v>
      </c>
      <c r="D203" s="2" t="s">
        <v>98</v>
      </c>
      <c r="E203" s="10" t="s">
        <v>34</v>
      </c>
      <c r="F203" s="11">
        <v>30869</v>
      </c>
      <c r="G203" s="10" t="s">
        <v>35</v>
      </c>
      <c r="H203" s="15">
        <v>45034</v>
      </c>
      <c r="I203" s="29">
        <f t="shared" si="25"/>
        <v>226</v>
      </c>
      <c r="J203" s="44">
        <f t="shared" si="29"/>
        <v>7</v>
      </c>
      <c r="K203" s="29" t="str">
        <f>VLOOKUP(I203,Etiquetas!B:C,2)</f>
        <v>6 a 12 Meses</v>
      </c>
      <c r="L203" s="41">
        <f t="shared" si="26"/>
        <v>3</v>
      </c>
      <c r="M203" s="41">
        <f t="shared" si="27"/>
        <v>7</v>
      </c>
      <c r="N203" s="26">
        <v>1147073.1199999999</v>
      </c>
      <c r="O203" s="5">
        <v>1045160.5999999996</v>
      </c>
      <c r="P203" s="5">
        <v>1015272.0599999996</v>
      </c>
      <c r="Q203" s="42">
        <f t="shared" si="30"/>
        <v>0.97140292123526273</v>
      </c>
      <c r="R203" s="4">
        <v>0</v>
      </c>
      <c r="S203" s="43">
        <f t="shared" si="31"/>
        <v>0</v>
      </c>
      <c r="T203" s="6">
        <v>574200.26985000004</v>
      </c>
      <c r="U203" s="5">
        <v>342501.2800000002</v>
      </c>
      <c r="V203" s="27">
        <v>0</v>
      </c>
      <c r="W203" s="14">
        <v>76</v>
      </c>
      <c r="X203" s="14">
        <v>32</v>
      </c>
      <c r="Y203" s="7">
        <v>14287.25</v>
      </c>
      <c r="Z203" s="28">
        <v>2769</v>
      </c>
    </row>
    <row r="204" spans="1:26" x14ac:dyDescent="0.25">
      <c r="A204" s="22" t="str">
        <f t="shared" si="24"/>
        <v>ARMANDO ALEJANDRO TOVAR BRACAMONTES|20</v>
      </c>
      <c r="B204" s="8">
        <v>45260</v>
      </c>
      <c r="C204" s="40" t="str">
        <f t="shared" si="28"/>
        <v>11|2023</v>
      </c>
      <c r="D204" s="2" t="s">
        <v>98</v>
      </c>
      <c r="E204" s="10" t="s">
        <v>37</v>
      </c>
      <c r="F204" s="11">
        <v>20612</v>
      </c>
      <c r="G204" s="10" t="s">
        <v>39</v>
      </c>
      <c r="H204" s="15">
        <v>44648</v>
      </c>
      <c r="I204" s="29">
        <f t="shared" si="25"/>
        <v>612</v>
      </c>
      <c r="J204" s="44">
        <f t="shared" si="29"/>
        <v>20</v>
      </c>
      <c r="K204" s="29" t="str">
        <f>VLOOKUP(I204,Etiquetas!B:C,2)</f>
        <v>1.5 a 2 años</v>
      </c>
      <c r="L204" s="41">
        <f t="shared" si="26"/>
        <v>16</v>
      </c>
      <c r="M204" s="41">
        <f t="shared" si="27"/>
        <v>20</v>
      </c>
      <c r="N204" s="26">
        <v>2198186.8200000003</v>
      </c>
      <c r="O204" s="5">
        <v>1876712.0399999998</v>
      </c>
      <c r="P204" s="5">
        <v>1808046.7799999998</v>
      </c>
      <c r="Q204" s="42">
        <f t="shared" si="30"/>
        <v>0.96341193612207021</v>
      </c>
      <c r="R204" s="4">
        <v>0</v>
      </c>
      <c r="S204" s="43">
        <f t="shared" si="31"/>
        <v>0</v>
      </c>
      <c r="T204" s="6">
        <v>507624.84789999994</v>
      </c>
      <c r="U204" s="5">
        <v>473500.10999999993</v>
      </c>
      <c r="V204" s="27">
        <v>2</v>
      </c>
      <c r="W204" s="14">
        <v>36</v>
      </c>
      <c r="X204" s="14">
        <v>33</v>
      </c>
      <c r="Y204" s="7">
        <v>14246</v>
      </c>
      <c r="Z204" s="28">
        <v>5747.1750000000002</v>
      </c>
    </row>
    <row r="205" spans="1:26" x14ac:dyDescent="0.25">
      <c r="A205" s="22" t="str">
        <f t="shared" si="24"/>
        <v>MIRIAM PATRICIA ROSAS AREVALO|3</v>
      </c>
      <c r="B205" s="8">
        <v>45260</v>
      </c>
      <c r="C205" s="40" t="str">
        <f t="shared" si="28"/>
        <v>11|2023</v>
      </c>
      <c r="D205" s="2" t="s">
        <v>98</v>
      </c>
      <c r="E205" s="10" t="s">
        <v>37</v>
      </c>
      <c r="F205" s="11">
        <v>36216</v>
      </c>
      <c r="G205" s="10" t="s">
        <v>36</v>
      </c>
      <c r="H205" s="15">
        <v>45145</v>
      </c>
      <c r="I205" s="29">
        <f t="shared" si="25"/>
        <v>115</v>
      </c>
      <c r="J205" s="44">
        <f t="shared" si="29"/>
        <v>3</v>
      </c>
      <c r="K205" s="29" t="str">
        <f>VLOOKUP(I205,Etiquetas!B:C,2)</f>
        <v>3 a 6 Meses</v>
      </c>
      <c r="L205" s="41">
        <f t="shared" si="26"/>
        <v>0</v>
      </c>
      <c r="M205" s="41">
        <f t="shared" si="27"/>
        <v>3</v>
      </c>
      <c r="N205" s="26">
        <v>0</v>
      </c>
      <c r="O205" s="5">
        <v>107017.94</v>
      </c>
      <c r="P205" s="5">
        <v>107017.94</v>
      </c>
      <c r="Q205" s="42">
        <f t="shared" si="30"/>
        <v>1</v>
      </c>
      <c r="R205" s="4">
        <v>0</v>
      </c>
      <c r="S205" s="43">
        <f t="shared" si="31"/>
        <v>0</v>
      </c>
      <c r="T205" s="6">
        <v>309300.228</v>
      </c>
      <c r="U205" s="5">
        <v>113000.13999999998</v>
      </c>
      <c r="V205" s="27">
        <v>11</v>
      </c>
      <c r="W205" s="14">
        <v>0</v>
      </c>
      <c r="X205" s="14">
        <v>0</v>
      </c>
      <c r="Y205" s="7">
        <v>11641.449999999999</v>
      </c>
      <c r="Z205" s="28">
        <v>1839.9999999999998</v>
      </c>
    </row>
    <row r="206" spans="1:26" x14ac:dyDescent="0.25">
      <c r="A206" s="22" t="str">
        <f t="shared" si="24"/>
        <v>MARIA ISABEL MUÑOZ SANCHEZ|11</v>
      </c>
      <c r="B206" s="8">
        <v>45260</v>
      </c>
      <c r="C206" s="40" t="str">
        <f t="shared" si="28"/>
        <v>11|2023</v>
      </c>
      <c r="D206" s="2" t="s">
        <v>97</v>
      </c>
      <c r="E206" s="23" t="s">
        <v>9</v>
      </c>
      <c r="F206" s="24">
        <v>27539</v>
      </c>
      <c r="G206" s="17" t="s">
        <v>12</v>
      </c>
      <c r="H206" s="25">
        <v>44902</v>
      </c>
      <c r="I206" s="29">
        <f t="shared" si="25"/>
        <v>358</v>
      </c>
      <c r="J206" s="44">
        <f t="shared" si="29"/>
        <v>11</v>
      </c>
      <c r="K206" s="29" t="str">
        <f>VLOOKUP(I206,Etiquetas!B:C,2)</f>
        <v>6 a 12 Meses</v>
      </c>
      <c r="L206" s="41">
        <f t="shared" si="26"/>
        <v>7</v>
      </c>
      <c r="M206" s="41">
        <f t="shared" si="27"/>
        <v>11</v>
      </c>
      <c r="N206" s="26">
        <v>968250.62</v>
      </c>
      <c r="O206" s="5">
        <v>1128795.2699999998</v>
      </c>
      <c r="P206" s="5">
        <v>1109040.42</v>
      </c>
      <c r="Q206" s="42">
        <f t="shared" si="30"/>
        <v>0.9824991736544042</v>
      </c>
      <c r="R206" s="4">
        <v>21361.33</v>
      </c>
      <c r="S206" s="43">
        <f t="shared" si="31"/>
        <v>1.8924007362291662E-2</v>
      </c>
      <c r="T206" s="6">
        <v>639489.82960000006</v>
      </c>
      <c r="U206" s="5">
        <v>478501.20999999967</v>
      </c>
      <c r="V206" s="27">
        <v>19</v>
      </c>
      <c r="W206" s="14">
        <v>58</v>
      </c>
      <c r="X206" s="14">
        <v>29</v>
      </c>
      <c r="Y206" s="7">
        <v>15990.074999999999</v>
      </c>
      <c r="Z206" s="28">
        <v>6559.7846250000002</v>
      </c>
    </row>
    <row r="207" spans="1:26" x14ac:dyDescent="0.25">
      <c r="A207" s="22" t="str">
        <f t="shared" si="24"/>
        <v>HASLEY RODRIGUEZ GARCIA|2</v>
      </c>
      <c r="B207" s="8">
        <v>45260</v>
      </c>
      <c r="C207" s="40" t="str">
        <f t="shared" si="28"/>
        <v>11|2023</v>
      </c>
      <c r="D207" s="2" t="s">
        <v>97</v>
      </c>
      <c r="E207" s="23" t="s">
        <v>9</v>
      </c>
      <c r="F207" s="24">
        <v>34963</v>
      </c>
      <c r="G207" s="17" t="s">
        <v>70</v>
      </c>
      <c r="H207" s="25">
        <v>45177</v>
      </c>
      <c r="I207" s="29">
        <f t="shared" si="25"/>
        <v>83</v>
      </c>
      <c r="J207" s="44">
        <f t="shared" si="29"/>
        <v>2</v>
      </c>
      <c r="K207" s="29" t="str">
        <f>VLOOKUP(I207,Etiquetas!B:C,2)</f>
        <v>&lt; 3 Meses</v>
      </c>
      <c r="L207" s="41">
        <f t="shared" si="26"/>
        <v>0</v>
      </c>
      <c r="M207" s="41">
        <f t="shared" si="27"/>
        <v>2</v>
      </c>
      <c r="N207" s="26">
        <v>776696.58000000007</v>
      </c>
      <c r="O207" s="5">
        <v>668166.29</v>
      </c>
      <c r="P207" s="5">
        <v>624447.63</v>
      </c>
      <c r="Q207" s="42">
        <f t="shared" si="30"/>
        <v>0.93456919234880886</v>
      </c>
      <c r="R207" s="4">
        <v>0</v>
      </c>
      <c r="S207" s="43">
        <f t="shared" si="31"/>
        <v>0</v>
      </c>
      <c r="T207" s="6">
        <v>356990.11219999997</v>
      </c>
      <c r="U207" s="5">
        <v>188499.91</v>
      </c>
      <c r="V207" s="27">
        <v>15</v>
      </c>
      <c r="W207" s="14">
        <v>0</v>
      </c>
      <c r="X207" s="14">
        <v>0</v>
      </c>
      <c r="Y207" s="7">
        <v>10405</v>
      </c>
      <c r="Z207" s="28">
        <v>537.18182499999978</v>
      </c>
    </row>
    <row r="208" spans="1:26" x14ac:dyDescent="0.25">
      <c r="A208" s="22" t="str">
        <f t="shared" si="24"/>
        <v>ANAHI JIMENEZ RAMOS|1</v>
      </c>
      <c r="B208" s="8">
        <v>45260</v>
      </c>
      <c r="C208" s="40" t="str">
        <f t="shared" si="28"/>
        <v>11|2023</v>
      </c>
      <c r="D208" s="2" t="s">
        <v>97</v>
      </c>
      <c r="E208" s="23" t="s">
        <v>9</v>
      </c>
      <c r="F208" s="24">
        <v>36084</v>
      </c>
      <c r="G208" s="17" t="s">
        <v>79</v>
      </c>
      <c r="H208" s="25">
        <v>45226</v>
      </c>
      <c r="I208" s="29">
        <f t="shared" si="25"/>
        <v>34</v>
      </c>
      <c r="J208" s="44">
        <f t="shared" si="29"/>
        <v>1</v>
      </c>
      <c r="K208" s="29" t="str">
        <f>VLOOKUP(I208,Etiquetas!B:C,2)</f>
        <v>&lt; 3 Meses</v>
      </c>
      <c r="L208" s="41">
        <f t="shared" si="26"/>
        <v>0</v>
      </c>
      <c r="M208" s="41">
        <f t="shared" si="27"/>
        <v>1</v>
      </c>
      <c r="N208" s="26">
        <v>272135.33999999997</v>
      </c>
      <c r="O208" s="5">
        <v>373973.50999999995</v>
      </c>
      <c r="P208" s="5">
        <v>370570.63999999996</v>
      </c>
      <c r="Q208" s="42">
        <f t="shared" si="30"/>
        <v>0.99090077262424281</v>
      </c>
      <c r="R208" s="4">
        <v>0</v>
      </c>
      <c r="S208" s="43">
        <f t="shared" si="31"/>
        <v>0</v>
      </c>
      <c r="T208" s="6">
        <v>50250</v>
      </c>
      <c r="U208" s="5">
        <v>167000</v>
      </c>
      <c r="V208" s="27">
        <v>8</v>
      </c>
      <c r="W208" s="14">
        <v>0</v>
      </c>
      <c r="X208" s="14">
        <v>0</v>
      </c>
      <c r="Y208" s="7">
        <v>7495.1249999999991</v>
      </c>
      <c r="Z208" s="28">
        <v>2190.4625000000001</v>
      </c>
    </row>
    <row r="209" spans="1:26" x14ac:dyDescent="0.25">
      <c r="A209" s="22" t="str">
        <f t="shared" si="24"/>
        <v>EDUARDO ABEL CARBAJAL BALDERAS|2</v>
      </c>
      <c r="B209" s="8">
        <v>45260</v>
      </c>
      <c r="C209" s="40" t="str">
        <f t="shared" si="28"/>
        <v>11|2023</v>
      </c>
      <c r="D209" s="2" t="s">
        <v>97</v>
      </c>
      <c r="E209" s="23" t="s">
        <v>13</v>
      </c>
      <c r="F209" s="24">
        <v>34961</v>
      </c>
      <c r="G209" s="17" t="s">
        <v>72</v>
      </c>
      <c r="H209" s="25">
        <v>45177</v>
      </c>
      <c r="I209" s="29">
        <f t="shared" si="25"/>
        <v>83</v>
      </c>
      <c r="J209" s="44">
        <f t="shared" si="29"/>
        <v>2</v>
      </c>
      <c r="K209" s="29" t="str">
        <f>VLOOKUP(I209,Etiquetas!B:C,2)</f>
        <v>&lt; 3 Meses</v>
      </c>
      <c r="L209" s="41">
        <f t="shared" si="26"/>
        <v>0</v>
      </c>
      <c r="M209" s="41">
        <f t="shared" si="27"/>
        <v>2</v>
      </c>
      <c r="N209" s="26">
        <v>781614.94000000018</v>
      </c>
      <c r="O209" s="5">
        <v>932970.56000000017</v>
      </c>
      <c r="P209" s="5">
        <v>932970.56000000017</v>
      </c>
      <c r="Q209" s="42">
        <f t="shared" si="30"/>
        <v>1</v>
      </c>
      <c r="R209" s="4">
        <v>0</v>
      </c>
      <c r="S209" s="43">
        <f t="shared" si="31"/>
        <v>0</v>
      </c>
      <c r="T209" s="6"/>
      <c r="U209" s="5">
        <v>401000.58000000013</v>
      </c>
      <c r="V209" s="27">
        <v>6</v>
      </c>
      <c r="W209" s="14">
        <v>0</v>
      </c>
      <c r="X209" s="14">
        <v>0</v>
      </c>
      <c r="Y209" s="7">
        <v>10902.65</v>
      </c>
      <c r="Z209" s="28">
        <v>3908.6374999999998</v>
      </c>
    </row>
    <row r="210" spans="1:26" x14ac:dyDescent="0.25">
      <c r="A210" s="22" t="str">
        <f t="shared" si="24"/>
        <v>RAUL RODRIGUEZ PEREZ|1</v>
      </c>
      <c r="B210" s="8">
        <v>45260</v>
      </c>
      <c r="C210" s="40" t="str">
        <f t="shared" si="28"/>
        <v>11|2023</v>
      </c>
      <c r="D210" s="2" t="s">
        <v>97</v>
      </c>
      <c r="E210" s="23" t="s">
        <v>13</v>
      </c>
      <c r="F210" s="24">
        <v>35841</v>
      </c>
      <c r="G210" s="17" t="s">
        <v>81</v>
      </c>
      <c r="H210" s="25">
        <v>45217</v>
      </c>
      <c r="I210" s="29">
        <f t="shared" si="25"/>
        <v>43</v>
      </c>
      <c r="J210" s="44">
        <f t="shared" si="29"/>
        <v>1</v>
      </c>
      <c r="K210" s="29" t="str">
        <f>VLOOKUP(I210,Etiquetas!B:C,2)</f>
        <v>&lt; 3 Meses</v>
      </c>
      <c r="L210" s="41">
        <f t="shared" si="26"/>
        <v>0</v>
      </c>
      <c r="M210" s="41">
        <f t="shared" si="27"/>
        <v>1</v>
      </c>
      <c r="N210" s="26">
        <v>776138.55</v>
      </c>
      <c r="O210" s="5">
        <v>878181.5199999999</v>
      </c>
      <c r="P210" s="5">
        <v>878181.5199999999</v>
      </c>
      <c r="Q210" s="42">
        <f t="shared" si="30"/>
        <v>1</v>
      </c>
      <c r="R210" s="4">
        <v>0</v>
      </c>
      <c r="S210" s="43">
        <f t="shared" si="31"/>
        <v>0</v>
      </c>
      <c r="T210" s="6">
        <v>77760</v>
      </c>
      <c r="U210" s="5">
        <v>400500.18999999989</v>
      </c>
      <c r="V210" s="27">
        <v>21</v>
      </c>
      <c r="W210" s="14">
        <v>0</v>
      </c>
      <c r="X210" s="14">
        <v>0</v>
      </c>
      <c r="Y210" s="7">
        <v>8973.07</v>
      </c>
      <c r="Z210" s="28">
        <v>5056.9750000000004</v>
      </c>
    </row>
    <row r="211" spans="1:26" x14ac:dyDescent="0.25">
      <c r="A211" s="22" t="str">
        <f t="shared" si="24"/>
        <v>PAOLA GRISELL ROMERO SANCHEZ|0</v>
      </c>
      <c r="B211" s="8">
        <v>45260</v>
      </c>
      <c r="C211" s="40" t="str">
        <f t="shared" si="28"/>
        <v>11|2023</v>
      </c>
      <c r="D211" s="2" t="s">
        <v>97</v>
      </c>
      <c r="E211" s="23" t="s">
        <v>13</v>
      </c>
      <c r="F211" s="24">
        <v>36252</v>
      </c>
      <c r="G211" s="17" t="s">
        <v>100</v>
      </c>
      <c r="H211" s="25">
        <v>45238</v>
      </c>
      <c r="I211" s="29">
        <f t="shared" si="25"/>
        <v>22</v>
      </c>
      <c r="J211" s="44">
        <f t="shared" si="29"/>
        <v>0</v>
      </c>
      <c r="K211" s="29" t="str">
        <f>VLOOKUP(I211,Etiquetas!B:C,2)</f>
        <v>&lt; 3 Meses</v>
      </c>
      <c r="L211" s="41">
        <f t="shared" si="26"/>
        <v>0</v>
      </c>
      <c r="M211" s="41">
        <f t="shared" si="27"/>
        <v>0</v>
      </c>
      <c r="N211" s="26">
        <v>905529.27999999991</v>
      </c>
      <c r="O211" s="5">
        <v>989465.56000000017</v>
      </c>
      <c r="P211" s="5">
        <v>989465.56000000017</v>
      </c>
      <c r="Q211" s="42">
        <f t="shared" si="30"/>
        <v>1</v>
      </c>
      <c r="R211" s="4">
        <v>0</v>
      </c>
      <c r="S211" s="43">
        <f t="shared" si="31"/>
        <v>0</v>
      </c>
      <c r="T211" s="6"/>
      <c r="U211" s="5">
        <v>312500.77</v>
      </c>
      <c r="V211" s="27">
        <v>9</v>
      </c>
      <c r="W211" s="14">
        <v>0</v>
      </c>
      <c r="X211" s="14">
        <v>0</v>
      </c>
      <c r="Y211" s="7">
        <v>10987.65</v>
      </c>
      <c r="Z211" s="28">
        <v>3749.3199999999997</v>
      </c>
    </row>
    <row r="212" spans="1:26" x14ac:dyDescent="0.25">
      <c r="A212" s="22" t="str">
        <f t="shared" si="24"/>
        <v>ISABEL MONSERRAT RAZO MENDEZ|29</v>
      </c>
      <c r="B212" s="8">
        <v>45260</v>
      </c>
      <c r="C212" s="40" t="str">
        <f t="shared" si="28"/>
        <v>11|2023</v>
      </c>
      <c r="D212" s="2" t="s">
        <v>97</v>
      </c>
      <c r="E212" s="23" t="s">
        <v>64</v>
      </c>
      <c r="F212" s="24">
        <v>2376</v>
      </c>
      <c r="G212" s="17" t="s">
        <v>65</v>
      </c>
      <c r="H212" s="25">
        <v>44385</v>
      </c>
      <c r="I212" s="29">
        <f t="shared" si="25"/>
        <v>875</v>
      </c>
      <c r="J212" s="44">
        <f t="shared" si="29"/>
        <v>29</v>
      </c>
      <c r="K212" s="29" t="str">
        <f>VLOOKUP(I212,Etiquetas!B:C,2)</f>
        <v>2 a 2.5 años</v>
      </c>
      <c r="L212" s="41">
        <f t="shared" si="26"/>
        <v>25</v>
      </c>
      <c r="M212" s="41">
        <f t="shared" si="27"/>
        <v>29</v>
      </c>
      <c r="N212" s="26"/>
      <c r="O212" s="5"/>
      <c r="P212" s="5"/>
      <c r="Q212" s="42"/>
      <c r="R212" s="4">
        <v>0</v>
      </c>
      <c r="S212" s="43">
        <f t="shared" si="31"/>
        <v>0</v>
      </c>
      <c r="T212" s="6"/>
      <c r="U212" s="5">
        <v>0</v>
      </c>
      <c r="V212" s="27">
        <v>0</v>
      </c>
      <c r="W212" s="14">
        <v>0</v>
      </c>
      <c r="X212" s="14">
        <v>0</v>
      </c>
      <c r="Y212" s="7">
        <v>8111</v>
      </c>
      <c r="Z212" s="28">
        <v>500</v>
      </c>
    </row>
    <row r="213" spans="1:26" x14ac:dyDescent="0.25">
      <c r="A213" s="22" t="str">
        <f t="shared" si="24"/>
        <v>MONSERRAT DE LA CRUZ MARTINEZ ALVARADO|12</v>
      </c>
      <c r="B213" s="8">
        <v>45260</v>
      </c>
      <c r="C213" s="40" t="str">
        <f t="shared" si="28"/>
        <v>11|2023</v>
      </c>
      <c r="D213" s="2" t="s">
        <v>97</v>
      </c>
      <c r="E213" s="23" t="s">
        <v>64</v>
      </c>
      <c r="F213" s="24">
        <v>26859</v>
      </c>
      <c r="G213" s="17" t="s">
        <v>66</v>
      </c>
      <c r="H213" s="25">
        <v>44881</v>
      </c>
      <c r="I213" s="29">
        <f t="shared" si="25"/>
        <v>379</v>
      </c>
      <c r="J213" s="44">
        <f t="shared" si="29"/>
        <v>12</v>
      </c>
      <c r="K213" s="29" t="str">
        <f>VLOOKUP(I213,Etiquetas!B:C,2)</f>
        <v>1 a 1.5 años</v>
      </c>
      <c r="L213" s="41">
        <f t="shared" si="26"/>
        <v>8</v>
      </c>
      <c r="M213" s="41">
        <f t="shared" si="27"/>
        <v>12</v>
      </c>
      <c r="N213" s="26">
        <v>576343.26</v>
      </c>
      <c r="O213" s="5">
        <v>871219.1100000001</v>
      </c>
      <c r="P213" s="5">
        <v>699396.86</v>
      </c>
      <c r="Q213" s="42">
        <f t="shared" si="30"/>
        <v>0.80277952121596585</v>
      </c>
      <c r="R213" s="4">
        <v>1942</v>
      </c>
      <c r="S213" s="43">
        <f t="shared" si="31"/>
        <v>2.2290603795410316E-3</v>
      </c>
      <c r="T213" s="6">
        <v>602717.68119999999</v>
      </c>
      <c r="U213" s="5">
        <v>492998.38999999996</v>
      </c>
      <c r="V213" s="27">
        <v>41</v>
      </c>
      <c r="W213" s="14">
        <v>56</v>
      </c>
      <c r="X213" s="14">
        <v>18</v>
      </c>
      <c r="Y213" s="7">
        <v>19433.5</v>
      </c>
      <c r="Z213" s="28">
        <v>0</v>
      </c>
    </row>
    <row r="214" spans="1:26" x14ac:dyDescent="0.25">
      <c r="A214" s="22" t="str">
        <f t="shared" si="24"/>
        <v>JULIO CESAR GONZALEZ ESPINOZA|3</v>
      </c>
      <c r="B214" s="8">
        <v>45260</v>
      </c>
      <c r="C214" s="40" t="str">
        <f t="shared" si="28"/>
        <v>11|2023</v>
      </c>
      <c r="D214" s="2" t="s">
        <v>97</v>
      </c>
      <c r="E214" s="23" t="s">
        <v>64</v>
      </c>
      <c r="F214" s="24">
        <v>33951</v>
      </c>
      <c r="G214" s="17" t="s">
        <v>67</v>
      </c>
      <c r="H214" s="25">
        <v>45145</v>
      </c>
      <c r="I214" s="29">
        <f t="shared" si="25"/>
        <v>115</v>
      </c>
      <c r="J214" s="44">
        <f t="shared" si="29"/>
        <v>3</v>
      </c>
      <c r="K214" s="29" t="str">
        <f>VLOOKUP(I214,Etiquetas!B:C,2)</f>
        <v>3 a 6 Meses</v>
      </c>
      <c r="L214" s="41">
        <f t="shared" si="26"/>
        <v>0</v>
      </c>
      <c r="M214" s="41">
        <f t="shared" si="27"/>
        <v>3</v>
      </c>
      <c r="N214" s="26">
        <v>440566.51</v>
      </c>
      <c r="O214" s="5">
        <v>344716.83</v>
      </c>
      <c r="P214" s="5">
        <v>316486.40999999997</v>
      </c>
      <c r="Q214" s="42">
        <f t="shared" si="30"/>
        <v>0.91810547805281206</v>
      </c>
      <c r="R214" s="4">
        <v>0</v>
      </c>
      <c r="S214" s="43">
        <f t="shared" si="31"/>
        <v>0</v>
      </c>
      <c r="T214" s="6">
        <v>291600.25199999998</v>
      </c>
      <c r="U214" s="5">
        <v>108499.58</v>
      </c>
      <c r="V214" s="27">
        <v>2</v>
      </c>
      <c r="W214" s="14">
        <v>0</v>
      </c>
      <c r="X214" s="14">
        <v>0</v>
      </c>
      <c r="Y214" s="7">
        <v>10641</v>
      </c>
      <c r="Z214" s="28">
        <v>125.16650000000016</v>
      </c>
    </row>
    <row r="215" spans="1:26" x14ac:dyDescent="0.25">
      <c r="A215" s="22" t="str">
        <f t="shared" si="24"/>
        <v>JULLIET MONTILLO GANG|1</v>
      </c>
      <c r="B215" s="8">
        <v>45260</v>
      </c>
      <c r="C215" s="40" t="str">
        <f t="shared" si="28"/>
        <v>11|2023</v>
      </c>
      <c r="D215" s="2" t="s">
        <v>97</v>
      </c>
      <c r="E215" s="23" t="s">
        <v>64</v>
      </c>
      <c r="F215" s="24">
        <v>35610</v>
      </c>
      <c r="G215" s="17" t="s">
        <v>88</v>
      </c>
      <c r="H215" s="25">
        <v>45208</v>
      </c>
      <c r="I215" s="29">
        <f t="shared" si="25"/>
        <v>52</v>
      </c>
      <c r="J215" s="44">
        <f t="shared" si="29"/>
        <v>1</v>
      </c>
      <c r="K215" s="29" t="str">
        <f>VLOOKUP(I215,Etiquetas!B:C,2)</f>
        <v>&lt; 3 Meses</v>
      </c>
      <c r="L215" s="41">
        <f t="shared" si="26"/>
        <v>0</v>
      </c>
      <c r="M215" s="41">
        <f t="shared" si="27"/>
        <v>1</v>
      </c>
      <c r="N215" s="26">
        <v>120712.59</v>
      </c>
      <c r="O215" s="5">
        <v>186659.94999999998</v>
      </c>
      <c r="P215" s="5">
        <v>186659.94999999998</v>
      </c>
      <c r="Q215" s="42">
        <f t="shared" si="30"/>
        <v>1</v>
      </c>
      <c r="R215" s="4">
        <v>0</v>
      </c>
      <c r="S215" s="43">
        <f t="shared" si="31"/>
        <v>0</v>
      </c>
      <c r="T215" s="6">
        <v>98125</v>
      </c>
      <c r="U215" s="5">
        <v>105999.51000000001</v>
      </c>
      <c r="V215" s="27">
        <v>37</v>
      </c>
      <c r="W215" s="14">
        <v>0</v>
      </c>
      <c r="X215" s="14">
        <v>0</v>
      </c>
      <c r="Y215" s="7">
        <v>7615.8749999999991</v>
      </c>
      <c r="Z215" s="28">
        <v>2000</v>
      </c>
    </row>
    <row r="216" spans="1:26" x14ac:dyDescent="0.25">
      <c r="A216" s="22" t="str">
        <f t="shared" si="24"/>
        <v>JULIAN MARTINEZ CORTES|25</v>
      </c>
      <c r="B216" s="8">
        <v>45260</v>
      </c>
      <c r="C216" s="40" t="str">
        <f t="shared" si="28"/>
        <v>11|2023</v>
      </c>
      <c r="D216" s="2" t="s">
        <v>97</v>
      </c>
      <c r="E216" s="23" t="s">
        <v>46</v>
      </c>
      <c r="F216" s="24">
        <v>17299</v>
      </c>
      <c r="G216" s="17" t="s">
        <v>47</v>
      </c>
      <c r="H216" s="25">
        <v>44510</v>
      </c>
      <c r="I216" s="29">
        <f t="shared" si="25"/>
        <v>750</v>
      </c>
      <c r="J216" s="44">
        <f t="shared" si="29"/>
        <v>25</v>
      </c>
      <c r="K216" s="29" t="str">
        <f>VLOOKUP(I216,Etiquetas!B:C,2)</f>
        <v>2 a 2.5 años</v>
      </c>
      <c r="L216" s="41">
        <f t="shared" si="26"/>
        <v>20</v>
      </c>
      <c r="M216" s="41">
        <f t="shared" si="27"/>
        <v>25</v>
      </c>
      <c r="N216" s="26">
        <v>604773.24</v>
      </c>
      <c r="O216" s="5">
        <v>596836.19000000006</v>
      </c>
      <c r="P216" s="5">
        <v>525160.30000000005</v>
      </c>
      <c r="Q216" s="42">
        <f t="shared" si="30"/>
        <v>0.87990693057671321</v>
      </c>
      <c r="R216" s="4">
        <v>0</v>
      </c>
      <c r="S216" s="43">
        <f t="shared" si="31"/>
        <v>0</v>
      </c>
      <c r="T216" s="6">
        <v>340954.71224999998</v>
      </c>
      <c r="U216" s="5">
        <v>245999.90999999997</v>
      </c>
      <c r="V216" s="27">
        <v>10</v>
      </c>
      <c r="W216" s="14">
        <v>23</v>
      </c>
      <c r="X216" s="14">
        <v>5</v>
      </c>
      <c r="Y216" s="7">
        <v>10573</v>
      </c>
      <c r="Z216" s="28">
        <v>0</v>
      </c>
    </row>
    <row r="217" spans="1:26" x14ac:dyDescent="0.25">
      <c r="A217" s="22" t="str">
        <f t="shared" si="24"/>
        <v>JESSICA MARIN DURON|9</v>
      </c>
      <c r="B217" s="8">
        <v>45260</v>
      </c>
      <c r="C217" s="40" t="str">
        <f t="shared" si="28"/>
        <v>11|2023</v>
      </c>
      <c r="D217" s="2" t="s">
        <v>97</v>
      </c>
      <c r="E217" s="23" t="s">
        <v>46</v>
      </c>
      <c r="F217" s="24">
        <v>29508</v>
      </c>
      <c r="G217" s="17" t="s">
        <v>48</v>
      </c>
      <c r="H217" s="25">
        <v>44987</v>
      </c>
      <c r="I217" s="29">
        <f t="shared" si="25"/>
        <v>273</v>
      </c>
      <c r="J217" s="44">
        <f t="shared" si="29"/>
        <v>9</v>
      </c>
      <c r="K217" s="29" t="str">
        <f>VLOOKUP(I217,Etiquetas!B:C,2)</f>
        <v>6 a 12 Meses</v>
      </c>
      <c r="L217" s="41">
        <f t="shared" si="26"/>
        <v>5</v>
      </c>
      <c r="M217" s="41">
        <f t="shared" si="27"/>
        <v>9</v>
      </c>
      <c r="N217" s="26">
        <v>878059.23</v>
      </c>
      <c r="O217" s="5">
        <v>717913.44</v>
      </c>
      <c r="P217" s="5">
        <v>595792.72</v>
      </c>
      <c r="Q217" s="42">
        <f t="shared" si="30"/>
        <v>0.82989492437974144</v>
      </c>
      <c r="R217" s="4">
        <v>0</v>
      </c>
      <c r="S217" s="43">
        <f t="shared" si="31"/>
        <v>0</v>
      </c>
      <c r="T217" s="6">
        <v>219300.024</v>
      </c>
      <c r="U217" s="5">
        <v>151000.03000000003</v>
      </c>
      <c r="V217" s="27">
        <v>0</v>
      </c>
      <c r="W217" s="14">
        <v>1</v>
      </c>
      <c r="X217" s="14">
        <v>0</v>
      </c>
      <c r="Y217" s="7">
        <v>10033.5</v>
      </c>
      <c r="Z217" s="28">
        <v>0</v>
      </c>
    </row>
    <row r="218" spans="1:26" x14ac:dyDescent="0.25">
      <c r="A218" s="22" t="str">
        <f t="shared" si="24"/>
        <v>BRAULIO GUZMAN JIMENEZ|7</v>
      </c>
      <c r="B218" s="8">
        <v>45260</v>
      </c>
      <c r="C218" s="40" t="str">
        <f t="shared" si="28"/>
        <v>11|2023</v>
      </c>
      <c r="D218" s="2" t="s">
        <v>97</v>
      </c>
      <c r="E218" s="23" t="s">
        <v>22</v>
      </c>
      <c r="F218" s="24">
        <v>31037</v>
      </c>
      <c r="G218" s="17" t="s">
        <v>24</v>
      </c>
      <c r="H218" s="25">
        <v>45040</v>
      </c>
      <c r="I218" s="29">
        <f t="shared" si="25"/>
        <v>220</v>
      </c>
      <c r="J218" s="44">
        <f t="shared" si="29"/>
        <v>7</v>
      </c>
      <c r="K218" s="29" t="str">
        <f>VLOOKUP(I218,Etiquetas!B:C,2)</f>
        <v>6 a 12 Meses</v>
      </c>
      <c r="L218" s="41">
        <f t="shared" si="26"/>
        <v>3</v>
      </c>
      <c r="M218" s="41">
        <f t="shared" si="27"/>
        <v>7</v>
      </c>
      <c r="N218" s="26">
        <v>474371.97999999992</v>
      </c>
      <c r="O218" s="5">
        <v>546731.31000000006</v>
      </c>
      <c r="P218" s="5">
        <v>493925.99</v>
      </c>
      <c r="Q218" s="42">
        <f t="shared" si="30"/>
        <v>0.90341632345877532</v>
      </c>
      <c r="R218" s="4">
        <v>0</v>
      </c>
      <c r="S218" s="43">
        <f t="shared" si="31"/>
        <v>0</v>
      </c>
      <c r="T218" s="6">
        <v>495224.9084500001</v>
      </c>
      <c r="U218" s="5">
        <v>239500.13000000009</v>
      </c>
      <c r="V218" s="27">
        <v>2</v>
      </c>
      <c r="W218" s="14">
        <v>27</v>
      </c>
      <c r="X218" s="14">
        <v>20</v>
      </c>
      <c r="Y218" s="7">
        <v>10529.5</v>
      </c>
      <c r="Z218" s="28">
        <v>0</v>
      </c>
    </row>
    <row r="219" spans="1:26" x14ac:dyDescent="0.25">
      <c r="A219" s="22" t="str">
        <f t="shared" si="24"/>
        <v>JENIFER QUETZALLI AVILA REMOLINO|7</v>
      </c>
      <c r="B219" s="8">
        <v>45260</v>
      </c>
      <c r="C219" s="40" t="str">
        <f t="shared" si="28"/>
        <v>11|2023</v>
      </c>
      <c r="D219" s="2" t="s">
        <v>97</v>
      </c>
      <c r="E219" s="23" t="s">
        <v>22</v>
      </c>
      <c r="F219" s="24">
        <v>31036</v>
      </c>
      <c r="G219" s="17" t="s">
        <v>101</v>
      </c>
      <c r="H219" s="25">
        <v>45040</v>
      </c>
      <c r="I219" s="29">
        <f t="shared" si="25"/>
        <v>220</v>
      </c>
      <c r="J219" s="44">
        <f t="shared" si="29"/>
        <v>7</v>
      </c>
      <c r="K219" s="29" t="str">
        <f>VLOOKUP(I219,Etiquetas!B:C,2)</f>
        <v>6 a 12 Meses</v>
      </c>
      <c r="L219" s="41">
        <f t="shared" si="26"/>
        <v>7</v>
      </c>
      <c r="M219" s="41">
        <f t="shared" si="27"/>
        <v>7</v>
      </c>
      <c r="N219" s="26">
        <v>717936.73</v>
      </c>
      <c r="O219" s="5">
        <v>577314.51</v>
      </c>
      <c r="P219" s="5">
        <v>552347.63</v>
      </c>
      <c r="Q219" s="42">
        <f t="shared" si="30"/>
        <v>0.95675341678143511</v>
      </c>
      <c r="R219" s="4">
        <v>0</v>
      </c>
      <c r="S219" s="43">
        <f t="shared" si="31"/>
        <v>0</v>
      </c>
      <c r="T219" s="6"/>
      <c r="U219" s="5">
        <v>125500.05999999995</v>
      </c>
      <c r="V219" s="27">
        <v>6</v>
      </c>
      <c r="W219" s="14">
        <v>24</v>
      </c>
      <c r="X219" s="14">
        <v>19</v>
      </c>
      <c r="Y219" s="7">
        <v>8951</v>
      </c>
      <c r="Z219" s="28">
        <v>926.72268800000006</v>
      </c>
    </row>
    <row r="220" spans="1:26" x14ac:dyDescent="0.25">
      <c r="A220" s="22" t="str">
        <f t="shared" si="24"/>
        <v>MARI JOSE TLAPANCO SANTIAGO|1</v>
      </c>
      <c r="B220" s="8">
        <v>45260</v>
      </c>
      <c r="C220" s="40" t="str">
        <f t="shared" si="28"/>
        <v>11|2023</v>
      </c>
      <c r="D220" s="2" t="s">
        <v>97</v>
      </c>
      <c r="E220" s="23" t="s">
        <v>22</v>
      </c>
      <c r="F220" s="24">
        <v>35878</v>
      </c>
      <c r="G220" s="17" t="s">
        <v>84</v>
      </c>
      <c r="H220" s="25">
        <v>45218</v>
      </c>
      <c r="I220" s="29">
        <f t="shared" si="25"/>
        <v>42</v>
      </c>
      <c r="J220" s="44">
        <f t="shared" si="29"/>
        <v>1</v>
      </c>
      <c r="K220" s="29" t="str">
        <f>VLOOKUP(I220,Etiquetas!B:C,2)</f>
        <v>&lt; 3 Meses</v>
      </c>
      <c r="L220" s="41">
        <f t="shared" si="26"/>
        <v>0</v>
      </c>
      <c r="M220" s="41">
        <f t="shared" si="27"/>
        <v>1</v>
      </c>
      <c r="N220" s="26">
        <v>101846.49</v>
      </c>
      <c r="O220" s="5">
        <v>192565.06999999998</v>
      </c>
      <c r="P220" s="5">
        <v>192565.06999999998</v>
      </c>
      <c r="Q220" s="42">
        <f t="shared" si="30"/>
        <v>1</v>
      </c>
      <c r="R220" s="4">
        <v>0</v>
      </c>
      <c r="S220" s="43">
        <f t="shared" si="31"/>
        <v>0</v>
      </c>
      <c r="T220" s="6">
        <v>77290</v>
      </c>
      <c r="U220" s="5">
        <v>126000.13</v>
      </c>
      <c r="V220" s="27">
        <v>17</v>
      </c>
      <c r="W220" s="14">
        <v>0</v>
      </c>
      <c r="X220" s="14">
        <v>0</v>
      </c>
      <c r="Y220" s="7">
        <v>7182.49</v>
      </c>
      <c r="Z220" s="28">
        <v>2194.25</v>
      </c>
    </row>
    <row r="221" spans="1:26" x14ac:dyDescent="0.25">
      <c r="A221" s="22" t="str">
        <f t="shared" si="24"/>
        <v>MARCELO TZITZIHUA TZITZIHUA|14</v>
      </c>
      <c r="B221" s="8">
        <v>45260</v>
      </c>
      <c r="C221" s="40" t="str">
        <f t="shared" si="28"/>
        <v>11|2023</v>
      </c>
      <c r="D221" s="2" t="s">
        <v>97</v>
      </c>
      <c r="E221" s="23" t="s">
        <v>58</v>
      </c>
      <c r="F221" s="24">
        <v>25225</v>
      </c>
      <c r="G221" s="17" t="s">
        <v>59</v>
      </c>
      <c r="H221" s="25">
        <v>44823</v>
      </c>
      <c r="I221" s="29">
        <f t="shared" si="25"/>
        <v>437</v>
      </c>
      <c r="J221" s="44">
        <f t="shared" si="29"/>
        <v>14</v>
      </c>
      <c r="K221" s="29" t="str">
        <f>VLOOKUP(I221,Etiquetas!B:C,2)</f>
        <v>1 a 1.5 años</v>
      </c>
      <c r="L221" s="41">
        <f t="shared" si="26"/>
        <v>10</v>
      </c>
      <c r="M221" s="41">
        <f t="shared" si="27"/>
        <v>14</v>
      </c>
      <c r="N221" s="26">
        <v>1076910.8900000001</v>
      </c>
      <c r="O221" s="5">
        <v>977349.49000000011</v>
      </c>
      <c r="P221" s="5">
        <v>638575.75000000012</v>
      </c>
      <c r="Q221" s="42">
        <f t="shared" si="30"/>
        <v>0.65337502759632082</v>
      </c>
      <c r="R221" s="4">
        <v>75052.290000000008</v>
      </c>
      <c r="S221" s="43">
        <f t="shared" si="31"/>
        <v>7.6791660268835868E-2</v>
      </c>
      <c r="T221" s="6">
        <v>743634.9328500001</v>
      </c>
      <c r="U221" s="5">
        <v>156000.40999999995</v>
      </c>
      <c r="V221" s="27">
        <v>0</v>
      </c>
      <c r="W221" s="14">
        <v>72</v>
      </c>
      <c r="X221" s="14">
        <v>14</v>
      </c>
      <c r="Y221" s="7">
        <v>15764</v>
      </c>
      <c r="Z221" s="28">
        <v>0</v>
      </c>
    </row>
    <row r="222" spans="1:26" x14ac:dyDescent="0.25">
      <c r="A222" s="22" t="str">
        <f t="shared" si="24"/>
        <v>FERNANDO MANUEL VELASCO RIVERA|12</v>
      </c>
      <c r="B222" s="8">
        <v>45260</v>
      </c>
      <c r="C222" s="40" t="str">
        <f t="shared" si="28"/>
        <v>11|2023</v>
      </c>
      <c r="D222" s="2" t="s">
        <v>97</v>
      </c>
      <c r="E222" s="23" t="s">
        <v>58</v>
      </c>
      <c r="F222" s="24">
        <v>27027</v>
      </c>
      <c r="G222" s="17" t="s">
        <v>60</v>
      </c>
      <c r="H222" s="25">
        <v>44887</v>
      </c>
      <c r="I222" s="29">
        <f t="shared" si="25"/>
        <v>373</v>
      </c>
      <c r="J222" s="44">
        <f t="shared" si="29"/>
        <v>12</v>
      </c>
      <c r="K222" s="29" t="str">
        <f>VLOOKUP(I222,Etiquetas!B:C,2)</f>
        <v>1 a 1.5 años</v>
      </c>
      <c r="L222" s="41">
        <f t="shared" si="26"/>
        <v>8</v>
      </c>
      <c r="M222" s="41">
        <f t="shared" si="27"/>
        <v>12</v>
      </c>
      <c r="N222" s="26">
        <v>1130578.3199999998</v>
      </c>
      <c r="O222" s="5">
        <v>1157538.5099999998</v>
      </c>
      <c r="P222" s="5">
        <v>878670.43</v>
      </c>
      <c r="Q222" s="42">
        <f t="shared" si="30"/>
        <v>0.75908526792771691</v>
      </c>
      <c r="R222" s="4">
        <v>61142.799999999996</v>
      </c>
      <c r="S222" s="43">
        <f t="shared" si="31"/>
        <v>5.2821395981028751E-2</v>
      </c>
      <c r="T222" s="6">
        <v>587940.63434999995</v>
      </c>
      <c r="U222" s="5">
        <v>243501.64999999991</v>
      </c>
      <c r="V222" s="27">
        <v>0</v>
      </c>
      <c r="W222" s="14">
        <v>58</v>
      </c>
      <c r="X222" s="14">
        <v>20</v>
      </c>
      <c r="Y222" s="7">
        <v>17156.5</v>
      </c>
      <c r="Z222" s="28">
        <v>0</v>
      </c>
    </row>
    <row r="223" spans="1:26" x14ac:dyDescent="0.25">
      <c r="A223" s="22" t="str">
        <f t="shared" si="24"/>
        <v>JAEL BRAVO REYES|4</v>
      </c>
      <c r="B223" s="8">
        <v>45260</v>
      </c>
      <c r="C223" s="40" t="str">
        <f t="shared" si="28"/>
        <v>11|2023</v>
      </c>
      <c r="D223" s="2" t="s">
        <v>97</v>
      </c>
      <c r="E223" s="23" t="s">
        <v>58</v>
      </c>
      <c r="F223" s="24">
        <v>33874</v>
      </c>
      <c r="G223" s="17" t="s">
        <v>62</v>
      </c>
      <c r="H223" s="25">
        <v>45140</v>
      </c>
      <c r="I223" s="29">
        <f t="shared" si="25"/>
        <v>120</v>
      </c>
      <c r="J223" s="44">
        <f t="shared" si="29"/>
        <v>4</v>
      </c>
      <c r="K223" s="29" t="str">
        <f>VLOOKUP(I223,Etiquetas!B:C,2)</f>
        <v>3 a 6 Meses</v>
      </c>
      <c r="L223" s="41">
        <f t="shared" si="26"/>
        <v>0</v>
      </c>
      <c r="M223" s="41">
        <f t="shared" si="27"/>
        <v>4</v>
      </c>
      <c r="N223" s="26">
        <v>427045.88</v>
      </c>
      <c r="O223" s="5">
        <v>444308.31000000006</v>
      </c>
      <c r="P223" s="5">
        <v>437056.76</v>
      </c>
      <c r="Q223" s="42">
        <f t="shared" si="30"/>
        <v>0.98367901334098373</v>
      </c>
      <c r="R223" s="4">
        <v>0</v>
      </c>
      <c r="S223" s="43">
        <f t="shared" si="31"/>
        <v>0</v>
      </c>
      <c r="T223" s="6">
        <v>250399.90649999998</v>
      </c>
      <c r="U223" s="5">
        <v>162499.90999999995</v>
      </c>
      <c r="V223" s="27">
        <v>14</v>
      </c>
      <c r="W223" s="14">
        <v>6</v>
      </c>
      <c r="X223" s="14">
        <v>6</v>
      </c>
      <c r="Y223" s="7">
        <v>10690</v>
      </c>
      <c r="Z223" s="28">
        <v>3203.9829999999997</v>
      </c>
    </row>
    <row r="224" spans="1:26" x14ac:dyDescent="0.25">
      <c r="A224" s="22" t="str">
        <f t="shared" si="24"/>
        <v>OLIVIA  LOPEZ HERNANDEZ|10</v>
      </c>
      <c r="B224" s="8">
        <v>45260</v>
      </c>
      <c r="C224" s="40" t="str">
        <f t="shared" si="28"/>
        <v>11|2023</v>
      </c>
      <c r="D224" s="2" t="s">
        <v>97</v>
      </c>
      <c r="E224" s="23" t="s">
        <v>30</v>
      </c>
      <c r="F224" s="24">
        <v>28375</v>
      </c>
      <c r="G224" s="17" t="s">
        <v>102</v>
      </c>
      <c r="H224" s="25">
        <v>44949</v>
      </c>
      <c r="I224" s="29">
        <f t="shared" si="25"/>
        <v>311</v>
      </c>
      <c r="J224" s="44">
        <f t="shared" si="29"/>
        <v>10</v>
      </c>
      <c r="K224" s="29" t="str">
        <f>VLOOKUP(I224,Etiquetas!B:C,2)</f>
        <v>6 a 12 Meses</v>
      </c>
      <c r="L224" s="41">
        <f t="shared" si="26"/>
        <v>10</v>
      </c>
      <c r="M224" s="41">
        <f t="shared" si="27"/>
        <v>10</v>
      </c>
      <c r="N224" s="26">
        <v>1311201.8799999999</v>
      </c>
      <c r="O224" s="5">
        <v>1468639.49</v>
      </c>
      <c r="P224" s="5">
        <v>1362376.8399999996</v>
      </c>
      <c r="Q224" s="42">
        <f t="shared" si="30"/>
        <v>0.92764551768930004</v>
      </c>
      <c r="R224" s="4">
        <v>14849.21</v>
      </c>
      <c r="S224" s="43">
        <f t="shared" si="31"/>
        <v>1.0110861175331734E-2</v>
      </c>
      <c r="T224" s="6"/>
      <c r="U224" s="5">
        <v>645001.05000000005</v>
      </c>
      <c r="V224" s="27">
        <v>5</v>
      </c>
      <c r="W224" s="14">
        <v>21</v>
      </c>
      <c r="X224" s="14">
        <v>16</v>
      </c>
      <c r="Y224" s="7">
        <v>16131</v>
      </c>
      <c r="Z224" s="28">
        <v>1418.5065049999996</v>
      </c>
    </row>
    <row r="225" spans="1:26" x14ac:dyDescent="0.25">
      <c r="A225" s="22" t="str">
        <f t="shared" si="24"/>
        <v>HECTOR CORONEL VENTURA|4</v>
      </c>
      <c r="B225" s="8">
        <v>45260</v>
      </c>
      <c r="C225" s="40" t="str">
        <f t="shared" si="28"/>
        <v>11|2023</v>
      </c>
      <c r="D225" s="2" t="s">
        <v>97</v>
      </c>
      <c r="E225" s="23" t="s">
        <v>30</v>
      </c>
      <c r="F225" s="24">
        <v>33499</v>
      </c>
      <c r="G225" s="17" t="s">
        <v>33</v>
      </c>
      <c r="H225" s="25">
        <v>45128</v>
      </c>
      <c r="I225" s="29">
        <f t="shared" si="25"/>
        <v>132</v>
      </c>
      <c r="J225" s="44">
        <f t="shared" si="29"/>
        <v>4</v>
      </c>
      <c r="K225" s="29" t="str">
        <f>VLOOKUP(I225,Etiquetas!B:C,2)</f>
        <v>3 a 6 Meses</v>
      </c>
      <c r="L225" s="41">
        <f t="shared" si="26"/>
        <v>0</v>
      </c>
      <c r="M225" s="41">
        <f t="shared" si="27"/>
        <v>4</v>
      </c>
      <c r="N225" s="26">
        <v>775926.45</v>
      </c>
      <c r="O225" s="5">
        <v>1487694.53</v>
      </c>
      <c r="P225" s="5">
        <v>1487694.53</v>
      </c>
      <c r="Q225" s="42">
        <f t="shared" si="30"/>
        <v>1</v>
      </c>
      <c r="R225" s="4">
        <v>0</v>
      </c>
      <c r="S225" s="43">
        <f t="shared" si="31"/>
        <v>0</v>
      </c>
      <c r="T225" s="6">
        <v>550520.15364999988</v>
      </c>
      <c r="U225" s="5">
        <v>1381001.0000000002</v>
      </c>
      <c r="V225" s="27">
        <v>5</v>
      </c>
      <c r="W225" s="14">
        <v>20</v>
      </c>
      <c r="X225" s="14">
        <v>16</v>
      </c>
      <c r="Y225" s="7">
        <v>13635.449999999999</v>
      </c>
      <c r="Z225" s="28">
        <v>8279.3249999999989</v>
      </c>
    </row>
    <row r="226" spans="1:26" x14ac:dyDescent="0.25">
      <c r="A226" s="22" t="str">
        <f t="shared" si="24"/>
        <v>MARIO GUILLERMO PEREZ MORALES|1</v>
      </c>
      <c r="B226" s="8">
        <v>45260</v>
      </c>
      <c r="C226" s="40" t="str">
        <f t="shared" si="28"/>
        <v>11|2023</v>
      </c>
      <c r="D226" s="2" t="s">
        <v>97</v>
      </c>
      <c r="E226" s="23" t="s">
        <v>30</v>
      </c>
      <c r="F226" s="24">
        <v>36071</v>
      </c>
      <c r="G226" s="17" t="s">
        <v>86</v>
      </c>
      <c r="H226" s="25">
        <v>45225</v>
      </c>
      <c r="I226" s="29">
        <f t="shared" si="25"/>
        <v>35</v>
      </c>
      <c r="J226" s="44">
        <f t="shared" si="29"/>
        <v>1</v>
      </c>
      <c r="K226" s="29" t="str">
        <f>VLOOKUP(I226,Etiquetas!B:C,2)</f>
        <v>&lt; 3 Meses</v>
      </c>
      <c r="L226" s="41">
        <f t="shared" si="26"/>
        <v>0</v>
      </c>
      <c r="M226" s="41">
        <f t="shared" si="27"/>
        <v>1</v>
      </c>
      <c r="N226" s="26">
        <v>0</v>
      </c>
      <c r="O226" s="5">
        <v>256000.39</v>
      </c>
      <c r="P226" s="5">
        <v>256000.39</v>
      </c>
      <c r="Q226" s="42">
        <f t="shared" si="30"/>
        <v>1</v>
      </c>
      <c r="R226" s="4">
        <v>0</v>
      </c>
      <c r="S226" s="43">
        <f t="shared" si="31"/>
        <v>0</v>
      </c>
      <c r="T226" s="6">
        <v>50250</v>
      </c>
      <c r="U226" s="5">
        <v>256000.38999999998</v>
      </c>
      <c r="V226" s="27">
        <v>30</v>
      </c>
      <c r="W226" s="14">
        <v>0</v>
      </c>
      <c r="X226" s="14">
        <v>0</v>
      </c>
      <c r="Y226" s="7">
        <v>7495.1249999999991</v>
      </c>
      <c r="Z226" s="28">
        <v>3679.9999999999995</v>
      </c>
    </row>
    <row r="227" spans="1:26" x14ac:dyDescent="0.25">
      <c r="H227" s="3"/>
      <c r="I227" s="3"/>
      <c r="J227" s="3"/>
      <c r="K227" s="3"/>
      <c r="L227" s="3"/>
      <c r="M227" s="3"/>
      <c r="N227" s="5"/>
      <c r="O227" s="5"/>
      <c r="P227" s="5"/>
      <c r="Q227" s="5"/>
      <c r="R227" s="5"/>
      <c r="S227" s="5"/>
      <c r="Y227" s="7"/>
      <c r="Z227" s="5"/>
    </row>
    <row r="228" spans="1:26" x14ac:dyDescent="0.25">
      <c r="H228" s="3"/>
      <c r="I228" s="3"/>
      <c r="J228" s="3"/>
      <c r="K228" s="3"/>
      <c r="L228" s="3"/>
      <c r="M228" s="3"/>
      <c r="N228" s="5"/>
      <c r="O228" s="5"/>
      <c r="P228" s="5"/>
      <c r="Q228" s="5"/>
      <c r="R228" s="5"/>
      <c r="S228" s="5"/>
      <c r="Y228" s="7"/>
      <c r="Z228" s="5"/>
    </row>
    <row r="229" spans="1:26" x14ac:dyDescent="0.25">
      <c r="H229" s="3"/>
      <c r="I229" s="3"/>
      <c r="J229" s="3"/>
      <c r="K229" s="3"/>
      <c r="L229" s="3"/>
      <c r="M229" s="3"/>
      <c r="N229" s="5"/>
      <c r="O229" s="5"/>
      <c r="P229" s="5"/>
      <c r="Q229" s="5"/>
      <c r="R229" s="5"/>
      <c r="S229" s="5"/>
      <c r="Y229" s="7"/>
      <c r="Z229" s="5"/>
    </row>
    <row r="230" spans="1:26" x14ac:dyDescent="0.25">
      <c r="H230" s="3"/>
      <c r="I230" s="3"/>
      <c r="J230" s="3"/>
      <c r="K230" s="3"/>
      <c r="L230" s="3"/>
      <c r="M230" s="3"/>
      <c r="N230" s="5"/>
      <c r="O230" s="5"/>
      <c r="P230" s="5"/>
      <c r="Q230" s="5"/>
      <c r="R230" s="5"/>
      <c r="S230" s="5"/>
      <c r="Y230" s="7"/>
      <c r="Z230" s="5"/>
    </row>
    <row r="231" spans="1:26" x14ac:dyDescent="0.25">
      <c r="H231" s="3"/>
      <c r="I231" s="3"/>
      <c r="J231" s="3"/>
      <c r="K231" s="3"/>
      <c r="L231" s="3"/>
      <c r="M231" s="3"/>
      <c r="N231" s="5"/>
      <c r="O231" s="5"/>
      <c r="P231" s="5"/>
      <c r="Q231" s="5"/>
      <c r="R231" s="5"/>
      <c r="S231" s="5"/>
      <c r="Y231" s="7"/>
      <c r="Z231" s="5"/>
    </row>
    <row r="232" spans="1:26" x14ac:dyDescent="0.25">
      <c r="H232" s="3"/>
      <c r="I232" s="3"/>
      <c r="J232" s="3"/>
      <c r="K232" s="3"/>
      <c r="L232" s="3"/>
      <c r="M232" s="3"/>
      <c r="N232" s="5"/>
      <c r="O232" s="5"/>
      <c r="P232" s="5"/>
      <c r="Q232" s="5"/>
      <c r="R232" s="5"/>
      <c r="S232" s="5"/>
      <c r="Y232" s="7"/>
      <c r="Z232" s="5"/>
    </row>
    <row r="233" spans="1:26" x14ac:dyDescent="0.25">
      <c r="H233" s="3"/>
      <c r="I233" s="3"/>
      <c r="J233" s="3"/>
      <c r="K233" s="3"/>
      <c r="L233" s="3"/>
      <c r="M233" s="3"/>
      <c r="N233" s="5"/>
      <c r="O233" s="5"/>
      <c r="P233" s="5"/>
      <c r="Q233" s="5"/>
      <c r="R233" s="5"/>
      <c r="S233" s="5"/>
      <c r="Y233" s="7"/>
      <c r="Z233" s="5"/>
    </row>
    <row r="234" spans="1:26" x14ac:dyDescent="0.25">
      <c r="H234" s="3"/>
      <c r="I234" s="3"/>
      <c r="J234" s="3"/>
      <c r="K234" s="3"/>
      <c r="L234" s="3"/>
      <c r="M234" s="3"/>
      <c r="N234" s="5"/>
      <c r="O234" s="5"/>
      <c r="P234" s="5"/>
      <c r="Q234" s="5"/>
      <c r="R234" s="5"/>
      <c r="S234" s="5"/>
      <c r="Y234" s="7"/>
      <c r="Z234" s="5"/>
    </row>
    <row r="235" spans="1:26" x14ac:dyDescent="0.25">
      <c r="H235" s="3"/>
      <c r="I235" s="3"/>
      <c r="J235" s="3"/>
      <c r="K235" s="3"/>
      <c r="L235" s="3"/>
      <c r="M235" s="3"/>
      <c r="N235" s="5"/>
      <c r="O235" s="5"/>
      <c r="P235" s="5"/>
      <c r="Q235" s="5"/>
      <c r="R235" s="5"/>
      <c r="S235" s="5"/>
      <c r="Y235" s="7"/>
      <c r="Z235" s="5"/>
    </row>
    <row r="236" spans="1:26" x14ac:dyDescent="0.25">
      <c r="H236" s="3"/>
      <c r="I236" s="3"/>
      <c r="J236" s="3"/>
      <c r="K236" s="3"/>
      <c r="L236" s="3"/>
      <c r="M236" s="3"/>
      <c r="N236" s="5"/>
      <c r="O236" s="5"/>
      <c r="P236" s="5"/>
      <c r="Q236" s="5"/>
      <c r="R236" s="5"/>
      <c r="S236" s="5"/>
      <c r="Y236" s="7"/>
      <c r="Z236" s="5"/>
    </row>
    <row r="237" spans="1:26" x14ac:dyDescent="0.25">
      <c r="H237" s="3"/>
      <c r="I237" s="3"/>
      <c r="J237" s="3"/>
      <c r="K237" s="3"/>
      <c r="L237" s="3"/>
      <c r="M237" s="3"/>
      <c r="N237" s="5"/>
      <c r="O237" s="5"/>
      <c r="P237" s="5"/>
      <c r="Q237" s="5"/>
      <c r="R237" s="5"/>
      <c r="S237" s="5"/>
      <c r="Y237" s="7"/>
      <c r="Z237" s="5"/>
    </row>
    <row r="238" spans="1:26" x14ac:dyDescent="0.25">
      <c r="H238" s="3"/>
      <c r="I238" s="3"/>
      <c r="J238" s="3"/>
      <c r="K238" s="3"/>
      <c r="L238" s="3"/>
      <c r="M238" s="3"/>
      <c r="N238" s="5"/>
      <c r="O238" s="5"/>
      <c r="P238" s="5"/>
      <c r="Q238" s="5"/>
      <c r="R238" s="5"/>
      <c r="S238" s="5"/>
      <c r="Y238" s="7"/>
      <c r="Z238" s="5"/>
    </row>
    <row r="239" spans="1:26" x14ac:dyDescent="0.25">
      <c r="H239" s="3"/>
      <c r="I239" s="3"/>
      <c r="J239" s="3"/>
      <c r="K239" s="3"/>
      <c r="L239" s="3"/>
      <c r="M239" s="3"/>
      <c r="N239" s="5"/>
      <c r="O239" s="5"/>
      <c r="P239" s="5"/>
      <c r="Q239" s="5"/>
      <c r="R239" s="5"/>
      <c r="S239" s="5"/>
      <c r="Y239" s="7"/>
      <c r="Z239" s="5"/>
    </row>
    <row r="240" spans="1:26" x14ac:dyDescent="0.25">
      <c r="H240" s="3"/>
      <c r="I240" s="3"/>
      <c r="J240" s="3"/>
      <c r="K240" s="3"/>
      <c r="L240" s="3"/>
      <c r="M240" s="3"/>
      <c r="N240" s="5"/>
      <c r="O240" s="5"/>
      <c r="P240" s="5"/>
      <c r="Q240" s="5"/>
      <c r="R240" s="5"/>
      <c r="S240" s="5"/>
      <c r="Y240" s="7"/>
      <c r="Z240" s="5"/>
    </row>
    <row r="241" spans="1:26" x14ac:dyDescent="0.25">
      <c r="H241" s="3"/>
      <c r="I241" s="3"/>
      <c r="J241" s="3"/>
      <c r="K241" s="3"/>
      <c r="L241" s="3"/>
      <c r="M241" s="3"/>
      <c r="N241" s="5"/>
      <c r="O241" s="5"/>
      <c r="P241" s="5"/>
      <c r="Q241" s="5"/>
      <c r="R241" s="5"/>
      <c r="S241" s="5"/>
      <c r="Y241" s="7"/>
      <c r="Z241" s="5"/>
    </row>
    <row r="242" spans="1:26" x14ac:dyDescent="0.25">
      <c r="H242" s="3"/>
      <c r="I242" s="3"/>
      <c r="J242" s="3"/>
      <c r="K242" s="3"/>
      <c r="L242" s="3"/>
      <c r="M242" s="3"/>
      <c r="N242" s="5"/>
      <c r="O242" s="5"/>
      <c r="P242" s="5"/>
      <c r="Q242" s="5"/>
      <c r="R242" s="5"/>
      <c r="S242" s="5"/>
      <c r="Y242" s="7"/>
      <c r="Z242" s="5"/>
    </row>
    <row r="243" spans="1:26" x14ac:dyDescent="0.25">
      <c r="H243" s="3"/>
      <c r="I243" s="3"/>
      <c r="J243" s="3"/>
      <c r="K243" s="3"/>
      <c r="L243" s="3"/>
      <c r="M243" s="3"/>
      <c r="N243" s="5"/>
      <c r="O243" s="5"/>
      <c r="P243" s="5"/>
      <c r="Q243" s="5"/>
      <c r="R243" s="5"/>
      <c r="S243" s="5"/>
      <c r="Y243" s="7"/>
      <c r="Z243" s="5"/>
    </row>
    <row r="244" spans="1:26" x14ac:dyDescent="0.25">
      <c r="H244" s="3"/>
      <c r="I244" s="3"/>
      <c r="J244" s="3"/>
      <c r="K244" s="3"/>
      <c r="L244" s="3"/>
      <c r="M244" s="3"/>
      <c r="N244" s="5"/>
      <c r="O244" s="5"/>
      <c r="P244" s="5"/>
      <c r="Q244" s="5"/>
      <c r="R244" s="5"/>
      <c r="S244" s="5"/>
      <c r="Y244" s="7"/>
      <c r="Z244" s="5"/>
    </row>
    <row r="245" spans="1:26" x14ac:dyDescent="0.25">
      <c r="H245" s="3"/>
      <c r="I245" s="3"/>
      <c r="J245" s="3"/>
      <c r="K245" s="3"/>
      <c r="L245" s="3"/>
      <c r="M245" s="3"/>
      <c r="N245" s="5"/>
      <c r="O245" s="5"/>
      <c r="P245" s="5"/>
      <c r="Q245" s="5"/>
      <c r="R245" s="5"/>
      <c r="S245" s="5"/>
      <c r="Y245" s="7"/>
      <c r="Z245" s="5"/>
    </row>
    <row r="246" spans="1:26" x14ac:dyDescent="0.25">
      <c r="H246" s="3"/>
      <c r="I246" s="3"/>
      <c r="J246" s="3"/>
      <c r="K246" s="3"/>
      <c r="L246" s="3"/>
      <c r="M246" s="3"/>
      <c r="N246" s="5"/>
      <c r="O246" s="5"/>
      <c r="P246" s="5"/>
      <c r="Q246" s="5"/>
      <c r="R246" s="5"/>
      <c r="S246" s="5"/>
      <c r="Y246" s="7"/>
      <c r="Z246" s="5"/>
    </row>
    <row r="247" spans="1:26" x14ac:dyDescent="0.25">
      <c r="H247" s="3"/>
      <c r="I247" s="3"/>
      <c r="J247" s="3"/>
      <c r="K247" s="3"/>
      <c r="L247" s="3"/>
      <c r="M247" s="3"/>
      <c r="N247" s="5"/>
      <c r="O247" s="5"/>
      <c r="P247" s="5"/>
      <c r="Q247" s="5"/>
      <c r="R247" s="5"/>
      <c r="S247" s="5"/>
      <c r="Y247" s="7"/>
      <c r="Z247" s="5"/>
    </row>
    <row r="248" spans="1:26" x14ac:dyDescent="0.25">
      <c r="H248" s="3"/>
      <c r="I248" s="3"/>
      <c r="J248" s="3"/>
      <c r="K248" s="3"/>
      <c r="L248" s="3"/>
      <c r="M248" s="3"/>
      <c r="N248" s="5"/>
      <c r="O248" s="5"/>
      <c r="P248" s="5"/>
      <c r="Q248" s="5"/>
      <c r="R248" s="5"/>
      <c r="S248" s="5"/>
      <c r="Y248" s="7"/>
      <c r="Z248" s="5"/>
    </row>
    <row r="249" spans="1:26" x14ac:dyDescent="0.25">
      <c r="H249" s="3"/>
      <c r="I249" s="3"/>
      <c r="J249" s="3"/>
      <c r="K249" s="3"/>
      <c r="L249" s="3"/>
      <c r="M249" s="3"/>
      <c r="N249" s="5"/>
      <c r="O249" s="5"/>
      <c r="P249" s="5"/>
      <c r="Q249" s="5"/>
      <c r="R249" s="5"/>
      <c r="S249" s="5"/>
      <c r="Y249" s="7"/>
      <c r="Z249" s="5"/>
    </row>
    <row r="250" spans="1:26" x14ac:dyDescent="0.25">
      <c r="H250" s="3"/>
      <c r="I250" s="3"/>
      <c r="J250" s="3"/>
      <c r="K250" s="3"/>
      <c r="L250" s="3"/>
      <c r="M250" s="3"/>
      <c r="N250" s="5"/>
      <c r="O250" s="5"/>
      <c r="P250" s="5"/>
      <c r="Q250" s="5"/>
      <c r="R250" s="5"/>
      <c r="S250" s="5"/>
      <c r="Y250" s="7"/>
      <c r="Z250" s="5"/>
    </row>
    <row r="251" spans="1:26" x14ac:dyDescent="0.25">
      <c r="H251" s="3"/>
      <c r="I251" s="3"/>
      <c r="J251" s="3"/>
      <c r="K251" s="3"/>
      <c r="L251" s="3"/>
      <c r="M251" s="3"/>
      <c r="N251" s="5"/>
      <c r="O251" s="5"/>
      <c r="P251" s="5"/>
      <c r="Q251" s="5"/>
      <c r="R251" s="5"/>
      <c r="S251" s="5"/>
      <c r="Y251" s="7"/>
      <c r="Z251" s="5"/>
    </row>
    <row r="252" spans="1:26" x14ac:dyDescent="0.25">
      <c r="H252" s="3"/>
      <c r="I252" s="3"/>
      <c r="J252" s="3"/>
      <c r="K252" s="3"/>
      <c r="L252" s="3"/>
      <c r="M252" s="3"/>
      <c r="N252" s="5"/>
      <c r="O252" s="5"/>
      <c r="P252" s="5"/>
      <c r="Q252" s="5"/>
      <c r="R252" s="5"/>
      <c r="S252" s="5"/>
      <c r="Y252" s="7"/>
      <c r="Z252" s="5"/>
    </row>
    <row r="253" spans="1:26" x14ac:dyDescent="0.25">
      <c r="A253" s="9"/>
      <c r="G253" s="9"/>
      <c r="H253" s="3"/>
      <c r="I253" s="3"/>
      <c r="J253" s="3"/>
      <c r="K253" s="3"/>
      <c r="L253" s="3"/>
      <c r="M253" s="3"/>
      <c r="N253" s="5"/>
      <c r="O253" s="5"/>
      <c r="P253" s="5"/>
      <c r="Q253" s="5"/>
      <c r="R253" s="5"/>
      <c r="S253" s="5"/>
      <c r="Y253" s="7"/>
      <c r="Z253" s="5"/>
    </row>
    <row r="254" spans="1:26" x14ac:dyDescent="0.25">
      <c r="H254" s="3"/>
      <c r="I254" s="3"/>
      <c r="J254" s="3"/>
      <c r="K254" s="3"/>
      <c r="L254" s="3"/>
      <c r="M254" s="3"/>
      <c r="N254" s="5"/>
      <c r="O254" s="5"/>
      <c r="P254" s="5"/>
      <c r="Q254" s="5"/>
      <c r="R254" s="5"/>
      <c r="S254" s="5"/>
      <c r="Y254" s="7"/>
      <c r="Z254" s="5"/>
    </row>
    <row r="255" spans="1:26" x14ac:dyDescent="0.25">
      <c r="H255" s="3"/>
      <c r="I255" s="3"/>
      <c r="J255" s="3"/>
      <c r="K255" s="3"/>
      <c r="L255" s="3"/>
      <c r="M255" s="3"/>
      <c r="N255" s="5"/>
      <c r="O255" s="5"/>
      <c r="P255" s="5"/>
      <c r="Q255" s="5"/>
      <c r="R255" s="5"/>
      <c r="S255" s="5"/>
      <c r="Y255" s="7"/>
      <c r="Z255" s="5"/>
    </row>
    <row r="256" spans="1:26" x14ac:dyDescent="0.25">
      <c r="H256" s="3"/>
      <c r="I256" s="3"/>
      <c r="J256" s="3"/>
      <c r="K256" s="3"/>
      <c r="L256" s="3"/>
      <c r="M256" s="3"/>
      <c r="N256" s="5"/>
      <c r="O256" s="5"/>
      <c r="P256" s="5"/>
      <c r="Q256" s="5"/>
      <c r="R256" s="5"/>
      <c r="S256" s="5"/>
      <c r="Y256" s="7"/>
      <c r="Z256" s="5"/>
    </row>
    <row r="257" spans="8:26" x14ac:dyDescent="0.25">
      <c r="H257" s="3"/>
      <c r="I257" s="3"/>
      <c r="J257" s="3"/>
      <c r="K257" s="3"/>
      <c r="L257" s="3"/>
      <c r="M257" s="3"/>
      <c r="N257" s="5"/>
      <c r="O257" s="5"/>
      <c r="P257" s="5"/>
      <c r="Q257" s="5"/>
      <c r="R257" s="5"/>
      <c r="S257" s="5"/>
      <c r="Y257" s="7"/>
      <c r="Z257" s="5"/>
    </row>
    <row r="258" spans="8:26" x14ac:dyDescent="0.25">
      <c r="H258" s="3"/>
      <c r="I258" s="3"/>
      <c r="J258" s="3"/>
      <c r="K258" s="3"/>
      <c r="L258" s="3"/>
      <c r="M258" s="3"/>
      <c r="N258" s="5"/>
      <c r="O258" s="5"/>
      <c r="P258" s="5"/>
      <c r="Q258" s="5"/>
      <c r="R258" s="5"/>
      <c r="S258" s="5"/>
      <c r="Y258" s="7"/>
      <c r="Z258" s="5"/>
    </row>
    <row r="259" spans="8:26" x14ac:dyDescent="0.25">
      <c r="H259" s="3"/>
      <c r="I259" s="3"/>
      <c r="J259" s="3"/>
      <c r="K259" s="3"/>
      <c r="L259" s="3"/>
      <c r="M259" s="3"/>
      <c r="N259" s="5"/>
      <c r="O259" s="5"/>
      <c r="P259" s="5"/>
      <c r="Q259" s="5"/>
      <c r="R259" s="5"/>
      <c r="S259" s="5"/>
      <c r="Y259" s="7"/>
      <c r="Z259" s="5"/>
    </row>
    <row r="260" spans="8:26" x14ac:dyDescent="0.25">
      <c r="H260" s="3"/>
      <c r="I260" s="3"/>
      <c r="J260" s="3"/>
      <c r="K260" s="3"/>
      <c r="L260" s="3"/>
      <c r="M260" s="3"/>
      <c r="N260" s="5"/>
      <c r="O260" s="5"/>
      <c r="P260" s="5"/>
      <c r="Q260" s="5"/>
      <c r="R260" s="5"/>
      <c r="S260" s="5"/>
      <c r="Y260" s="7"/>
      <c r="Z260" s="5"/>
    </row>
    <row r="261" spans="8:26" x14ac:dyDescent="0.25">
      <c r="H261" s="3"/>
      <c r="I261" s="3"/>
      <c r="J261" s="3"/>
      <c r="K261" s="3"/>
      <c r="L261" s="3"/>
      <c r="M261" s="3"/>
      <c r="N261" s="5"/>
      <c r="O261" s="5"/>
      <c r="P261" s="5"/>
      <c r="Q261" s="5"/>
      <c r="R261" s="5"/>
      <c r="S261" s="5"/>
      <c r="Y261" s="7"/>
      <c r="Z261" s="5"/>
    </row>
    <row r="262" spans="8:26" x14ac:dyDescent="0.25">
      <c r="H262" s="3"/>
      <c r="I262" s="3"/>
      <c r="J262" s="3"/>
      <c r="K262" s="3"/>
      <c r="L262" s="3"/>
      <c r="M262" s="3"/>
      <c r="N262" s="5"/>
      <c r="O262" s="5"/>
      <c r="P262" s="5"/>
      <c r="Q262" s="5"/>
      <c r="R262" s="5"/>
      <c r="S262" s="5"/>
      <c r="Y262" s="7"/>
      <c r="Z262" s="5"/>
    </row>
    <row r="263" spans="8:26" x14ac:dyDescent="0.25">
      <c r="H263" s="3"/>
      <c r="I263" s="3"/>
      <c r="J263" s="3"/>
      <c r="K263" s="3"/>
      <c r="L263" s="3"/>
      <c r="M263" s="3"/>
      <c r="N263" s="5"/>
      <c r="O263" s="5"/>
      <c r="P263" s="5"/>
      <c r="Q263" s="5"/>
      <c r="R263" s="5"/>
      <c r="S263" s="5"/>
      <c r="Y263" s="7"/>
      <c r="Z263" s="5"/>
    </row>
    <row r="264" spans="8:26" x14ac:dyDescent="0.25">
      <c r="H264" s="3"/>
      <c r="I264" s="3"/>
      <c r="J264" s="3"/>
      <c r="K264" s="3"/>
      <c r="L264" s="3"/>
      <c r="M264" s="3"/>
      <c r="N264" s="5"/>
      <c r="O264" s="5"/>
      <c r="P264" s="5"/>
      <c r="Q264" s="5"/>
      <c r="R264" s="5"/>
      <c r="S264" s="5"/>
      <c r="Y264" s="7"/>
      <c r="Z264" s="5"/>
    </row>
    <row r="265" spans="8:26" x14ac:dyDescent="0.25">
      <c r="H265" s="3"/>
      <c r="I265" s="3"/>
      <c r="J265" s="3"/>
      <c r="K265" s="3"/>
      <c r="L265" s="3"/>
      <c r="M265" s="3"/>
      <c r="N265" s="5"/>
      <c r="O265" s="5"/>
      <c r="P265" s="5"/>
      <c r="Q265" s="5"/>
      <c r="R265" s="5"/>
      <c r="S265" s="5"/>
      <c r="Y265" s="7"/>
      <c r="Z265" s="5"/>
    </row>
    <row r="266" spans="8:26" x14ac:dyDescent="0.25">
      <c r="H266" s="3"/>
      <c r="I266" s="3"/>
      <c r="J266" s="3"/>
      <c r="K266" s="3"/>
      <c r="L266" s="3"/>
      <c r="M266" s="3"/>
      <c r="N266" s="5"/>
      <c r="O266" s="5"/>
      <c r="P266" s="5"/>
      <c r="Q266" s="5"/>
      <c r="R266" s="5"/>
      <c r="S266" s="5"/>
      <c r="Y266" s="7"/>
      <c r="Z266" s="5"/>
    </row>
    <row r="267" spans="8:26" x14ac:dyDescent="0.25">
      <c r="H267" s="3"/>
      <c r="I267" s="3"/>
      <c r="J267" s="3"/>
      <c r="K267" s="3"/>
      <c r="L267" s="3"/>
      <c r="M267" s="3"/>
      <c r="N267" s="5"/>
      <c r="O267" s="5"/>
      <c r="P267" s="5"/>
      <c r="Q267" s="5"/>
      <c r="R267" s="5"/>
      <c r="S267" s="5"/>
      <c r="Y267" s="7"/>
      <c r="Z267" s="5"/>
    </row>
    <row r="268" spans="8:26" x14ac:dyDescent="0.25">
      <c r="H268" s="3"/>
      <c r="I268" s="3"/>
      <c r="J268" s="3"/>
      <c r="K268" s="3"/>
      <c r="L268" s="3"/>
      <c r="M268" s="3"/>
      <c r="N268" s="5"/>
      <c r="O268" s="5"/>
      <c r="P268" s="5"/>
      <c r="Q268" s="5"/>
      <c r="R268" s="5"/>
      <c r="S268" s="5"/>
      <c r="Y268" s="7"/>
      <c r="Z268" s="5"/>
    </row>
    <row r="269" spans="8:26" x14ac:dyDescent="0.25">
      <c r="H269" s="3"/>
      <c r="I269" s="3"/>
      <c r="J269" s="3"/>
      <c r="K269" s="3"/>
      <c r="L269" s="3"/>
      <c r="M269" s="3"/>
      <c r="N269" s="5"/>
      <c r="O269" s="5"/>
      <c r="P269" s="5"/>
      <c r="Q269" s="5"/>
      <c r="R269" s="5"/>
      <c r="S269" s="5"/>
      <c r="Y269" s="7"/>
      <c r="Z269" s="5"/>
    </row>
    <row r="270" spans="8:26" x14ac:dyDescent="0.25">
      <c r="H270" s="3"/>
      <c r="I270" s="3"/>
      <c r="J270" s="3"/>
      <c r="K270" s="3"/>
      <c r="L270" s="3"/>
      <c r="M270" s="3"/>
      <c r="N270" s="5"/>
      <c r="O270" s="5"/>
      <c r="P270" s="5"/>
      <c r="Q270" s="5"/>
      <c r="R270" s="5"/>
      <c r="S270" s="5"/>
      <c r="Y270" s="7"/>
      <c r="Z270" s="5"/>
    </row>
    <row r="271" spans="8:26" x14ac:dyDescent="0.25">
      <c r="H271" s="3"/>
      <c r="I271" s="3"/>
      <c r="J271" s="3"/>
      <c r="K271" s="3"/>
      <c r="L271" s="3"/>
      <c r="M271" s="3"/>
      <c r="N271" s="5"/>
      <c r="O271" s="5"/>
      <c r="P271" s="5"/>
      <c r="Q271" s="5"/>
      <c r="R271" s="5"/>
      <c r="S271" s="5"/>
      <c r="Y271" s="7"/>
      <c r="Z271" s="5"/>
    </row>
    <row r="272" spans="8:26" x14ac:dyDescent="0.25">
      <c r="H272" s="3"/>
      <c r="I272" s="3"/>
      <c r="J272" s="3"/>
      <c r="K272" s="3"/>
      <c r="L272" s="3"/>
      <c r="M272" s="3"/>
      <c r="N272" s="5"/>
      <c r="O272" s="5"/>
      <c r="P272" s="5"/>
      <c r="Q272" s="5"/>
      <c r="R272" s="5"/>
      <c r="S272" s="5"/>
      <c r="Y272" s="7"/>
      <c r="Z272" s="5"/>
    </row>
    <row r="273" spans="8:26" x14ac:dyDescent="0.25">
      <c r="H273" s="3"/>
      <c r="I273" s="3"/>
      <c r="J273" s="3"/>
      <c r="K273" s="3"/>
      <c r="L273" s="3"/>
      <c r="M273" s="3"/>
      <c r="N273" s="5"/>
      <c r="O273" s="5"/>
      <c r="P273" s="5"/>
      <c r="Q273" s="5"/>
      <c r="R273" s="5"/>
      <c r="S273" s="5"/>
      <c r="Y273" s="7"/>
      <c r="Z273" s="5"/>
    </row>
    <row r="274" spans="8:26" x14ac:dyDescent="0.25">
      <c r="H274" s="3"/>
      <c r="I274" s="3"/>
      <c r="J274" s="3"/>
      <c r="K274" s="3"/>
      <c r="L274" s="3"/>
      <c r="M274" s="3"/>
      <c r="N274" s="5"/>
      <c r="O274" s="5"/>
      <c r="P274" s="5"/>
      <c r="Q274" s="5"/>
      <c r="R274" s="5"/>
      <c r="S274" s="5"/>
      <c r="Y274" s="7"/>
      <c r="Z274" s="5"/>
    </row>
    <row r="275" spans="8:26" x14ac:dyDescent="0.25">
      <c r="H275" s="3"/>
      <c r="I275" s="3"/>
      <c r="J275" s="3"/>
      <c r="K275" s="3"/>
      <c r="L275" s="3"/>
      <c r="M275" s="3"/>
      <c r="N275" s="5"/>
      <c r="O275" s="5"/>
      <c r="P275" s="5"/>
      <c r="Q275" s="5"/>
      <c r="R275" s="5"/>
      <c r="S275" s="5"/>
      <c r="Y275" s="7"/>
      <c r="Z275" s="5"/>
    </row>
    <row r="276" spans="8:26" x14ac:dyDescent="0.25">
      <c r="H276" s="3"/>
      <c r="I276" s="3"/>
      <c r="J276" s="3"/>
      <c r="K276" s="3"/>
      <c r="L276" s="3"/>
      <c r="M276" s="3"/>
      <c r="N276" s="5"/>
      <c r="O276" s="5"/>
      <c r="P276" s="5"/>
      <c r="Q276" s="5"/>
      <c r="R276" s="5"/>
      <c r="S276" s="5"/>
      <c r="Y276" s="7"/>
      <c r="Z276" s="5"/>
    </row>
    <row r="277" spans="8:26" x14ac:dyDescent="0.25">
      <c r="H277" s="3"/>
      <c r="I277" s="3"/>
      <c r="J277" s="3"/>
      <c r="K277" s="3"/>
      <c r="L277" s="3"/>
      <c r="M277" s="3"/>
      <c r="N277" s="5"/>
      <c r="O277" s="5"/>
      <c r="P277" s="5"/>
      <c r="Q277" s="5"/>
      <c r="R277" s="5"/>
      <c r="S277" s="5"/>
      <c r="Y277" s="7"/>
      <c r="Z277" s="5"/>
    </row>
  </sheetData>
  <autoFilter ref="D2:AC226" xr:uid="{00000000-0009-0000-0000-000000000000}"/>
  <sortState xmlns:xlrd2="http://schemas.microsoft.com/office/spreadsheetml/2017/richdata2" ref="D3:AB226">
    <sortCondition ref="AA3:AA226"/>
    <sortCondition descending="1" ref="D3:D226"/>
    <sortCondition ref="E3:E226"/>
    <sortCondition ref="H3:H226"/>
  </sortState>
  <dataValidations count="1">
    <dataValidation allowBlank="1" showInputMessage="1" showErrorMessage="1" sqref="E181:F212 E161:E162" xr:uid="{00000000-0002-0000-0000-000000000000}"/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A2F4-63AA-4EEE-82E7-293F18EC9422}">
  <dimension ref="B2:AF12"/>
  <sheetViews>
    <sheetView topLeftCell="N1" zoomScale="80" zoomScaleNormal="80" workbookViewId="0">
      <selection activeCell="AE8" sqref="AE8"/>
    </sheetView>
  </sheetViews>
  <sheetFormatPr baseColWidth="10" defaultRowHeight="12.75" x14ac:dyDescent="0.2"/>
  <cols>
    <col min="1" max="1" width="11.42578125" style="46"/>
    <col min="2" max="2" width="12.5703125" style="47" customWidth="1"/>
    <col min="3" max="3" width="14.7109375" style="46" customWidth="1"/>
    <col min="4" max="4" width="2.7109375" style="46" customWidth="1"/>
    <col min="5" max="5" width="12.5703125" style="47" customWidth="1"/>
    <col min="6" max="6" width="16" style="46" bestFit="1" customWidth="1"/>
    <col min="7" max="7" width="2.7109375" style="46" customWidth="1"/>
    <col min="8" max="8" width="12.5703125" style="47" customWidth="1"/>
    <col min="9" max="9" width="27" style="46" bestFit="1" customWidth="1"/>
    <col min="10" max="10" width="2.7109375" style="46" customWidth="1"/>
    <col min="11" max="11" width="14.28515625" style="47" bestFit="1" customWidth="1"/>
    <col min="12" max="12" width="14.7109375" style="46" customWidth="1"/>
    <col min="13" max="13" width="11.42578125" style="46"/>
    <col min="14" max="14" width="2.7109375" style="46" customWidth="1"/>
    <col min="15" max="15" width="14.28515625" style="47" bestFit="1" customWidth="1"/>
    <col min="16" max="16" width="14.7109375" style="46" customWidth="1"/>
    <col min="17" max="17" width="11.42578125" style="46"/>
    <col min="18" max="18" width="2.7109375" style="46" customWidth="1"/>
    <col min="19" max="19" width="14.28515625" style="47" bestFit="1" customWidth="1"/>
    <col min="20" max="20" width="14.7109375" style="46" customWidth="1"/>
    <col min="21" max="21" width="11.42578125" style="46"/>
    <col min="22" max="22" width="2.7109375" style="46" customWidth="1"/>
    <col min="23" max="23" width="14.28515625" style="47" bestFit="1" customWidth="1"/>
    <col min="24" max="24" width="14.7109375" style="46" customWidth="1"/>
    <col min="25" max="25" width="2.7109375" style="46" customWidth="1"/>
    <col min="26" max="26" width="14.28515625" style="47" bestFit="1" customWidth="1"/>
    <col min="27" max="27" width="14.7109375" style="46" customWidth="1"/>
    <col min="28" max="28" width="11.42578125" style="46"/>
    <col min="29" max="29" width="2.7109375" style="46" customWidth="1"/>
    <col min="30" max="30" width="14.28515625" style="47" bestFit="1" customWidth="1"/>
    <col min="31" max="31" width="14.7109375" style="46" customWidth="1"/>
    <col min="32" max="16384" width="11.42578125" style="46"/>
  </cols>
  <sheetData>
    <row r="2" spans="2:32" ht="51" x14ac:dyDescent="0.2">
      <c r="B2" s="72" t="s">
        <v>115</v>
      </c>
      <c r="C2" s="72" t="s">
        <v>124</v>
      </c>
      <c r="E2" s="72" t="s">
        <v>183</v>
      </c>
      <c r="F2" s="72" t="s">
        <v>184</v>
      </c>
      <c r="H2" s="72" t="s">
        <v>182</v>
      </c>
      <c r="I2" s="72" t="s">
        <v>176</v>
      </c>
      <c r="K2" s="72" t="s">
        <v>194</v>
      </c>
      <c r="L2" s="72" t="s">
        <v>181</v>
      </c>
      <c r="M2" s="72" t="s">
        <v>195</v>
      </c>
      <c r="O2" s="72" t="s">
        <v>168</v>
      </c>
      <c r="P2" s="72" t="s">
        <v>178</v>
      </c>
      <c r="Q2" s="72" t="s">
        <v>195</v>
      </c>
      <c r="S2" s="72" t="s">
        <v>196</v>
      </c>
      <c r="T2" s="72" t="s">
        <v>197</v>
      </c>
      <c r="U2" s="72" t="s">
        <v>195</v>
      </c>
      <c r="W2" s="72" t="s">
        <v>208</v>
      </c>
      <c r="X2" s="72" t="s">
        <v>209</v>
      </c>
      <c r="Z2" s="72" t="s">
        <v>202</v>
      </c>
      <c r="AA2" s="72" t="s">
        <v>177</v>
      </c>
      <c r="AB2" s="72" t="s">
        <v>195</v>
      </c>
      <c r="AD2" s="72" t="s">
        <v>204</v>
      </c>
      <c r="AE2" s="72" t="s">
        <v>180</v>
      </c>
      <c r="AF2" s="72" t="s">
        <v>195</v>
      </c>
    </row>
    <row r="3" spans="2:32" x14ac:dyDescent="0.2">
      <c r="B3" s="73">
        <v>0</v>
      </c>
      <c r="C3" s="73" t="s">
        <v>117</v>
      </c>
      <c r="E3" s="73">
        <v>0</v>
      </c>
      <c r="F3" s="73" t="s">
        <v>225</v>
      </c>
      <c r="H3" s="74" t="s">
        <v>185</v>
      </c>
      <c r="I3" s="73" t="s">
        <v>185</v>
      </c>
      <c r="K3" s="74" t="s">
        <v>185</v>
      </c>
      <c r="L3" s="73" t="s">
        <v>185</v>
      </c>
      <c r="M3" s="46">
        <v>0</v>
      </c>
      <c r="O3" s="73" t="s">
        <v>185</v>
      </c>
      <c r="P3" s="73" t="s">
        <v>185</v>
      </c>
      <c r="Q3" s="46">
        <v>0</v>
      </c>
      <c r="S3" s="74" t="s">
        <v>185</v>
      </c>
      <c r="T3" s="73" t="s">
        <v>185</v>
      </c>
      <c r="U3" s="46">
        <v>0</v>
      </c>
      <c r="W3" s="47">
        <v>0</v>
      </c>
      <c r="X3" s="73" t="s">
        <v>245</v>
      </c>
      <c r="Z3" s="74" t="s">
        <v>185</v>
      </c>
      <c r="AA3" s="73" t="s">
        <v>185</v>
      </c>
      <c r="AB3" s="46">
        <v>0</v>
      </c>
      <c r="AD3" s="74" t="s">
        <v>185</v>
      </c>
      <c r="AE3" s="73" t="s">
        <v>185</v>
      </c>
      <c r="AF3" s="46">
        <v>0</v>
      </c>
    </row>
    <row r="4" spans="2:32" x14ac:dyDescent="0.2">
      <c r="B4" s="73">
        <v>90</v>
      </c>
      <c r="C4" s="73" t="s">
        <v>116</v>
      </c>
      <c r="E4" s="73">
        <v>500000</v>
      </c>
      <c r="F4" s="73" t="s">
        <v>226</v>
      </c>
      <c r="H4" s="74">
        <v>-1</v>
      </c>
      <c r="I4" s="73" t="s">
        <v>215</v>
      </c>
      <c r="K4" s="74">
        <v>0</v>
      </c>
      <c r="L4" s="73" t="s">
        <v>238</v>
      </c>
      <c r="M4" s="46">
        <v>30</v>
      </c>
      <c r="O4" s="73">
        <v>0</v>
      </c>
      <c r="P4" s="73" t="s">
        <v>238</v>
      </c>
      <c r="Q4" s="46">
        <v>30</v>
      </c>
      <c r="S4" s="74">
        <v>0</v>
      </c>
      <c r="T4" s="73" t="s">
        <v>238</v>
      </c>
      <c r="U4" s="46">
        <v>0</v>
      </c>
      <c r="W4" s="47">
        <v>60</v>
      </c>
      <c r="X4" s="73" t="s">
        <v>246</v>
      </c>
      <c r="Z4" s="74">
        <v>0</v>
      </c>
      <c r="AA4" s="73" t="s">
        <v>238</v>
      </c>
      <c r="AB4" s="46">
        <v>30</v>
      </c>
      <c r="AD4" s="74">
        <v>0</v>
      </c>
      <c r="AE4" s="73" t="s">
        <v>249</v>
      </c>
      <c r="AF4" s="46">
        <v>30</v>
      </c>
    </row>
    <row r="5" spans="2:32" x14ac:dyDescent="0.2">
      <c r="B5" s="73">
        <v>180</v>
      </c>
      <c r="C5" s="73" t="s">
        <v>118</v>
      </c>
      <c r="E5" s="73">
        <v>1000000</v>
      </c>
      <c r="F5" s="73" t="s">
        <v>227</v>
      </c>
      <c r="H5" s="74">
        <v>-0.49</v>
      </c>
      <c r="I5" s="73" t="s">
        <v>216</v>
      </c>
      <c r="K5" s="74">
        <v>0.31</v>
      </c>
      <c r="L5" s="73" t="s">
        <v>239</v>
      </c>
      <c r="M5" s="46">
        <v>50</v>
      </c>
      <c r="O5" s="73">
        <v>1</v>
      </c>
      <c r="P5" s="73" t="s">
        <v>239</v>
      </c>
      <c r="Q5" s="46">
        <v>50</v>
      </c>
      <c r="S5" s="74">
        <v>0.31</v>
      </c>
      <c r="T5" s="73" t="s">
        <v>239</v>
      </c>
      <c r="U5" s="46">
        <v>30</v>
      </c>
      <c r="W5" s="47">
        <v>81</v>
      </c>
      <c r="X5" s="73" t="s">
        <v>247</v>
      </c>
      <c r="Z5" s="74">
        <v>0.71</v>
      </c>
      <c r="AA5" s="73" t="s">
        <v>239</v>
      </c>
      <c r="AB5" s="46">
        <v>50</v>
      </c>
      <c r="AD5" s="74">
        <v>0.4</v>
      </c>
      <c r="AE5" s="73" t="s">
        <v>250</v>
      </c>
      <c r="AF5" s="46">
        <v>50</v>
      </c>
    </row>
    <row r="6" spans="2:32" x14ac:dyDescent="0.2">
      <c r="B6" s="73">
        <v>360</v>
      </c>
      <c r="C6" s="73" t="s">
        <v>119</v>
      </c>
      <c r="E6" s="73">
        <v>1500000</v>
      </c>
      <c r="F6" s="73" t="s">
        <v>228</v>
      </c>
      <c r="H6" s="74">
        <v>0</v>
      </c>
      <c r="I6" s="73" t="s">
        <v>217</v>
      </c>
      <c r="K6" s="74">
        <v>0.51</v>
      </c>
      <c r="L6" s="73" t="s">
        <v>240</v>
      </c>
      <c r="M6" s="46">
        <v>70</v>
      </c>
      <c r="O6" s="73">
        <v>2</v>
      </c>
      <c r="P6" s="73" t="s">
        <v>240</v>
      </c>
      <c r="Q6" s="46">
        <v>70</v>
      </c>
      <c r="S6" s="74">
        <v>0.51</v>
      </c>
      <c r="T6" s="73" t="s">
        <v>240</v>
      </c>
      <c r="U6" s="46">
        <v>50</v>
      </c>
      <c r="W6" s="47">
        <v>90</v>
      </c>
      <c r="X6" s="73" t="s">
        <v>248</v>
      </c>
      <c r="Z6" s="74">
        <v>0.85</v>
      </c>
      <c r="AA6" s="73" t="s">
        <v>240</v>
      </c>
      <c r="AB6" s="46">
        <v>70</v>
      </c>
      <c r="AD6" s="74">
        <v>0.6</v>
      </c>
      <c r="AE6" s="73" t="s">
        <v>251</v>
      </c>
      <c r="AF6" s="46">
        <v>70</v>
      </c>
    </row>
    <row r="7" spans="2:32" x14ac:dyDescent="0.2">
      <c r="B7" s="73">
        <f>+B6+180</f>
        <v>540</v>
      </c>
      <c r="C7" s="73" t="s">
        <v>120</v>
      </c>
      <c r="E7" s="73">
        <v>2000000</v>
      </c>
      <c r="F7" s="73" t="s">
        <v>229</v>
      </c>
      <c r="H7" s="77">
        <v>1E-3</v>
      </c>
      <c r="I7" s="73" t="s">
        <v>218</v>
      </c>
      <c r="K7" s="74">
        <v>0.7</v>
      </c>
      <c r="L7" s="73" t="s">
        <v>241</v>
      </c>
      <c r="M7" s="46">
        <v>80</v>
      </c>
      <c r="O7" s="73">
        <v>4</v>
      </c>
      <c r="P7" s="73" t="s">
        <v>241</v>
      </c>
      <c r="Q7" s="46">
        <v>80</v>
      </c>
      <c r="S7" s="74">
        <v>0.7</v>
      </c>
      <c r="T7" s="73" t="s">
        <v>241</v>
      </c>
      <c r="U7" s="46">
        <v>70</v>
      </c>
      <c r="X7" s="73"/>
      <c r="Z7" s="74">
        <v>0.9</v>
      </c>
      <c r="AA7" s="73" t="s">
        <v>241</v>
      </c>
      <c r="AB7" s="46">
        <v>80</v>
      </c>
      <c r="AD7" s="74">
        <v>0.8</v>
      </c>
      <c r="AE7" s="73" t="s">
        <v>252</v>
      </c>
      <c r="AF7" s="46">
        <v>80</v>
      </c>
    </row>
    <row r="8" spans="2:32" x14ac:dyDescent="0.2">
      <c r="B8" s="73">
        <f t="shared" ref="B8:B9" si="0">+B7+180</f>
        <v>720</v>
      </c>
      <c r="C8" s="73" t="s">
        <v>121</v>
      </c>
      <c r="E8" s="73">
        <v>10000000</v>
      </c>
      <c r="F8" s="73" t="s">
        <v>230</v>
      </c>
      <c r="H8" s="74">
        <v>0.1</v>
      </c>
      <c r="I8" s="73" t="s">
        <v>219</v>
      </c>
      <c r="K8" s="74">
        <v>0.81</v>
      </c>
      <c r="L8" s="73" t="s">
        <v>242</v>
      </c>
      <c r="M8" s="46">
        <v>90</v>
      </c>
      <c r="O8" s="73">
        <v>6</v>
      </c>
      <c r="P8" s="73" t="s">
        <v>242</v>
      </c>
      <c r="Q8" s="46">
        <v>90</v>
      </c>
      <c r="S8" s="74">
        <v>0.81</v>
      </c>
      <c r="T8" s="73" t="s">
        <v>242</v>
      </c>
      <c r="U8" s="46">
        <v>80</v>
      </c>
      <c r="X8" s="73"/>
      <c r="Z8" s="74">
        <v>0.95</v>
      </c>
      <c r="AA8" s="73" t="s">
        <v>242</v>
      </c>
      <c r="AB8" s="46">
        <v>90</v>
      </c>
      <c r="AD8" s="74">
        <v>0.95</v>
      </c>
      <c r="AE8" s="73" t="s">
        <v>253</v>
      </c>
      <c r="AF8" s="46">
        <v>90</v>
      </c>
    </row>
    <row r="9" spans="2:32" x14ac:dyDescent="0.2">
      <c r="B9" s="73">
        <f t="shared" si="0"/>
        <v>900</v>
      </c>
      <c r="C9" s="73" t="s">
        <v>122</v>
      </c>
      <c r="E9" s="73"/>
      <c r="F9" s="73"/>
      <c r="H9" s="74">
        <v>0.2</v>
      </c>
      <c r="I9" s="73" t="s">
        <v>220</v>
      </c>
      <c r="K9" s="74">
        <v>0.91</v>
      </c>
      <c r="L9" s="73" t="s">
        <v>243</v>
      </c>
      <c r="M9" s="46">
        <v>100</v>
      </c>
      <c r="O9" s="73">
        <v>7</v>
      </c>
      <c r="P9" s="73" t="s">
        <v>243</v>
      </c>
      <c r="Q9" s="46">
        <v>100</v>
      </c>
      <c r="S9" s="74">
        <v>0.91</v>
      </c>
      <c r="T9" s="73" t="s">
        <v>243</v>
      </c>
      <c r="U9" s="46">
        <v>100</v>
      </c>
      <c r="X9" s="73"/>
      <c r="Z9" s="74">
        <v>0.99</v>
      </c>
      <c r="AA9" s="73" t="s">
        <v>243</v>
      </c>
      <c r="AB9" s="46">
        <v>100</v>
      </c>
      <c r="AD9" s="74"/>
      <c r="AE9" s="73"/>
    </row>
    <row r="10" spans="2:32" x14ac:dyDescent="0.2">
      <c r="B10" s="73">
        <v>901</v>
      </c>
      <c r="C10" s="73" t="s">
        <v>123</v>
      </c>
      <c r="E10" s="73"/>
      <c r="F10" s="73"/>
      <c r="H10" s="74">
        <v>0.3</v>
      </c>
      <c r="I10" s="73" t="s">
        <v>221</v>
      </c>
      <c r="K10" s="74">
        <v>1</v>
      </c>
      <c r="L10" s="73" t="s">
        <v>244</v>
      </c>
      <c r="M10" s="46">
        <v>110</v>
      </c>
      <c r="O10" s="73"/>
      <c r="P10" s="73"/>
      <c r="S10" s="74">
        <v>1.1000000000000001</v>
      </c>
      <c r="T10" s="73" t="s">
        <v>244</v>
      </c>
      <c r="U10" s="46">
        <v>110</v>
      </c>
      <c r="X10" s="73"/>
      <c r="Z10" s="74">
        <v>1</v>
      </c>
      <c r="AA10" s="73" t="s">
        <v>244</v>
      </c>
      <c r="AB10" s="46">
        <v>110</v>
      </c>
      <c r="AD10" s="74"/>
      <c r="AE10" s="73"/>
    </row>
    <row r="11" spans="2:32" x14ac:dyDescent="0.2">
      <c r="H11" s="74">
        <v>0.31</v>
      </c>
      <c r="I11" s="73" t="s">
        <v>222</v>
      </c>
    </row>
    <row r="12" spans="2:32" x14ac:dyDescent="0.2">
      <c r="E12" s="73"/>
      <c r="H12" s="76"/>
      <c r="K12" s="76"/>
      <c r="O12" s="73"/>
      <c r="S12" s="74"/>
      <c r="W12" s="80"/>
      <c r="Z12" s="74"/>
      <c r="AD12" s="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64AD-8E68-4DDB-B20D-3B4B5B28A4A6}">
  <dimension ref="B1:BB226"/>
  <sheetViews>
    <sheetView showGridLines="0" tabSelected="1" zoomScale="80" zoomScaleNormal="80" workbookViewId="0">
      <pane xSplit="5" ySplit="4" topLeftCell="F5" activePane="bottomRight" state="frozen"/>
      <selection pane="topRight" activeCell="F1" sqref="F1"/>
      <selection pane="bottomLeft" activeCell="A3" sqref="A3"/>
      <selection pane="bottomRight" activeCell="A4" sqref="A4"/>
    </sheetView>
  </sheetViews>
  <sheetFormatPr baseColWidth="10" defaultRowHeight="12.75" x14ac:dyDescent="0.2"/>
  <cols>
    <col min="1" max="2" width="11.42578125" style="46"/>
    <col min="3" max="3" width="14" style="46" bestFit="1" customWidth="1"/>
    <col min="4" max="4" width="11.42578125" style="47"/>
    <col min="5" max="5" width="31.140625" style="46" bestFit="1" customWidth="1"/>
    <col min="6" max="9" width="11.42578125" style="46"/>
    <col min="10" max="11" width="11.42578125" style="47"/>
    <col min="12" max="17" width="11.7109375" style="46" bestFit="1" customWidth="1"/>
    <col min="18" max="18" width="11.7109375" style="47" customWidth="1"/>
    <col min="19" max="19" width="11.7109375" style="46" bestFit="1" customWidth="1"/>
    <col min="20" max="20" width="11.7109375" style="48" customWidth="1"/>
    <col min="21" max="22" width="11.7109375" style="46" bestFit="1" customWidth="1"/>
    <col min="23" max="25" width="11.7109375" style="48" customWidth="1"/>
    <col min="26" max="26" width="11.7109375" style="46" bestFit="1" customWidth="1"/>
    <col min="27" max="27" width="11.42578125" style="46"/>
    <col min="28" max="28" width="11.7109375" style="48" customWidth="1"/>
    <col min="29" max="32" width="11.42578125" style="46"/>
    <col min="33" max="33" width="11.7109375" style="48" customWidth="1"/>
    <col min="34" max="34" width="12.140625" style="46" bestFit="1" customWidth="1"/>
    <col min="35" max="35" width="11.42578125" style="46"/>
    <col min="36" max="36" width="11.7109375" style="48" customWidth="1"/>
    <col min="37" max="37" width="12.140625" style="46" bestFit="1" customWidth="1"/>
    <col min="38" max="38" width="14" style="46" bestFit="1" customWidth="1"/>
    <col min="39" max="39" width="19.85546875" style="46" bestFit="1" customWidth="1"/>
    <col min="40" max="40" width="30.140625" style="46" bestFit="1" customWidth="1"/>
    <col min="41" max="42" width="14" style="46" customWidth="1"/>
    <col min="43" max="43" width="14" style="46" bestFit="1" customWidth="1"/>
    <col min="44" max="44" width="14" style="46" customWidth="1"/>
    <col min="45" max="45" width="14" style="46" bestFit="1" customWidth="1"/>
    <col min="46" max="48" width="14" style="46" customWidth="1"/>
    <col min="49" max="49" width="14" style="46" bestFit="1" customWidth="1"/>
    <col min="50" max="50" width="14" style="46" customWidth="1"/>
    <col min="51" max="51" width="14" style="46" bestFit="1" customWidth="1"/>
    <col min="52" max="52" width="14" style="46" customWidth="1"/>
    <col min="53" max="53" width="14" style="46" bestFit="1" customWidth="1"/>
    <col min="54" max="54" width="120.7109375" style="46" bestFit="1" customWidth="1"/>
    <col min="55" max="16384" width="11.42578125" style="46"/>
  </cols>
  <sheetData>
    <row r="1" spans="2:54" x14ac:dyDescent="0.2">
      <c r="AU1" s="76">
        <v>0.5</v>
      </c>
      <c r="AV1" s="76"/>
      <c r="AX1" s="76">
        <v>0.4</v>
      </c>
      <c r="AZ1" s="76">
        <v>0.1</v>
      </c>
      <c r="BA1" s="76">
        <f>AU1+AX1+AZ1</f>
        <v>1</v>
      </c>
    </row>
    <row r="2" spans="2:54" x14ac:dyDescent="0.2">
      <c r="O2" s="87"/>
      <c r="AP2" s="76">
        <v>0.4</v>
      </c>
      <c r="AR2" s="76">
        <v>0.2</v>
      </c>
      <c r="AT2" s="76">
        <v>0.4</v>
      </c>
      <c r="AU2" s="76">
        <f>+AP2+AR2+AT2</f>
        <v>1</v>
      </c>
      <c r="AV2" s="76"/>
      <c r="AX2" s="76">
        <v>1</v>
      </c>
      <c r="AZ2" s="76">
        <v>1</v>
      </c>
    </row>
    <row r="3" spans="2:54" x14ac:dyDescent="0.2">
      <c r="D3" s="46"/>
      <c r="J3" s="46"/>
      <c r="K3" s="46"/>
      <c r="L3" s="47">
        <v>0</v>
      </c>
      <c r="M3" s="47">
        <v>1</v>
      </c>
      <c r="N3" s="47">
        <v>2</v>
      </c>
      <c r="O3" s="47">
        <v>3</v>
      </c>
      <c r="P3" s="47">
        <v>4</v>
      </c>
      <c r="Q3" s="47"/>
      <c r="S3" s="47"/>
      <c r="U3" s="47"/>
      <c r="V3" s="47"/>
      <c r="Z3" s="47"/>
      <c r="AL3" s="75" t="s">
        <v>114</v>
      </c>
      <c r="AM3" s="75" t="s">
        <v>187</v>
      </c>
      <c r="AN3" s="75" t="s">
        <v>188</v>
      </c>
      <c r="AO3" s="75" t="s">
        <v>186</v>
      </c>
      <c r="AP3" s="75" t="s">
        <v>186</v>
      </c>
      <c r="AQ3" s="75" t="s">
        <v>186</v>
      </c>
      <c r="AR3" s="75" t="s">
        <v>186</v>
      </c>
      <c r="AS3" s="75" t="s">
        <v>186</v>
      </c>
      <c r="AT3" s="75" t="s">
        <v>186</v>
      </c>
      <c r="AU3" s="75" t="s">
        <v>186</v>
      </c>
      <c r="AV3" s="75"/>
      <c r="AW3" s="75" t="s">
        <v>189</v>
      </c>
      <c r="AX3" s="75" t="s">
        <v>189</v>
      </c>
      <c r="AY3" s="75" t="s">
        <v>191</v>
      </c>
      <c r="AZ3" s="75" t="s">
        <v>191</v>
      </c>
      <c r="BA3" s="75" t="s">
        <v>206</v>
      </c>
    </row>
    <row r="4" spans="2:54" ht="38.25" x14ac:dyDescent="0.2">
      <c r="B4" s="49" t="s">
        <v>155</v>
      </c>
      <c r="C4" s="49" t="s">
        <v>154</v>
      </c>
      <c r="D4" s="49" t="s">
        <v>1</v>
      </c>
      <c r="E4" s="49" t="s">
        <v>153</v>
      </c>
      <c r="F4" s="49" t="s">
        <v>152</v>
      </c>
      <c r="G4" s="49" t="s">
        <v>236</v>
      </c>
      <c r="H4" s="49" t="s">
        <v>237</v>
      </c>
      <c r="I4" s="49" t="s">
        <v>151</v>
      </c>
      <c r="J4" s="49" t="s">
        <v>149</v>
      </c>
      <c r="K4" s="49" t="s">
        <v>160</v>
      </c>
      <c r="L4" s="49" t="s">
        <v>144</v>
      </c>
      <c r="M4" s="49" t="s">
        <v>145</v>
      </c>
      <c r="N4" s="49" t="s">
        <v>146</v>
      </c>
      <c r="O4" s="49" t="s">
        <v>147</v>
      </c>
      <c r="P4" s="49" t="s">
        <v>148</v>
      </c>
      <c r="Q4" s="67" t="s">
        <v>157</v>
      </c>
      <c r="R4" s="49" t="s">
        <v>158</v>
      </c>
      <c r="S4" s="49" t="s">
        <v>161</v>
      </c>
      <c r="T4" s="65" t="s">
        <v>159</v>
      </c>
      <c r="U4" s="49" t="s">
        <v>4</v>
      </c>
      <c r="V4" s="49" t="s">
        <v>113</v>
      </c>
      <c r="W4" s="50" t="s">
        <v>162</v>
      </c>
      <c r="X4" s="65" t="s">
        <v>163</v>
      </c>
      <c r="Y4" s="65" t="s">
        <v>201</v>
      </c>
      <c r="Z4" s="49" t="s">
        <v>164</v>
      </c>
      <c r="AA4" s="49" t="s">
        <v>165</v>
      </c>
      <c r="AB4" s="65" t="s">
        <v>166</v>
      </c>
      <c r="AC4" s="49" t="s">
        <v>167</v>
      </c>
      <c r="AD4" s="67" t="s">
        <v>169</v>
      </c>
      <c r="AE4" s="49" t="s">
        <v>171</v>
      </c>
      <c r="AF4" s="49" t="s">
        <v>172</v>
      </c>
      <c r="AG4" s="65" t="s">
        <v>170</v>
      </c>
      <c r="AH4" s="49" t="s">
        <v>173</v>
      </c>
      <c r="AI4" s="49" t="s">
        <v>174</v>
      </c>
      <c r="AJ4" s="65" t="s">
        <v>175</v>
      </c>
      <c r="AK4" s="49" t="s">
        <v>193</v>
      </c>
      <c r="AL4" s="49" t="s">
        <v>124</v>
      </c>
      <c r="AM4" s="49" t="s">
        <v>184</v>
      </c>
      <c r="AN4" s="49" t="s">
        <v>176</v>
      </c>
      <c r="AO4" s="49" t="s">
        <v>181</v>
      </c>
      <c r="AP4" s="49" t="s">
        <v>198</v>
      </c>
      <c r="AQ4" s="49" t="s">
        <v>178</v>
      </c>
      <c r="AR4" s="49" t="s">
        <v>199</v>
      </c>
      <c r="AS4" s="49" t="s">
        <v>179</v>
      </c>
      <c r="AT4" s="49" t="s">
        <v>200</v>
      </c>
      <c r="AU4" s="49" t="s">
        <v>190</v>
      </c>
      <c r="AV4" s="49" t="s">
        <v>209</v>
      </c>
      <c r="AW4" s="49" t="s">
        <v>177</v>
      </c>
      <c r="AX4" s="49" t="s">
        <v>203</v>
      </c>
      <c r="AY4" s="49" t="s">
        <v>180</v>
      </c>
      <c r="AZ4" s="49" t="s">
        <v>205</v>
      </c>
      <c r="BA4" s="78" t="s">
        <v>192</v>
      </c>
      <c r="BB4" s="78" t="s">
        <v>207</v>
      </c>
    </row>
    <row r="5" spans="2:54" x14ac:dyDescent="0.2">
      <c r="B5" s="46" t="s">
        <v>63</v>
      </c>
      <c r="C5" s="51" t="s">
        <v>90</v>
      </c>
      <c r="D5" s="47">
        <v>32633</v>
      </c>
      <c r="E5" s="52" t="s">
        <v>94</v>
      </c>
      <c r="F5" s="53">
        <v>45098</v>
      </c>
      <c r="G5" s="53">
        <v>0</v>
      </c>
      <c r="H5" s="53" t="str">
        <f>IF(G5=0,"ACTIVO","BAJA")</f>
        <v>ACTIVO</v>
      </c>
      <c r="I5" s="54" t="str">
        <f>IF(P5=0,"SI","NO")</f>
        <v>NO</v>
      </c>
      <c r="J5" s="47">
        <f>VLOOKUP(E5,'BD Original'!G:L,6,0)</f>
        <v>1</v>
      </c>
      <c r="K5" s="47">
        <f>VLOOKUP(E5,'BD Original'!G:M,7,0)</f>
        <v>1</v>
      </c>
      <c r="L5" s="55">
        <f>IF(VLOOKUP($E5&amp;"|"&amp;$J5+L$3,'BD Original'!$A:$Z,15,0)=0,"",IFERROR(VLOOKUP($E5&amp;"|"&amp;$J5+L$3,'BD Original'!$A:$Z,15,0),""))</f>
        <v>147782.72</v>
      </c>
      <c r="M5" s="55" t="str">
        <f>IFERROR(VLOOKUP($E5&amp;"|"&amp;$J5+M$3,'BD Original'!$A:$Z,15,0),"")</f>
        <v/>
      </c>
      <c r="N5" s="55" t="str">
        <f>IFERROR(VLOOKUP($E5&amp;"|"&amp;$J5+N$3,'BD Original'!$A:$Z,15,0),"")</f>
        <v/>
      </c>
      <c r="O5" s="55" t="str">
        <f>IFERROR(VLOOKUP($E5&amp;"|"&amp;$J5+O$3,'BD Original'!$A:$Z,15,0),"")</f>
        <v/>
      </c>
      <c r="P5" s="55" t="str">
        <f>IFERROR(VLOOKUP($E5&amp;"|"&amp;$J5+P$3,'BD Original'!$A:$Z,15,0),"")</f>
        <v/>
      </c>
      <c r="Q5" s="68">
        <f>IFERROR(AVERAGE(L5:P5),0)</f>
        <v>147782.72</v>
      </c>
      <c r="R5" s="56">
        <f>COUNT(L5:P5)</f>
        <v>1</v>
      </c>
      <c r="S5" s="55">
        <f>IFERROR(VLOOKUP($E5&amp;"|"&amp;$J5+(K5-J5),'BD Original'!$A:$Z,15,0),"")</f>
        <v>147782.72</v>
      </c>
      <c r="T5" s="66" t="str">
        <f t="shared" ref="T5:T10" si="0">IFERROR((S5/L5)^(1/(R5-1))-1,"NA")</f>
        <v>NA</v>
      </c>
      <c r="U5" s="55">
        <f>IFERROR(VLOOKUP($E5&amp;"|"&amp;$J5+(K5-J5),'BD Original'!$A:$Z,16,0),"")</f>
        <v>147782.72</v>
      </c>
      <c r="V5" s="58">
        <f>SUMIF('BD Original'!G:G,E5,'BD Original'!R:R)</f>
        <v>0</v>
      </c>
      <c r="W5" s="57">
        <f>V5/Q5</f>
        <v>0</v>
      </c>
      <c r="X5" s="66">
        <f t="shared" ref="X5" si="1">W5/R5*12</f>
        <v>0</v>
      </c>
      <c r="Y5" s="66">
        <f>IFERROR(1-((S5-U5)+V5)/(S5+V5),0)</f>
        <v>1</v>
      </c>
      <c r="Z5" s="55">
        <f>SUMIF('BD Original'!G:G,E5,'BD Original'!T:T)</f>
        <v>0</v>
      </c>
      <c r="AA5" s="55">
        <f>SUMIF('BD Original'!G:G,E5,'BD Original'!U:U)</f>
        <v>152999.4</v>
      </c>
      <c r="AB5" s="66" t="str">
        <f>IFERROR(AA5/Z5,"NA")</f>
        <v>NA</v>
      </c>
      <c r="AC5" s="55">
        <f>SUMIF('BD Original'!G:G,E5,'BD Original'!V:V)</f>
        <v>2</v>
      </c>
      <c r="AD5" s="69">
        <f>IFERROR(AC5/VLOOKUP(E5,'BD Original'!G:I,3,0),0)</f>
        <v>0.05</v>
      </c>
      <c r="AE5" s="58">
        <f>SUMIF('BD Original'!G:G,E5,'BD Original'!W:W)</f>
        <v>0</v>
      </c>
      <c r="AF5" s="58">
        <f>SUMIF('BD Original'!G:G,E5,'BD Original'!X:X)</f>
        <v>0</v>
      </c>
      <c r="AG5" s="66">
        <f>IFERROR(SUMIF('BD Original'!G:G,E5,'BD Original'!X:X)/SUMIF('BD Original'!G:G,E5,'BD Original'!W:W),0)</f>
        <v>0</v>
      </c>
      <c r="AH5" s="58">
        <f>SUMIF('BD Original'!G:G,E5,'BD Original'!Y:Y)</f>
        <v>2387.5</v>
      </c>
      <c r="AI5" s="58">
        <f>SUMIF('BD Original'!G:G,E5,'BD Original'!Z:Z)</f>
        <v>3737.5</v>
      </c>
      <c r="AJ5" s="66">
        <f>AI5/AH5</f>
        <v>1.5654450261780104</v>
      </c>
      <c r="AK5" s="58">
        <f>IFERROR(((Q5*0.89/12*R5)-(Q5*0.2/12*R5)-(10000*R5-AI5-V5))/R5,0)</f>
        <v>2235.0064000000002</v>
      </c>
      <c r="AL5" s="71" t="str">
        <f>VLOOKUP(E5,'BD Original'!G:K,5,0)</f>
        <v>&lt; 3 Meses</v>
      </c>
      <c r="AM5" s="71" t="str">
        <f>VLOOKUP(Q5,Etiquetas!E:F,2)</f>
        <v>1 Pequeño ≤ 500k</v>
      </c>
      <c r="AN5" s="71" t="str">
        <f>IFERROR(VLOOKUP(T5,Etiquetas!H:I,2),0)</f>
        <v>NA</v>
      </c>
      <c r="AO5" s="71" t="str">
        <f>VLOOKUP(AG5,Etiquetas!K:M,2)</f>
        <v>1 Bajo Extremo</v>
      </c>
      <c r="AP5" s="70">
        <f>VLOOKUP(AG5,Etiquetas!K:M,3)</f>
        <v>30</v>
      </c>
      <c r="AQ5" s="51" t="str">
        <f>VLOOKUP(AD5,Etiquetas!O:Q,2)</f>
        <v>1 Bajo Extremo</v>
      </c>
      <c r="AR5" s="70">
        <f>VLOOKUP(AD5,Etiquetas!O:Q,3)</f>
        <v>30</v>
      </c>
      <c r="AS5" s="51" t="str">
        <f>VLOOKUP(AB5,Etiquetas!S:U,2)</f>
        <v>NA</v>
      </c>
      <c r="AT5" s="70">
        <f>VLOOKUP(AB5,Etiquetas!S:U,3)</f>
        <v>0</v>
      </c>
      <c r="AU5" s="70">
        <f>AP5*$AP$2+AR5*$AR$2+AT5*$AT$2</f>
        <v>18</v>
      </c>
      <c r="AV5" s="70" t="str">
        <f>VLOOKUP(AU5,Etiquetas!W:X,2)</f>
        <v>1 Mal Vendedor</v>
      </c>
      <c r="AW5" s="51" t="str">
        <f>VLOOKUP(Y5,Etiquetas!Z:AB,2)</f>
        <v>7 Sobresaliente</v>
      </c>
      <c r="AX5" s="70">
        <f>VLOOKUP(Y5,Etiquetas!Z:AB,3)</f>
        <v>110</v>
      </c>
      <c r="AY5" s="51" t="str">
        <f>VLOOKUP(AJ5,Etiquetas!AD:AF,2)</f>
        <v>5 Sobresaliente</v>
      </c>
      <c r="AZ5" s="70">
        <f>VLOOKUP(AJ5,Etiquetas!AD:AF,3)</f>
        <v>90</v>
      </c>
      <c r="BA5" s="79">
        <f>AU5*$AU$1+AX5*$AX$1+AZ5*$AZ$1</f>
        <v>62</v>
      </c>
      <c r="BB5" s="46" t="str">
        <f>"Antiguedad: "&amp;AL5&amp;"|Tamaño Cartera: "&amp;AM5&amp;"|"&amp;AV5&amp;"|Calidad Cartera: "&amp;AW5&amp;"|Alcance Incentivos: "&amp;AY5</f>
        <v>Antiguedad: &lt; 3 Meses|Tamaño Cartera: 1 Pequeño ≤ 500k|1 Mal Vendedor|Calidad Cartera: 7 Sobresaliente|Alcance Incentivos: 5 Sobresaliente</v>
      </c>
    </row>
    <row r="6" spans="2:54" x14ac:dyDescent="0.2">
      <c r="B6" s="46" t="s">
        <v>63</v>
      </c>
      <c r="C6" s="51" t="s">
        <v>68</v>
      </c>
      <c r="D6" s="47">
        <v>31096</v>
      </c>
      <c r="E6" s="52" t="s">
        <v>69</v>
      </c>
      <c r="F6" s="53">
        <v>45041</v>
      </c>
      <c r="G6" s="53">
        <v>45214</v>
      </c>
      <c r="H6" s="53" t="str">
        <f t="shared" ref="H6:H69" si="2">IF(G6=0,"ACTIVO","BAJA")</f>
        <v>BAJA</v>
      </c>
      <c r="I6" s="54" t="str">
        <f t="shared" ref="I6:I68" si="3">IF(P6=0,"SI","NO")</f>
        <v>NO</v>
      </c>
      <c r="J6" s="47">
        <f>VLOOKUP(E6,'BD Original'!G:L,6,0)</f>
        <v>3</v>
      </c>
      <c r="K6" s="47">
        <f>VLOOKUP(E6,'BD Original'!G:M,7,0)</f>
        <v>5</v>
      </c>
      <c r="L6" s="55">
        <f>IF(VLOOKUP($E6&amp;"|"&amp;$J6+L$3,'BD Original'!$A:$Z,15,0)=0,"",IFERROR(VLOOKUP($E6&amp;"|"&amp;$J6+L$3,'BD Original'!$A:$Z,15,0),""))</f>
        <v>1318217.7500000005</v>
      </c>
      <c r="M6" s="55">
        <f>IFERROR(VLOOKUP($E6&amp;"|"&amp;$J6+M$3,'BD Original'!$A:$Z,15,0),"")</f>
        <v>1240496.8400000001</v>
      </c>
      <c r="N6" s="55">
        <f>IFERROR(VLOOKUP($E6&amp;"|"&amp;$J6+N$3,'BD Original'!$A:$Z,15,0),"")</f>
        <v>1044506.0099999999</v>
      </c>
      <c r="O6" s="55" t="str">
        <f>IFERROR(VLOOKUP($E6&amp;"|"&amp;$J6+O$3,'BD Original'!$A:$Z,15,0),"")</f>
        <v/>
      </c>
      <c r="P6" s="55" t="str">
        <f>IFERROR(VLOOKUP($E6&amp;"|"&amp;$J6+P$3,'BD Original'!$A:$Z,15,0),"")</f>
        <v/>
      </c>
      <c r="Q6" s="68">
        <f t="shared" ref="Q6:Q68" si="4">IFERROR(AVERAGE(L6:P6),0)</f>
        <v>1201073.5333333334</v>
      </c>
      <c r="R6" s="56">
        <f t="shared" ref="R6:R68" si="5">COUNT(L6:P6)</f>
        <v>3</v>
      </c>
      <c r="S6" s="55">
        <f>IFERROR(VLOOKUP($E6&amp;"|"&amp;$J6+(K6-J6),'BD Original'!$A:$Z,15,0),"")</f>
        <v>1044506.0099999999</v>
      </c>
      <c r="T6" s="66">
        <f t="shared" si="0"/>
        <v>-0.10985266896283996</v>
      </c>
      <c r="U6" s="55">
        <f>IFERROR(VLOOKUP($E6&amp;"|"&amp;$J6+(K6-J6),'BD Original'!$A:$Z,16,0),"")</f>
        <v>824039.17999999993</v>
      </c>
      <c r="V6" s="58">
        <f>SUMIF('BD Original'!G:G,E6,'BD Original'!R:R)</f>
        <v>30262.04</v>
      </c>
      <c r="W6" s="57">
        <f t="shared" ref="W6:W69" si="6">V6/Q6</f>
        <v>2.519582620059399E-2</v>
      </c>
      <c r="X6" s="66">
        <f>W6/R6*12</f>
        <v>0.10078330480237596</v>
      </c>
      <c r="Y6" s="66">
        <f t="shared" ref="Y6:Y69" si="7">IFERROR(1-((S6-U6)+V6)/(S6+V6),0)</f>
        <v>0.76671350623048384</v>
      </c>
      <c r="Z6" s="55">
        <f>SUMIF('BD Original'!G:G,E6,'BD Original'!T:T)</f>
        <v>2088621.3274000003</v>
      </c>
      <c r="AA6" s="55">
        <f>SUMIF('BD Original'!G:G,E6,'BD Original'!U:U)</f>
        <v>771500.24</v>
      </c>
      <c r="AB6" s="66">
        <f t="shared" ref="AB6:AB69" si="8">IFERROR(AA6/Z6,"NA")</f>
        <v>0.36938253472705579</v>
      </c>
      <c r="AC6" s="55">
        <f>SUMIF('BD Original'!G:G,E6,'BD Original'!V:V)</f>
        <v>36</v>
      </c>
      <c r="AD6" s="69">
        <f>IFERROR(AC6/VLOOKUP(E6,'BD Original'!G:I,3,0),0)</f>
        <v>0.37113402061855671</v>
      </c>
      <c r="AE6" s="58">
        <f>SUMIF('BD Original'!G:G,E6,'BD Original'!W:W)</f>
        <v>161</v>
      </c>
      <c r="AF6" s="58">
        <f>SUMIF('BD Original'!G:G,E6,'BD Original'!X:X)</f>
        <v>42</v>
      </c>
      <c r="AG6" s="66">
        <f>IFERROR(SUMIF('BD Original'!G:G,E6,'BD Original'!X:X)/SUMIF('BD Original'!G:G,E6,'BD Original'!W:W),0)</f>
        <v>0.2608695652173913</v>
      </c>
      <c r="AH6" s="58">
        <f>SUMIF('BD Original'!G:G,E6,'BD Original'!Y:Y)</f>
        <v>51249.596631973633</v>
      </c>
      <c r="AI6" s="58">
        <f>SUMIF('BD Original'!G:G,E6,'BD Original'!Z:Z)</f>
        <v>4447.5</v>
      </c>
      <c r="AJ6" s="66">
        <f t="shared" ref="AJ6:AJ69" si="9">AI6/AH6</f>
        <v>8.678117082438247E-2</v>
      </c>
      <c r="AK6" s="58">
        <f t="shared" ref="AK6:AK69" si="10">IFERROR(((Q6*0.89/12*R6)-(Q6*0.2/12*R6)-(10000*R6-AI6-V6))/R6,0)</f>
        <v>70631.574833333332</v>
      </c>
      <c r="AL6" s="71" t="str">
        <f>VLOOKUP(E6,'BD Original'!G:K,5,0)</f>
        <v>3 a 6 Meses</v>
      </c>
      <c r="AM6" s="71" t="str">
        <f>VLOOKUP(Q6,Etiquetas!E:F,2)</f>
        <v>3 Mediana ≥ 1MM</v>
      </c>
      <c r="AN6" s="71" t="str">
        <f>IFERROR(VLOOKUP(T6,Etiquetas!H:I,2),0)</f>
        <v>2 Decrecimiento entre 0.1% y 50%</v>
      </c>
      <c r="AO6" s="71" t="str">
        <f>VLOOKUP(AG6,Etiquetas!K:M,2)</f>
        <v>1 Bajo Extremo</v>
      </c>
      <c r="AP6" s="70">
        <f>VLOOKUP(AG6,Etiquetas!K:M,3)</f>
        <v>30</v>
      </c>
      <c r="AQ6" s="51" t="str">
        <f>VLOOKUP(AD6,Etiquetas!O:Q,2)</f>
        <v>1 Bajo Extremo</v>
      </c>
      <c r="AR6" s="70">
        <f>VLOOKUP(AD6,Etiquetas!O:Q,3)</f>
        <v>30</v>
      </c>
      <c r="AS6" s="51" t="str">
        <f>VLOOKUP(AB6,Etiquetas!S:U,2)</f>
        <v>2 Bajo</v>
      </c>
      <c r="AT6" s="70">
        <f>VLOOKUP(AB6,Etiquetas!S:U,3)</f>
        <v>30</v>
      </c>
      <c r="AU6" s="70">
        <f t="shared" ref="AU6:AU69" si="11">AP6*$AP$2+AR6*$AR$2+AT6*$AT$2</f>
        <v>30</v>
      </c>
      <c r="AV6" s="70" t="str">
        <f>VLOOKUP(AU6,Etiquetas!W:X,2)</f>
        <v>1 Mal Vendedor</v>
      </c>
      <c r="AW6" s="51" t="str">
        <f>VLOOKUP(Y6,Etiquetas!Z:AB,2)</f>
        <v>2 Bajo</v>
      </c>
      <c r="AX6" s="70">
        <f>VLOOKUP(Y6,Etiquetas!Z:AB,3)</f>
        <v>50</v>
      </c>
      <c r="AY6" s="51" t="str">
        <f>VLOOKUP(AJ6,Etiquetas!AD:AF,2)</f>
        <v>1 Bajo</v>
      </c>
      <c r="AZ6" s="70">
        <f>VLOOKUP(AJ6,Etiquetas!AD:AF,3)</f>
        <v>30</v>
      </c>
      <c r="BA6" s="79">
        <f t="shared" ref="BA6:BA69" si="12">AU6*$AU$1+AX6*$AX$1+AZ6*$AZ$1</f>
        <v>38</v>
      </c>
      <c r="BB6" s="46" t="str">
        <f t="shared" ref="BB6:BB69" si="13">"Antiguedad: "&amp;AL6&amp;"|Tamaño Cartera: "&amp;AM6&amp;"|"&amp;AV6&amp;"|Calidad Cartera: "&amp;AW6&amp;"|Alcance Incentivos: "&amp;AY6</f>
        <v>Antiguedad: 3 a 6 Meses|Tamaño Cartera: 3 Mediana ≥ 1MM|1 Mal Vendedor|Calidad Cartera: 2 Bajo|Alcance Incentivos: 1 Bajo</v>
      </c>
    </row>
    <row r="7" spans="2:54" x14ac:dyDescent="0.2">
      <c r="B7" s="46" t="s">
        <v>63</v>
      </c>
      <c r="C7" s="51" t="s">
        <v>68</v>
      </c>
      <c r="D7" s="47">
        <v>32491</v>
      </c>
      <c r="E7" s="52" t="s">
        <v>95</v>
      </c>
      <c r="F7" s="53">
        <v>45091</v>
      </c>
      <c r="G7" s="53">
        <v>45149</v>
      </c>
      <c r="H7" s="53" t="str">
        <f t="shared" si="2"/>
        <v>BAJA</v>
      </c>
      <c r="I7" s="54" t="str">
        <f t="shared" si="3"/>
        <v>NO</v>
      </c>
      <c r="J7" s="47">
        <f>VLOOKUP(E7,'BD Original'!G:L,6,0)</f>
        <v>1</v>
      </c>
      <c r="K7" s="47">
        <f>VLOOKUP(E7,'BD Original'!G:M,7,0)</f>
        <v>1</v>
      </c>
      <c r="L7" s="55">
        <f>IF(VLOOKUP($E7&amp;"|"&amp;$J7+L$3,'BD Original'!$A:$Z,15,0)=0,"",IFERROR(VLOOKUP($E7&amp;"|"&amp;$J7+L$3,'BD Original'!$A:$Z,15,0),""))</f>
        <v>472340.91</v>
      </c>
      <c r="M7" s="55" t="str">
        <f>IFERROR(VLOOKUP($E7&amp;"|"&amp;$J7+M$3,'BD Original'!$A:$Z,15,0),"")</f>
        <v/>
      </c>
      <c r="N7" s="55" t="str">
        <f>IFERROR(VLOOKUP($E7&amp;"|"&amp;$J7+N$3,'BD Original'!$A:$Z,15,0),"")</f>
        <v/>
      </c>
      <c r="O7" s="55" t="str">
        <f>IFERROR(VLOOKUP($E7&amp;"|"&amp;$J7+O$3,'BD Original'!$A:$Z,15,0),"")</f>
        <v/>
      </c>
      <c r="P7" s="55" t="str">
        <f>IFERROR(VLOOKUP($E7&amp;"|"&amp;$J7+P$3,'BD Original'!$A:$Z,15,0),"")</f>
        <v/>
      </c>
      <c r="Q7" s="68">
        <f t="shared" si="4"/>
        <v>472340.91</v>
      </c>
      <c r="R7" s="56">
        <f t="shared" si="5"/>
        <v>1</v>
      </c>
      <c r="S7" s="55">
        <f>IFERROR(VLOOKUP($E7&amp;"|"&amp;$J7+(K7-J7),'BD Original'!$A:$Z,15,0),"")</f>
        <v>472340.91</v>
      </c>
      <c r="T7" s="66" t="str">
        <f t="shared" si="0"/>
        <v>NA</v>
      </c>
      <c r="U7" s="55">
        <f>IFERROR(VLOOKUP($E7&amp;"|"&amp;$J7+(K7-J7),'BD Original'!$A:$Z,16,0),"")</f>
        <v>402486.84</v>
      </c>
      <c r="V7" s="58">
        <f>SUMIF('BD Original'!G:G,E7,'BD Original'!R:R)</f>
        <v>0</v>
      </c>
      <c r="W7" s="57">
        <f t="shared" si="6"/>
        <v>0</v>
      </c>
      <c r="X7" s="66">
        <f t="shared" ref="X7:X70" si="14">W7/R7*12</f>
        <v>0</v>
      </c>
      <c r="Y7" s="66">
        <f t="shared" si="7"/>
        <v>0.85211090438895087</v>
      </c>
      <c r="Z7" s="55">
        <f>SUMIF('BD Original'!G:G,E7,'BD Original'!T:T)</f>
        <v>0</v>
      </c>
      <c r="AA7" s="55">
        <f>SUMIF('BD Original'!G:G,E7,'BD Original'!U:U)</f>
        <v>130500.37999999999</v>
      </c>
      <c r="AB7" s="66" t="str">
        <f t="shared" si="8"/>
        <v>NA</v>
      </c>
      <c r="AC7" s="55">
        <f>SUMIF('BD Original'!G:G,E7,'BD Original'!V:V)</f>
        <v>20</v>
      </c>
      <c r="AD7" s="69">
        <f>IFERROR(AC7/VLOOKUP(E7,'BD Original'!G:I,3,0),0)</f>
        <v>0.42553191489361702</v>
      </c>
      <c r="AE7" s="58">
        <f>SUMIF('BD Original'!G:G,E7,'BD Original'!W:W)</f>
        <v>47</v>
      </c>
      <c r="AF7" s="58">
        <f>SUMIF('BD Original'!G:G,E7,'BD Original'!X:X)</f>
        <v>29</v>
      </c>
      <c r="AG7" s="66">
        <f>IFERROR(SUMIF('BD Original'!G:G,E7,'BD Original'!X:X)/SUMIF('BD Original'!G:G,E7,'BD Original'!W:W),0)</f>
        <v>0.61702127659574468</v>
      </c>
      <c r="AH7" s="58">
        <f>SUMIF('BD Original'!G:G,E7,'BD Original'!Y:Y)</f>
        <v>2812.5</v>
      </c>
      <c r="AI7" s="58">
        <f>SUMIF('BD Original'!G:G,E7,'BD Original'!Z:Z)</f>
        <v>2000</v>
      </c>
      <c r="AJ7" s="66">
        <f t="shared" si="9"/>
        <v>0.71111111111111114</v>
      </c>
      <c r="AK7" s="58">
        <f t="shared" si="10"/>
        <v>19159.602325</v>
      </c>
      <c r="AL7" s="71" t="str">
        <f>VLOOKUP(E7,'BD Original'!G:K,5,0)</f>
        <v>&lt; 3 Meses</v>
      </c>
      <c r="AM7" s="71" t="str">
        <f>VLOOKUP(Q7,Etiquetas!E:F,2)</f>
        <v>1 Pequeño ≤ 500k</v>
      </c>
      <c r="AN7" s="71" t="str">
        <f>IFERROR(VLOOKUP(T7,Etiquetas!H:I,2),0)</f>
        <v>NA</v>
      </c>
      <c r="AO7" s="71" t="str">
        <f>VLOOKUP(AG7,Etiquetas!K:M,2)</f>
        <v>3 Medio Bajo</v>
      </c>
      <c r="AP7" s="70">
        <f>VLOOKUP(AG7,Etiquetas!K:M,3)</f>
        <v>70</v>
      </c>
      <c r="AQ7" s="51" t="str">
        <f>VLOOKUP(AD7,Etiquetas!O:Q,2)</f>
        <v>1 Bajo Extremo</v>
      </c>
      <c r="AR7" s="70">
        <f>VLOOKUP(AD7,Etiquetas!O:Q,3)</f>
        <v>30</v>
      </c>
      <c r="AS7" s="51" t="str">
        <f>VLOOKUP(AB7,Etiquetas!S:U,2)</f>
        <v>NA</v>
      </c>
      <c r="AT7" s="70">
        <f>VLOOKUP(AB7,Etiquetas!S:U,3)</f>
        <v>0</v>
      </c>
      <c r="AU7" s="70">
        <f t="shared" si="11"/>
        <v>34</v>
      </c>
      <c r="AV7" s="70" t="str">
        <f>VLOOKUP(AU7,Etiquetas!W:X,2)</f>
        <v>1 Mal Vendedor</v>
      </c>
      <c r="AW7" s="51" t="str">
        <f>VLOOKUP(Y7,Etiquetas!Z:AB,2)</f>
        <v>3 Medio Bajo</v>
      </c>
      <c r="AX7" s="70">
        <f>VLOOKUP(Y7,Etiquetas!Z:AB,3)</f>
        <v>70</v>
      </c>
      <c r="AY7" s="51" t="str">
        <f>VLOOKUP(AJ7,Etiquetas!AD:AF,2)</f>
        <v>3 Medio Alto</v>
      </c>
      <c r="AZ7" s="70">
        <f>VLOOKUP(AJ7,Etiquetas!AD:AF,3)</f>
        <v>70</v>
      </c>
      <c r="BA7" s="79">
        <f t="shared" si="12"/>
        <v>52</v>
      </c>
      <c r="BB7" s="46" t="str">
        <f t="shared" si="13"/>
        <v>Antiguedad: &lt; 3 Meses|Tamaño Cartera: 1 Pequeño ≤ 500k|1 Mal Vendedor|Calidad Cartera: 3 Medio Bajo|Alcance Incentivos: 3 Medio Alto</v>
      </c>
    </row>
    <row r="8" spans="2:54" x14ac:dyDescent="0.2">
      <c r="B8" s="46" t="s">
        <v>109</v>
      </c>
      <c r="C8" s="51" t="s">
        <v>40</v>
      </c>
      <c r="D8" s="47">
        <v>20314</v>
      </c>
      <c r="E8" s="52" t="s">
        <v>41</v>
      </c>
      <c r="F8" s="53">
        <v>44634</v>
      </c>
      <c r="G8" s="53">
        <v>45268</v>
      </c>
      <c r="H8" s="53" t="str">
        <f t="shared" si="2"/>
        <v>BAJA</v>
      </c>
      <c r="I8" s="54" t="str">
        <f t="shared" si="3"/>
        <v>NO</v>
      </c>
      <c r="J8" s="47">
        <f>VLOOKUP(E8,'BD Original'!G:L,6,0)</f>
        <v>16</v>
      </c>
      <c r="K8" s="47">
        <f>VLOOKUP(E8,'BD Original'!G:M,7,0)</f>
        <v>20</v>
      </c>
      <c r="L8" s="55">
        <f>IF(VLOOKUP($E8&amp;"|"&amp;$J8+L$3,'BD Original'!$A:$Z,15,0)=0,"",IFERROR(VLOOKUP($E8&amp;"|"&amp;$J8+L$3,'BD Original'!$A:$Z,15,0),""))</f>
        <v>1361066.6299999997</v>
      </c>
      <c r="M8" s="55">
        <f>IFERROR(VLOOKUP($E8&amp;"|"&amp;$J8+M$3,'BD Original'!$A:$Z,15,0),"")</f>
        <v>1170570.54</v>
      </c>
      <c r="N8" s="55">
        <f>IFERROR(VLOOKUP($E8&amp;"|"&amp;$J8+N$3,'BD Original'!$A:$Z,15,0),"")</f>
        <v>1064137.6600000001</v>
      </c>
      <c r="O8" s="55">
        <f>IFERROR(VLOOKUP($E8&amp;"|"&amp;$J8+O$3,'BD Original'!$A:$Z,15,0),"")</f>
        <v>1238700.4699999997</v>
      </c>
      <c r="P8" s="55">
        <f>IFERROR(VLOOKUP($E8&amp;"|"&amp;$J8+P$3,'BD Original'!$A:$Z,15,0),"")</f>
        <v>1144337.3899999999</v>
      </c>
      <c r="Q8" s="68">
        <f t="shared" si="4"/>
        <v>1195762.5379999999</v>
      </c>
      <c r="R8" s="56">
        <f t="shared" si="5"/>
        <v>5</v>
      </c>
      <c r="S8" s="55">
        <f>IFERROR(VLOOKUP($E8&amp;"|"&amp;$J8+(K8-J8),'BD Original'!$A:$Z,15,0),"")</f>
        <v>1144337.3899999999</v>
      </c>
      <c r="T8" s="66">
        <f t="shared" si="0"/>
        <v>-4.2434092194255646E-2</v>
      </c>
      <c r="U8" s="55">
        <f>IFERROR(VLOOKUP($E8&amp;"|"&amp;$J8+(K8-J8),'BD Original'!$A:$Z,16,0),"")</f>
        <v>1061477.1399999999</v>
      </c>
      <c r="V8" s="58">
        <f>SUMIF('BD Original'!G:G,E8,'BD Original'!R:R)</f>
        <v>79227.75</v>
      </c>
      <c r="W8" s="57">
        <f t="shared" si="6"/>
        <v>6.625709326244171E-2</v>
      </c>
      <c r="X8" s="66">
        <f t="shared" si="14"/>
        <v>0.1590170238298601</v>
      </c>
      <c r="Y8" s="66">
        <f t="shared" si="7"/>
        <v>0.8675280990761145</v>
      </c>
      <c r="Z8" s="55">
        <f>SUMIF('BD Original'!G:G,E8,'BD Original'!T:T)</f>
        <v>3174096.7095500003</v>
      </c>
      <c r="AA8" s="55">
        <f>SUMIF('BD Original'!G:G,E8,'BD Original'!U:U)</f>
        <v>1883144.76</v>
      </c>
      <c r="AB8" s="66">
        <f t="shared" si="8"/>
        <v>0.59328525004739951</v>
      </c>
      <c r="AC8" s="55">
        <f>SUMIF('BD Original'!G:G,E8,'BD Original'!V:V)</f>
        <v>17</v>
      </c>
      <c r="AD8" s="69">
        <f>IFERROR(AC8/VLOOKUP(E8,'BD Original'!G:I,3,0),0)</f>
        <v>3.3730158730158728E-2</v>
      </c>
      <c r="AE8" s="58">
        <f>SUMIF('BD Original'!G:G,E8,'BD Original'!W:W)</f>
        <v>262</v>
      </c>
      <c r="AF8" s="58">
        <f>SUMIF('BD Original'!G:G,E8,'BD Original'!X:X)</f>
        <v>152</v>
      </c>
      <c r="AG8" s="66">
        <f>IFERROR(SUMIF('BD Original'!G:G,E8,'BD Original'!X:X)/SUMIF('BD Original'!G:G,E8,'BD Original'!W:W),0)</f>
        <v>0.58015267175572516</v>
      </c>
      <c r="AH8" s="58">
        <f>SUMIF('BD Original'!G:G,E8,'BD Original'!Y:Y)</f>
        <v>67232.714255200699</v>
      </c>
      <c r="AI8" s="58">
        <f>SUMIF('BD Original'!G:G,E8,'BD Original'!Z:Z)</f>
        <v>4098.6968349999997</v>
      </c>
      <c r="AJ8" s="66">
        <f t="shared" si="9"/>
        <v>6.0962834542753128E-2</v>
      </c>
      <c r="AK8" s="58">
        <f t="shared" si="10"/>
        <v>75421.63530200001</v>
      </c>
      <c r="AL8" s="71" t="str">
        <f>VLOOKUP(E8,'BD Original'!G:K,5,0)</f>
        <v>1 a 1.5 años</v>
      </c>
      <c r="AM8" s="71" t="str">
        <f>VLOOKUP(Q8,Etiquetas!E:F,2)</f>
        <v>3 Mediana ≥ 1MM</v>
      </c>
      <c r="AN8" s="71" t="str">
        <f>IFERROR(VLOOKUP(T8,Etiquetas!H:I,2),0)</f>
        <v>2 Decrecimiento entre 0.1% y 50%</v>
      </c>
      <c r="AO8" s="71" t="str">
        <f>VLOOKUP(AG8,Etiquetas!K:M,2)</f>
        <v>3 Medio Bajo</v>
      </c>
      <c r="AP8" s="70">
        <f>VLOOKUP(AG8,Etiquetas!K:M,3)</f>
        <v>70</v>
      </c>
      <c r="AQ8" s="51" t="str">
        <f>VLOOKUP(AD8,Etiquetas!O:Q,2)</f>
        <v>1 Bajo Extremo</v>
      </c>
      <c r="AR8" s="70">
        <f>VLOOKUP(AD8,Etiquetas!O:Q,3)</f>
        <v>30</v>
      </c>
      <c r="AS8" s="51" t="str">
        <f>VLOOKUP(AB8,Etiquetas!S:U,2)</f>
        <v>3 Medio Bajo</v>
      </c>
      <c r="AT8" s="70">
        <f>VLOOKUP(AB8,Etiquetas!S:U,3)</f>
        <v>50</v>
      </c>
      <c r="AU8" s="70">
        <f t="shared" si="11"/>
        <v>54</v>
      </c>
      <c r="AV8" s="70" t="str">
        <f>VLOOKUP(AU8,Etiquetas!W:X,2)</f>
        <v>1 Mal Vendedor</v>
      </c>
      <c r="AW8" s="51" t="str">
        <f>VLOOKUP(Y8,Etiquetas!Z:AB,2)</f>
        <v>3 Medio Bajo</v>
      </c>
      <c r="AX8" s="70">
        <f>VLOOKUP(Y8,Etiquetas!Z:AB,3)</f>
        <v>70</v>
      </c>
      <c r="AY8" s="51" t="str">
        <f>VLOOKUP(AJ8,Etiquetas!AD:AF,2)</f>
        <v>1 Bajo</v>
      </c>
      <c r="AZ8" s="70">
        <f>VLOOKUP(AJ8,Etiquetas!AD:AF,3)</f>
        <v>30</v>
      </c>
      <c r="BA8" s="79">
        <f t="shared" si="12"/>
        <v>58</v>
      </c>
      <c r="BB8" s="46" t="str">
        <f t="shared" si="13"/>
        <v>Antiguedad: 1 a 1.5 años|Tamaño Cartera: 3 Mediana ≥ 1MM|1 Mal Vendedor|Calidad Cartera: 3 Medio Bajo|Alcance Incentivos: 1 Bajo</v>
      </c>
    </row>
    <row r="9" spans="2:54" x14ac:dyDescent="0.2">
      <c r="B9" s="46" t="s">
        <v>109</v>
      </c>
      <c r="C9" s="51" t="s">
        <v>40</v>
      </c>
      <c r="D9" s="47">
        <v>20315</v>
      </c>
      <c r="E9" s="52" t="s">
        <v>42</v>
      </c>
      <c r="F9" s="53">
        <v>44634</v>
      </c>
      <c r="G9" s="53">
        <v>0</v>
      </c>
      <c r="H9" s="53" t="str">
        <f t="shared" si="2"/>
        <v>ACTIVO</v>
      </c>
      <c r="I9" s="54" t="str">
        <f t="shared" si="3"/>
        <v>NO</v>
      </c>
      <c r="J9" s="47">
        <f>VLOOKUP(E9,'BD Original'!G:L,6,0)</f>
        <v>16</v>
      </c>
      <c r="K9" s="47">
        <f>VLOOKUP(E9,'BD Original'!G:M,7,0)</f>
        <v>20</v>
      </c>
      <c r="L9" s="55">
        <f>IF(VLOOKUP($E9&amp;"|"&amp;$J9+L$3,'BD Original'!$A:$Z,15,0)=0,"",IFERROR(VLOOKUP($E9&amp;"|"&amp;$J9+L$3,'BD Original'!$A:$Z,15,0),""))</f>
        <v>880824.51</v>
      </c>
      <c r="M9" s="55">
        <f>IFERROR(VLOOKUP($E9&amp;"|"&amp;$J9+M$3,'BD Original'!$A:$Z,15,0),"")</f>
        <v>905327.28999999992</v>
      </c>
      <c r="N9" s="55">
        <f>IFERROR(VLOOKUP($E9&amp;"|"&amp;$J9+N$3,'BD Original'!$A:$Z,15,0),"")</f>
        <v>842405.35000000009</v>
      </c>
      <c r="O9" s="55">
        <f>IFERROR(VLOOKUP($E9&amp;"|"&amp;$J9+O$3,'BD Original'!$A:$Z,15,0),"")</f>
        <v>858344.55000000016</v>
      </c>
      <c r="P9" s="55">
        <f>IFERROR(VLOOKUP($E9&amp;"|"&amp;$J9+P$3,'BD Original'!$A:$Z,15,0),"")</f>
        <v>934386.79</v>
      </c>
      <c r="Q9" s="68">
        <f t="shared" si="4"/>
        <v>884257.69800000009</v>
      </c>
      <c r="R9" s="56">
        <f t="shared" si="5"/>
        <v>5</v>
      </c>
      <c r="S9" s="55">
        <f>IFERROR(VLOOKUP($E9&amp;"|"&amp;$J9+(K9-J9),'BD Original'!$A:$Z,15,0),"")</f>
        <v>934386.79</v>
      </c>
      <c r="T9" s="66">
        <f t="shared" si="0"/>
        <v>1.486745284947788E-2</v>
      </c>
      <c r="U9" s="55">
        <f>IFERROR(VLOOKUP($E9&amp;"|"&amp;$J9+(K9-J9),'BD Original'!$A:$Z,16,0),"")</f>
        <v>871262.82000000007</v>
      </c>
      <c r="V9" s="58">
        <f>SUMIF('BD Original'!G:G,E9,'BD Original'!R:R)</f>
        <v>38038.92</v>
      </c>
      <c r="W9" s="57">
        <f t="shared" si="6"/>
        <v>4.3017912183332778E-2</v>
      </c>
      <c r="X9" s="66">
        <f t="shared" si="14"/>
        <v>0.10324298923999867</v>
      </c>
      <c r="Y9" s="66">
        <f t="shared" si="7"/>
        <v>0.89596851568229319</v>
      </c>
      <c r="Z9" s="55">
        <f>SUMIF('BD Original'!G:G,E9,'BD Original'!T:T)</f>
        <v>2881646.2777500004</v>
      </c>
      <c r="AA9" s="55">
        <f>SUMIF('BD Original'!G:G,E9,'BD Original'!U:U)</f>
        <v>1567500.2100000002</v>
      </c>
      <c r="AB9" s="66">
        <f t="shared" si="8"/>
        <v>0.54395996555965564</v>
      </c>
      <c r="AC9" s="55">
        <f>SUMIF('BD Original'!G:G,E9,'BD Original'!V:V)</f>
        <v>71</v>
      </c>
      <c r="AD9" s="69">
        <f>IFERROR(AC9/VLOOKUP(E9,'BD Original'!G:I,3,0),0)</f>
        <v>0.14087301587301587</v>
      </c>
      <c r="AE9" s="58">
        <f>SUMIF('BD Original'!G:G,E9,'BD Original'!W:W)</f>
        <v>196</v>
      </c>
      <c r="AF9" s="58">
        <f>SUMIF('BD Original'!G:G,E9,'BD Original'!X:X)</f>
        <v>86</v>
      </c>
      <c r="AG9" s="66">
        <f>IFERROR(SUMIF('BD Original'!G:G,E9,'BD Original'!X:X)/SUMIF('BD Original'!G:G,E9,'BD Original'!W:W),0)</f>
        <v>0.43877551020408162</v>
      </c>
      <c r="AH9" s="58">
        <f>SUMIF('BD Original'!G:G,E9,'BD Original'!Y:Y)</f>
        <v>66910.679377828477</v>
      </c>
      <c r="AI9" s="58">
        <f>SUMIF('BD Original'!G:G,E9,'BD Original'!Z:Z)</f>
        <v>5102.4349919999995</v>
      </c>
      <c r="AJ9" s="66">
        <f t="shared" si="9"/>
        <v>7.6257408226088674E-2</v>
      </c>
      <c r="AK9" s="58">
        <f t="shared" si="10"/>
        <v>49473.08863340001</v>
      </c>
      <c r="AL9" s="71" t="str">
        <f>VLOOKUP(E9,'BD Original'!G:K,5,0)</f>
        <v>1 a 1.5 años</v>
      </c>
      <c r="AM9" s="71" t="str">
        <f>VLOOKUP(Q9,Etiquetas!E:F,2)</f>
        <v>2 Mediana ≤ 1MM</v>
      </c>
      <c r="AN9" s="71" t="str">
        <f>IFERROR(VLOOKUP(T9,Etiquetas!H:I,2),0)</f>
        <v>4 Crecimiento Muy Bajo</v>
      </c>
      <c r="AO9" s="71" t="str">
        <f>VLOOKUP(AG9,Etiquetas!K:M,2)</f>
        <v>2 Bajo</v>
      </c>
      <c r="AP9" s="70">
        <f>VLOOKUP(AG9,Etiquetas!K:M,3)</f>
        <v>50</v>
      </c>
      <c r="AQ9" s="51" t="str">
        <f>VLOOKUP(AD9,Etiquetas!O:Q,2)</f>
        <v>1 Bajo Extremo</v>
      </c>
      <c r="AR9" s="70">
        <f>VLOOKUP(AD9,Etiquetas!O:Q,3)</f>
        <v>30</v>
      </c>
      <c r="AS9" s="51" t="str">
        <f>VLOOKUP(AB9,Etiquetas!S:U,2)</f>
        <v>3 Medio Bajo</v>
      </c>
      <c r="AT9" s="70">
        <f>VLOOKUP(AB9,Etiquetas!S:U,3)</f>
        <v>50</v>
      </c>
      <c r="AU9" s="70">
        <f t="shared" si="11"/>
        <v>46</v>
      </c>
      <c r="AV9" s="70" t="str">
        <f>VLOOKUP(AU9,Etiquetas!W:X,2)</f>
        <v>1 Mal Vendedor</v>
      </c>
      <c r="AW9" s="51" t="str">
        <f>VLOOKUP(Y9,Etiquetas!Z:AB,2)</f>
        <v>3 Medio Bajo</v>
      </c>
      <c r="AX9" s="70">
        <f>VLOOKUP(Y9,Etiquetas!Z:AB,3)</f>
        <v>70</v>
      </c>
      <c r="AY9" s="51" t="str">
        <f>VLOOKUP(AJ9,Etiquetas!AD:AF,2)</f>
        <v>1 Bajo</v>
      </c>
      <c r="AZ9" s="70">
        <f>VLOOKUP(AJ9,Etiquetas!AD:AF,3)</f>
        <v>30</v>
      </c>
      <c r="BA9" s="79">
        <f t="shared" si="12"/>
        <v>54</v>
      </c>
      <c r="BB9" s="46" t="str">
        <f t="shared" si="13"/>
        <v>Antiguedad: 1 a 1.5 años|Tamaño Cartera: 2 Mediana ≤ 1MM|1 Mal Vendedor|Calidad Cartera: 3 Medio Bajo|Alcance Incentivos: 1 Bajo</v>
      </c>
    </row>
    <row r="10" spans="2:54" x14ac:dyDescent="0.2">
      <c r="B10" s="46" t="s">
        <v>109</v>
      </c>
      <c r="C10" s="51" t="s">
        <v>40</v>
      </c>
      <c r="D10" s="47">
        <v>30967</v>
      </c>
      <c r="E10" s="52" t="s">
        <v>43</v>
      </c>
      <c r="F10" s="53">
        <v>45036</v>
      </c>
      <c r="G10" s="53">
        <v>45014</v>
      </c>
      <c r="H10" s="53" t="str">
        <f t="shared" si="2"/>
        <v>BAJA</v>
      </c>
      <c r="I10" s="54" t="str">
        <f t="shared" si="3"/>
        <v>NO</v>
      </c>
      <c r="J10" s="47">
        <f>VLOOKUP(E10,'BD Original'!G:L,6,0)</f>
        <v>3</v>
      </c>
      <c r="K10" s="47">
        <f>VLOOKUP(E10,'BD Original'!G:M,7,0)</f>
        <v>7</v>
      </c>
      <c r="L10" s="55">
        <f>IF(VLOOKUP($E10&amp;"|"&amp;$J10+L$3,'BD Original'!$A:$Z,15,0)=0,"",IFERROR(VLOOKUP($E10&amp;"|"&amp;$J10+L$3,'BD Original'!$A:$Z,15,0),""))</f>
        <v>2126434.3900000006</v>
      </c>
      <c r="M10" s="55">
        <f>IFERROR(VLOOKUP($E10&amp;"|"&amp;$J10+M$3,'BD Original'!$A:$Z,15,0),"")</f>
        <v>2179159.9500000002</v>
      </c>
      <c r="N10" s="55">
        <f>IFERROR(VLOOKUP($E10&amp;"|"&amp;$J10+N$3,'BD Original'!$A:$Z,15,0),"")</f>
        <v>2072482.76</v>
      </c>
      <c r="O10" s="55">
        <f>IFERROR(VLOOKUP($E10&amp;"|"&amp;$J10+O$3,'BD Original'!$A:$Z,15,0),"")</f>
        <v>2001855.1199999999</v>
      </c>
      <c r="P10" s="55">
        <f>IFERROR(VLOOKUP($E10&amp;"|"&amp;$J10+P$3,'BD Original'!$A:$Z,15,0),"")</f>
        <v>2260776.13</v>
      </c>
      <c r="Q10" s="68">
        <f t="shared" si="4"/>
        <v>2128141.6700000004</v>
      </c>
      <c r="R10" s="56">
        <f t="shared" si="5"/>
        <v>5</v>
      </c>
      <c r="S10" s="55">
        <f>IFERROR(VLOOKUP($E10&amp;"|"&amp;$J10+(K10-J10),'BD Original'!$A:$Z,15,0),"")</f>
        <v>2260776.13</v>
      </c>
      <c r="T10" s="66">
        <f t="shared" si="0"/>
        <v>1.543327998536137E-2</v>
      </c>
      <c r="U10" s="55">
        <f>IFERROR(VLOOKUP($E10&amp;"|"&amp;$J10+(K10-J10),'BD Original'!$A:$Z,16,0),"")</f>
        <v>2009240.4900000002</v>
      </c>
      <c r="V10" s="58">
        <f>SUMIF('BD Original'!G:G,E10,'BD Original'!R:R)</f>
        <v>181381.17</v>
      </c>
      <c r="W10" s="57">
        <f t="shared" si="6"/>
        <v>8.5229838105655806E-2</v>
      </c>
      <c r="X10" s="66">
        <f t="shared" si="14"/>
        <v>0.20455161145357395</v>
      </c>
      <c r="Y10" s="66">
        <f t="shared" si="7"/>
        <v>0.82273180765219356</v>
      </c>
      <c r="Z10" s="55">
        <f>SUMIF('BD Original'!G:G,E10,'BD Original'!T:T)</f>
        <v>3868581.6667500008</v>
      </c>
      <c r="AA10" s="55">
        <f>SUMIF('BD Original'!G:G,E10,'BD Original'!U:U)</f>
        <v>3416043.1600000006</v>
      </c>
      <c r="AB10" s="66">
        <f t="shared" si="8"/>
        <v>0.88302211359798477</v>
      </c>
      <c r="AC10" s="55">
        <f>SUMIF('BD Original'!G:G,E10,'BD Original'!V:V)</f>
        <v>56</v>
      </c>
      <c r="AD10" s="69">
        <f>IFERROR(AC10/VLOOKUP(E10,'BD Original'!G:I,3,0),0)</f>
        <v>0.5490196078431373</v>
      </c>
      <c r="AE10" s="58">
        <f>SUMIF('BD Original'!G:G,E10,'BD Original'!W:W)</f>
        <v>511</v>
      </c>
      <c r="AF10" s="58">
        <f>SUMIF('BD Original'!G:G,E10,'BD Original'!X:X)</f>
        <v>279</v>
      </c>
      <c r="AG10" s="66">
        <f>IFERROR(SUMIF('BD Original'!G:G,E10,'BD Original'!X:X)/SUMIF('BD Original'!G:G,E10,'BD Original'!W:W),0)</f>
        <v>0.54598825831702547</v>
      </c>
      <c r="AH10" s="58">
        <f>SUMIF('BD Original'!G:G,E10,'BD Original'!Y:Y)</f>
        <v>79989.546086953385</v>
      </c>
      <c r="AI10" s="58">
        <f>SUMIF('BD Original'!G:G,E10,'BD Original'!Z:Z)</f>
        <v>4620</v>
      </c>
      <c r="AJ10" s="66">
        <f t="shared" si="9"/>
        <v>5.7757547404729437E-2</v>
      </c>
      <c r="AK10" s="58">
        <f t="shared" si="10"/>
        <v>149568.38002500002</v>
      </c>
      <c r="AL10" s="71" t="str">
        <f>VLOOKUP(E10,'BD Original'!G:K,5,0)</f>
        <v>3 a 6 Meses</v>
      </c>
      <c r="AM10" s="71" t="str">
        <f>VLOOKUP(Q10,Etiquetas!E:F,2)</f>
        <v>5 Grande ≤ 2MM</v>
      </c>
      <c r="AN10" s="71" t="str">
        <f>IFERROR(VLOOKUP(T10,Etiquetas!H:I,2),0)</f>
        <v>4 Crecimiento Muy Bajo</v>
      </c>
      <c r="AO10" s="71" t="str">
        <f>VLOOKUP(AG10,Etiquetas!K:M,2)</f>
        <v>3 Medio Bajo</v>
      </c>
      <c r="AP10" s="70">
        <f>VLOOKUP(AG10,Etiquetas!K:M,3)</f>
        <v>70</v>
      </c>
      <c r="AQ10" s="51" t="str">
        <f>VLOOKUP(AD10,Etiquetas!O:Q,2)</f>
        <v>1 Bajo Extremo</v>
      </c>
      <c r="AR10" s="70">
        <f>VLOOKUP(AD10,Etiquetas!O:Q,3)</f>
        <v>30</v>
      </c>
      <c r="AS10" s="51" t="str">
        <f>VLOOKUP(AB10,Etiquetas!S:U,2)</f>
        <v>5 Alto</v>
      </c>
      <c r="AT10" s="70">
        <f>VLOOKUP(AB10,Etiquetas!S:U,3)</f>
        <v>80</v>
      </c>
      <c r="AU10" s="70">
        <f t="shared" si="11"/>
        <v>66</v>
      </c>
      <c r="AV10" s="70" t="str">
        <f>VLOOKUP(AU10,Etiquetas!W:X,2)</f>
        <v>2 Medio Vendedor</v>
      </c>
      <c r="AW10" s="51" t="str">
        <f>VLOOKUP(Y10,Etiquetas!Z:AB,2)</f>
        <v>2 Bajo</v>
      </c>
      <c r="AX10" s="70">
        <f>VLOOKUP(Y10,Etiquetas!Z:AB,3)</f>
        <v>50</v>
      </c>
      <c r="AY10" s="51" t="str">
        <f>VLOOKUP(AJ10,Etiquetas!AD:AF,2)</f>
        <v>1 Bajo</v>
      </c>
      <c r="AZ10" s="70">
        <f>VLOOKUP(AJ10,Etiquetas!AD:AF,3)</f>
        <v>30</v>
      </c>
      <c r="BA10" s="79">
        <f t="shared" si="12"/>
        <v>56</v>
      </c>
      <c r="BB10" s="46" t="str">
        <f t="shared" si="13"/>
        <v>Antiguedad: 3 a 6 Meses|Tamaño Cartera: 5 Grande ≤ 2MM|2 Medio Vendedor|Calidad Cartera: 2 Bajo|Alcance Incentivos: 1 Bajo</v>
      </c>
    </row>
    <row r="11" spans="2:54" x14ac:dyDescent="0.2">
      <c r="B11" s="46" t="s">
        <v>109</v>
      </c>
      <c r="C11" s="51" t="s">
        <v>17</v>
      </c>
      <c r="D11" s="47">
        <v>25237</v>
      </c>
      <c r="E11" s="52" t="s">
        <v>18</v>
      </c>
      <c r="F11" s="53">
        <v>44824</v>
      </c>
      <c r="G11" s="53">
        <v>0</v>
      </c>
      <c r="H11" s="53" t="str">
        <f t="shared" si="2"/>
        <v>ACTIVO</v>
      </c>
      <c r="I11" s="54" t="str">
        <f t="shared" si="3"/>
        <v>NO</v>
      </c>
      <c r="J11" s="47">
        <f>VLOOKUP(E11,'BD Original'!G:L,6,0)</f>
        <v>10</v>
      </c>
      <c r="K11" s="47">
        <f>VLOOKUP(E11,'BD Original'!G:M,7,0)</f>
        <v>12</v>
      </c>
      <c r="L11" s="55">
        <f>IF(VLOOKUP($E11&amp;"|"&amp;$J11+L$3,'BD Original'!$A:$Z,15,0)=0,"",IFERROR(VLOOKUP($E11&amp;"|"&amp;$J11+L$3,'BD Original'!$A:$Z,15,0),""))</f>
        <v>1655077.1099999999</v>
      </c>
      <c r="M11" s="55">
        <f>IFERROR(VLOOKUP($E11&amp;"|"&amp;$J11+M$3,'BD Original'!$A:$Z,15,0),"")</f>
        <v>1674124.0600000005</v>
      </c>
      <c r="N11" s="55">
        <f>IFERROR(VLOOKUP($E11&amp;"|"&amp;$J11+N$3,'BD Original'!$A:$Z,15,0),"")</f>
        <v>1781623.3099999998</v>
      </c>
      <c r="O11" s="55" t="str">
        <f>IFERROR(VLOOKUP($E11&amp;"|"&amp;$J11+O$3,'BD Original'!$A:$Z,15,0),"")</f>
        <v/>
      </c>
      <c r="P11" s="55" t="str">
        <f>IFERROR(VLOOKUP($E11&amp;"|"&amp;$J11+P$3,'BD Original'!$A:$Z,15,0),"")</f>
        <v/>
      </c>
      <c r="Q11" s="68">
        <f t="shared" si="4"/>
        <v>1703608.1600000001</v>
      </c>
      <c r="R11" s="56">
        <f t="shared" si="5"/>
        <v>3</v>
      </c>
      <c r="S11" s="55">
        <f>IFERROR(VLOOKUP($E11&amp;"|"&amp;$J11+(K11-J11),'BD Original'!$A:$Z,15,0),"")</f>
        <v>1781623.3099999998</v>
      </c>
      <c r="T11" s="66">
        <f>IFERROR((S11/L11)^(1/(R11-1))-1,"NA")</f>
        <v>3.752561333091986E-2</v>
      </c>
      <c r="U11" s="55">
        <f>IFERROR(VLOOKUP($E11&amp;"|"&amp;$J11+(K11-J11),'BD Original'!$A:$Z,16,0),"")</f>
        <v>1557807.92</v>
      </c>
      <c r="V11" s="58">
        <f>SUMIF('BD Original'!G:G,E11,'BD Original'!R:R)</f>
        <v>50688.149999999994</v>
      </c>
      <c r="W11" s="57">
        <f t="shared" si="6"/>
        <v>2.975340878855616E-2</v>
      </c>
      <c r="X11" s="66">
        <f t="shared" si="14"/>
        <v>0.11901363515422464</v>
      </c>
      <c r="Y11" s="66">
        <f t="shared" si="7"/>
        <v>0.85018729293981499</v>
      </c>
      <c r="Z11" s="55">
        <f>SUMIF('BD Original'!G:G,E11,'BD Original'!T:T)</f>
        <v>3258663.6947999997</v>
      </c>
      <c r="AA11" s="55">
        <f>SUMIF('BD Original'!G:G,E11,'BD Original'!U:U)</f>
        <v>2290000.11</v>
      </c>
      <c r="AB11" s="66">
        <f t="shared" si="8"/>
        <v>0.702742082177507</v>
      </c>
      <c r="AC11" s="55">
        <f>SUMIF('BD Original'!G:G,E11,'BD Original'!V:V)</f>
        <v>42</v>
      </c>
      <c r="AD11" s="69">
        <f>IFERROR(AC11/VLOOKUP(E11,'BD Original'!G:I,3,0),0)</f>
        <v>0.13375796178343949</v>
      </c>
      <c r="AE11" s="58">
        <f>SUMIF('BD Original'!G:G,E11,'BD Original'!W:W)</f>
        <v>207</v>
      </c>
      <c r="AF11" s="58">
        <f>SUMIF('BD Original'!G:G,E11,'BD Original'!X:X)</f>
        <v>113</v>
      </c>
      <c r="AG11" s="66">
        <f>IFERROR(SUMIF('BD Original'!G:G,E11,'BD Original'!X:X)/SUMIF('BD Original'!G:G,E11,'BD Original'!W:W),0)</f>
        <v>0.54589371980676327</v>
      </c>
      <c r="AH11" s="58">
        <f>SUMIF('BD Original'!G:G,E11,'BD Original'!Y:Y)</f>
        <v>53341.273216493915</v>
      </c>
      <c r="AI11" s="58">
        <f>SUMIF('BD Original'!G:G,E11,'BD Original'!Z:Z)</f>
        <v>4160</v>
      </c>
      <c r="AJ11" s="66">
        <f t="shared" si="9"/>
        <v>7.7988389649343168E-2</v>
      </c>
      <c r="AK11" s="58">
        <f t="shared" si="10"/>
        <v>106240.18586666668</v>
      </c>
      <c r="AL11" s="71" t="str">
        <f>VLOOKUP(E11,'BD Original'!G:K,5,0)</f>
        <v>6 a 12 Meses</v>
      </c>
      <c r="AM11" s="71" t="str">
        <f>VLOOKUP(Q11,Etiquetas!E:F,2)</f>
        <v>4 Grande ≤ 1.5MM</v>
      </c>
      <c r="AN11" s="71" t="str">
        <f>IFERROR(VLOOKUP(T11,Etiquetas!H:I,2),0)</f>
        <v>4 Crecimiento Muy Bajo</v>
      </c>
      <c r="AO11" s="71" t="str">
        <f>VLOOKUP(AG11,Etiquetas!K:M,2)</f>
        <v>3 Medio Bajo</v>
      </c>
      <c r="AP11" s="70">
        <f>VLOOKUP(AG11,Etiquetas!K:M,3)</f>
        <v>70</v>
      </c>
      <c r="AQ11" s="51" t="str">
        <f>VLOOKUP(AD11,Etiquetas!O:Q,2)</f>
        <v>1 Bajo Extremo</v>
      </c>
      <c r="AR11" s="70">
        <f>VLOOKUP(AD11,Etiquetas!O:Q,3)</f>
        <v>30</v>
      </c>
      <c r="AS11" s="51" t="str">
        <f>VLOOKUP(AB11,Etiquetas!S:U,2)</f>
        <v>4 Medio Alto</v>
      </c>
      <c r="AT11" s="70">
        <f>VLOOKUP(AB11,Etiquetas!S:U,3)</f>
        <v>70</v>
      </c>
      <c r="AU11" s="70">
        <f t="shared" si="11"/>
        <v>62</v>
      </c>
      <c r="AV11" s="70" t="str">
        <f>VLOOKUP(AU11,Etiquetas!W:X,2)</f>
        <v>2 Medio Vendedor</v>
      </c>
      <c r="AW11" s="51" t="str">
        <f>VLOOKUP(Y11,Etiquetas!Z:AB,2)</f>
        <v>3 Medio Bajo</v>
      </c>
      <c r="AX11" s="70">
        <f>VLOOKUP(Y11,Etiquetas!Z:AB,3)</f>
        <v>70</v>
      </c>
      <c r="AY11" s="51" t="str">
        <f>VLOOKUP(AJ11,Etiquetas!AD:AF,2)</f>
        <v>1 Bajo</v>
      </c>
      <c r="AZ11" s="70">
        <f>VLOOKUP(AJ11,Etiquetas!AD:AF,3)</f>
        <v>30</v>
      </c>
      <c r="BA11" s="79">
        <f t="shared" si="12"/>
        <v>62</v>
      </c>
      <c r="BB11" s="46" t="str">
        <f t="shared" si="13"/>
        <v>Antiguedad: 6 a 12 Meses|Tamaño Cartera: 4 Grande ≤ 1.5MM|2 Medio Vendedor|Calidad Cartera: 3 Medio Bajo|Alcance Incentivos: 1 Bajo</v>
      </c>
    </row>
    <row r="12" spans="2:54" x14ac:dyDescent="0.2">
      <c r="B12" s="46" t="s">
        <v>109</v>
      </c>
      <c r="C12" s="51" t="s">
        <v>17</v>
      </c>
      <c r="D12" s="47">
        <v>28239</v>
      </c>
      <c r="E12" s="52" t="s">
        <v>19</v>
      </c>
      <c r="F12" s="53">
        <v>44943</v>
      </c>
      <c r="G12" s="53">
        <v>0</v>
      </c>
      <c r="H12" s="53" t="str">
        <f t="shared" si="2"/>
        <v>ACTIVO</v>
      </c>
      <c r="I12" s="54" t="str">
        <f t="shared" si="3"/>
        <v>NO</v>
      </c>
      <c r="J12" s="47">
        <f>VLOOKUP(E12,'BD Original'!G:L,6,0)</f>
        <v>6</v>
      </c>
      <c r="K12" s="47">
        <f>VLOOKUP(E12,'BD Original'!G:M,7,0)</f>
        <v>10</v>
      </c>
      <c r="L12" s="55">
        <f>IF(VLOOKUP($E12&amp;"|"&amp;$J12+L$3,'BD Original'!$A:$Z,15,0)=0,"",IFERROR(VLOOKUP($E12&amp;"|"&amp;$J12+L$3,'BD Original'!$A:$Z,15,0),""))</f>
        <v>418787.11</v>
      </c>
      <c r="M12" s="55">
        <f>IFERROR(VLOOKUP($E12&amp;"|"&amp;$J12+M$3,'BD Original'!$A:$Z,15,0),"")</f>
        <v>396423.34000000008</v>
      </c>
      <c r="N12" s="55">
        <f>IFERROR(VLOOKUP($E12&amp;"|"&amp;$J12+N$3,'BD Original'!$A:$Z,15,0),"")</f>
        <v>500316.26999999996</v>
      </c>
      <c r="O12" s="55">
        <f>IFERROR(VLOOKUP($E12&amp;"|"&amp;$J12+O$3,'BD Original'!$A:$Z,15,0),"")</f>
        <v>395042.07</v>
      </c>
      <c r="P12" s="55">
        <f>IFERROR(VLOOKUP($E12&amp;"|"&amp;$J12+P$3,'BD Original'!$A:$Z,15,0),"")</f>
        <v>796323.99</v>
      </c>
      <c r="Q12" s="68">
        <f t="shared" si="4"/>
        <v>501378.55600000004</v>
      </c>
      <c r="R12" s="56">
        <f t="shared" si="5"/>
        <v>5</v>
      </c>
      <c r="S12" s="55">
        <f>IFERROR(VLOOKUP($E12&amp;"|"&amp;$J12+(K12-J12),'BD Original'!$A:$Z,15,0),"")</f>
        <v>796323.99</v>
      </c>
      <c r="T12" s="66">
        <f t="shared" ref="T12:T75" si="15">IFERROR((S12/L12)^(1/(R12-1))-1,"NA")</f>
        <v>0.17428664945403094</v>
      </c>
      <c r="U12" s="55">
        <f>IFERROR(VLOOKUP($E12&amp;"|"&amp;$J12+(K12-J12),'BD Original'!$A:$Z,16,0),"")</f>
        <v>787562.79</v>
      </c>
      <c r="V12" s="58">
        <f>SUMIF('BD Original'!G:G,E12,'BD Original'!R:R)</f>
        <v>5394.52</v>
      </c>
      <c r="W12" s="57">
        <f t="shared" si="6"/>
        <v>1.0759375197530386E-2</v>
      </c>
      <c r="X12" s="66">
        <f t="shared" si="14"/>
        <v>2.5822500474072928E-2</v>
      </c>
      <c r="Y12" s="66">
        <f t="shared" si="7"/>
        <v>0.98234327906436891</v>
      </c>
      <c r="Z12" s="55">
        <f>SUMIF('BD Original'!G:G,E12,'BD Original'!T:T)</f>
        <v>1724339.7111999998</v>
      </c>
      <c r="AA12" s="55">
        <f>SUMIF('BD Original'!G:G,E12,'BD Original'!U:U)</f>
        <v>976500.4</v>
      </c>
      <c r="AB12" s="66">
        <f t="shared" si="8"/>
        <v>0.56630395603453065</v>
      </c>
      <c r="AC12" s="55">
        <f>SUMIF('BD Original'!G:G,E12,'BD Original'!V:V)</f>
        <v>61</v>
      </c>
      <c r="AD12" s="69">
        <f>IFERROR(AC12/VLOOKUP(E12,'BD Original'!G:I,3,0),0)</f>
        <v>0.31282051282051282</v>
      </c>
      <c r="AE12" s="58">
        <f>SUMIF('BD Original'!G:G,E12,'BD Original'!W:W)</f>
        <v>88</v>
      </c>
      <c r="AF12" s="58">
        <f>SUMIF('BD Original'!G:G,E12,'BD Original'!X:X)</f>
        <v>46</v>
      </c>
      <c r="AG12" s="66">
        <f>IFERROR(SUMIF('BD Original'!G:G,E12,'BD Original'!X:X)/SUMIF('BD Original'!G:G,E12,'BD Original'!W:W),0)</f>
        <v>0.52272727272727271</v>
      </c>
      <c r="AH12" s="58">
        <f>SUMIF('BD Original'!G:G,E12,'BD Original'!Y:Y)</f>
        <v>36243.471038656047</v>
      </c>
      <c r="AI12" s="58">
        <f>SUMIF('BD Original'!G:G,E12,'BD Original'!Z:Z)</f>
        <v>8842.93</v>
      </c>
      <c r="AJ12" s="66">
        <f t="shared" si="9"/>
        <v>0.24398684084558109</v>
      </c>
      <c r="AK12" s="58">
        <f t="shared" si="10"/>
        <v>21676.756969999995</v>
      </c>
      <c r="AL12" s="71" t="str">
        <f>VLOOKUP(E12,'BD Original'!G:K,5,0)</f>
        <v>6 a 12 Meses</v>
      </c>
      <c r="AM12" s="71" t="str">
        <f>VLOOKUP(Q12,Etiquetas!E:F,2)</f>
        <v>2 Mediana ≤ 1MM</v>
      </c>
      <c r="AN12" s="71" t="str">
        <f>IFERROR(VLOOKUP(T12,Etiquetas!H:I,2),0)</f>
        <v>5 Crecimiento Medio</v>
      </c>
      <c r="AO12" s="71" t="str">
        <f>VLOOKUP(AG12,Etiquetas!K:M,2)</f>
        <v>3 Medio Bajo</v>
      </c>
      <c r="AP12" s="70">
        <f>VLOOKUP(AG12,Etiquetas!K:M,3)</f>
        <v>70</v>
      </c>
      <c r="AQ12" s="51" t="str">
        <f>VLOOKUP(AD12,Etiquetas!O:Q,2)</f>
        <v>1 Bajo Extremo</v>
      </c>
      <c r="AR12" s="70">
        <f>VLOOKUP(AD12,Etiquetas!O:Q,3)</f>
        <v>30</v>
      </c>
      <c r="AS12" s="51" t="str">
        <f>VLOOKUP(AB12,Etiquetas!S:U,2)</f>
        <v>3 Medio Bajo</v>
      </c>
      <c r="AT12" s="70">
        <f>VLOOKUP(AB12,Etiquetas!S:U,3)</f>
        <v>50</v>
      </c>
      <c r="AU12" s="70">
        <f t="shared" si="11"/>
        <v>54</v>
      </c>
      <c r="AV12" s="70" t="str">
        <f>VLOOKUP(AU12,Etiquetas!W:X,2)</f>
        <v>1 Mal Vendedor</v>
      </c>
      <c r="AW12" s="51" t="str">
        <f>VLOOKUP(Y12,Etiquetas!Z:AB,2)</f>
        <v>5 Alto</v>
      </c>
      <c r="AX12" s="70">
        <f>VLOOKUP(Y12,Etiquetas!Z:AB,3)</f>
        <v>90</v>
      </c>
      <c r="AY12" s="51" t="str">
        <f>VLOOKUP(AJ12,Etiquetas!AD:AF,2)</f>
        <v>1 Bajo</v>
      </c>
      <c r="AZ12" s="70">
        <f>VLOOKUP(AJ12,Etiquetas!AD:AF,3)</f>
        <v>30</v>
      </c>
      <c r="BA12" s="79">
        <f t="shared" si="12"/>
        <v>66</v>
      </c>
      <c r="BB12" s="46" t="str">
        <f t="shared" si="13"/>
        <v>Antiguedad: 6 a 12 Meses|Tamaño Cartera: 2 Mediana ≤ 1MM|1 Mal Vendedor|Calidad Cartera: 5 Alto|Alcance Incentivos: 1 Bajo</v>
      </c>
    </row>
    <row r="13" spans="2:54" x14ac:dyDescent="0.2">
      <c r="B13" s="46" t="s">
        <v>109</v>
      </c>
      <c r="C13" s="51" t="s">
        <v>17</v>
      </c>
      <c r="D13" s="47">
        <v>28894</v>
      </c>
      <c r="E13" s="52" t="s">
        <v>20</v>
      </c>
      <c r="F13" s="53">
        <v>44966</v>
      </c>
      <c r="G13" s="53">
        <v>0</v>
      </c>
      <c r="H13" s="53" t="str">
        <f t="shared" si="2"/>
        <v>ACTIVO</v>
      </c>
      <c r="I13" s="54" t="str">
        <f t="shared" si="3"/>
        <v>NO</v>
      </c>
      <c r="J13" s="47">
        <f>VLOOKUP(E13,'BD Original'!G:L,6,0)</f>
        <v>5</v>
      </c>
      <c r="K13" s="47">
        <f>VLOOKUP(E13,'BD Original'!G:M,7,0)</f>
        <v>7</v>
      </c>
      <c r="L13" s="55">
        <f>IF(VLOOKUP($E13&amp;"|"&amp;$J13+L$3,'BD Original'!$A:$Z,15,0)=0,"",IFERROR(VLOOKUP($E13&amp;"|"&amp;$J13+L$3,'BD Original'!$A:$Z,15,0),""))</f>
        <v>716322.08000000007</v>
      </c>
      <c r="M13" s="55">
        <f>IFERROR(VLOOKUP($E13&amp;"|"&amp;$J13+M$3,'BD Original'!$A:$Z,15,0),"")</f>
        <v>694011.52</v>
      </c>
      <c r="N13" s="55">
        <f>IFERROR(VLOOKUP($E13&amp;"|"&amp;$J13+N$3,'BD Original'!$A:$Z,15,0),"")</f>
        <v>634245.62</v>
      </c>
      <c r="O13" s="55" t="str">
        <f>IFERROR(VLOOKUP($E13&amp;"|"&amp;$J13+O$3,'BD Original'!$A:$Z,15,0),"")</f>
        <v/>
      </c>
      <c r="P13" s="55" t="str">
        <f>IFERROR(VLOOKUP($E13&amp;"|"&amp;$J13+P$3,'BD Original'!$A:$Z,15,0),"")</f>
        <v/>
      </c>
      <c r="Q13" s="68">
        <f t="shared" si="4"/>
        <v>681526.40666666673</v>
      </c>
      <c r="R13" s="56">
        <f t="shared" si="5"/>
        <v>3</v>
      </c>
      <c r="S13" s="55">
        <f>IFERROR(VLOOKUP($E13&amp;"|"&amp;$J13+(K13-J13),'BD Original'!$A:$Z,15,0),"")</f>
        <v>634245.62</v>
      </c>
      <c r="T13" s="66">
        <f t="shared" si="15"/>
        <v>-5.9032617677045263E-2</v>
      </c>
      <c r="U13" s="55">
        <f>IFERROR(VLOOKUP($E13&amp;"|"&amp;$J13+(K13-J13),'BD Original'!$A:$Z,16,0),"")</f>
        <v>571013.06999999995</v>
      </c>
      <c r="V13" s="58">
        <f>SUMIF('BD Original'!G:G,E13,'BD Original'!R:R)</f>
        <v>0</v>
      </c>
      <c r="W13" s="57">
        <f t="shared" si="6"/>
        <v>0</v>
      </c>
      <c r="X13" s="66">
        <f t="shared" si="14"/>
        <v>0</v>
      </c>
      <c r="Y13" s="66">
        <f t="shared" si="7"/>
        <v>0.90030274075838312</v>
      </c>
      <c r="Z13" s="55">
        <f>SUMIF('BD Original'!G:G,E13,'BD Original'!T:T)</f>
        <v>1346904.6148999999</v>
      </c>
      <c r="AA13" s="55">
        <f>SUMIF('BD Original'!G:G,E13,'BD Original'!U:U)</f>
        <v>864500.48</v>
      </c>
      <c r="AB13" s="66">
        <f t="shared" si="8"/>
        <v>0.64184239213122329</v>
      </c>
      <c r="AC13" s="55">
        <f>SUMIF('BD Original'!G:G,E13,'BD Original'!V:V)</f>
        <v>51</v>
      </c>
      <c r="AD13" s="69">
        <f>IFERROR(AC13/VLOOKUP(E13,'BD Original'!G:I,3,0),0)</f>
        <v>0.29651162790697677</v>
      </c>
      <c r="AE13" s="58">
        <f>SUMIF('BD Original'!G:G,E13,'BD Original'!W:W)</f>
        <v>107</v>
      </c>
      <c r="AF13" s="58">
        <f>SUMIF('BD Original'!G:G,E13,'BD Original'!X:X)</f>
        <v>67</v>
      </c>
      <c r="AG13" s="66">
        <f>IFERROR(SUMIF('BD Original'!G:G,E13,'BD Original'!X:X)/SUMIF('BD Original'!G:G,E13,'BD Original'!W:W),0)</f>
        <v>0.62616822429906538</v>
      </c>
      <c r="AH13" s="58">
        <f>SUMIF('BD Original'!G:G,E13,'BD Original'!Y:Y)</f>
        <v>21900.122933911061</v>
      </c>
      <c r="AI13" s="58">
        <f>SUMIF('BD Original'!G:G,E13,'BD Original'!Z:Z)</f>
        <v>12467.5</v>
      </c>
      <c r="AJ13" s="66">
        <f t="shared" si="9"/>
        <v>0.5692890417840899</v>
      </c>
      <c r="AK13" s="58">
        <f t="shared" si="10"/>
        <v>33343.601716666664</v>
      </c>
      <c r="AL13" s="71" t="str">
        <f>VLOOKUP(E13,'BD Original'!G:K,5,0)</f>
        <v>3 a 6 Meses</v>
      </c>
      <c r="AM13" s="71" t="str">
        <f>VLOOKUP(Q13,Etiquetas!E:F,2)</f>
        <v>2 Mediana ≤ 1MM</v>
      </c>
      <c r="AN13" s="71" t="str">
        <f>IFERROR(VLOOKUP(T13,Etiquetas!H:I,2),0)</f>
        <v>2 Decrecimiento entre 0.1% y 50%</v>
      </c>
      <c r="AO13" s="71" t="str">
        <f>VLOOKUP(AG13,Etiquetas!K:M,2)</f>
        <v>3 Medio Bajo</v>
      </c>
      <c r="AP13" s="70">
        <f>VLOOKUP(AG13,Etiquetas!K:M,3)</f>
        <v>70</v>
      </c>
      <c r="AQ13" s="51" t="str">
        <f>VLOOKUP(AD13,Etiquetas!O:Q,2)</f>
        <v>1 Bajo Extremo</v>
      </c>
      <c r="AR13" s="70">
        <f>VLOOKUP(AD13,Etiquetas!O:Q,3)</f>
        <v>30</v>
      </c>
      <c r="AS13" s="51" t="str">
        <f>VLOOKUP(AB13,Etiquetas!S:U,2)</f>
        <v>3 Medio Bajo</v>
      </c>
      <c r="AT13" s="70">
        <f>VLOOKUP(AB13,Etiquetas!S:U,3)</f>
        <v>50</v>
      </c>
      <c r="AU13" s="70">
        <f t="shared" si="11"/>
        <v>54</v>
      </c>
      <c r="AV13" s="70" t="str">
        <f>VLOOKUP(AU13,Etiquetas!W:X,2)</f>
        <v>1 Mal Vendedor</v>
      </c>
      <c r="AW13" s="51" t="str">
        <f>VLOOKUP(Y13,Etiquetas!Z:AB,2)</f>
        <v>4 Medio Alto</v>
      </c>
      <c r="AX13" s="70">
        <f>VLOOKUP(Y13,Etiquetas!Z:AB,3)</f>
        <v>80</v>
      </c>
      <c r="AY13" s="51" t="str">
        <f>VLOOKUP(AJ13,Etiquetas!AD:AF,2)</f>
        <v>2 Medio</v>
      </c>
      <c r="AZ13" s="70">
        <f>VLOOKUP(AJ13,Etiquetas!AD:AF,3)</f>
        <v>50</v>
      </c>
      <c r="BA13" s="79">
        <f t="shared" si="12"/>
        <v>64</v>
      </c>
      <c r="BB13" s="46" t="str">
        <f t="shared" si="13"/>
        <v>Antiguedad: 3 a 6 Meses|Tamaño Cartera: 2 Mediana ≤ 1MM|1 Mal Vendedor|Calidad Cartera: 4 Medio Alto|Alcance Incentivos: 2 Medio</v>
      </c>
    </row>
    <row r="14" spans="2:54" x14ac:dyDescent="0.2">
      <c r="B14" s="46" t="s">
        <v>109</v>
      </c>
      <c r="C14" s="51" t="s">
        <v>49</v>
      </c>
      <c r="D14" s="47">
        <v>31346</v>
      </c>
      <c r="E14" s="52" t="s">
        <v>93</v>
      </c>
      <c r="F14" s="53">
        <v>45054</v>
      </c>
      <c r="G14" s="53">
        <v>0</v>
      </c>
      <c r="H14" s="53" t="str">
        <f t="shared" si="2"/>
        <v>ACTIVO</v>
      </c>
      <c r="I14" s="54" t="str">
        <f t="shared" si="3"/>
        <v>NO</v>
      </c>
      <c r="J14" s="47">
        <f>VLOOKUP(E14,'BD Original'!G:L,6,0)</f>
        <v>2</v>
      </c>
      <c r="K14" s="47">
        <f>VLOOKUP(E14,'BD Original'!G:M,7,0)</f>
        <v>6</v>
      </c>
      <c r="L14" s="55">
        <f>IF(VLOOKUP($E14&amp;"|"&amp;$J14+L$3,'BD Original'!$A:$Z,15,0)=0,"",IFERROR(VLOOKUP($E14&amp;"|"&amp;$J14+L$3,'BD Original'!$A:$Z,15,0),""))</f>
        <v>695230.2699999999</v>
      </c>
      <c r="M14" s="55">
        <f>IFERROR(VLOOKUP($E14&amp;"|"&amp;$J14+M$3,'BD Original'!$A:$Z,15,0),"")</f>
        <v>744844.04999999981</v>
      </c>
      <c r="N14" s="55">
        <f>IFERROR(VLOOKUP($E14&amp;"|"&amp;$J14+N$3,'BD Original'!$A:$Z,15,0),"")</f>
        <v>1074855.1599999999</v>
      </c>
      <c r="O14" s="55">
        <f>IFERROR(VLOOKUP($E14&amp;"|"&amp;$J14+O$3,'BD Original'!$A:$Z,15,0),"")</f>
        <v>1311278.8</v>
      </c>
      <c r="P14" s="55">
        <f>IFERROR(VLOOKUP($E14&amp;"|"&amp;$J14+P$3,'BD Original'!$A:$Z,15,0),"")</f>
        <v>1262447.9299999995</v>
      </c>
      <c r="Q14" s="68">
        <f t="shared" si="4"/>
        <v>1017731.2419999999</v>
      </c>
      <c r="R14" s="56">
        <f t="shared" si="5"/>
        <v>5</v>
      </c>
      <c r="S14" s="55">
        <f>IFERROR(VLOOKUP($E14&amp;"|"&amp;$J14+(K14-J14),'BD Original'!$A:$Z,15,0),"")</f>
        <v>1262447.9299999995</v>
      </c>
      <c r="T14" s="66">
        <f t="shared" si="15"/>
        <v>0.16083688847489142</v>
      </c>
      <c r="U14" s="55">
        <f>IFERROR(VLOOKUP($E14&amp;"|"&amp;$J14+(K14-J14),'BD Original'!$A:$Z,16,0),"")</f>
        <v>1152814.8299999996</v>
      </c>
      <c r="V14" s="58">
        <f>SUMIF('BD Original'!G:G,E14,'BD Original'!R:R)</f>
        <v>9648.84</v>
      </c>
      <c r="W14" s="57">
        <f t="shared" si="6"/>
        <v>9.480734796976982E-3</v>
      </c>
      <c r="X14" s="66">
        <f t="shared" si="14"/>
        <v>2.275376351274476E-2</v>
      </c>
      <c r="Y14" s="66">
        <f t="shared" si="7"/>
        <v>0.90623202352758125</v>
      </c>
      <c r="Z14" s="55">
        <f>SUMIF('BD Original'!G:G,E14,'BD Original'!T:T)</f>
        <v>1483852.92035</v>
      </c>
      <c r="AA14" s="55">
        <f>SUMIF('BD Original'!G:G,E14,'BD Original'!U:U)</f>
        <v>2312997.2199999997</v>
      </c>
      <c r="AB14" s="66">
        <f t="shared" si="8"/>
        <v>1.5587779545255924</v>
      </c>
      <c r="AC14" s="55">
        <f>SUMIF('BD Original'!G:G,E14,'BD Original'!V:V)</f>
        <v>183</v>
      </c>
      <c r="AD14" s="69">
        <f>IFERROR(AC14/VLOOKUP(E14,'BD Original'!G:I,3,0),0)</f>
        <v>2.1785714285714284</v>
      </c>
      <c r="AE14" s="58">
        <f>SUMIF('BD Original'!G:G,E14,'BD Original'!W:W)</f>
        <v>164</v>
      </c>
      <c r="AF14" s="58">
        <f>SUMIF('BD Original'!G:G,E14,'BD Original'!X:X)</f>
        <v>84</v>
      </c>
      <c r="AG14" s="66">
        <f>IFERROR(SUMIF('BD Original'!G:G,E14,'BD Original'!X:X)/SUMIF('BD Original'!G:G,E14,'BD Original'!W:W),0)</f>
        <v>0.51219512195121952</v>
      </c>
      <c r="AH14" s="58">
        <f>SUMIF('BD Original'!G:G,E14,'BD Original'!Y:Y)</f>
        <v>47494.082661447348</v>
      </c>
      <c r="AI14" s="58">
        <f>SUMIF('BD Original'!G:G,E14,'BD Original'!Z:Z)</f>
        <v>45274.002850000004</v>
      </c>
      <c r="AJ14" s="66">
        <f t="shared" si="9"/>
        <v>0.95325565445125515</v>
      </c>
      <c r="AK14" s="58">
        <f t="shared" si="10"/>
        <v>59504.114984999993</v>
      </c>
      <c r="AL14" s="71" t="str">
        <f>VLOOKUP(E14,'BD Original'!G:K,5,0)</f>
        <v>&lt; 3 Meses</v>
      </c>
      <c r="AM14" s="71" t="str">
        <f>VLOOKUP(Q14,Etiquetas!E:F,2)</f>
        <v>3 Mediana ≥ 1MM</v>
      </c>
      <c r="AN14" s="71" t="str">
        <f>IFERROR(VLOOKUP(T14,Etiquetas!H:I,2),0)</f>
        <v>5 Crecimiento Medio</v>
      </c>
      <c r="AO14" s="71" t="str">
        <f>VLOOKUP(AG14,Etiquetas!K:M,2)</f>
        <v>3 Medio Bajo</v>
      </c>
      <c r="AP14" s="70">
        <f>VLOOKUP(AG14,Etiquetas!K:M,3)</f>
        <v>70</v>
      </c>
      <c r="AQ14" s="51" t="str">
        <f>VLOOKUP(AD14,Etiquetas!O:Q,2)</f>
        <v>3 Medio Bajo</v>
      </c>
      <c r="AR14" s="70">
        <f>VLOOKUP(AD14,Etiquetas!O:Q,3)</f>
        <v>70</v>
      </c>
      <c r="AS14" s="51" t="str">
        <f>VLOOKUP(AB14,Etiquetas!S:U,2)</f>
        <v>7 Sobresaliente</v>
      </c>
      <c r="AT14" s="70">
        <f>VLOOKUP(AB14,Etiquetas!S:U,3)</f>
        <v>110</v>
      </c>
      <c r="AU14" s="70">
        <f t="shared" si="11"/>
        <v>86</v>
      </c>
      <c r="AV14" s="70" t="str">
        <f>VLOOKUP(AU14,Etiquetas!W:X,2)</f>
        <v>3 Buen Vendedor</v>
      </c>
      <c r="AW14" s="51" t="str">
        <f>VLOOKUP(Y14,Etiquetas!Z:AB,2)</f>
        <v>4 Medio Alto</v>
      </c>
      <c r="AX14" s="70">
        <f>VLOOKUP(Y14,Etiquetas!Z:AB,3)</f>
        <v>80</v>
      </c>
      <c r="AY14" s="51" t="str">
        <f>VLOOKUP(AJ14,Etiquetas!AD:AF,2)</f>
        <v>5 Sobresaliente</v>
      </c>
      <c r="AZ14" s="70">
        <f>VLOOKUP(AJ14,Etiquetas!AD:AF,3)</f>
        <v>90</v>
      </c>
      <c r="BA14" s="79">
        <f t="shared" si="12"/>
        <v>84</v>
      </c>
      <c r="BB14" s="46" t="str">
        <f t="shared" si="13"/>
        <v>Antiguedad: &lt; 3 Meses|Tamaño Cartera: 3 Mediana ≥ 1MM|3 Buen Vendedor|Calidad Cartera: 4 Medio Alto|Alcance Incentivos: 5 Sobresaliente</v>
      </c>
    </row>
    <row r="15" spans="2:54" x14ac:dyDescent="0.2">
      <c r="B15" s="46" t="s">
        <v>109</v>
      </c>
      <c r="C15" s="51" t="s">
        <v>51</v>
      </c>
      <c r="D15" s="47">
        <v>33385</v>
      </c>
      <c r="E15" s="52" t="s">
        <v>52</v>
      </c>
      <c r="F15" s="53">
        <v>44958</v>
      </c>
      <c r="G15" s="53">
        <v>0</v>
      </c>
      <c r="H15" s="53" t="str">
        <f t="shared" si="2"/>
        <v>ACTIVO</v>
      </c>
      <c r="I15" s="54" t="str">
        <f t="shared" si="3"/>
        <v>NO</v>
      </c>
      <c r="J15" s="47">
        <f>VLOOKUP(E15,'BD Original'!G:L,6,0)</f>
        <v>6</v>
      </c>
      <c r="K15" s="47">
        <f>VLOOKUP(E15,'BD Original'!G:M,7,0)</f>
        <v>10</v>
      </c>
      <c r="L15" s="55">
        <f>IF(VLOOKUP($E15&amp;"|"&amp;$J15+L$3,'BD Original'!$A:$Z,15,0)=0,"",IFERROR(VLOOKUP($E15&amp;"|"&amp;$J15+L$3,'BD Original'!$A:$Z,15,0),""))</f>
        <v>1188527.68</v>
      </c>
      <c r="M15" s="55">
        <f>IFERROR(VLOOKUP($E15&amp;"|"&amp;$J15+M$3,'BD Original'!$A:$Z,15,0),"")</f>
        <v>1958828.22</v>
      </c>
      <c r="N15" s="55">
        <f>IFERROR(VLOOKUP($E15&amp;"|"&amp;$J15+N$3,'BD Original'!$A:$Z,15,0),"")</f>
        <v>1795144.8599999996</v>
      </c>
      <c r="O15" s="55">
        <f>IFERROR(VLOOKUP($E15&amp;"|"&amp;$J15+O$3,'BD Original'!$A:$Z,15,0),"")</f>
        <v>1911661.51</v>
      </c>
      <c r="P15" s="55">
        <f>IFERROR(VLOOKUP($E15&amp;"|"&amp;$J15+P$3,'BD Original'!$A:$Z,15,0),"")</f>
        <v>1799860.9000000001</v>
      </c>
      <c r="Q15" s="68">
        <f t="shared" si="4"/>
        <v>1730804.6340000001</v>
      </c>
      <c r="R15" s="56">
        <f t="shared" si="5"/>
        <v>5</v>
      </c>
      <c r="S15" s="55">
        <f>IFERROR(VLOOKUP($E15&amp;"|"&amp;$J15+(K15-J15),'BD Original'!$A:$Z,15,0),"")</f>
        <v>1799860.9000000001</v>
      </c>
      <c r="T15" s="66">
        <f t="shared" si="15"/>
        <v>0.10932144954350531</v>
      </c>
      <c r="U15" s="55">
        <f>IFERROR(VLOOKUP($E15&amp;"|"&amp;$J15+(K15-J15),'BD Original'!$A:$Z,16,0),"")</f>
        <v>1647078.1500000001</v>
      </c>
      <c r="V15" s="58">
        <f>SUMIF('BD Original'!G:G,E15,'BD Original'!R:R)</f>
        <v>219672.47999999998</v>
      </c>
      <c r="W15" s="57">
        <f t="shared" si="6"/>
        <v>0.12691928117405304</v>
      </c>
      <c r="X15" s="66">
        <f t="shared" si="14"/>
        <v>0.30460627481772728</v>
      </c>
      <c r="Y15" s="66">
        <f t="shared" si="7"/>
        <v>0.81557362027856162</v>
      </c>
      <c r="Z15" s="55">
        <f>SUMIF('BD Original'!G:G,E15,'BD Original'!T:T)</f>
        <v>3705501.7546000006</v>
      </c>
      <c r="AA15" s="55">
        <f>SUMIF('BD Original'!G:G,E15,'BD Original'!U:U)</f>
        <v>3609999.05</v>
      </c>
      <c r="AB15" s="66">
        <f t="shared" si="8"/>
        <v>0.97422678197859602</v>
      </c>
      <c r="AC15" s="55">
        <f>SUMIF('BD Original'!G:G,E15,'BD Original'!V:V)</f>
        <v>16</v>
      </c>
      <c r="AD15" s="69">
        <f>IFERROR(AC15/VLOOKUP(E15,'BD Original'!G:I,3,0),0)</f>
        <v>8.8888888888888892E-2</v>
      </c>
      <c r="AE15" s="58">
        <f>SUMIF('BD Original'!G:G,E15,'BD Original'!W:W)</f>
        <v>208</v>
      </c>
      <c r="AF15" s="58">
        <f>SUMIF('BD Original'!G:G,E15,'BD Original'!X:X)</f>
        <v>125</v>
      </c>
      <c r="AG15" s="66">
        <f>IFERROR(SUMIF('BD Original'!G:G,E15,'BD Original'!X:X)/SUMIF('BD Original'!G:G,E15,'BD Original'!W:W),0)</f>
        <v>0.60096153846153844</v>
      </c>
      <c r="AH15" s="58">
        <f>SUMIF('BD Original'!G:G,E15,'BD Original'!Y:Y)</f>
        <v>60621.444363966933</v>
      </c>
      <c r="AI15" s="58">
        <f>SUMIF('BD Original'!G:G,E15,'BD Original'!Z:Z)</f>
        <v>27022.5</v>
      </c>
      <c r="AJ15" s="66">
        <f t="shared" si="9"/>
        <v>0.4457581023269388</v>
      </c>
      <c r="AK15" s="58">
        <f t="shared" si="10"/>
        <v>138860.26245500002</v>
      </c>
      <c r="AL15" s="71" t="str">
        <f>VLOOKUP(E15,'BD Original'!G:K,5,0)</f>
        <v>6 a 12 Meses</v>
      </c>
      <c r="AM15" s="71" t="str">
        <f>VLOOKUP(Q15,Etiquetas!E:F,2)</f>
        <v>4 Grande ≤ 1.5MM</v>
      </c>
      <c r="AN15" s="71" t="str">
        <f>IFERROR(VLOOKUP(T15,Etiquetas!H:I,2),0)</f>
        <v>5 Crecimiento Medio</v>
      </c>
      <c r="AO15" s="71" t="str">
        <f>VLOOKUP(AG15,Etiquetas!K:M,2)</f>
        <v>3 Medio Bajo</v>
      </c>
      <c r="AP15" s="70">
        <f>VLOOKUP(AG15,Etiquetas!K:M,3)</f>
        <v>70</v>
      </c>
      <c r="AQ15" s="51" t="str">
        <f>VLOOKUP(AD15,Etiquetas!O:Q,2)</f>
        <v>1 Bajo Extremo</v>
      </c>
      <c r="AR15" s="70">
        <f>VLOOKUP(AD15,Etiquetas!O:Q,3)</f>
        <v>30</v>
      </c>
      <c r="AS15" s="51" t="str">
        <f>VLOOKUP(AB15,Etiquetas!S:U,2)</f>
        <v>6 Muy Alto</v>
      </c>
      <c r="AT15" s="70">
        <f>VLOOKUP(AB15,Etiquetas!S:U,3)</f>
        <v>100</v>
      </c>
      <c r="AU15" s="70">
        <f t="shared" si="11"/>
        <v>74</v>
      </c>
      <c r="AV15" s="70" t="str">
        <f>VLOOKUP(AU15,Etiquetas!W:X,2)</f>
        <v>2 Medio Vendedor</v>
      </c>
      <c r="AW15" s="51" t="str">
        <f>VLOOKUP(Y15,Etiquetas!Z:AB,2)</f>
        <v>2 Bajo</v>
      </c>
      <c r="AX15" s="70">
        <f>VLOOKUP(Y15,Etiquetas!Z:AB,3)</f>
        <v>50</v>
      </c>
      <c r="AY15" s="51" t="str">
        <f>VLOOKUP(AJ15,Etiquetas!AD:AF,2)</f>
        <v>2 Medio</v>
      </c>
      <c r="AZ15" s="70">
        <f>VLOOKUP(AJ15,Etiquetas!AD:AF,3)</f>
        <v>50</v>
      </c>
      <c r="BA15" s="79">
        <f t="shared" si="12"/>
        <v>62</v>
      </c>
      <c r="BB15" s="46" t="str">
        <f t="shared" si="13"/>
        <v>Antiguedad: 6 a 12 Meses|Tamaño Cartera: 4 Grande ≤ 1.5MM|2 Medio Vendedor|Calidad Cartera: 2 Bajo|Alcance Incentivos: 2 Medio</v>
      </c>
    </row>
    <row r="16" spans="2:54" x14ac:dyDescent="0.2">
      <c r="B16" s="46" t="s">
        <v>109</v>
      </c>
      <c r="C16" s="51" t="s">
        <v>54</v>
      </c>
      <c r="D16" s="47">
        <v>26898</v>
      </c>
      <c r="E16" s="52" t="s">
        <v>53</v>
      </c>
      <c r="F16" s="53">
        <v>43850</v>
      </c>
      <c r="G16" s="53">
        <v>0</v>
      </c>
      <c r="H16" s="53" t="str">
        <f t="shared" si="2"/>
        <v>ACTIVO</v>
      </c>
      <c r="I16" s="54" t="str">
        <f t="shared" si="3"/>
        <v>NO</v>
      </c>
      <c r="J16" s="47">
        <f>VLOOKUP(E16,'BD Original'!G:L,6,0)</f>
        <v>42</v>
      </c>
      <c r="K16" s="47">
        <f>VLOOKUP(E16,'BD Original'!G:M,7,0)</f>
        <v>47</v>
      </c>
      <c r="L16" s="55">
        <f>IF(VLOOKUP($E16&amp;"|"&amp;$J16+L$3,'BD Original'!$A:$Z,15,0)=0,"",IFERROR(VLOOKUP($E16&amp;"|"&amp;$J16+L$3,'BD Original'!$A:$Z,15,0),""))</f>
        <v>612085.23</v>
      </c>
      <c r="M16" s="55">
        <f>IFERROR(VLOOKUP($E16&amp;"|"&amp;$J16+M$3,'BD Original'!$A:$Z,15,0),"")</f>
        <v>858428.65999999992</v>
      </c>
      <c r="N16" s="55">
        <f>IFERROR(VLOOKUP($E16&amp;"|"&amp;$J16+N$3,'BD Original'!$A:$Z,15,0),"")</f>
        <v>1485091.73</v>
      </c>
      <c r="O16" s="55" t="str">
        <f>IFERROR(VLOOKUP($E16&amp;"|"&amp;$J16+O$3,'BD Original'!$A:$Z,15,0),"")</f>
        <v/>
      </c>
      <c r="P16" s="55">
        <f>IFERROR(VLOOKUP($E16&amp;"|"&amp;$J16+P$3,'BD Original'!$A:$Z,15,0),"")</f>
        <v>1481288.89</v>
      </c>
      <c r="Q16" s="68">
        <f t="shared" si="4"/>
        <v>1109223.6274999999</v>
      </c>
      <c r="R16" s="56">
        <f t="shared" si="5"/>
        <v>4</v>
      </c>
      <c r="S16" s="55">
        <f>IFERROR(VLOOKUP($E16&amp;"|"&amp;$J16+(K16-J16),'BD Original'!$A:$Z,15,0),"")</f>
        <v>1947662.8499999996</v>
      </c>
      <c r="T16" s="66">
        <f t="shared" si="15"/>
        <v>0.47084630416908069</v>
      </c>
      <c r="U16" s="55">
        <f>IFERROR(VLOOKUP($E16&amp;"|"&amp;$J16+(K16-J16),'BD Original'!$A:$Z,16,0),"")</f>
        <v>1827719.6299999997</v>
      </c>
      <c r="V16" s="58">
        <f>SUMIF('BD Original'!G:G,E16,'BD Original'!R:R)</f>
        <v>13102.56</v>
      </c>
      <c r="W16" s="57">
        <f t="shared" si="6"/>
        <v>1.1812370089457007E-2</v>
      </c>
      <c r="X16" s="66">
        <f t="shared" si="14"/>
        <v>3.5437110268371021E-2</v>
      </c>
      <c r="Y16" s="66">
        <f t="shared" si="7"/>
        <v>0.93214599802635234</v>
      </c>
      <c r="Z16" s="55">
        <f>SUMIF('BD Original'!G:G,E16,'BD Original'!T:T)</f>
        <v>3470201.1224000007</v>
      </c>
      <c r="AA16" s="55">
        <f>SUMIF('BD Original'!G:G,E16,'BD Original'!U:U)</f>
        <v>2627499.7799999998</v>
      </c>
      <c r="AB16" s="66">
        <f t="shared" si="8"/>
        <v>0.75716066225660539</v>
      </c>
      <c r="AC16" s="55">
        <f>SUMIF('BD Original'!G:G,E16,'BD Original'!V:V)</f>
        <v>18</v>
      </c>
      <c r="AD16" s="69">
        <f>IFERROR(AC16/VLOOKUP(E16,'BD Original'!G:I,3,0),0)</f>
        <v>1.3975155279503106E-2</v>
      </c>
      <c r="AE16" s="58">
        <f>SUMIF('BD Original'!G:G,E16,'BD Original'!W:W)</f>
        <v>60</v>
      </c>
      <c r="AF16" s="58">
        <f>SUMIF('BD Original'!G:G,E16,'BD Original'!X:X)</f>
        <v>23</v>
      </c>
      <c r="AG16" s="66">
        <f>IFERROR(SUMIF('BD Original'!G:G,E16,'BD Original'!X:X)/SUMIF('BD Original'!G:G,E16,'BD Original'!W:W),0)</f>
        <v>0.38333333333333336</v>
      </c>
      <c r="AH16" s="58">
        <f>SUMIF('BD Original'!G:G,E16,'BD Original'!Y:Y)</f>
        <v>72606.671601245733</v>
      </c>
      <c r="AI16" s="58">
        <f>SUMIF('BD Original'!G:G,E16,'BD Original'!Z:Z)</f>
        <v>20791.2847425</v>
      </c>
      <c r="AJ16" s="66">
        <f t="shared" si="9"/>
        <v>0.28635501785132483</v>
      </c>
      <c r="AK16" s="58">
        <f t="shared" si="10"/>
        <v>62253.819766874993</v>
      </c>
      <c r="AL16" s="71" t="str">
        <f>VLOOKUP(E16,'BD Original'!G:K,5,0)</f>
        <v>Mas de 3 años</v>
      </c>
      <c r="AM16" s="71" t="str">
        <f>VLOOKUP(Q16,Etiquetas!E:F,2)</f>
        <v>3 Mediana ≥ 1MM</v>
      </c>
      <c r="AN16" s="71" t="str">
        <f>IFERROR(VLOOKUP(T16,Etiquetas!H:I,2),0)</f>
        <v>8 Crecimiento Exponencial</v>
      </c>
      <c r="AO16" s="71" t="str">
        <f>VLOOKUP(AG16,Etiquetas!K:M,2)</f>
        <v>2 Bajo</v>
      </c>
      <c r="AP16" s="70">
        <f>VLOOKUP(AG16,Etiquetas!K:M,3)</f>
        <v>50</v>
      </c>
      <c r="AQ16" s="51" t="str">
        <f>VLOOKUP(AD16,Etiquetas!O:Q,2)</f>
        <v>1 Bajo Extremo</v>
      </c>
      <c r="AR16" s="70">
        <f>VLOOKUP(AD16,Etiquetas!O:Q,3)</f>
        <v>30</v>
      </c>
      <c r="AS16" s="51" t="str">
        <f>VLOOKUP(AB16,Etiquetas!S:U,2)</f>
        <v>4 Medio Alto</v>
      </c>
      <c r="AT16" s="70">
        <f>VLOOKUP(AB16,Etiquetas!S:U,3)</f>
        <v>70</v>
      </c>
      <c r="AU16" s="70">
        <f t="shared" si="11"/>
        <v>54</v>
      </c>
      <c r="AV16" s="70" t="str">
        <f>VLOOKUP(AU16,Etiquetas!W:X,2)</f>
        <v>1 Mal Vendedor</v>
      </c>
      <c r="AW16" s="51" t="str">
        <f>VLOOKUP(Y16,Etiquetas!Z:AB,2)</f>
        <v>4 Medio Alto</v>
      </c>
      <c r="AX16" s="70">
        <f>VLOOKUP(Y16,Etiquetas!Z:AB,3)</f>
        <v>80</v>
      </c>
      <c r="AY16" s="51" t="str">
        <f>VLOOKUP(AJ16,Etiquetas!AD:AF,2)</f>
        <v>1 Bajo</v>
      </c>
      <c r="AZ16" s="70">
        <f>VLOOKUP(AJ16,Etiquetas!AD:AF,3)</f>
        <v>30</v>
      </c>
      <c r="BA16" s="79">
        <f t="shared" si="12"/>
        <v>62</v>
      </c>
      <c r="BB16" s="46" t="str">
        <f t="shared" si="13"/>
        <v>Antiguedad: Mas de 3 años|Tamaño Cartera: 3 Mediana ≥ 1MM|1 Mal Vendedor|Calidad Cartera: 4 Medio Alto|Alcance Incentivos: 1 Bajo</v>
      </c>
    </row>
    <row r="17" spans="2:54" x14ac:dyDescent="0.2">
      <c r="B17" s="46" t="s">
        <v>109</v>
      </c>
      <c r="C17" s="51" t="s">
        <v>54</v>
      </c>
      <c r="D17" s="47">
        <v>25227</v>
      </c>
      <c r="E17" s="52" t="s">
        <v>55</v>
      </c>
      <c r="F17" s="53">
        <v>44823</v>
      </c>
      <c r="G17" s="53">
        <v>0</v>
      </c>
      <c r="H17" s="53" t="str">
        <f t="shared" si="2"/>
        <v>ACTIVO</v>
      </c>
      <c r="I17" s="54" t="str">
        <f t="shared" si="3"/>
        <v>NO</v>
      </c>
      <c r="J17" s="47">
        <f>VLOOKUP(E17,'BD Original'!G:L,6,0)</f>
        <v>1</v>
      </c>
      <c r="K17" s="47">
        <f>VLOOKUP(E17,'BD Original'!G:M,7,0)</f>
        <v>14</v>
      </c>
      <c r="L17" s="55">
        <f>IF(VLOOKUP($E17&amp;"|"&amp;$J17+L$3,'BD Original'!$A:$Z,15,0)=0,"",IFERROR(VLOOKUP($E17&amp;"|"&amp;$J17+L$3,'BD Original'!$A:$Z,15,0),""))</f>
        <v>1399575.2000000004</v>
      </c>
      <c r="M17" s="55" t="str">
        <f>IFERROR(VLOOKUP($E17&amp;"|"&amp;$J17+M$3,'BD Original'!$A:$Z,15,0),"")</f>
        <v/>
      </c>
      <c r="N17" s="55" t="str">
        <f>IFERROR(VLOOKUP($E17&amp;"|"&amp;$J17+N$3,'BD Original'!$A:$Z,15,0),"")</f>
        <v/>
      </c>
      <c r="O17" s="55" t="str">
        <f>IFERROR(VLOOKUP($E17&amp;"|"&amp;$J17+O$3,'BD Original'!$A:$Z,15,0),"")</f>
        <v/>
      </c>
      <c r="P17" s="55" t="str">
        <f>IFERROR(VLOOKUP($E17&amp;"|"&amp;$J17+P$3,'BD Original'!$A:$Z,15,0),"")</f>
        <v/>
      </c>
      <c r="Q17" s="68">
        <f t="shared" si="4"/>
        <v>1399575.2000000004</v>
      </c>
      <c r="R17" s="56">
        <f t="shared" si="5"/>
        <v>1</v>
      </c>
      <c r="S17" s="55">
        <f>IFERROR(VLOOKUP($E17&amp;"|"&amp;$J17+(K17-J17),'BD Original'!$A:$Z,15,0),"")</f>
        <v>1334367.3899999999</v>
      </c>
      <c r="T17" s="66" t="str">
        <f t="shared" si="15"/>
        <v>NA</v>
      </c>
      <c r="U17" s="55">
        <f>IFERROR(VLOOKUP($E17&amp;"|"&amp;$J17+(K17-J17),'BD Original'!$A:$Z,16,0),"")</f>
        <v>1084596.52</v>
      </c>
      <c r="V17" s="58">
        <f>SUMIF('BD Original'!G:G,E17,'BD Original'!R:R)</f>
        <v>212750.57</v>
      </c>
      <c r="W17" s="57">
        <f t="shared" si="6"/>
        <v>0.15201081728227248</v>
      </c>
      <c r="X17" s="66">
        <f t="shared" si="14"/>
        <v>1.8241298073872696</v>
      </c>
      <c r="Y17" s="66">
        <f t="shared" si="7"/>
        <v>0.70104319647352553</v>
      </c>
      <c r="Z17" s="55">
        <f>SUMIF('BD Original'!G:G,E17,'BD Original'!T:T)</f>
        <v>3060515.3125999998</v>
      </c>
      <c r="AA17" s="55">
        <f>SUMIF('BD Original'!G:G,E17,'BD Original'!U:U)</f>
        <v>2829036.3999999994</v>
      </c>
      <c r="AB17" s="66">
        <f t="shared" si="8"/>
        <v>0.9243660335084708</v>
      </c>
      <c r="AC17" s="55">
        <f>SUMIF('BD Original'!G:G,E17,'BD Original'!V:V)</f>
        <v>134</v>
      </c>
      <c r="AD17" s="69">
        <f>IFERROR(AC17/VLOOKUP(E17,'BD Original'!G:I,3,0),0)</f>
        <v>0.42539682539682538</v>
      </c>
      <c r="AE17" s="58">
        <f>SUMIF('BD Original'!G:G,E17,'BD Original'!W:W)</f>
        <v>193</v>
      </c>
      <c r="AF17" s="58">
        <f>SUMIF('BD Original'!G:G,E17,'BD Original'!X:X)</f>
        <v>120</v>
      </c>
      <c r="AG17" s="66">
        <f>IFERROR(SUMIF('BD Original'!G:G,E17,'BD Original'!X:X)/SUMIF('BD Original'!G:G,E17,'BD Original'!W:W),0)</f>
        <v>0.62176165803108807</v>
      </c>
      <c r="AH17" s="58">
        <f>SUMIF('BD Original'!G:G,E17,'BD Original'!Y:Y)</f>
        <v>60183.581531201162</v>
      </c>
      <c r="AI17" s="58">
        <f>SUMIF('BD Original'!G:G,E17,'BD Original'!Z:Z)</f>
        <v>14467.500000000002</v>
      </c>
      <c r="AJ17" s="66">
        <f t="shared" si="9"/>
        <v>0.24038948217961356</v>
      </c>
      <c r="AK17" s="58">
        <f t="shared" si="10"/>
        <v>297693.64400000003</v>
      </c>
      <c r="AL17" s="71" t="str">
        <f>VLOOKUP(E17,'BD Original'!G:K,5,0)</f>
        <v>6 a 12 Meses</v>
      </c>
      <c r="AM17" s="71" t="str">
        <f>VLOOKUP(Q17,Etiquetas!E:F,2)</f>
        <v>3 Mediana ≥ 1MM</v>
      </c>
      <c r="AN17" s="71" t="str">
        <f>IFERROR(VLOOKUP(T17,Etiquetas!H:I,2),0)</f>
        <v>NA</v>
      </c>
      <c r="AO17" s="71" t="str">
        <f>VLOOKUP(AG17,Etiquetas!K:M,2)</f>
        <v>3 Medio Bajo</v>
      </c>
      <c r="AP17" s="70">
        <f>VLOOKUP(AG17,Etiquetas!K:M,3)</f>
        <v>70</v>
      </c>
      <c r="AQ17" s="51" t="str">
        <f>VLOOKUP(AD17,Etiquetas!O:Q,2)</f>
        <v>1 Bajo Extremo</v>
      </c>
      <c r="AR17" s="70">
        <f>VLOOKUP(AD17,Etiquetas!O:Q,3)</f>
        <v>30</v>
      </c>
      <c r="AS17" s="51" t="str">
        <f>VLOOKUP(AB17,Etiquetas!S:U,2)</f>
        <v>6 Muy Alto</v>
      </c>
      <c r="AT17" s="70">
        <f>VLOOKUP(AB17,Etiquetas!S:U,3)</f>
        <v>100</v>
      </c>
      <c r="AU17" s="70">
        <f t="shared" si="11"/>
        <v>74</v>
      </c>
      <c r="AV17" s="70" t="str">
        <f>VLOOKUP(AU17,Etiquetas!W:X,2)</f>
        <v>2 Medio Vendedor</v>
      </c>
      <c r="AW17" s="51" t="str">
        <f>VLOOKUP(Y17,Etiquetas!Z:AB,2)</f>
        <v>1 Bajo Extremo</v>
      </c>
      <c r="AX17" s="70">
        <f>VLOOKUP(Y17,Etiquetas!Z:AB,3)</f>
        <v>30</v>
      </c>
      <c r="AY17" s="51" t="str">
        <f>VLOOKUP(AJ17,Etiquetas!AD:AF,2)</f>
        <v>1 Bajo</v>
      </c>
      <c r="AZ17" s="70">
        <f>VLOOKUP(AJ17,Etiquetas!AD:AF,3)</f>
        <v>30</v>
      </c>
      <c r="BA17" s="79">
        <f t="shared" si="12"/>
        <v>52</v>
      </c>
      <c r="BB17" s="46" t="str">
        <f t="shared" si="13"/>
        <v>Antiguedad: 6 a 12 Meses|Tamaño Cartera: 3 Mediana ≥ 1MM|2 Medio Vendedor|Calidad Cartera: 1 Bajo Extremo|Alcance Incentivos: 1 Bajo</v>
      </c>
    </row>
    <row r="18" spans="2:54" x14ac:dyDescent="0.2">
      <c r="B18" s="46" t="s">
        <v>109</v>
      </c>
      <c r="C18" s="51" t="s">
        <v>54</v>
      </c>
      <c r="D18" s="47">
        <v>30049</v>
      </c>
      <c r="E18" s="52" t="s">
        <v>56</v>
      </c>
      <c r="F18" s="53">
        <v>45006</v>
      </c>
      <c r="G18" s="53">
        <v>0</v>
      </c>
      <c r="H18" s="53" t="str">
        <f t="shared" si="2"/>
        <v>ACTIVO</v>
      </c>
      <c r="I18" s="54" t="str">
        <f t="shared" si="3"/>
        <v>NO</v>
      </c>
      <c r="J18" s="47">
        <f>VLOOKUP(E18,'BD Original'!G:L,6,0)</f>
        <v>4</v>
      </c>
      <c r="K18" s="47">
        <f>VLOOKUP(E18,'BD Original'!G:M,7,0)</f>
        <v>8</v>
      </c>
      <c r="L18" s="55">
        <f>IF(VLOOKUP($E18&amp;"|"&amp;$J18+L$3,'BD Original'!$A:$Z,15,0)=0,"",IFERROR(VLOOKUP($E18&amp;"|"&amp;$J18+L$3,'BD Original'!$A:$Z,15,0),""))</f>
        <v>703234.08</v>
      </c>
      <c r="M18" s="55">
        <f>IFERROR(VLOOKUP($E18&amp;"|"&amp;$J18+M$3,'BD Original'!$A:$Z,15,0),"")</f>
        <v>527589.53</v>
      </c>
      <c r="N18" s="55">
        <f>IFERROR(VLOOKUP($E18&amp;"|"&amp;$J18+N$3,'BD Original'!$A:$Z,15,0),"")</f>
        <v>499608.65</v>
      </c>
      <c r="O18" s="55">
        <f>IFERROR(VLOOKUP($E18&amp;"|"&amp;$J18+O$3,'BD Original'!$A:$Z,15,0),"")</f>
        <v>655471.85</v>
      </c>
      <c r="P18" s="55">
        <f>IFERROR(VLOOKUP($E18&amp;"|"&amp;$J18+P$3,'BD Original'!$A:$Z,15,0),"")</f>
        <v>845608.16999999993</v>
      </c>
      <c r="Q18" s="68">
        <f t="shared" si="4"/>
        <v>646302.45600000001</v>
      </c>
      <c r="R18" s="56">
        <f t="shared" si="5"/>
        <v>5</v>
      </c>
      <c r="S18" s="55">
        <f>IFERROR(VLOOKUP($E18&amp;"|"&amp;$J18+(K18-J18),'BD Original'!$A:$Z,15,0),"")</f>
        <v>845608.16999999993</v>
      </c>
      <c r="T18" s="66">
        <f t="shared" si="15"/>
        <v>4.717029776435222E-2</v>
      </c>
      <c r="U18" s="55">
        <f>IFERROR(VLOOKUP($E18&amp;"|"&amp;$J18+(K18-J18),'BD Original'!$A:$Z,16,0),"")</f>
        <v>787954.6399999999</v>
      </c>
      <c r="V18" s="58">
        <f>SUMIF('BD Original'!G:G,E18,'BD Original'!R:R)</f>
        <v>0</v>
      </c>
      <c r="W18" s="57">
        <f t="shared" si="6"/>
        <v>0</v>
      </c>
      <c r="X18" s="66">
        <f t="shared" si="14"/>
        <v>0</v>
      </c>
      <c r="Y18" s="66">
        <f t="shared" si="7"/>
        <v>0.93182004142651553</v>
      </c>
      <c r="Z18" s="55">
        <f>SUMIF('BD Original'!G:G,E18,'BD Original'!T:T)</f>
        <v>2061393.2982999999</v>
      </c>
      <c r="AA18" s="55">
        <f>SUMIF('BD Original'!G:G,E18,'BD Original'!U:U)</f>
        <v>1609498.8099999996</v>
      </c>
      <c r="AB18" s="66">
        <f t="shared" si="8"/>
        <v>0.78078201346988418</v>
      </c>
      <c r="AC18" s="55">
        <f>SUMIF('BD Original'!G:G,E18,'BD Original'!V:V)</f>
        <v>98</v>
      </c>
      <c r="AD18" s="69">
        <f>IFERROR(AC18/VLOOKUP(E18,'BD Original'!G:I,3,0),0)</f>
        <v>0.74242424242424243</v>
      </c>
      <c r="AE18" s="58">
        <f>SUMIF('BD Original'!G:G,E18,'BD Original'!W:W)</f>
        <v>101</v>
      </c>
      <c r="AF18" s="58">
        <f>SUMIF('BD Original'!G:G,E18,'BD Original'!X:X)</f>
        <v>75</v>
      </c>
      <c r="AG18" s="66">
        <f>IFERROR(SUMIF('BD Original'!G:G,E18,'BD Original'!X:X)/SUMIF('BD Original'!G:G,E18,'BD Original'!W:W),0)</f>
        <v>0.74257425742574257</v>
      </c>
      <c r="AH18" s="58">
        <f>SUMIF('BD Original'!G:G,E18,'BD Original'!Y:Y)</f>
        <v>49670.740358420677</v>
      </c>
      <c r="AI18" s="58">
        <f>SUMIF('BD Original'!G:G,E18,'BD Original'!Z:Z)</f>
        <v>16300.121391999999</v>
      </c>
      <c r="AJ18" s="66">
        <f t="shared" si="9"/>
        <v>0.32816344742154907</v>
      </c>
      <c r="AK18" s="58">
        <f t="shared" si="10"/>
        <v>30422.415498400009</v>
      </c>
      <c r="AL18" s="71" t="str">
        <f>VLOOKUP(E18,'BD Original'!G:K,5,0)</f>
        <v>3 a 6 Meses</v>
      </c>
      <c r="AM18" s="71" t="str">
        <f>VLOOKUP(Q18,Etiquetas!E:F,2)</f>
        <v>2 Mediana ≤ 1MM</v>
      </c>
      <c r="AN18" s="71" t="str">
        <f>IFERROR(VLOOKUP(T18,Etiquetas!H:I,2),0)</f>
        <v>4 Crecimiento Muy Bajo</v>
      </c>
      <c r="AO18" s="71" t="str">
        <f>VLOOKUP(AG18,Etiquetas!K:M,2)</f>
        <v>4 Medio Alto</v>
      </c>
      <c r="AP18" s="70">
        <f>VLOOKUP(AG18,Etiquetas!K:M,3)</f>
        <v>80</v>
      </c>
      <c r="AQ18" s="51" t="str">
        <f>VLOOKUP(AD18,Etiquetas!O:Q,2)</f>
        <v>1 Bajo Extremo</v>
      </c>
      <c r="AR18" s="70">
        <f>VLOOKUP(AD18,Etiquetas!O:Q,3)</f>
        <v>30</v>
      </c>
      <c r="AS18" s="51" t="str">
        <f>VLOOKUP(AB18,Etiquetas!S:U,2)</f>
        <v>4 Medio Alto</v>
      </c>
      <c r="AT18" s="70">
        <f>VLOOKUP(AB18,Etiquetas!S:U,3)</f>
        <v>70</v>
      </c>
      <c r="AU18" s="70">
        <f t="shared" si="11"/>
        <v>66</v>
      </c>
      <c r="AV18" s="70" t="str">
        <f>VLOOKUP(AU18,Etiquetas!W:X,2)</f>
        <v>2 Medio Vendedor</v>
      </c>
      <c r="AW18" s="51" t="str">
        <f>VLOOKUP(Y18,Etiquetas!Z:AB,2)</f>
        <v>4 Medio Alto</v>
      </c>
      <c r="AX18" s="70">
        <f>VLOOKUP(Y18,Etiquetas!Z:AB,3)</f>
        <v>80</v>
      </c>
      <c r="AY18" s="51" t="str">
        <f>VLOOKUP(AJ18,Etiquetas!AD:AF,2)</f>
        <v>1 Bajo</v>
      </c>
      <c r="AZ18" s="70">
        <f>VLOOKUP(AJ18,Etiquetas!AD:AF,3)</f>
        <v>30</v>
      </c>
      <c r="BA18" s="79">
        <f t="shared" si="12"/>
        <v>68</v>
      </c>
      <c r="BB18" s="46" t="str">
        <f t="shared" si="13"/>
        <v>Antiguedad: 3 a 6 Meses|Tamaño Cartera: 2 Mediana ≤ 1MM|2 Medio Vendedor|Calidad Cartera: 4 Medio Alto|Alcance Incentivos: 1 Bajo</v>
      </c>
    </row>
    <row r="19" spans="2:54" x14ac:dyDescent="0.2">
      <c r="B19" s="46" t="s">
        <v>109</v>
      </c>
      <c r="C19" s="51" t="s">
        <v>25</v>
      </c>
      <c r="D19" s="47">
        <v>21057</v>
      </c>
      <c r="E19" s="52" t="s">
        <v>26</v>
      </c>
      <c r="F19" s="53">
        <v>44676</v>
      </c>
      <c r="G19" s="53">
        <v>0</v>
      </c>
      <c r="H19" s="53" t="str">
        <f t="shared" si="2"/>
        <v>ACTIVO</v>
      </c>
      <c r="I19" s="54" t="str">
        <f t="shared" si="3"/>
        <v>NO</v>
      </c>
      <c r="J19" s="47">
        <f>VLOOKUP(E19,'BD Original'!G:L,6,0)</f>
        <v>15</v>
      </c>
      <c r="K19" s="47">
        <f>VLOOKUP(E19,'BD Original'!G:M,7,0)</f>
        <v>16</v>
      </c>
      <c r="L19" s="55">
        <f>IF(VLOOKUP($E19&amp;"|"&amp;$J19+L$3,'BD Original'!$A:$Z,15,0)=0,"",IFERROR(VLOOKUP($E19&amp;"|"&amp;$J19+L$3,'BD Original'!$A:$Z,15,0),""))</f>
        <v>1424667.6400000001</v>
      </c>
      <c r="M19" s="55">
        <f>IFERROR(VLOOKUP($E19&amp;"|"&amp;$J19+M$3,'BD Original'!$A:$Z,15,0),"")</f>
        <v>1300046.5</v>
      </c>
      <c r="N19" s="55" t="str">
        <f>IFERROR(VLOOKUP($E19&amp;"|"&amp;$J19+N$3,'BD Original'!$A:$Z,15,0),"")</f>
        <v/>
      </c>
      <c r="O19" s="55" t="str">
        <f>IFERROR(VLOOKUP($E19&amp;"|"&amp;$J19+O$3,'BD Original'!$A:$Z,15,0),"")</f>
        <v/>
      </c>
      <c r="P19" s="55" t="str">
        <f>IFERROR(VLOOKUP($E19&amp;"|"&amp;$J19+P$3,'BD Original'!$A:$Z,15,0),"")</f>
        <v/>
      </c>
      <c r="Q19" s="68">
        <f t="shared" si="4"/>
        <v>1362357.07</v>
      </c>
      <c r="R19" s="56">
        <f t="shared" si="5"/>
        <v>2</v>
      </c>
      <c r="S19" s="55">
        <f>IFERROR(VLOOKUP($E19&amp;"|"&amp;$J19+(K19-J19),'BD Original'!$A:$Z,15,0),"")</f>
        <v>1300046.5</v>
      </c>
      <c r="T19" s="66">
        <f t="shared" si="15"/>
        <v>-8.7473833546187763E-2</v>
      </c>
      <c r="U19" s="55">
        <f>IFERROR(VLOOKUP($E19&amp;"|"&amp;$J19+(K19-J19),'BD Original'!$A:$Z,16,0),"")</f>
        <v>1142769.22</v>
      </c>
      <c r="V19" s="58">
        <f>SUMIF('BD Original'!G:G,E19,'BD Original'!R:R)</f>
        <v>12586.720000000001</v>
      </c>
      <c r="W19" s="57">
        <f t="shared" si="6"/>
        <v>9.2389288220892044E-3</v>
      </c>
      <c r="X19" s="66">
        <f t="shared" si="14"/>
        <v>5.543357293253523E-2</v>
      </c>
      <c r="Y19" s="66">
        <f t="shared" si="7"/>
        <v>0.87059294446319124</v>
      </c>
      <c r="Z19" s="55">
        <f>SUMIF('BD Original'!G:G,E19,'BD Original'!T:T)</f>
        <v>1254090.16625</v>
      </c>
      <c r="AA19" s="55">
        <f>SUMIF('BD Original'!G:G,E19,'BD Original'!U:U)</f>
        <v>802500.38000000035</v>
      </c>
      <c r="AB19" s="66">
        <f t="shared" si="8"/>
        <v>0.63990644500438876</v>
      </c>
      <c r="AC19" s="55">
        <f>SUMIF('BD Original'!G:G,E19,'BD Original'!V:V)</f>
        <v>6</v>
      </c>
      <c r="AD19" s="69">
        <f>IFERROR(AC19/VLOOKUP(E19,'BD Original'!G:I,3,0),0)</f>
        <v>1.2987012987012988E-2</v>
      </c>
      <c r="AE19" s="58">
        <f>SUMIF('BD Original'!G:G,E19,'BD Original'!W:W)</f>
        <v>66</v>
      </c>
      <c r="AF19" s="58">
        <f>SUMIF('BD Original'!G:G,E19,'BD Original'!X:X)</f>
        <v>42</v>
      </c>
      <c r="AG19" s="66">
        <f>IFERROR(SUMIF('BD Original'!G:G,E19,'BD Original'!X:X)/SUMIF('BD Original'!G:G,E19,'BD Original'!W:W),0)</f>
        <v>0.63636363636363635</v>
      </c>
      <c r="AH19" s="58">
        <f>SUMIF('BD Original'!G:G,E19,'BD Original'!Y:Y)</f>
        <v>14484.658940992846</v>
      </c>
      <c r="AI19" s="58">
        <f>SUMIF('BD Original'!G:G,E19,'BD Original'!Z:Z)</f>
        <v>1787.5</v>
      </c>
      <c r="AJ19" s="66">
        <f t="shared" si="9"/>
        <v>0.12340642657047446</v>
      </c>
      <c r="AK19" s="58">
        <f t="shared" si="10"/>
        <v>75522.641525000014</v>
      </c>
      <c r="AL19" s="71" t="str">
        <f>VLOOKUP(E19,'BD Original'!G:K,5,0)</f>
        <v>1 a 1.5 años</v>
      </c>
      <c r="AM19" s="71" t="str">
        <f>VLOOKUP(Q19,Etiquetas!E:F,2)</f>
        <v>3 Mediana ≥ 1MM</v>
      </c>
      <c r="AN19" s="71" t="str">
        <f>IFERROR(VLOOKUP(T19,Etiquetas!H:I,2),0)</f>
        <v>2 Decrecimiento entre 0.1% y 50%</v>
      </c>
      <c r="AO19" s="71" t="str">
        <f>VLOOKUP(AG19,Etiquetas!K:M,2)</f>
        <v>3 Medio Bajo</v>
      </c>
      <c r="AP19" s="70">
        <f>VLOOKUP(AG19,Etiquetas!K:M,3)</f>
        <v>70</v>
      </c>
      <c r="AQ19" s="51" t="str">
        <f>VLOOKUP(AD19,Etiquetas!O:Q,2)</f>
        <v>1 Bajo Extremo</v>
      </c>
      <c r="AR19" s="70">
        <f>VLOOKUP(AD19,Etiquetas!O:Q,3)</f>
        <v>30</v>
      </c>
      <c r="AS19" s="51" t="str">
        <f>VLOOKUP(AB19,Etiquetas!S:U,2)</f>
        <v>3 Medio Bajo</v>
      </c>
      <c r="AT19" s="70">
        <f>VLOOKUP(AB19,Etiquetas!S:U,3)</f>
        <v>50</v>
      </c>
      <c r="AU19" s="70">
        <f t="shared" si="11"/>
        <v>54</v>
      </c>
      <c r="AV19" s="70" t="str">
        <f>VLOOKUP(AU19,Etiquetas!W:X,2)</f>
        <v>1 Mal Vendedor</v>
      </c>
      <c r="AW19" s="51" t="str">
        <f>VLOOKUP(Y19,Etiquetas!Z:AB,2)</f>
        <v>3 Medio Bajo</v>
      </c>
      <c r="AX19" s="70">
        <f>VLOOKUP(Y19,Etiquetas!Z:AB,3)</f>
        <v>70</v>
      </c>
      <c r="AY19" s="51" t="str">
        <f>VLOOKUP(AJ19,Etiquetas!AD:AF,2)</f>
        <v>1 Bajo</v>
      </c>
      <c r="AZ19" s="70">
        <f>VLOOKUP(AJ19,Etiquetas!AD:AF,3)</f>
        <v>30</v>
      </c>
      <c r="BA19" s="79">
        <f t="shared" si="12"/>
        <v>58</v>
      </c>
      <c r="BB19" s="46" t="str">
        <f t="shared" si="13"/>
        <v>Antiguedad: 1 a 1.5 años|Tamaño Cartera: 3 Mediana ≥ 1MM|1 Mal Vendedor|Calidad Cartera: 3 Medio Bajo|Alcance Incentivos: 1 Bajo</v>
      </c>
    </row>
    <row r="20" spans="2:54" x14ac:dyDescent="0.2">
      <c r="B20" s="46" t="s">
        <v>109</v>
      </c>
      <c r="C20" s="51" t="s">
        <v>25</v>
      </c>
      <c r="D20" s="47">
        <v>33373</v>
      </c>
      <c r="E20" s="52" t="s">
        <v>28</v>
      </c>
      <c r="F20" s="53">
        <v>45033</v>
      </c>
      <c r="G20" s="53">
        <v>0</v>
      </c>
      <c r="H20" s="53" t="str">
        <f t="shared" si="2"/>
        <v>ACTIVO</v>
      </c>
      <c r="I20" s="54" t="str">
        <f t="shared" si="3"/>
        <v>NO</v>
      </c>
      <c r="J20" s="47">
        <f>VLOOKUP(E20,'BD Original'!G:L,6,0)</f>
        <v>3</v>
      </c>
      <c r="K20" s="47">
        <f>VLOOKUP(E20,'BD Original'!G:M,7,0)</f>
        <v>7</v>
      </c>
      <c r="L20" s="55">
        <f>IF(VLOOKUP($E20&amp;"|"&amp;$J20+L$3,'BD Original'!$A:$Z,15,0)=0,"",IFERROR(VLOOKUP($E20&amp;"|"&amp;$J20+L$3,'BD Original'!$A:$Z,15,0),""))</f>
        <v>835765.31999999983</v>
      </c>
      <c r="M20" s="55">
        <f>IFERROR(VLOOKUP($E20&amp;"|"&amp;$J20+M$3,'BD Original'!$A:$Z,15,0),"")</f>
        <v>1128241.7000000002</v>
      </c>
      <c r="N20" s="55">
        <f>IFERROR(VLOOKUP($E20&amp;"|"&amp;$J20+N$3,'BD Original'!$A:$Z,15,0),"")</f>
        <v>1400508.2900000003</v>
      </c>
      <c r="O20" s="55">
        <f>IFERROR(VLOOKUP($E20&amp;"|"&amp;$J20+O$3,'BD Original'!$A:$Z,15,0),"")</f>
        <v>1376339.9999999995</v>
      </c>
      <c r="P20" s="55">
        <f>IFERROR(VLOOKUP($E20&amp;"|"&amp;$J20+P$3,'BD Original'!$A:$Z,15,0),"")</f>
        <v>1433027.89</v>
      </c>
      <c r="Q20" s="68">
        <f t="shared" si="4"/>
        <v>1234776.6400000001</v>
      </c>
      <c r="R20" s="56">
        <f t="shared" si="5"/>
        <v>5</v>
      </c>
      <c r="S20" s="55">
        <f>IFERROR(VLOOKUP($E20&amp;"|"&amp;$J20+(K20-J20),'BD Original'!$A:$Z,15,0),"")</f>
        <v>1433027.89</v>
      </c>
      <c r="T20" s="66">
        <f t="shared" si="15"/>
        <v>0.14430705147456679</v>
      </c>
      <c r="U20" s="55">
        <f>IFERROR(VLOOKUP($E20&amp;"|"&amp;$J20+(K20-J20),'BD Original'!$A:$Z,16,0),"")</f>
        <v>1282297.7500000002</v>
      </c>
      <c r="V20" s="58">
        <f>SUMIF('BD Original'!G:G,E20,'BD Original'!R:R)</f>
        <v>0</v>
      </c>
      <c r="W20" s="57">
        <f t="shared" si="6"/>
        <v>0</v>
      </c>
      <c r="X20" s="66">
        <f t="shared" si="14"/>
        <v>0</v>
      </c>
      <c r="Y20" s="66">
        <f t="shared" si="7"/>
        <v>0.89481702271684349</v>
      </c>
      <c r="Z20" s="55">
        <f>SUMIF('BD Original'!G:G,E20,'BD Original'!T:T)</f>
        <v>2208905.3614500002</v>
      </c>
      <c r="AA20" s="55">
        <f>SUMIF('BD Original'!G:G,E20,'BD Original'!U:U)</f>
        <v>2481001.9500000002</v>
      </c>
      <c r="AB20" s="66">
        <f t="shared" si="8"/>
        <v>1.1231816415943627</v>
      </c>
      <c r="AC20" s="55">
        <f>SUMIF('BD Original'!G:G,E20,'BD Original'!V:V)</f>
        <v>20</v>
      </c>
      <c r="AD20" s="69">
        <f>IFERROR(AC20/VLOOKUP(E20,'BD Original'!G:I,3,0),0)</f>
        <v>0.19047619047619047</v>
      </c>
      <c r="AE20" s="58">
        <f>SUMIF('BD Original'!G:G,E20,'BD Original'!W:W)</f>
        <v>92</v>
      </c>
      <c r="AF20" s="58">
        <f>SUMIF('BD Original'!G:G,E20,'BD Original'!X:X)</f>
        <v>47</v>
      </c>
      <c r="AG20" s="66">
        <f>IFERROR(SUMIF('BD Original'!G:G,E20,'BD Original'!X:X)/SUMIF('BD Original'!G:G,E20,'BD Original'!W:W),0)</f>
        <v>0.51086956521739135</v>
      </c>
      <c r="AH20" s="58">
        <f>SUMIF('BD Original'!G:G,E20,'BD Original'!Y:Y)</f>
        <v>49264.247980086271</v>
      </c>
      <c r="AI20" s="58">
        <f>SUMIF('BD Original'!G:G,E20,'BD Original'!Z:Z)</f>
        <v>24702.5</v>
      </c>
      <c r="AJ20" s="66">
        <f t="shared" si="9"/>
        <v>0.50142854124121228</v>
      </c>
      <c r="AK20" s="58">
        <f t="shared" si="10"/>
        <v>65940.156800000026</v>
      </c>
      <c r="AL20" s="71" t="str">
        <f>VLOOKUP(E20,'BD Original'!G:K,5,0)</f>
        <v>3 a 6 Meses</v>
      </c>
      <c r="AM20" s="71" t="str">
        <f>VLOOKUP(Q20,Etiquetas!E:F,2)</f>
        <v>3 Mediana ≥ 1MM</v>
      </c>
      <c r="AN20" s="71" t="str">
        <f>IFERROR(VLOOKUP(T20,Etiquetas!H:I,2),0)</f>
        <v>5 Crecimiento Medio</v>
      </c>
      <c r="AO20" s="71" t="str">
        <f>VLOOKUP(AG20,Etiquetas!K:M,2)</f>
        <v>3 Medio Bajo</v>
      </c>
      <c r="AP20" s="70">
        <f>VLOOKUP(AG20,Etiquetas!K:M,3)</f>
        <v>70</v>
      </c>
      <c r="AQ20" s="51" t="str">
        <f>VLOOKUP(AD20,Etiquetas!O:Q,2)</f>
        <v>1 Bajo Extremo</v>
      </c>
      <c r="AR20" s="70">
        <f>VLOOKUP(AD20,Etiquetas!O:Q,3)</f>
        <v>30</v>
      </c>
      <c r="AS20" s="51" t="str">
        <f>VLOOKUP(AB20,Etiquetas!S:U,2)</f>
        <v>7 Sobresaliente</v>
      </c>
      <c r="AT20" s="70">
        <f>VLOOKUP(AB20,Etiquetas!S:U,3)</f>
        <v>110</v>
      </c>
      <c r="AU20" s="70">
        <f t="shared" si="11"/>
        <v>78</v>
      </c>
      <c r="AV20" s="70" t="str">
        <f>VLOOKUP(AU20,Etiquetas!W:X,2)</f>
        <v>2 Medio Vendedor</v>
      </c>
      <c r="AW20" s="51" t="str">
        <f>VLOOKUP(Y20,Etiquetas!Z:AB,2)</f>
        <v>3 Medio Bajo</v>
      </c>
      <c r="AX20" s="70">
        <f>VLOOKUP(Y20,Etiquetas!Z:AB,3)</f>
        <v>70</v>
      </c>
      <c r="AY20" s="51" t="str">
        <f>VLOOKUP(AJ20,Etiquetas!AD:AF,2)</f>
        <v>2 Medio</v>
      </c>
      <c r="AZ20" s="70">
        <f>VLOOKUP(AJ20,Etiquetas!AD:AF,3)</f>
        <v>50</v>
      </c>
      <c r="BA20" s="79">
        <f t="shared" si="12"/>
        <v>72</v>
      </c>
      <c r="BB20" s="46" t="str">
        <f t="shared" si="13"/>
        <v>Antiguedad: 3 a 6 Meses|Tamaño Cartera: 3 Mediana ≥ 1MM|2 Medio Vendedor|Calidad Cartera: 3 Medio Bajo|Alcance Incentivos: 2 Medio</v>
      </c>
    </row>
    <row r="21" spans="2:54" x14ac:dyDescent="0.2">
      <c r="B21" s="46" t="s">
        <v>109</v>
      </c>
      <c r="C21" s="51" t="s">
        <v>25</v>
      </c>
      <c r="D21" s="47">
        <v>32596</v>
      </c>
      <c r="E21" s="52" t="s">
        <v>27</v>
      </c>
      <c r="F21" s="53">
        <v>45093</v>
      </c>
      <c r="G21" s="53">
        <v>0</v>
      </c>
      <c r="H21" s="53" t="str">
        <f t="shared" si="2"/>
        <v>ACTIVO</v>
      </c>
      <c r="I21" s="54" t="str">
        <f t="shared" si="3"/>
        <v>NO</v>
      </c>
      <c r="J21" s="47">
        <f>VLOOKUP(E21,'BD Original'!G:L,6,0)</f>
        <v>1</v>
      </c>
      <c r="K21" s="47">
        <f>VLOOKUP(E21,'BD Original'!G:M,7,0)</f>
        <v>5</v>
      </c>
      <c r="L21" s="55">
        <f>IF(VLOOKUP($E21&amp;"|"&amp;$J21+L$3,'BD Original'!$A:$Z,15,0)=0,"",IFERROR(VLOOKUP($E21&amp;"|"&amp;$J21+L$3,'BD Original'!$A:$Z,15,0),""))</f>
        <v>102968.23999999999</v>
      </c>
      <c r="M21" s="55">
        <f>IFERROR(VLOOKUP($E21&amp;"|"&amp;$J21+M$3,'BD Original'!$A:$Z,15,0),"")</f>
        <v>417720.51</v>
      </c>
      <c r="N21" s="55">
        <f>IFERROR(VLOOKUP($E21&amp;"|"&amp;$J21+N$3,'BD Original'!$A:$Z,15,0),"")</f>
        <v>1237666.1099999996</v>
      </c>
      <c r="O21" s="55">
        <f>IFERROR(VLOOKUP($E21&amp;"|"&amp;$J21+O$3,'BD Original'!$A:$Z,15,0),"")</f>
        <v>1029276.8400000002</v>
      </c>
      <c r="P21" s="55">
        <f>IFERROR(VLOOKUP($E21&amp;"|"&amp;$J21+P$3,'BD Original'!$A:$Z,15,0),"")</f>
        <v>1153428.69</v>
      </c>
      <c r="Q21" s="68">
        <f t="shared" si="4"/>
        <v>788212.07799999998</v>
      </c>
      <c r="R21" s="56">
        <f t="shared" si="5"/>
        <v>5</v>
      </c>
      <c r="S21" s="55">
        <f>IFERROR(VLOOKUP($E21&amp;"|"&amp;$J21+(K21-J21),'BD Original'!$A:$Z,15,0),"")</f>
        <v>1153428.69</v>
      </c>
      <c r="T21" s="66">
        <f t="shared" si="15"/>
        <v>0.82945556293720424</v>
      </c>
      <c r="U21" s="55">
        <f>IFERROR(VLOOKUP($E21&amp;"|"&amp;$J21+(K21-J21),'BD Original'!$A:$Z,16,0),"")</f>
        <v>1029927.5</v>
      </c>
      <c r="V21" s="58">
        <f>SUMIF('BD Original'!G:G,E21,'BD Original'!R:R)</f>
        <v>0</v>
      </c>
      <c r="W21" s="57">
        <f t="shared" si="6"/>
        <v>0</v>
      </c>
      <c r="X21" s="66">
        <f t="shared" si="14"/>
        <v>0</v>
      </c>
      <c r="Y21" s="66">
        <f t="shared" si="7"/>
        <v>0.89292689607018538</v>
      </c>
      <c r="Z21" s="55">
        <f>SUMIF('BD Original'!G:G,E21,'BD Original'!T:T)</f>
        <v>1777399.5485499999</v>
      </c>
      <c r="AA21" s="55">
        <f>SUMIF('BD Original'!G:G,E21,'BD Original'!U:U)</f>
        <v>1437373.4900000002</v>
      </c>
      <c r="AB21" s="66">
        <f t="shared" si="8"/>
        <v>0.80869464109665579</v>
      </c>
      <c r="AC21" s="55">
        <f>SUMIF('BD Original'!G:G,E21,'BD Original'!V:V)</f>
        <v>74</v>
      </c>
      <c r="AD21" s="69">
        <f>IFERROR(AC21/VLOOKUP(E21,'BD Original'!G:I,3,0),0)</f>
        <v>1.6444444444444444</v>
      </c>
      <c r="AE21" s="58">
        <f>SUMIF('BD Original'!G:G,E21,'BD Original'!W:W)</f>
        <v>25</v>
      </c>
      <c r="AF21" s="58">
        <f>SUMIF('BD Original'!G:G,E21,'BD Original'!X:X)</f>
        <v>8</v>
      </c>
      <c r="AG21" s="66">
        <f>IFERROR(SUMIF('BD Original'!G:G,E21,'BD Original'!X:X)/SUMIF('BD Original'!G:G,E21,'BD Original'!W:W),0)</f>
        <v>0.32</v>
      </c>
      <c r="AH21" s="58">
        <f>SUMIF('BD Original'!G:G,E21,'BD Original'!Y:Y)</f>
        <v>35592.782538312989</v>
      </c>
      <c r="AI21" s="58">
        <f>SUMIF('BD Original'!G:G,E21,'BD Original'!Z:Z)</f>
        <v>12775</v>
      </c>
      <c r="AJ21" s="66">
        <f t="shared" si="9"/>
        <v>0.35892108143690821</v>
      </c>
      <c r="AK21" s="58">
        <f t="shared" si="10"/>
        <v>37877.194485</v>
      </c>
      <c r="AL21" s="71" t="str">
        <f>VLOOKUP(E21,'BD Original'!G:K,5,0)</f>
        <v>&lt; 3 Meses</v>
      </c>
      <c r="AM21" s="71" t="str">
        <f>VLOOKUP(Q21,Etiquetas!E:F,2)</f>
        <v>2 Mediana ≤ 1MM</v>
      </c>
      <c r="AN21" s="71" t="str">
        <f>IFERROR(VLOOKUP(T21,Etiquetas!H:I,2),0)</f>
        <v>8 Crecimiento Exponencial</v>
      </c>
      <c r="AO21" s="71" t="str">
        <f>VLOOKUP(AG21,Etiquetas!K:M,2)</f>
        <v>2 Bajo</v>
      </c>
      <c r="AP21" s="70">
        <f>VLOOKUP(AG21,Etiquetas!K:M,3)</f>
        <v>50</v>
      </c>
      <c r="AQ21" s="51" t="str">
        <f>VLOOKUP(AD21,Etiquetas!O:Q,2)</f>
        <v>2 Bajo</v>
      </c>
      <c r="AR21" s="70">
        <f>VLOOKUP(AD21,Etiquetas!O:Q,3)</f>
        <v>50</v>
      </c>
      <c r="AS21" s="51" t="str">
        <f>VLOOKUP(AB21,Etiquetas!S:U,2)</f>
        <v>4 Medio Alto</v>
      </c>
      <c r="AT21" s="70">
        <f>VLOOKUP(AB21,Etiquetas!S:U,3)</f>
        <v>70</v>
      </c>
      <c r="AU21" s="70">
        <f t="shared" si="11"/>
        <v>58</v>
      </c>
      <c r="AV21" s="70" t="str">
        <f>VLOOKUP(AU21,Etiquetas!W:X,2)</f>
        <v>1 Mal Vendedor</v>
      </c>
      <c r="AW21" s="51" t="str">
        <f>VLOOKUP(Y21,Etiquetas!Z:AB,2)</f>
        <v>3 Medio Bajo</v>
      </c>
      <c r="AX21" s="70">
        <f>VLOOKUP(Y21,Etiquetas!Z:AB,3)</f>
        <v>70</v>
      </c>
      <c r="AY21" s="51" t="str">
        <f>VLOOKUP(AJ21,Etiquetas!AD:AF,2)</f>
        <v>1 Bajo</v>
      </c>
      <c r="AZ21" s="70">
        <f>VLOOKUP(AJ21,Etiquetas!AD:AF,3)</f>
        <v>30</v>
      </c>
      <c r="BA21" s="79">
        <f t="shared" si="12"/>
        <v>60</v>
      </c>
      <c r="BB21" s="46" t="str">
        <f t="shared" si="13"/>
        <v>Antiguedad: &lt; 3 Meses|Tamaño Cartera: 2 Mediana ≤ 1MM|1 Mal Vendedor|Calidad Cartera: 3 Medio Bajo|Alcance Incentivos: 1 Bajo</v>
      </c>
    </row>
    <row r="22" spans="2:54" x14ac:dyDescent="0.2">
      <c r="B22" s="46" t="s">
        <v>109</v>
      </c>
      <c r="C22" s="51" t="s">
        <v>34</v>
      </c>
      <c r="D22" s="47">
        <v>30869</v>
      </c>
      <c r="E22" s="52" t="s">
        <v>35</v>
      </c>
      <c r="F22" s="53">
        <v>45034</v>
      </c>
      <c r="G22" s="53">
        <v>0</v>
      </c>
      <c r="H22" s="53" t="str">
        <f t="shared" si="2"/>
        <v>ACTIVO</v>
      </c>
      <c r="I22" s="54" t="str">
        <f t="shared" si="3"/>
        <v>NO</v>
      </c>
      <c r="J22" s="47">
        <f>VLOOKUP(E22,'BD Original'!G:L,6,0)</f>
        <v>3</v>
      </c>
      <c r="K22" s="47">
        <f>VLOOKUP(E22,'BD Original'!G:M,7,0)</f>
        <v>7</v>
      </c>
      <c r="L22" s="55">
        <f>IF(VLOOKUP($E22&amp;"|"&amp;$J22+L$3,'BD Original'!$A:$Z,15,0)=0,"",IFERROR(VLOOKUP($E22&amp;"|"&amp;$J22+L$3,'BD Original'!$A:$Z,15,0),""))</f>
        <v>1291001.27</v>
      </c>
      <c r="M22" s="55">
        <f>IFERROR(VLOOKUP($E22&amp;"|"&amp;$J22+M$3,'BD Original'!$A:$Z,15,0),"")</f>
        <v>1283919.5700000005</v>
      </c>
      <c r="N22" s="55">
        <f>IFERROR(VLOOKUP($E22&amp;"|"&amp;$J22+N$3,'BD Original'!$A:$Z,15,0),"")</f>
        <v>1390725.68</v>
      </c>
      <c r="O22" s="55">
        <f>IFERROR(VLOOKUP($E22&amp;"|"&amp;$J22+O$3,'BD Original'!$A:$Z,15,0),"")</f>
        <v>1147073.1199999999</v>
      </c>
      <c r="P22" s="55">
        <f>IFERROR(VLOOKUP($E22&amp;"|"&amp;$J22+P$3,'BD Original'!$A:$Z,15,0),"")</f>
        <v>1045160.5999999996</v>
      </c>
      <c r="Q22" s="68">
        <f t="shared" si="4"/>
        <v>1231576.048</v>
      </c>
      <c r="R22" s="56">
        <f t="shared" si="5"/>
        <v>5</v>
      </c>
      <c r="S22" s="55">
        <f>IFERROR(VLOOKUP($E22&amp;"|"&amp;$J22+(K22-J22),'BD Original'!$A:$Z,15,0),"")</f>
        <v>1045160.5999999996</v>
      </c>
      <c r="T22" s="66">
        <f t="shared" si="15"/>
        <v>-5.1441565703506775E-2</v>
      </c>
      <c r="U22" s="55">
        <f>IFERROR(VLOOKUP($E22&amp;"|"&amp;$J22+(K22-J22),'BD Original'!$A:$Z,16,0),"")</f>
        <v>1015272.0599999996</v>
      </c>
      <c r="V22" s="58">
        <f>SUMIF('BD Original'!G:G,E22,'BD Original'!R:R)</f>
        <v>0</v>
      </c>
      <c r="W22" s="57">
        <f t="shared" si="6"/>
        <v>0</v>
      </c>
      <c r="X22" s="66">
        <f t="shared" si="14"/>
        <v>0</v>
      </c>
      <c r="Y22" s="66">
        <f t="shared" si="7"/>
        <v>0.97140292123526273</v>
      </c>
      <c r="Z22" s="55">
        <f>SUMIF('BD Original'!G:G,E22,'BD Original'!T:T)</f>
        <v>3099761.9938999992</v>
      </c>
      <c r="AA22" s="55">
        <f>SUMIF('BD Original'!G:G,E22,'BD Original'!U:U)</f>
        <v>2141003.4200000004</v>
      </c>
      <c r="AB22" s="66">
        <f t="shared" si="8"/>
        <v>0.69069929375650985</v>
      </c>
      <c r="AC22" s="55">
        <f>SUMIF('BD Original'!G:G,E22,'BD Original'!V:V)</f>
        <v>90</v>
      </c>
      <c r="AD22" s="69">
        <f>IFERROR(AC22/VLOOKUP(E22,'BD Original'!G:I,3,0),0)</f>
        <v>0.86538461538461542</v>
      </c>
      <c r="AE22" s="58">
        <f>SUMIF('BD Original'!G:G,E22,'BD Original'!W:W)</f>
        <v>370</v>
      </c>
      <c r="AF22" s="58">
        <f>SUMIF('BD Original'!G:G,E22,'BD Original'!X:X)</f>
        <v>220</v>
      </c>
      <c r="AG22" s="66">
        <f>IFERROR(SUMIF('BD Original'!G:G,E22,'BD Original'!X:X)/SUMIF('BD Original'!G:G,E22,'BD Original'!W:W),0)</f>
        <v>0.59459459459459463</v>
      </c>
      <c r="AH22" s="58">
        <f>SUMIF('BD Original'!G:G,E22,'BD Original'!Y:Y)</f>
        <v>57493.492854700758</v>
      </c>
      <c r="AI22" s="58">
        <f>SUMIF('BD Original'!G:G,E22,'BD Original'!Z:Z)</f>
        <v>25912.75</v>
      </c>
      <c r="AJ22" s="66">
        <f t="shared" si="9"/>
        <v>0.45070752729334884</v>
      </c>
      <c r="AK22" s="58">
        <f t="shared" si="10"/>
        <v>65998.172759999987</v>
      </c>
      <c r="AL22" s="71" t="str">
        <f>VLOOKUP(E22,'BD Original'!G:K,5,0)</f>
        <v>3 a 6 Meses</v>
      </c>
      <c r="AM22" s="71" t="str">
        <f>VLOOKUP(Q22,Etiquetas!E:F,2)</f>
        <v>3 Mediana ≥ 1MM</v>
      </c>
      <c r="AN22" s="71" t="str">
        <f>IFERROR(VLOOKUP(T22,Etiquetas!H:I,2),0)</f>
        <v>2 Decrecimiento entre 0.1% y 50%</v>
      </c>
      <c r="AO22" s="71" t="str">
        <f>VLOOKUP(AG22,Etiquetas!K:M,2)</f>
        <v>3 Medio Bajo</v>
      </c>
      <c r="AP22" s="70">
        <f>VLOOKUP(AG22,Etiquetas!K:M,3)</f>
        <v>70</v>
      </c>
      <c r="AQ22" s="51" t="str">
        <f>VLOOKUP(AD22,Etiquetas!O:Q,2)</f>
        <v>1 Bajo Extremo</v>
      </c>
      <c r="AR22" s="70">
        <f>VLOOKUP(AD22,Etiquetas!O:Q,3)</f>
        <v>30</v>
      </c>
      <c r="AS22" s="51" t="str">
        <f>VLOOKUP(AB22,Etiquetas!S:U,2)</f>
        <v>3 Medio Bajo</v>
      </c>
      <c r="AT22" s="70">
        <f>VLOOKUP(AB22,Etiquetas!S:U,3)</f>
        <v>50</v>
      </c>
      <c r="AU22" s="70">
        <f t="shared" si="11"/>
        <v>54</v>
      </c>
      <c r="AV22" s="70" t="str">
        <f>VLOOKUP(AU22,Etiquetas!W:X,2)</f>
        <v>1 Mal Vendedor</v>
      </c>
      <c r="AW22" s="51" t="str">
        <f>VLOOKUP(Y22,Etiquetas!Z:AB,2)</f>
        <v>5 Alto</v>
      </c>
      <c r="AX22" s="70">
        <f>VLOOKUP(Y22,Etiquetas!Z:AB,3)</f>
        <v>90</v>
      </c>
      <c r="AY22" s="51" t="str">
        <f>VLOOKUP(AJ22,Etiquetas!AD:AF,2)</f>
        <v>2 Medio</v>
      </c>
      <c r="AZ22" s="70">
        <f>VLOOKUP(AJ22,Etiquetas!AD:AF,3)</f>
        <v>50</v>
      </c>
      <c r="BA22" s="79">
        <f t="shared" si="12"/>
        <v>68</v>
      </c>
      <c r="BB22" s="46" t="str">
        <f t="shared" si="13"/>
        <v>Antiguedad: 3 a 6 Meses|Tamaño Cartera: 3 Mediana ≥ 1MM|1 Mal Vendedor|Calidad Cartera: 5 Alto|Alcance Incentivos: 2 Medio</v>
      </c>
    </row>
    <row r="23" spans="2:54" x14ac:dyDescent="0.2">
      <c r="B23" s="46" t="s">
        <v>109</v>
      </c>
      <c r="C23" s="51" t="s">
        <v>37</v>
      </c>
      <c r="D23" s="47">
        <v>20173</v>
      </c>
      <c r="E23" s="52" t="s">
        <v>38</v>
      </c>
      <c r="F23" s="53">
        <v>44627</v>
      </c>
      <c r="G23" s="53">
        <v>0</v>
      </c>
      <c r="H23" s="53" t="str">
        <f t="shared" si="2"/>
        <v>ACTIVO</v>
      </c>
      <c r="I23" s="54" t="str">
        <f t="shared" si="3"/>
        <v>NO</v>
      </c>
      <c r="J23" s="47">
        <f>VLOOKUP(E23,'BD Original'!G:L,6,0)</f>
        <v>17</v>
      </c>
      <c r="K23" s="47">
        <f>VLOOKUP(E23,'BD Original'!G:M,7,0)</f>
        <v>19</v>
      </c>
      <c r="L23" s="55">
        <f>IF(VLOOKUP($E23&amp;"|"&amp;$J23+L$3,'BD Original'!$A:$Z,15,0)=0,"",IFERROR(VLOOKUP($E23&amp;"|"&amp;$J23+L$3,'BD Original'!$A:$Z,15,0),""))</f>
        <v>2176958.62</v>
      </c>
      <c r="M23" s="55">
        <f>IFERROR(VLOOKUP($E23&amp;"|"&amp;$J23+M$3,'BD Original'!$A:$Z,15,0),"")</f>
        <v>2581285.0400000005</v>
      </c>
      <c r="N23" s="55">
        <f>IFERROR(VLOOKUP($E23&amp;"|"&amp;$J23+N$3,'BD Original'!$A:$Z,15,0),"")</f>
        <v>2300683.11</v>
      </c>
      <c r="O23" s="55" t="str">
        <f>IFERROR(VLOOKUP($E23&amp;"|"&amp;$J23+O$3,'BD Original'!$A:$Z,15,0),"")</f>
        <v/>
      </c>
      <c r="P23" s="55" t="str">
        <f>IFERROR(VLOOKUP($E23&amp;"|"&amp;$J23+P$3,'BD Original'!$A:$Z,15,0),"")</f>
        <v/>
      </c>
      <c r="Q23" s="68">
        <f t="shared" si="4"/>
        <v>2352975.59</v>
      </c>
      <c r="R23" s="56">
        <f t="shared" si="5"/>
        <v>3</v>
      </c>
      <c r="S23" s="55">
        <f>IFERROR(VLOOKUP($E23&amp;"|"&amp;$J23+(K23-J23),'BD Original'!$A:$Z,15,0),"")</f>
        <v>2300683.11</v>
      </c>
      <c r="T23" s="66">
        <f t="shared" si="15"/>
        <v>2.8024145360091568E-2</v>
      </c>
      <c r="U23" s="55">
        <f>IFERROR(VLOOKUP($E23&amp;"|"&amp;$J23+(K23-J23),'BD Original'!$A:$Z,16,0),"")</f>
        <v>2295178.48</v>
      </c>
      <c r="V23" s="58">
        <f>SUMIF('BD Original'!G:G,E23,'BD Original'!R:R)</f>
        <v>0</v>
      </c>
      <c r="W23" s="57">
        <f t="shared" si="6"/>
        <v>0</v>
      </c>
      <c r="X23" s="66">
        <f t="shared" si="14"/>
        <v>0</v>
      </c>
      <c r="Y23" s="66">
        <f t="shared" si="7"/>
        <v>0.99760739322331105</v>
      </c>
      <c r="Z23" s="55">
        <f>SUMIF('BD Original'!G:G,E23,'BD Original'!T:T)</f>
        <v>2272949.8559499998</v>
      </c>
      <c r="AA23" s="55">
        <f>SUMIF('BD Original'!G:G,E23,'BD Original'!U:U)</f>
        <v>3214499.82</v>
      </c>
      <c r="AB23" s="66">
        <f t="shared" si="8"/>
        <v>1.4142414147788012</v>
      </c>
      <c r="AC23" s="55">
        <f>SUMIF('BD Original'!G:G,E23,'BD Original'!V:V)</f>
        <v>32</v>
      </c>
      <c r="AD23" s="69">
        <f>IFERROR(AC23/VLOOKUP(E23,'BD Original'!G:I,3,0),0)</f>
        <v>6.262230919765166E-2</v>
      </c>
      <c r="AE23" s="58">
        <f>SUMIF('BD Original'!G:G,E23,'BD Original'!W:W)</f>
        <v>140</v>
      </c>
      <c r="AF23" s="58">
        <f>SUMIF('BD Original'!G:G,E23,'BD Original'!X:X)</f>
        <v>117</v>
      </c>
      <c r="AG23" s="66">
        <f>IFERROR(SUMIF('BD Original'!G:G,E23,'BD Original'!X:X)/SUMIF('BD Original'!G:G,E23,'BD Original'!W:W),0)</f>
        <v>0.83571428571428574</v>
      </c>
      <c r="AH23" s="58">
        <f>SUMIF('BD Original'!G:G,E23,'BD Original'!Y:Y)</f>
        <v>30878.744291858762</v>
      </c>
      <c r="AI23" s="58">
        <f>SUMIF('BD Original'!G:G,E23,'BD Original'!Z:Z)</f>
        <v>30590</v>
      </c>
      <c r="AJ23" s="66">
        <f t="shared" si="9"/>
        <v>0.99064909216742691</v>
      </c>
      <c r="AK23" s="58">
        <f t="shared" si="10"/>
        <v>135492.76309166668</v>
      </c>
      <c r="AL23" s="71" t="str">
        <f>VLOOKUP(E23,'BD Original'!G:K,5,0)</f>
        <v>1 a 1.5 años</v>
      </c>
      <c r="AM23" s="71" t="str">
        <f>VLOOKUP(Q23,Etiquetas!E:F,2)</f>
        <v>5 Grande ≤ 2MM</v>
      </c>
      <c r="AN23" s="71" t="str">
        <f>IFERROR(VLOOKUP(T23,Etiquetas!H:I,2),0)</f>
        <v>4 Crecimiento Muy Bajo</v>
      </c>
      <c r="AO23" s="71" t="str">
        <f>VLOOKUP(AG23,Etiquetas!K:M,2)</f>
        <v>5 Alto</v>
      </c>
      <c r="AP23" s="70">
        <f>VLOOKUP(AG23,Etiquetas!K:M,3)</f>
        <v>90</v>
      </c>
      <c r="AQ23" s="51" t="str">
        <f>VLOOKUP(AD23,Etiquetas!O:Q,2)</f>
        <v>1 Bajo Extremo</v>
      </c>
      <c r="AR23" s="70">
        <f>VLOOKUP(AD23,Etiquetas!O:Q,3)</f>
        <v>30</v>
      </c>
      <c r="AS23" s="51" t="str">
        <f>VLOOKUP(AB23,Etiquetas!S:U,2)</f>
        <v>7 Sobresaliente</v>
      </c>
      <c r="AT23" s="70">
        <f>VLOOKUP(AB23,Etiquetas!S:U,3)</f>
        <v>110</v>
      </c>
      <c r="AU23" s="70">
        <f t="shared" si="11"/>
        <v>86</v>
      </c>
      <c r="AV23" s="70" t="str">
        <f>VLOOKUP(AU23,Etiquetas!W:X,2)</f>
        <v>3 Buen Vendedor</v>
      </c>
      <c r="AW23" s="51" t="str">
        <f>VLOOKUP(Y23,Etiquetas!Z:AB,2)</f>
        <v>6 Muy Alto</v>
      </c>
      <c r="AX23" s="70">
        <f>VLOOKUP(Y23,Etiquetas!Z:AB,3)</f>
        <v>100</v>
      </c>
      <c r="AY23" s="51" t="str">
        <f>VLOOKUP(AJ23,Etiquetas!AD:AF,2)</f>
        <v>5 Sobresaliente</v>
      </c>
      <c r="AZ23" s="70">
        <f>VLOOKUP(AJ23,Etiquetas!AD:AF,3)</f>
        <v>90</v>
      </c>
      <c r="BA23" s="79">
        <f t="shared" si="12"/>
        <v>92</v>
      </c>
      <c r="BB23" s="46" t="str">
        <f t="shared" si="13"/>
        <v>Antiguedad: 1 a 1.5 años|Tamaño Cartera: 5 Grande ≤ 2MM|3 Buen Vendedor|Calidad Cartera: 6 Muy Alto|Alcance Incentivos: 5 Sobresaliente</v>
      </c>
    </row>
    <row r="24" spans="2:54" x14ac:dyDescent="0.2">
      <c r="B24" s="46" t="s">
        <v>109</v>
      </c>
      <c r="C24" s="51" t="s">
        <v>37</v>
      </c>
      <c r="D24" s="47">
        <v>20612</v>
      </c>
      <c r="E24" s="52" t="s">
        <v>39</v>
      </c>
      <c r="F24" s="53">
        <v>44648</v>
      </c>
      <c r="G24" s="53">
        <v>0</v>
      </c>
      <c r="H24" s="53" t="str">
        <f t="shared" si="2"/>
        <v>ACTIVO</v>
      </c>
      <c r="I24" s="54" t="str">
        <f t="shared" si="3"/>
        <v>NO</v>
      </c>
      <c r="J24" s="47">
        <f>VLOOKUP(E24,'BD Original'!G:L,6,0)</f>
        <v>16</v>
      </c>
      <c r="K24" s="47">
        <f>VLOOKUP(E24,'BD Original'!G:M,7,0)</f>
        <v>20</v>
      </c>
      <c r="L24" s="55">
        <f>IF(VLOOKUP($E24&amp;"|"&amp;$J24+L$3,'BD Original'!$A:$Z,15,0)=0,"",IFERROR(VLOOKUP($E24&amp;"|"&amp;$J24+L$3,'BD Original'!$A:$Z,15,0),""))</f>
        <v>1977158.1099999999</v>
      </c>
      <c r="M24" s="55">
        <f>IFERROR(VLOOKUP($E24&amp;"|"&amp;$J24+M$3,'BD Original'!$A:$Z,15,0),"")</f>
        <v>1585912.3200000003</v>
      </c>
      <c r="N24" s="55">
        <f>IFERROR(VLOOKUP($E24&amp;"|"&amp;$J24+N$3,'BD Original'!$A:$Z,15,0),"")</f>
        <v>2025186.81</v>
      </c>
      <c r="O24" s="55">
        <f>IFERROR(VLOOKUP($E24&amp;"|"&amp;$J24+O$3,'BD Original'!$A:$Z,15,0),"")</f>
        <v>2198186.8200000003</v>
      </c>
      <c r="P24" s="55">
        <f>IFERROR(VLOOKUP($E24&amp;"|"&amp;$J24+P$3,'BD Original'!$A:$Z,15,0),"")</f>
        <v>1876712.0399999998</v>
      </c>
      <c r="Q24" s="68">
        <f t="shared" si="4"/>
        <v>1932631.22</v>
      </c>
      <c r="R24" s="56">
        <f t="shared" si="5"/>
        <v>5</v>
      </c>
      <c r="S24" s="55">
        <f>IFERROR(VLOOKUP($E24&amp;"|"&amp;$J24+(K24-J24),'BD Original'!$A:$Z,15,0),"")</f>
        <v>1876712.0399999998</v>
      </c>
      <c r="T24" s="66">
        <f t="shared" si="15"/>
        <v>-1.2950211181022353E-2</v>
      </c>
      <c r="U24" s="55">
        <f>IFERROR(VLOOKUP($E24&amp;"|"&amp;$J24+(K24-J24),'BD Original'!$A:$Z,16,0),"")</f>
        <v>1808046.7799999998</v>
      </c>
      <c r="V24" s="58">
        <f>SUMIF('BD Original'!G:G,E24,'BD Original'!R:R)</f>
        <v>0</v>
      </c>
      <c r="W24" s="57">
        <f t="shared" si="6"/>
        <v>0</v>
      </c>
      <c r="X24" s="66">
        <f t="shared" si="14"/>
        <v>0</v>
      </c>
      <c r="Y24" s="66">
        <f t="shared" si="7"/>
        <v>0.96341193612207021</v>
      </c>
      <c r="Z24" s="55">
        <f>SUMIF('BD Original'!G:G,E24,'BD Original'!T:T)</f>
        <v>2660300.2541500004</v>
      </c>
      <c r="AA24" s="55">
        <f>SUMIF('BD Original'!G:G,E24,'BD Original'!U:U)</f>
        <v>4078499.3799999994</v>
      </c>
      <c r="AB24" s="66">
        <f t="shared" si="8"/>
        <v>1.5330973914082233</v>
      </c>
      <c r="AC24" s="55">
        <f>SUMIF('BD Original'!G:G,E24,'BD Original'!V:V)</f>
        <v>60</v>
      </c>
      <c r="AD24" s="69">
        <f>IFERROR(AC24/VLOOKUP(E24,'BD Original'!G:I,3,0),0)</f>
        <v>0.12244897959183673</v>
      </c>
      <c r="AE24" s="58">
        <f>SUMIF('BD Original'!G:G,E24,'BD Original'!W:W)</f>
        <v>189</v>
      </c>
      <c r="AF24" s="58">
        <f>SUMIF('BD Original'!G:G,E24,'BD Original'!X:X)</f>
        <v>155</v>
      </c>
      <c r="AG24" s="66">
        <f>IFERROR(SUMIF('BD Original'!G:G,E24,'BD Original'!X:X)/SUMIF('BD Original'!G:G,E24,'BD Original'!W:W),0)</f>
        <v>0.82010582010582012</v>
      </c>
      <c r="AH24" s="58">
        <f>SUMIF('BD Original'!G:G,E24,'BD Original'!Y:Y)</f>
        <v>38264.75</v>
      </c>
      <c r="AI24" s="58">
        <f>SUMIF('BD Original'!G:G,E24,'BD Original'!Z:Z)</f>
        <v>25797.174999999999</v>
      </c>
      <c r="AJ24" s="66">
        <f t="shared" si="9"/>
        <v>0.67417597135745033</v>
      </c>
      <c r="AK24" s="58">
        <f t="shared" si="10"/>
        <v>106285.73015</v>
      </c>
      <c r="AL24" s="71" t="str">
        <f>VLOOKUP(E24,'BD Original'!G:K,5,0)</f>
        <v>1 a 1.5 años</v>
      </c>
      <c r="AM24" s="71" t="str">
        <f>VLOOKUP(Q24,Etiquetas!E:F,2)</f>
        <v>4 Grande ≤ 1.5MM</v>
      </c>
      <c r="AN24" s="71" t="str">
        <f>IFERROR(VLOOKUP(T24,Etiquetas!H:I,2),0)</f>
        <v>2 Decrecimiento entre 0.1% y 50%</v>
      </c>
      <c r="AO24" s="71" t="str">
        <f>VLOOKUP(AG24,Etiquetas!K:M,2)</f>
        <v>5 Alto</v>
      </c>
      <c r="AP24" s="70">
        <f>VLOOKUP(AG24,Etiquetas!K:M,3)</f>
        <v>90</v>
      </c>
      <c r="AQ24" s="51" t="str">
        <f>VLOOKUP(AD24,Etiquetas!O:Q,2)</f>
        <v>1 Bajo Extremo</v>
      </c>
      <c r="AR24" s="70">
        <f>VLOOKUP(AD24,Etiquetas!O:Q,3)</f>
        <v>30</v>
      </c>
      <c r="AS24" s="51" t="str">
        <f>VLOOKUP(AB24,Etiquetas!S:U,2)</f>
        <v>7 Sobresaliente</v>
      </c>
      <c r="AT24" s="70">
        <f>VLOOKUP(AB24,Etiquetas!S:U,3)</f>
        <v>110</v>
      </c>
      <c r="AU24" s="70">
        <f t="shared" si="11"/>
        <v>86</v>
      </c>
      <c r="AV24" s="70" t="str">
        <f>VLOOKUP(AU24,Etiquetas!W:X,2)</f>
        <v>3 Buen Vendedor</v>
      </c>
      <c r="AW24" s="51" t="str">
        <f>VLOOKUP(Y24,Etiquetas!Z:AB,2)</f>
        <v>5 Alto</v>
      </c>
      <c r="AX24" s="70">
        <f>VLOOKUP(Y24,Etiquetas!Z:AB,3)</f>
        <v>90</v>
      </c>
      <c r="AY24" s="51" t="str">
        <f>VLOOKUP(AJ24,Etiquetas!AD:AF,2)</f>
        <v>3 Medio Alto</v>
      </c>
      <c r="AZ24" s="70">
        <f>VLOOKUP(AJ24,Etiquetas!AD:AF,3)</f>
        <v>70</v>
      </c>
      <c r="BA24" s="79">
        <f t="shared" si="12"/>
        <v>86</v>
      </c>
      <c r="BB24" s="46" t="str">
        <f t="shared" si="13"/>
        <v>Antiguedad: 1 a 1.5 años|Tamaño Cartera: 4 Grande ≤ 1.5MM|3 Buen Vendedor|Calidad Cartera: 5 Alto|Alcance Incentivos: 3 Medio Alto</v>
      </c>
    </row>
    <row r="25" spans="2:54" x14ac:dyDescent="0.2">
      <c r="B25" s="46" t="s">
        <v>108</v>
      </c>
      <c r="C25" s="51" t="s">
        <v>9</v>
      </c>
      <c r="D25" s="47">
        <v>27539</v>
      </c>
      <c r="E25" s="52" t="s">
        <v>12</v>
      </c>
      <c r="F25" s="53">
        <v>44902</v>
      </c>
      <c r="G25" s="53">
        <v>0</v>
      </c>
      <c r="H25" s="53" t="str">
        <f t="shared" si="2"/>
        <v>ACTIVO</v>
      </c>
      <c r="I25" s="54" t="str">
        <f t="shared" si="3"/>
        <v>NO</v>
      </c>
      <c r="J25" s="47">
        <f>VLOOKUP(E25,'BD Original'!G:L,6,0)</f>
        <v>7</v>
      </c>
      <c r="K25" s="47">
        <f>VLOOKUP(E25,'BD Original'!G:M,7,0)</f>
        <v>11</v>
      </c>
      <c r="L25" s="55">
        <f>IF(VLOOKUP($E25&amp;"|"&amp;$J25+L$3,'BD Original'!$A:$Z,15,0)=0,"",IFERROR(VLOOKUP($E25&amp;"|"&amp;$J25+L$3,'BD Original'!$A:$Z,15,0),""))</f>
        <v>1242782.1599999999</v>
      </c>
      <c r="M25" s="55">
        <f>IFERROR(VLOOKUP($E25&amp;"|"&amp;$J25+M$3,'BD Original'!$A:$Z,15,0),"")</f>
        <v>1209642.7500000002</v>
      </c>
      <c r="N25" s="55">
        <f>IFERROR(VLOOKUP($E25&amp;"|"&amp;$J25+N$3,'BD Original'!$A:$Z,15,0),"")</f>
        <v>1051330.49</v>
      </c>
      <c r="O25" s="55">
        <f>IFERROR(VLOOKUP($E25&amp;"|"&amp;$J25+O$3,'BD Original'!$A:$Z,15,0),"")</f>
        <v>968250.62</v>
      </c>
      <c r="P25" s="55">
        <f>IFERROR(VLOOKUP($E25&amp;"|"&amp;$J25+P$3,'BD Original'!$A:$Z,15,0),"")</f>
        <v>1128795.2699999998</v>
      </c>
      <c r="Q25" s="68">
        <f t="shared" si="4"/>
        <v>1120160.2579999999</v>
      </c>
      <c r="R25" s="56">
        <f t="shared" si="5"/>
        <v>5</v>
      </c>
      <c r="S25" s="55">
        <f>IFERROR(VLOOKUP($E25&amp;"|"&amp;$J25+(K25-J25),'BD Original'!$A:$Z,15,0),"")</f>
        <v>1128795.2699999998</v>
      </c>
      <c r="T25" s="66">
        <f t="shared" si="15"/>
        <v>-2.376349685110879E-2</v>
      </c>
      <c r="U25" s="55">
        <f>IFERROR(VLOOKUP($E25&amp;"|"&amp;$J25+(K25-J25),'BD Original'!$A:$Z,16,0),"")</f>
        <v>1109040.42</v>
      </c>
      <c r="V25" s="58">
        <f>SUMIF('BD Original'!G:G,E25,'BD Original'!R:R)</f>
        <v>58462.400000000001</v>
      </c>
      <c r="W25" s="57">
        <f t="shared" si="6"/>
        <v>5.2191103534044506E-2</v>
      </c>
      <c r="X25" s="66">
        <f t="shared" si="14"/>
        <v>0.12525864848170681</v>
      </c>
      <c r="Y25" s="66">
        <f t="shared" si="7"/>
        <v>0.93411939802418809</v>
      </c>
      <c r="Z25" s="55">
        <f>SUMIF('BD Original'!G:G,E25,'BD Original'!T:T)</f>
        <v>3470864.7848000005</v>
      </c>
      <c r="AA25" s="55">
        <f>SUMIF('BD Original'!G:G,E25,'BD Original'!U:U)</f>
        <v>2025000.5599999998</v>
      </c>
      <c r="AB25" s="66">
        <f t="shared" si="8"/>
        <v>0.58342824787301106</v>
      </c>
      <c r="AC25" s="55">
        <f>SUMIF('BD Original'!G:G,E25,'BD Original'!V:V)</f>
        <v>96</v>
      </c>
      <c r="AD25" s="69">
        <f>IFERROR(AC25/VLOOKUP(E25,'BD Original'!G:I,3,0),0)</f>
        <v>0.40677966101694918</v>
      </c>
      <c r="AE25" s="58">
        <f>SUMIF('BD Original'!G:G,E25,'BD Original'!W:W)</f>
        <v>201</v>
      </c>
      <c r="AF25" s="58">
        <f>SUMIF('BD Original'!G:G,E25,'BD Original'!X:X)</f>
        <v>109</v>
      </c>
      <c r="AG25" s="66">
        <f>IFERROR(SUMIF('BD Original'!G:G,E25,'BD Original'!X:X)/SUMIF('BD Original'!G:G,E25,'BD Original'!W:W),0)</f>
        <v>0.54228855721393032</v>
      </c>
      <c r="AH25" s="58">
        <f>SUMIF('BD Original'!G:G,E25,'BD Original'!Y:Y)</f>
        <v>46522.824546801567</v>
      </c>
      <c r="AI25" s="58">
        <f>SUMIF('BD Original'!G:G,E25,'BD Original'!Z:Z)</f>
        <v>9874.7846250000002</v>
      </c>
      <c r="AJ25" s="66">
        <f t="shared" si="9"/>
        <v>0.2122567733407083</v>
      </c>
      <c r="AK25" s="58">
        <f t="shared" si="10"/>
        <v>68076.651759999993</v>
      </c>
      <c r="AL25" s="71" t="str">
        <f>VLOOKUP(E25,'BD Original'!G:K,5,0)</f>
        <v>6 a 12 Meses</v>
      </c>
      <c r="AM25" s="71" t="str">
        <f>VLOOKUP(Q25,Etiquetas!E:F,2)</f>
        <v>3 Mediana ≥ 1MM</v>
      </c>
      <c r="AN25" s="71" t="str">
        <f>IFERROR(VLOOKUP(T25,Etiquetas!H:I,2),0)</f>
        <v>2 Decrecimiento entre 0.1% y 50%</v>
      </c>
      <c r="AO25" s="71" t="str">
        <f>VLOOKUP(AG25,Etiquetas!K:M,2)</f>
        <v>3 Medio Bajo</v>
      </c>
      <c r="AP25" s="70">
        <f>VLOOKUP(AG25,Etiquetas!K:M,3)</f>
        <v>70</v>
      </c>
      <c r="AQ25" s="51" t="str">
        <f>VLOOKUP(AD25,Etiquetas!O:Q,2)</f>
        <v>1 Bajo Extremo</v>
      </c>
      <c r="AR25" s="70">
        <f>VLOOKUP(AD25,Etiquetas!O:Q,3)</f>
        <v>30</v>
      </c>
      <c r="AS25" s="51" t="str">
        <f>VLOOKUP(AB25,Etiquetas!S:U,2)</f>
        <v>3 Medio Bajo</v>
      </c>
      <c r="AT25" s="70">
        <f>VLOOKUP(AB25,Etiquetas!S:U,3)</f>
        <v>50</v>
      </c>
      <c r="AU25" s="70">
        <f t="shared" si="11"/>
        <v>54</v>
      </c>
      <c r="AV25" s="70" t="str">
        <f>VLOOKUP(AU25,Etiquetas!W:X,2)</f>
        <v>1 Mal Vendedor</v>
      </c>
      <c r="AW25" s="51" t="str">
        <f>VLOOKUP(Y25,Etiquetas!Z:AB,2)</f>
        <v>4 Medio Alto</v>
      </c>
      <c r="AX25" s="70">
        <f>VLOOKUP(Y25,Etiquetas!Z:AB,3)</f>
        <v>80</v>
      </c>
      <c r="AY25" s="51" t="str">
        <f>VLOOKUP(AJ25,Etiquetas!AD:AF,2)</f>
        <v>1 Bajo</v>
      </c>
      <c r="AZ25" s="70">
        <f>VLOOKUP(AJ25,Etiquetas!AD:AF,3)</f>
        <v>30</v>
      </c>
      <c r="BA25" s="79">
        <f t="shared" si="12"/>
        <v>62</v>
      </c>
      <c r="BB25" s="46" t="str">
        <f t="shared" si="13"/>
        <v>Antiguedad: 6 a 12 Meses|Tamaño Cartera: 3 Mediana ≥ 1MM|1 Mal Vendedor|Calidad Cartera: 4 Medio Alto|Alcance Incentivos: 1 Bajo</v>
      </c>
    </row>
    <row r="26" spans="2:54" x14ac:dyDescent="0.2">
      <c r="B26" s="46" t="s">
        <v>108</v>
      </c>
      <c r="C26" s="51" t="s">
        <v>9</v>
      </c>
      <c r="D26" s="47">
        <v>32635</v>
      </c>
      <c r="E26" s="52" t="s">
        <v>10</v>
      </c>
      <c r="F26" s="53">
        <v>45098</v>
      </c>
      <c r="G26" s="53">
        <v>0</v>
      </c>
      <c r="H26" s="53" t="str">
        <f t="shared" si="2"/>
        <v>ACTIVO</v>
      </c>
      <c r="I26" s="54" t="str">
        <f t="shared" si="3"/>
        <v>NO</v>
      </c>
      <c r="J26" s="47">
        <f>VLOOKUP(E26,'BD Original'!G:L,6,0)</f>
        <v>1</v>
      </c>
      <c r="K26" s="47">
        <f>VLOOKUP(E26,'BD Original'!G:M,7,0)</f>
        <v>2</v>
      </c>
      <c r="L26" s="55">
        <f>IF(VLOOKUP($E26&amp;"|"&amp;$J26+L$3,'BD Original'!$A:$Z,15,0)=0,"",IFERROR(VLOOKUP($E26&amp;"|"&amp;$J26+L$3,'BD Original'!$A:$Z,15,0),""))</f>
        <v>1520242.17</v>
      </c>
      <c r="M26" s="55">
        <f>IFERROR(VLOOKUP($E26&amp;"|"&amp;$J26+M$3,'BD Original'!$A:$Z,15,0),"")</f>
        <v>1386290.6900000002</v>
      </c>
      <c r="N26" s="55" t="str">
        <f>IFERROR(VLOOKUP($E26&amp;"|"&amp;$J26+N$3,'BD Original'!$A:$Z,15,0),"")</f>
        <v/>
      </c>
      <c r="O26" s="55" t="str">
        <f>IFERROR(VLOOKUP($E26&amp;"|"&amp;$J26+O$3,'BD Original'!$A:$Z,15,0),"")</f>
        <v/>
      </c>
      <c r="P26" s="55" t="str">
        <f>IFERROR(VLOOKUP($E26&amp;"|"&amp;$J26+P$3,'BD Original'!$A:$Z,15,0),"")</f>
        <v/>
      </c>
      <c r="Q26" s="68">
        <f t="shared" si="4"/>
        <v>1453266.4300000002</v>
      </c>
      <c r="R26" s="56">
        <f t="shared" si="5"/>
        <v>2</v>
      </c>
      <c r="S26" s="55">
        <f>IFERROR(VLOOKUP($E26&amp;"|"&amp;$J26+(K26-J26),'BD Original'!$A:$Z,15,0),"")</f>
        <v>1386290.6900000002</v>
      </c>
      <c r="T26" s="66">
        <f t="shared" si="15"/>
        <v>-8.8111935481963166E-2</v>
      </c>
      <c r="U26" s="55">
        <f>IFERROR(VLOOKUP($E26&amp;"|"&amp;$J26+(K26-J26),'BD Original'!$A:$Z,16,0),"")</f>
        <v>1354806.7800000003</v>
      </c>
      <c r="V26" s="58">
        <f>SUMIF('BD Original'!G:G,E26,'BD Original'!R:R)</f>
        <v>0</v>
      </c>
      <c r="W26" s="57">
        <f t="shared" si="6"/>
        <v>0</v>
      </c>
      <c r="X26" s="66">
        <f t="shared" si="14"/>
        <v>0</v>
      </c>
      <c r="Y26" s="66">
        <f t="shared" si="7"/>
        <v>0.97728909944565823</v>
      </c>
      <c r="Z26" s="55">
        <f>SUMIF('BD Original'!G:G,E26,'BD Original'!T:T)</f>
        <v>551775.28799999971</v>
      </c>
      <c r="AA26" s="55">
        <f>SUMIF('BD Original'!G:G,E26,'BD Original'!U:U)</f>
        <v>1196000.1800000002</v>
      </c>
      <c r="AB26" s="66">
        <f t="shared" si="8"/>
        <v>2.1675493738313283</v>
      </c>
      <c r="AC26" s="55">
        <f>SUMIF('BD Original'!G:G,E26,'BD Original'!V:V)</f>
        <v>38</v>
      </c>
      <c r="AD26" s="69">
        <f>IFERROR(AC26/VLOOKUP(E26,'BD Original'!G:I,3,0),0)</f>
        <v>0.95</v>
      </c>
      <c r="AE26" s="58">
        <f>SUMIF('BD Original'!G:G,E26,'BD Original'!W:W)</f>
        <v>64</v>
      </c>
      <c r="AF26" s="58">
        <f>SUMIF('BD Original'!G:G,E26,'BD Original'!X:X)</f>
        <v>35</v>
      </c>
      <c r="AG26" s="66">
        <f>IFERROR(SUMIF('BD Original'!G:G,E26,'BD Original'!X:X)/SUMIF('BD Original'!G:G,E26,'BD Original'!W:W),0)</f>
        <v>0.546875</v>
      </c>
      <c r="AH26" s="58">
        <f>SUMIF('BD Original'!G:G,E26,'BD Original'!Y:Y)</f>
        <v>12738.575992188698</v>
      </c>
      <c r="AI26" s="58">
        <f>SUMIF('BD Original'!G:G,E26,'BD Original'!Z:Z)</f>
        <v>10337.5</v>
      </c>
      <c r="AJ26" s="66">
        <f t="shared" si="9"/>
        <v>0.81151142846256608</v>
      </c>
      <c r="AK26" s="58">
        <f t="shared" si="10"/>
        <v>78731.569725000008</v>
      </c>
      <c r="AL26" s="71" t="str">
        <f>VLOOKUP(E26,'BD Original'!G:K,5,0)</f>
        <v>&lt; 3 Meses</v>
      </c>
      <c r="AM26" s="71" t="str">
        <f>VLOOKUP(Q26,Etiquetas!E:F,2)</f>
        <v>3 Mediana ≥ 1MM</v>
      </c>
      <c r="AN26" s="71" t="str">
        <f>IFERROR(VLOOKUP(T26,Etiquetas!H:I,2),0)</f>
        <v>2 Decrecimiento entre 0.1% y 50%</v>
      </c>
      <c r="AO26" s="71" t="str">
        <f>VLOOKUP(AG26,Etiquetas!K:M,2)</f>
        <v>3 Medio Bajo</v>
      </c>
      <c r="AP26" s="70">
        <f>VLOOKUP(AG26,Etiquetas!K:M,3)</f>
        <v>70</v>
      </c>
      <c r="AQ26" s="51" t="str">
        <f>VLOOKUP(AD26,Etiquetas!O:Q,2)</f>
        <v>1 Bajo Extremo</v>
      </c>
      <c r="AR26" s="70">
        <f>VLOOKUP(AD26,Etiquetas!O:Q,3)</f>
        <v>30</v>
      </c>
      <c r="AS26" s="51" t="str">
        <f>VLOOKUP(AB26,Etiquetas!S:U,2)</f>
        <v>7 Sobresaliente</v>
      </c>
      <c r="AT26" s="70">
        <f>VLOOKUP(AB26,Etiquetas!S:U,3)</f>
        <v>110</v>
      </c>
      <c r="AU26" s="70">
        <f t="shared" si="11"/>
        <v>78</v>
      </c>
      <c r="AV26" s="70" t="str">
        <f>VLOOKUP(AU26,Etiquetas!W:X,2)</f>
        <v>2 Medio Vendedor</v>
      </c>
      <c r="AW26" s="51" t="str">
        <f>VLOOKUP(Y26,Etiquetas!Z:AB,2)</f>
        <v>5 Alto</v>
      </c>
      <c r="AX26" s="70">
        <f>VLOOKUP(Y26,Etiquetas!Z:AB,3)</f>
        <v>90</v>
      </c>
      <c r="AY26" s="51" t="str">
        <f>VLOOKUP(AJ26,Etiquetas!AD:AF,2)</f>
        <v>4 Alto</v>
      </c>
      <c r="AZ26" s="70">
        <f>VLOOKUP(AJ26,Etiquetas!AD:AF,3)</f>
        <v>80</v>
      </c>
      <c r="BA26" s="79">
        <f t="shared" si="12"/>
        <v>83</v>
      </c>
      <c r="BB26" s="46" t="str">
        <f t="shared" si="13"/>
        <v>Antiguedad: &lt; 3 Meses|Tamaño Cartera: 3 Mediana ≥ 1MM|2 Medio Vendedor|Calidad Cartera: 5 Alto|Alcance Incentivos: 4 Alto</v>
      </c>
    </row>
    <row r="27" spans="2:54" x14ac:dyDescent="0.2">
      <c r="B27" s="46" t="s">
        <v>108</v>
      </c>
      <c r="C27" s="51" t="s">
        <v>13</v>
      </c>
      <c r="D27" s="47">
        <v>31219</v>
      </c>
      <c r="E27" s="52" t="s">
        <v>91</v>
      </c>
      <c r="F27" s="53">
        <v>45048</v>
      </c>
      <c r="G27" s="53">
        <v>45154</v>
      </c>
      <c r="H27" s="53" t="str">
        <f t="shared" si="2"/>
        <v>BAJA</v>
      </c>
      <c r="I27" s="54" t="str">
        <f t="shared" si="3"/>
        <v>NO</v>
      </c>
      <c r="J27" s="47">
        <f>VLOOKUP(E27,'BD Original'!G:L,6,0)</f>
        <v>3</v>
      </c>
      <c r="K27" s="47">
        <f>VLOOKUP(E27,'BD Original'!G:M,7,0)</f>
        <v>3</v>
      </c>
      <c r="L27" s="55">
        <f>IF(VLOOKUP($E27&amp;"|"&amp;$J27+L$3,'BD Original'!$A:$Z,15,0)=0,"",IFERROR(VLOOKUP($E27&amp;"|"&amp;$J27+L$3,'BD Original'!$A:$Z,15,0),""))</f>
        <v>947617.83000000007</v>
      </c>
      <c r="M27" s="55" t="str">
        <f>IFERROR(VLOOKUP($E27&amp;"|"&amp;$J27+M$3,'BD Original'!$A:$Z,15,0),"")</f>
        <v/>
      </c>
      <c r="N27" s="55" t="str">
        <f>IFERROR(VLOOKUP($E27&amp;"|"&amp;$J27+N$3,'BD Original'!$A:$Z,15,0),"")</f>
        <v/>
      </c>
      <c r="O27" s="55" t="str">
        <f>IFERROR(VLOOKUP($E27&amp;"|"&amp;$J27+O$3,'BD Original'!$A:$Z,15,0),"")</f>
        <v/>
      </c>
      <c r="P27" s="55" t="str">
        <f>IFERROR(VLOOKUP($E27&amp;"|"&amp;$J27+P$3,'BD Original'!$A:$Z,15,0),"")</f>
        <v/>
      </c>
      <c r="Q27" s="68">
        <f t="shared" si="4"/>
        <v>947617.83000000007</v>
      </c>
      <c r="R27" s="56">
        <f t="shared" si="5"/>
        <v>1</v>
      </c>
      <c r="S27" s="55">
        <f>IFERROR(VLOOKUP($E27&amp;"|"&amp;$J27+(K27-J27),'BD Original'!$A:$Z,15,0),"")</f>
        <v>947617.83000000007</v>
      </c>
      <c r="T27" s="66" t="str">
        <f t="shared" si="15"/>
        <v>NA</v>
      </c>
      <c r="U27" s="55">
        <f>IFERROR(VLOOKUP($E27&amp;"|"&amp;$J27+(K27-J27),'BD Original'!$A:$Z,16,0),"")</f>
        <v>919070.94000000006</v>
      </c>
      <c r="V27" s="58">
        <f>SUMIF('BD Original'!G:G,E27,'BD Original'!R:R)</f>
        <v>0</v>
      </c>
      <c r="W27" s="57">
        <f t="shared" si="6"/>
        <v>0</v>
      </c>
      <c r="X27" s="66">
        <f t="shared" si="14"/>
        <v>0</v>
      </c>
      <c r="Y27" s="66">
        <f t="shared" si="7"/>
        <v>0.96987510249780762</v>
      </c>
      <c r="Z27" s="55">
        <f>SUMIF('BD Original'!G:G,E27,'BD Original'!T:T)</f>
        <v>463375.3000000001</v>
      </c>
      <c r="AA27" s="55">
        <f>SUMIF('BD Original'!G:G,E27,'BD Original'!U:U)</f>
        <v>230001.83000000002</v>
      </c>
      <c r="AB27" s="66">
        <f t="shared" si="8"/>
        <v>0.49636186909401508</v>
      </c>
      <c r="AC27" s="55">
        <f>SUMIF('BD Original'!G:G,E27,'BD Original'!V:V)</f>
        <v>0</v>
      </c>
      <c r="AD27" s="69">
        <f>IFERROR(AC27/VLOOKUP(E27,'BD Original'!G:I,3,0),0)</f>
        <v>0</v>
      </c>
      <c r="AE27" s="58">
        <f>SUMIF('BD Original'!G:G,E27,'BD Original'!W:W)</f>
        <v>63</v>
      </c>
      <c r="AF27" s="58">
        <f>SUMIF('BD Original'!G:G,E27,'BD Original'!X:X)</f>
        <v>31</v>
      </c>
      <c r="AG27" s="66">
        <f>IFERROR(SUMIF('BD Original'!G:G,E27,'BD Original'!X:X)/SUMIF('BD Original'!G:G,E27,'BD Original'!W:W),0)</f>
        <v>0.49206349206349204</v>
      </c>
      <c r="AH27" s="58">
        <f>SUMIF('BD Original'!G:G,E27,'BD Original'!Y:Y)</f>
        <v>7089.6021546831271</v>
      </c>
      <c r="AI27" s="58">
        <f>SUMIF('BD Original'!G:G,E27,'BD Original'!Z:Z)</f>
        <v>2000</v>
      </c>
      <c r="AJ27" s="66">
        <f t="shared" si="9"/>
        <v>0.28210327693478182</v>
      </c>
      <c r="AK27" s="58">
        <f t="shared" si="10"/>
        <v>46488.025225000005</v>
      </c>
      <c r="AL27" s="71" t="str">
        <f>VLOOKUP(E27,'BD Original'!G:K,5,0)</f>
        <v>3 a 6 Meses</v>
      </c>
      <c r="AM27" s="71" t="str">
        <f>VLOOKUP(Q27,Etiquetas!E:F,2)</f>
        <v>2 Mediana ≤ 1MM</v>
      </c>
      <c r="AN27" s="71" t="str">
        <f>IFERROR(VLOOKUP(T27,Etiquetas!H:I,2),0)</f>
        <v>NA</v>
      </c>
      <c r="AO27" s="71" t="str">
        <f>VLOOKUP(AG27,Etiquetas!K:M,2)</f>
        <v>2 Bajo</v>
      </c>
      <c r="AP27" s="70">
        <f>VLOOKUP(AG27,Etiquetas!K:M,3)</f>
        <v>50</v>
      </c>
      <c r="AQ27" s="51" t="str">
        <f>VLOOKUP(AD27,Etiquetas!O:Q,2)</f>
        <v>1 Bajo Extremo</v>
      </c>
      <c r="AR27" s="70">
        <f>VLOOKUP(AD27,Etiquetas!O:Q,3)</f>
        <v>30</v>
      </c>
      <c r="AS27" s="51" t="str">
        <f>VLOOKUP(AB27,Etiquetas!S:U,2)</f>
        <v>2 Bajo</v>
      </c>
      <c r="AT27" s="70">
        <f>VLOOKUP(AB27,Etiquetas!S:U,3)</f>
        <v>30</v>
      </c>
      <c r="AU27" s="70">
        <f t="shared" si="11"/>
        <v>38</v>
      </c>
      <c r="AV27" s="70" t="str">
        <f>VLOOKUP(AU27,Etiquetas!W:X,2)</f>
        <v>1 Mal Vendedor</v>
      </c>
      <c r="AW27" s="51" t="str">
        <f>VLOOKUP(Y27,Etiquetas!Z:AB,2)</f>
        <v>5 Alto</v>
      </c>
      <c r="AX27" s="70">
        <f>VLOOKUP(Y27,Etiquetas!Z:AB,3)</f>
        <v>90</v>
      </c>
      <c r="AY27" s="51" t="str">
        <f>VLOOKUP(AJ27,Etiquetas!AD:AF,2)</f>
        <v>1 Bajo</v>
      </c>
      <c r="AZ27" s="70">
        <f>VLOOKUP(AJ27,Etiquetas!AD:AF,3)</f>
        <v>30</v>
      </c>
      <c r="BA27" s="79">
        <f t="shared" si="12"/>
        <v>58</v>
      </c>
      <c r="BB27" s="46" t="str">
        <f t="shared" si="13"/>
        <v>Antiguedad: 3 a 6 Meses|Tamaño Cartera: 2 Mediana ≤ 1MM|1 Mal Vendedor|Calidad Cartera: 5 Alto|Alcance Incentivos: 1 Bajo</v>
      </c>
    </row>
    <row r="28" spans="2:54" x14ac:dyDescent="0.2">
      <c r="B28" s="46" t="s">
        <v>108</v>
      </c>
      <c r="C28" s="51" t="s">
        <v>13</v>
      </c>
      <c r="D28" s="47">
        <v>31645</v>
      </c>
      <c r="E28" s="52" t="s">
        <v>92</v>
      </c>
      <c r="F28" s="53">
        <v>45063</v>
      </c>
      <c r="G28" s="53">
        <v>0</v>
      </c>
      <c r="H28" s="53" t="str">
        <f t="shared" si="2"/>
        <v>ACTIVO</v>
      </c>
      <c r="I28" s="54" t="str">
        <f t="shared" si="3"/>
        <v>NO</v>
      </c>
      <c r="J28" s="47">
        <f>VLOOKUP(E28,'BD Original'!G:L,6,0)</f>
        <v>2</v>
      </c>
      <c r="K28" s="47">
        <f>VLOOKUP(E28,'BD Original'!G:M,7,0)</f>
        <v>2</v>
      </c>
      <c r="L28" s="55">
        <f>IF(VLOOKUP($E28&amp;"|"&amp;$J28+L$3,'BD Original'!$A:$Z,15,0)=0,"",IFERROR(VLOOKUP($E28&amp;"|"&amp;$J28+L$3,'BD Original'!$A:$Z,15,0),""))</f>
        <v>1204512.31</v>
      </c>
      <c r="M28" s="55" t="str">
        <f>IFERROR(VLOOKUP($E28&amp;"|"&amp;$J28+M$3,'BD Original'!$A:$Z,15,0),"")</f>
        <v/>
      </c>
      <c r="N28" s="55" t="str">
        <f>IFERROR(VLOOKUP($E28&amp;"|"&amp;$J28+N$3,'BD Original'!$A:$Z,15,0),"")</f>
        <v/>
      </c>
      <c r="O28" s="55" t="str">
        <f>IFERROR(VLOOKUP($E28&amp;"|"&amp;$J28+O$3,'BD Original'!$A:$Z,15,0),"")</f>
        <v/>
      </c>
      <c r="P28" s="55" t="str">
        <f>IFERROR(VLOOKUP($E28&amp;"|"&amp;$J28+P$3,'BD Original'!$A:$Z,15,0),"")</f>
        <v/>
      </c>
      <c r="Q28" s="68">
        <f t="shared" si="4"/>
        <v>1204512.31</v>
      </c>
      <c r="R28" s="56">
        <f t="shared" si="5"/>
        <v>1</v>
      </c>
      <c r="S28" s="55">
        <f>IFERROR(VLOOKUP($E28&amp;"|"&amp;$J28+(K28-J28),'BD Original'!$A:$Z,15,0),"")</f>
        <v>1204512.31</v>
      </c>
      <c r="T28" s="66" t="str">
        <f t="shared" si="15"/>
        <v>NA</v>
      </c>
      <c r="U28" s="55">
        <f>IFERROR(VLOOKUP($E28&amp;"|"&amp;$J28+(K28-J28),'BD Original'!$A:$Z,16,0),"")</f>
        <v>948591.35000000021</v>
      </c>
      <c r="V28" s="58">
        <f>SUMIF('BD Original'!G:G,E28,'BD Original'!R:R)</f>
        <v>0</v>
      </c>
      <c r="W28" s="57">
        <f t="shared" si="6"/>
        <v>0</v>
      </c>
      <c r="X28" s="66">
        <f t="shared" si="14"/>
        <v>0</v>
      </c>
      <c r="Y28" s="66">
        <f t="shared" si="7"/>
        <v>0.78753146989423473</v>
      </c>
      <c r="Z28" s="55">
        <f>SUMIF('BD Original'!G:G,E28,'BD Original'!T:T)</f>
        <v>389815.25244999997</v>
      </c>
      <c r="AA28" s="55">
        <f>SUMIF('BD Original'!G:G,E28,'BD Original'!U:U)</f>
        <v>316500.05</v>
      </c>
      <c r="AB28" s="66">
        <f t="shared" si="8"/>
        <v>0.81192320723929645</v>
      </c>
      <c r="AC28" s="55">
        <f>SUMIF('BD Original'!G:G,E28,'BD Original'!V:V)</f>
        <v>36</v>
      </c>
      <c r="AD28" s="69">
        <f>IFERROR(AC28/VLOOKUP(E28,'BD Original'!G:I,3,0),0)</f>
        <v>0.48</v>
      </c>
      <c r="AE28" s="58">
        <f>SUMIF('BD Original'!G:G,E28,'BD Original'!W:W)</f>
        <v>30</v>
      </c>
      <c r="AF28" s="58">
        <f>SUMIF('BD Original'!G:G,E28,'BD Original'!X:X)</f>
        <v>15</v>
      </c>
      <c r="AG28" s="66">
        <f>IFERROR(SUMIF('BD Original'!G:G,E28,'BD Original'!X:X)/SUMIF('BD Original'!G:G,E28,'BD Original'!W:W),0)</f>
        <v>0.5</v>
      </c>
      <c r="AH28" s="58">
        <f>SUMIF('BD Original'!G:G,E28,'BD Original'!Y:Y)</f>
        <v>5193.75</v>
      </c>
      <c r="AI28" s="58">
        <f>SUMIF('BD Original'!G:G,E28,'BD Original'!Z:Z)</f>
        <v>2000</v>
      </c>
      <c r="AJ28" s="66">
        <f t="shared" si="9"/>
        <v>0.38507821901323708</v>
      </c>
      <c r="AK28" s="58">
        <f t="shared" si="10"/>
        <v>61259.45782500002</v>
      </c>
      <c r="AL28" s="71" t="str">
        <f>VLOOKUP(E28,'BD Original'!G:K,5,0)</f>
        <v>&lt; 3 Meses</v>
      </c>
      <c r="AM28" s="71" t="str">
        <f>VLOOKUP(Q28,Etiquetas!E:F,2)</f>
        <v>3 Mediana ≥ 1MM</v>
      </c>
      <c r="AN28" s="71" t="str">
        <f>IFERROR(VLOOKUP(T28,Etiquetas!H:I,2),0)</f>
        <v>NA</v>
      </c>
      <c r="AO28" s="71" t="str">
        <f>VLOOKUP(AG28,Etiquetas!K:M,2)</f>
        <v>2 Bajo</v>
      </c>
      <c r="AP28" s="70">
        <f>VLOOKUP(AG28,Etiquetas!K:M,3)</f>
        <v>50</v>
      </c>
      <c r="AQ28" s="51" t="str">
        <f>VLOOKUP(AD28,Etiquetas!O:Q,2)</f>
        <v>1 Bajo Extremo</v>
      </c>
      <c r="AR28" s="70">
        <f>VLOOKUP(AD28,Etiquetas!O:Q,3)</f>
        <v>30</v>
      </c>
      <c r="AS28" s="51" t="str">
        <f>VLOOKUP(AB28,Etiquetas!S:U,2)</f>
        <v>5 Alto</v>
      </c>
      <c r="AT28" s="70">
        <f>VLOOKUP(AB28,Etiquetas!S:U,3)</f>
        <v>80</v>
      </c>
      <c r="AU28" s="70">
        <f t="shared" si="11"/>
        <v>58</v>
      </c>
      <c r="AV28" s="70" t="str">
        <f>VLOOKUP(AU28,Etiquetas!W:X,2)</f>
        <v>1 Mal Vendedor</v>
      </c>
      <c r="AW28" s="51" t="str">
        <f>VLOOKUP(Y28,Etiquetas!Z:AB,2)</f>
        <v>2 Bajo</v>
      </c>
      <c r="AX28" s="70">
        <f>VLOOKUP(Y28,Etiquetas!Z:AB,3)</f>
        <v>50</v>
      </c>
      <c r="AY28" s="51" t="str">
        <f>VLOOKUP(AJ28,Etiquetas!AD:AF,2)</f>
        <v>1 Bajo</v>
      </c>
      <c r="AZ28" s="70">
        <f>VLOOKUP(AJ28,Etiquetas!AD:AF,3)</f>
        <v>30</v>
      </c>
      <c r="BA28" s="79">
        <f t="shared" si="12"/>
        <v>52</v>
      </c>
      <c r="BB28" s="46" t="str">
        <f t="shared" si="13"/>
        <v>Antiguedad: &lt; 3 Meses|Tamaño Cartera: 3 Mediana ≥ 1MM|1 Mal Vendedor|Calidad Cartera: 2 Bajo|Alcance Incentivos: 1 Bajo</v>
      </c>
    </row>
    <row r="29" spans="2:54" x14ac:dyDescent="0.2">
      <c r="B29" s="46" t="s">
        <v>108</v>
      </c>
      <c r="C29" s="51" t="s">
        <v>13</v>
      </c>
      <c r="D29" s="47">
        <v>32305</v>
      </c>
      <c r="E29" s="52" t="s">
        <v>15</v>
      </c>
      <c r="F29" s="53">
        <v>45083</v>
      </c>
      <c r="G29" s="53">
        <v>45220</v>
      </c>
      <c r="H29" s="53" t="str">
        <f t="shared" si="2"/>
        <v>BAJA</v>
      </c>
      <c r="I29" s="54" t="str">
        <f t="shared" si="3"/>
        <v>NO</v>
      </c>
      <c r="J29" s="47">
        <f>VLOOKUP(E29,'BD Original'!G:L,6,0)</f>
        <v>1</v>
      </c>
      <c r="K29" s="47">
        <f>VLOOKUP(E29,'BD Original'!G:M,7,0)</f>
        <v>3</v>
      </c>
      <c r="L29" s="55">
        <f>IF(VLOOKUP($E29&amp;"|"&amp;$J29+L$3,'BD Original'!$A:$Z,15,0)=0,"",IFERROR(VLOOKUP($E29&amp;"|"&amp;$J29+L$3,'BD Original'!$A:$Z,15,0),""))</f>
        <v>1718635.0599999996</v>
      </c>
      <c r="M29" s="55">
        <f>IFERROR(VLOOKUP($E29&amp;"|"&amp;$J29+M$3,'BD Original'!$A:$Z,15,0),"")</f>
        <v>1601493.2000000002</v>
      </c>
      <c r="N29" s="55">
        <f>IFERROR(VLOOKUP($E29&amp;"|"&amp;$J29+N$3,'BD Original'!$A:$Z,15,0),"")</f>
        <v>1077362.5899999999</v>
      </c>
      <c r="O29" s="55" t="str">
        <f>IFERROR(VLOOKUP($E29&amp;"|"&amp;$J29+O$3,'BD Original'!$A:$Z,15,0),"")</f>
        <v/>
      </c>
      <c r="P29" s="55" t="str">
        <f>IFERROR(VLOOKUP($E29&amp;"|"&amp;$J29+P$3,'BD Original'!$A:$Z,15,0),"")</f>
        <v/>
      </c>
      <c r="Q29" s="68">
        <f t="shared" si="4"/>
        <v>1465830.2833333332</v>
      </c>
      <c r="R29" s="56">
        <f t="shared" si="5"/>
        <v>3</v>
      </c>
      <c r="S29" s="55">
        <f>IFERROR(VLOOKUP($E29&amp;"|"&amp;$J29+(K29-J29),'BD Original'!$A:$Z,15,0),"")</f>
        <v>1077362.5899999999</v>
      </c>
      <c r="T29" s="66">
        <f t="shared" si="15"/>
        <v>-0.20824810403618932</v>
      </c>
      <c r="U29" s="55">
        <f>IFERROR(VLOOKUP($E29&amp;"|"&amp;$J29+(K29-J29),'BD Original'!$A:$Z,16,0),"")</f>
        <v>1048529.1199999999</v>
      </c>
      <c r="V29" s="58">
        <f>SUMIF('BD Original'!G:G,E29,'BD Original'!R:R)</f>
        <v>0</v>
      </c>
      <c r="W29" s="57">
        <f t="shared" si="6"/>
        <v>0</v>
      </c>
      <c r="X29" s="66">
        <f t="shared" si="14"/>
        <v>0</v>
      </c>
      <c r="Y29" s="66">
        <f t="shared" si="7"/>
        <v>0.9732369860735558</v>
      </c>
      <c r="Z29" s="55">
        <f>SUMIF('BD Original'!G:G,E29,'BD Original'!T:T)</f>
        <v>1264251.7925000002</v>
      </c>
      <c r="AA29" s="55">
        <f>SUMIF('BD Original'!G:G,E29,'BD Original'!U:U)</f>
        <v>1542500.7300000004</v>
      </c>
      <c r="AB29" s="66">
        <f t="shared" si="8"/>
        <v>1.2200898105509312</v>
      </c>
      <c r="AC29" s="55">
        <f>SUMIF('BD Original'!G:G,E29,'BD Original'!V:V)</f>
        <v>43</v>
      </c>
      <c r="AD29" s="69">
        <f>IFERROR(AC29/VLOOKUP(E29,'BD Original'!G:I,3,0),0)</f>
        <v>0.78181818181818186</v>
      </c>
      <c r="AE29" s="58">
        <f>SUMIF('BD Original'!G:G,E29,'BD Original'!W:W)</f>
        <v>232</v>
      </c>
      <c r="AF29" s="58">
        <f>SUMIF('BD Original'!G:G,E29,'BD Original'!X:X)</f>
        <v>129</v>
      </c>
      <c r="AG29" s="66">
        <f>IFERROR(SUMIF('BD Original'!G:G,E29,'BD Original'!X:X)/SUMIF('BD Original'!G:G,E29,'BD Original'!W:W),0)</f>
        <v>0.55603448275862066</v>
      </c>
      <c r="AH29" s="58">
        <f>SUMIF('BD Original'!G:G,E29,'BD Original'!Y:Y)</f>
        <v>28687.771231180697</v>
      </c>
      <c r="AI29" s="58">
        <f>SUMIF('BD Original'!G:G,E29,'BD Original'!Z:Z)</f>
        <v>21250</v>
      </c>
      <c r="AJ29" s="66">
        <f t="shared" si="9"/>
        <v>0.74073373733904446</v>
      </c>
      <c r="AK29" s="58">
        <f t="shared" si="10"/>
        <v>81368.574624999994</v>
      </c>
      <c r="AL29" s="71" t="str">
        <f>VLOOKUP(E29,'BD Original'!G:K,5,0)</f>
        <v>&lt; 3 Meses</v>
      </c>
      <c r="AM29" s="71" t="str">
        <f>VLOOKUP(Q29,Etiquetas!E:F,2)</f>
        <v>3 Mediana ≥ 1MM</v>
      </c>
      <c r="AN29" s="71" t="str">
        <f>IFERROR(VLOOKUP(T29,Etiquetas!H:I,2),0)</f>
        <v>2 Decrecimiento entre 0.1% y 50%</v>
      </c>
      <c r="AO29" s="71" t="str">
        <f>VLOOKUP(AG29,Etiquetas!K:M,2)</f>
        <v>3 Medio Bajo</v>
      </c>
      <c r="AP29" s="70">
        <f>VLOOKUP(AG29,Etiquetas!K:M,3)</f>
        <v>70</v>
      </c>
      <c r="AQ29" s="51" t="str">
        <f>VLOOKUP(AD29,Etiquetas!O:Q,2)</f>
        <v>1 Bajo Extremo</v>
      </c>
      <c r="AR29" s="70">
        <f>VLOOKUP(AD29,Etiquetas!O:Q,3)</f>
        <v>30</v>
      </c>
      <c r="AS29" s="51" t="str">
        <f>VLOOKUP(AB29,Etiquetas!S:U,2)</f>
        <v>7 Sobresaliente</v>
      </c>
      <c r="AT29" s="70">
        <f>VLOOKUP(AB29,Etiquetas!S:U,3)</f>
        <v>110</v>
      </c>
      <c r="AU29" s="70">
        <f t="shared" si="11"/>
        <v>78</v>
      </c>
      <c r="AV29" s="70" t="str">
        <f>VLOOKUP(AU29,Etiquetas!W:X,2)</f>
        <v>2 Medio Vendedor</v>
      </c>
      <c r="AW29" s="51" t="str">
        <f>VLOOKUP(Y29,Etiquetas!Z:AB,2)</f>
        <v>5 Alto</v>
      </c>
      <c r="AX29" s="70">
        <f>VLOOKUP(Y29,Etiquetas!Z:AB,3)</f>
        <v>90</v>
      </c>
      <c r="AY29" s="51" t="str">
        <f>VLOOKUP(AJ29,Etiquetas!AD:AF,2)</f>
        <v>3 Medio Alto</v>
      </c>
      <c r="AZ29" s="70">
        <f>VLOOKUP(AJ29,Etiquetas!AD:AF,3)</f>
        <v>70</v>
      </c>
      <c r="BA29" s="79">
        <f t="shared" si="12"/>
        <v>82</v>
      </c>
      <c r="BB29" s="46" t="str">
        <f t="shared" si="13"/>
        <v>Antiguedad: &lt; 3 Meses|Tamaño Cartera: 3 Mediana ≥ 1MM|2 Medio Vendedor|Calidad Cartera: 5 Alto|Alcance Incentivos: 3 Medio Alto</v>
      </c>
    </row>
    <row r="30" spans="2:54" x14ac:dyDescent="0.2">
      <c r="B30" s="46" t="s">
        <v>108</v>
      </c>
      <c r="C30" s="51" t="s">
        <v>64</v>
      </c>
      <c r="D30" s="47">
        <v>14019</v>
      </c>
      <c r="E30" s="52" t="s">
        <v>65</v>
      </c>
      <c r="F30" s="53">
        <v>44385</v>
      </c>
      <c r="G30" s="53">
        <v>0</v>
      </c>
      <c r="H30" s="53" t="str">
        <f t="shared" si="2"/>
        <v>ACTIVO</v>
      </c>
      <c r="I30" s="54" t="str">
        <f t="shared" si="3"/>
        <v>SI</v>
      </c>
      <c r="J30" s="47">
        <f>VLOOKUP(E30,'BD Original'!G:L,6,0)</f>
        <v>25</v>
      </c>
      <c r="K30" s="47">
        <f>VLOOKUP(E30,'BD Original'!G:M,7,0)</f>
        <v>29</v>
      </c>
      <c r="L30" s="55">
        <f>IF(VLOOKUP($E30&amp;"|"&amp;$J30+L$3,'BD Original'!$A:$Z,15,0)=0,"",IFERROR(VLOOKUP($E30&amp;"|"&amp;$J30+L$3,'BD Original'!$A:$Z,15,0),""))</f>
        <v>1288885.8300000003</v>
      </c>
      <c r="M30" s="55">
        <f>IFERROR(VLOOKUP($E30&amp;"|"&amp;$J30+M$3,'BD Original'!$A:$Z,15,0),"")</f>
        <v>1250844.9700000002</v>
      </c>
      <c r="N30" s="55">
        <f>IFERROR(VLOOKUP($E30&amp;"|"&amp;$J30+N$3,'BD Original'!$A:$Z,15,0),"")</f>
        <v>888577.54</v>
      </c>
      <c r="O30" s="59" t="str">
        <f>IFERROR(VLOOKUP($E30&amp;"|"&amp;$J30+O$3,'BD Original'!$A:$Z,15,0),"")</f>
        <v/>
      </c>
      <c r="P30" s="59">
        <f>IFERROR(VLOOKUP($E30&amp;"|"&amp;$J30+P$3,'BD Original'!$A:$Z,15,0),"")</f>
        <v>0</v>
      </c>
      <c r="Q30" s="68">
        <f t="shared" si="4"/>
        <v>857077.0850000002</v>
      </c>
      <c r="R30" s="56">
        <f t="shared" si="5"/>
        <v>4</v>
      </c>
      <c r="S30" s="55">
        <f>IFERROR(VLOOKUP($E30&amp;"|"&amp;$J30+(K30-J30),'BD Original'!$A:$Z,15,0),"")</f>
        <v>0</v>
      </c>
      <c r="T30" s="66">
        <f t="shared" si="15"/>
        <v>-1</v>
      </c>
      <c r="U30" s="55">
        <f>IFERROR(VLOOKUP($E30&amp;"|"&amp;$J30+(K30-J30),'BD Original'!$A:$Z,16,0),"")</f>
        <v>0</v>
      </c>
      <c r="V30" s="58">
        <f>SUMIF('BD Original'!G:G,E30,'BD Original'!R:R)</f>
        <v>59918.28</v>
      </c>
      <c r="W30" s="57">
        <f t="shared" si="6"/>
        <v>6.9910024487470676E-2</v>
      </c>
      <c r="X30" s="66">
        <f t="shared" si="14"/>
        <v>0.20973007346241201</v>
      </c>
      <c r="Y30" s="66">
        <f t="shared" si="7"/>
        <v>0</v>
      </c>
      <c r="Z30" s="55">
        <f>SUMIF('BD Original'!G:G,E30,'BD Original'!T:T)</f>
        <v>2123646.5142999999</v>
      </c>
      <c r="AA30" s="55">
        <f>SUMIF('BD Original'!G:G,E30,'BD Original'!U:U)</f>
        <v>802499.90999999992</v>
      </c>
      <c r="AB30" s="66">
        <f t="shared" si="8"/>
        <v>0.37788770616776651</v>
      </c>
      <c r="AC30" s="55">
        <f>SUMIF('BD Original'!G:G,E30,'BD Original'!V:V)</f>
        <v>55</v>
      </c>
      <c r="AD30" s="69">
        <f>IFERROR(AC30/VLOOKUP(E30,'BD Original'!G:I,3,0),0)</f>
        <v>7.3041168658698544E-2</v>
      </c>
      <c r="AE30" s="58">
        <f>SUMIF('BD Original'!G:G,E30,'BD Original'!W:W)</f>
        <v>178</v>
      </c>
      <c r="AF30" s="58">
        <f>SUMIF('BD Original'!G:G,E30,'BD Original'!X:X)</f>
        <v>61</v>
      </c>
      <c r="AG30" s="66">
        <f>IFERROR(SUMIF('BD Original'!G:G,E30,'BD Original'!X:X)/SUMIF('BD Original'!G:G,E30,'BD Original'!W:W),0)</f>
        <v>0.34269662921348315</v>
      </c>
      <c r="AH30" s="58">
        <f>SUMIF('BD Original'!G:G,E30,'BD Original'!Y:Y)</f>
        <v>31836.821430813816</v>
      </c>
      <c r="AI30" s="58">
        <f>SUMIF('BD Original'!G:G,E30,'BD Original'!Z:Z)</f>
        <v>5260</v>
      </c>
      <c r="AJ30" s="66">
        <f t="shared" si="9"/>
        <v>0.16521749859453677</v>
      </c>
      <c r="AK30" s="58">
        <f t="shared" si="10"/>
        <v>55576.502387500012</v>
      </c>
      <c r="AL30" s="71" t="str">
        <f>VLOOKUP(E30,'BD Original'!G:K,5,0)</f>
        <v>2 a 2.5 años</v>
      </c>
      <c r="AM30" s="71" t="str">
        <f>VLOOKUP(Q30,Etiquetas!E:F,2)</f>
        <v>2 Mediana ≤ 1MM</v>
      </c>
      <c r="AN30" s="71" t="str">
        <f>IFERROR(VLOOKUP(T30,Etiquetas!H:I,2),0)</f>
        <v>1 Decrecimiento ≥ 50%</v>
      </c>
      <c r="AO30" s="71" t="str">
        <f>VLOOKUP(AG30,Etiquetas!K:M,2)</f>
        <v>2 Bajo</v>
      </c>
      <c r="AP30" s="70">
        <f>VLOOKUP(AG30,Etiquetas!K:M,3)</f>
        <v>50</v>
      </c>
      <c r="AQ30" s="51" t="str">
        <f>VLOOKUP(AD30,Etiquetas!O:Q,2)</f>
        <v>1 Bajo Extremo</v>
      </c>
      <c r="AR30" s="70">
        <f>VLOOKUP(AD30,Etiquetas!O:Q,3)</f>
        <v>30</v>
      </c>
      <c r="AS30" s="51" t="str">
        <f>VLOOKUP(AB30,Etiquetas!S:U,2)</f>
        <v>2 Bajo</v>
      </c>
      <c r="AT30" s="70">
        <f>VLOOKUP(AB30,Etiquetas!S:U,3)</f>
        <v>30</v>
      </c>
      <c r="AU30" s="70">
        <f t="shared" si="11"/>
        <v>38</v>
      </c>
      <c r="AV30" s="70" t="str">
        <f>VLOOKUP(AU30,Etiquetas!W:X,2)</f>
        <v>1 Mal Vendedor</v>
      </c>
      <c r="AW30" s="51" t="str">
        <f>VLOOKUP(Y30,Etiquetas!Z:AB,2)</f>
        <v>1 Bajo Extremo</v>
      </c>
      <c r="AX30" s="70">
        <f>VLOOKUP(Y30,Etiquetas!Z:AB,3)</f>
        <v>30</v>
      </c>
      <c r="AY30" s="51" t="str">
        <f>VLOOKUP(AJ30,Etiquetas!AD:AF,2)</f>
        <v>1 Bajo</v>
      </c>
      <c r="AZ30" s="70">
        <f>VLOOKUP(AJ30,Etiquetas!AD:AF,3)</f>
        <v>30</v>
      </c>
      <c r="BA30" s="79">
        <f t="shared" si="12"/>
        <v>34</v>
      </c>
      <c r="BB30" s="46" t="str">
        <f t="shared" si="13"/>
        <v>Antiguedad: 2 a 2.5 años|Tamaño Cartera: 2 Mediana ≤ 1MM|1 Mal Vendedor|Calidad Cartera: 1 Bajo Extremo|Alcance Incentivos: 1 Bajo</v>
      </c>
    </row>
    <row r="31" spans="2:54" x14ac:dyDescent="0.2">
      <c r="B31" s="46" t="s">
        <v>108</v>
      </c>
      <c r="C31" s="51" t="s">
        <v>64</v>
      </c>
      <c r="D31" s="47">
        <v>26859</v>
      </c>
      <c r="E31" s="52" t="s">
        <v>66</v>
      </c>
      <c r="F31" s="53">
        <v>44881</v>
      </c>
      <c r="G31" s="53">
        <v>0</v>
      </c>
      <c r="H31" s="53" t="str">
        <f t="shared" si="2"/>
        <v>ACTIVO</v>
      </c>
      <c r="I31" s="54" t="str">
        <f t="shared" si="3"/>
        <v>NO</v>
      </c>
      <c r="J31" s="47">
        <f>VLOOKUP(E31,'BD Original'!G:L,6,0)</f>
        <v>8</v>
      </c>
      <c r="K31" s="47">
        <f>VLOOKUP(E31,'BD Original'!G:M,7,0)</f>
        <v>12</v>
      </c>
      <c r="L31" s="55">
        <f>IF(VLOOKUP($E31&amp;"|"&amp;$J31+L$3,'BD Original'!$A:$Z,15,0)=0,"",IFERROR(VLOOKUP($E31&amp;"|"&amp;$J31+L$3,'BD Original'!$A:$Z,15,0),""))</f>
        <v>1001774.7200000001</v>
      </c>
      <c r="M31" s="55">
        <f>IFERROR(VLOOKUP($E31&amp;"|"&amp;$J31+M$3,'BD Original'!$A:$Z,15,0),"")</f>
        <v>1009050.7000000002</v>
      </c>
      <c r="N31" s="55">
        <f>IFERROR(VLOOKUP($E31&amp;"|"&amp;$J31+N$3,'BD Original'!$A:$Z,15,0),"")</f>
        <v>719485.41999999993</v>
      </c>
      <c r="O31" s="55">
        <f>IFERROR(VLOOKUP($E31&amp;"|"&amp;$J31+O$3,'BD Original'!$A:$Z,15,0),"")</f>
        <v>576343.26</v>
      </c>
      <c r="P31" s="55">
        <f>IFERROR(VLOOKUP($E31&amp;"|"&amp;$J31+P$3,'BD Original'!$A:$Z,15,0),"")</f>
        <v>871219.1100000001</v>
      </c>
      <c r="Q31" s="68">
        <f t="shared" si="4"/>
        <v>835574.64200000023</v>
      </c>
      <c r="R31" s="56">
        <f t="shared" si="5"/>
        <v>5</v>
      </c>
      <c r="S31" s="55">
        <f>IFERROR(VLOOKUP($E31&amp;"|"&amp;$J31+(K31-J31),'BD Original'!$A:$Z,15,0),"")</f>
        <v>871219.1100000001</v>
      </c>
      <c r="T31" s="66">
        <f t="shared" si="15"/>
        <v>-3.4306448766242004E-2</v>
      </c>
      <c r="U31" s="55">
        <f>IFERROR(VLOOKUP($E31&amp;"|"&amp;$J31+(K31-J31),'BD Original'!$A:$Z,16,0),"")</f>
        <v>699396.86</v>
      </c>
      <c r="V31" s="58">
        <f>SUMIF('BD Original'!G:G,E31,'BD Original'!R:R)</f>
        <v>102742.54</v>
      </c>
      <c r="W31" s="57">
        <f t="shared" si="6"/>
        <v>0.12296033751584334</v>
      </c>
      <c r="X31" s="66">
        <f t="shared" si="14"/>
        <v>0.29510481003802402</v>
      </c>
      <c r="Y31" s="66">
        <f t="shared" si="7"/>
        <v>0.71809486543951695</v>
      </c>
      <c r="Z31" s="55">
        <f>SUMIF('BD Original'!G:G,E31,'BD Original'!T:T)</f>
        <v>2511581.0609500003</v>
      </c>
      <c r="AA31" s="55">
        <f>SUMIF('BD Original'!G:G,E31,'BD Original'!U:U)</f>
        <v>1354494.9099999997</v>
      </c>
      <c r="AB31" s="66">
        <f t="shared" si="8"/>
        <v>0.53929969892656571</v>
      </c>
      <c r="AC31" s="55">
        <f>SUMIF('BD Original'!G:G,E31,'BD Original'!V:V)</f>
        <v>302</v>
      </c>
      <c r="AD31" s="69">
        <f>IFERROR(AC31/VLOOKUP(E31,'BD Original'!G:I,3,0),0)</f>
        <v>1.1750972762645915</v>
      </c>
      <c r="AE31" s="58">
        <f>SUMIF('BD Original'!G:G,E31,'BD Original'!W:W)</f>
        <v>217</v>
      </c>
      <c r="AF31" s="58">
        <f>SUMIF('BD Original'!G:G,E31,'BD Original'!X:X)</f>
        <v>66</v>
      </c>
      <c r="AG31" s="66">
        <f>IFERROR(SUMIF('BD Original'!G:G,E31,'BD Original'!X:X)/SUMIF('BD Original'!G:G,E31,'BD Original'!W:W),0)</f>
        <v>0.30414746543778803</v>
      </c>
      <c r="AH31" s="58">
        <f>SUMIF('BD Original'!G:G,E31,'BD Original'!Y:Y)</f>
        <v>55890.658693185003</v>
      </c>
      <c r="AI31" s="58">
        <f>SUMIF('BD Original'!G:G,E31,'BD Original'!Z:Z)</f>
        <v>6605.0000000000009</v>
      </c>
      <c r="AJ31" s="66">
        <f t="shared" si="9"/>
        <v>0.11817717225804279</v>
      </c>
      <c r="AK31" s="58">
        <f t="shared" si="10"/>
        <v>59915.049915000018</v>
      </c>
      <c r="AL31" s="71" t="str">
        <f>VLOOKUP(E31,'BD Original'!G:K,5,0)</f>
        <v>6 a 12 Meses</v>
      </c>
      <c r="AM31" s="71" t="str">
        <f>VLOOKUP(Q31,Etiquetas!E:F,2)</f>
        <v>2 Mediana ≤ 1MM</v>
      </c>
      <c r="AN31" s="71" t="str">
        <f>IFERROR(VLOOKUP(T31,Etiquetas!H:I,2),0)</f>
        <v>2 Decrecimiento entre 0.1% y 50%</v>
      </c>
      <c r="AO31" s="71" t="str">
        <f>VLOOKUP(AG31,Etiquetas!K:M,2)</f>
        <v>1 Bajo Extremo</v>
      </c>
      <c r="AP31" s="70">
        <f>VLOOKUP(AG31,Etiquetas!K:M,3)</f>
        <v>30</v>
      </c>
      <c r="AQ31" s="51" t="str">
        <f>VLOOKUP(AD31,Etiquetas!O:Q,2)</f>
        <v>2 Bajo</v>
      </c>
      <c r="AR31" s="70">
        <f>VLOOKUP(AD31,Etiquetas!O:Q,3)</f>
        <v>50</v>
      </c>
      <c r="AS31" s="51" t="str">
        <f>VLOOKUP(AB31,Etiquetas!S:U,2)</f>
        <v>3 Medio Bajo</v>
      </c>
      <c r="AT31" s="70">
        <f>VLOOKUP(AB31,Etiquetas!S:U,3)</f>
        <v>50</v>
      </c>
      <c r="AU31" s="70">
        <f t="shared" si="11"/>
        <v>42</v>
      </c>
      <c r="AV31" s="70" t="str">
        <f>VLOOKUP(AU31,Etiquetas!W:X,2)</f>
        <v>1 Mal Vendedor</v>
      </c>
      <c r="AW31" s="51" t="str">
        <f>VLOOKUP(Y31,Etiquetas!Z:AB,2)</f>
        <v>2 Bajo</v>
      </c>
      <c r="AX31" s="70">
        <f>VLOOKUP(Y31,Etiquetas!Z:AB,3)</f>
        <v>50</v>
      </c>
      <c r="AY31" s="51" t="str">
        <f>VLOOKUP(AJ31,Etiquetas!AD:AF,2)</f>
        <v>1 Bajo</v>
      </c>
      <c r="AZ31" s="70">
        <f>VLOOKUP(AJ31,Etiquetas!AD:AF,3)</f>
        <v>30</v>
      </c>
      <c r="BA31" s="79">
        <f t="shared" si="12"/>
        <v>44</v>
      </c>
      <c r="BB31" s="46" t="str">
        <f t="shared" si="13"/>
        <v>Antiguedad: 6 a 12 Meses|Tamaño Cartera: 2 Mediana ≤ 1MM|1 Mal Vendedor|Calidad Cartera: 2 Bajo|Alcance Incentivos: 1 Bajo</v>
      </c>
    </row>
    <row r="32" spans="2:54" x14ac:dyDescent="0.2">
      <c r="B32" s="46" t="s">
        <v>108</v>
      </c>
      <c r="C32" s="51" t="s">
        <v>46</v>
      </c>
      <c r="D32" s="47">
        <v>17299</v>
      </c>
      <c r="E32" s="52" t="s">
        <v>47</v>
      </c>
      <c r="F32" s="53">
        <v>44510</v>
      </c>
      <c r="G32" s="53">
        <v>0</v>
      </c>
      <c r="H32" s="53" t="str">
        <f t="shared" si="2"/>
        <v>ACTIVO</v>
      </c>
      <c r="I32" s="54" t="str">
        <f t="shared" si="3"/>
        <v>NO</v>
      </c>
      <c r="J32" s="47">
        <f>VLOOKUP(E32,'BD Original'!G:L,6,0)</f>
        <v>20</v>
      </c>
      <c r="K32" s="47">
        <f>VLOOKUP(E32,'BD Original'!G:M,7,0)</f>
        <v>25</v>
      </c>
      <c r="L32" s="55">
        <f>IF(VLOOKUP($E32&amp;"|"&amp;$J32+L$3,'BD Original'!$A:$Z,15,0)=0,"",IFERROR(VLOOKUP($E32&amp;"|"&amp;$J32+L$3,'BD Original'!$A:$Z,15,0),""))</f>
        <v>519926.24999999994</v>
      </c>
      <c r="M32" s="55">
        <f>IFERROR(VLOOKUP($E32&amp;"|"&amp;$J32+M$3,'BD Original'!$A:$Z,15,0),"")</f>
        <v>825468.8</v>
      </c>
      <c r="N32" s="55">
        <f>IFERROR(VLOOKUP($E32&amp;"|"&amp;$J32+N$3,'BD Original'!$A:$Z,15,0),"")</f>
        <v>733878.24000000011</v>
      </c>
      <c r="O32" s="59" t="str">
        <f>IFERROR(VLOOKUP($E32&amp;"|"&amp;$J32+O$3,'BD Original'!$A:$Z,15,0),"")</f>
        <v/>
      </c>
      <c r="P32" s="55">
        <f>IFERROR(VLOOKUP($E32&amp;"|"&amp;$J32+P$3,'BD Original'!$A:$Z,15,0),"")</f>
        <v>604773.24</v>
      </c>
      <c r="Q32" s="68">
        <f t="shared" si="4"/>
        <v>671011.63250000007</v>
      </c>
      <c r="R32" s="56">
        <f t="shared" si="5"/>
        <v>4</v>
      </c>
      <c r="S32" s="55">
        <f>IFERROR(VLOOKUP($E32&amp;"|"&amp;$J32+(K32-J32),'BD Original'!$A:$Z,15,0),"")</f>
        <v>596836.19000000006</v>
      </c>
      <c r="T32" s="66">
        <f t="shared" si="15"/>
        <v>4.7058953648106527E-2</v>
      </c>
      <c r="U32" s="55">
        <f>IFERROR(VLOOKUP($E32&amp;"|"&amp;$J32+(K32-J32),'BD Original'!$A:$Z,16,0),"")</f>
        <v>525160.30000000005</v>
      </c>
      <c r="V32" s="58">
        <f>SUMIF('BD Original'!G:G,E32,'BD Original'!R:R)</f>
        <v>103172.93000000001</v>
      </c>
      <c r="W32" s="57">
        <f t="shared" si="6"/>
        <v>0.15375728974415356</v>
      </c>
      <c r="X32" s="66">
        <f t="shared" si="14"/>
        <v>0.46127186923246066</v>
      </c>
      <c r="Y32" s="66">
        <f t="shared" si="7"/>
        <v>0.7502192257152307</v>
      </c>
      <c r="Z32" s="55">
        <f>SUMIF('BD Original'!G:G,E32,'BD Original'!T:T)</f>
        <v>2516449.5962999994</v>
      </c>
      <c r="AA32" s="55">
        <f>SUMIF('BD Original'!G:G,E32,'BD Original'!U:U)</f>
        <v>1572149.09</v>
      </c>
      <c r="AB32" s="66">
        <f t="shared" si="8"/>
        <v>0.6247488891935572</v>
      </c>
      <c r="AC32" s="55">
        <f>SUMIF('BD Original'!G:G,E32,'BD Original'!V:V)</f>
        <v>78</v>
      </c>
      <c r="AD32" s="69">
        <f>IFERROR(AC32/VLOOKUP(E32,'BD Original'!G:I,3,0),0)</f>
        <v>0.12420382165605096</v>
      </c>
      <c r="AE32" s="58">
        <f>SUMIF('BD Original'!G:G,E32,'BD Original'!W:W)</f>
        <v>120</v>
      </c>
      <c r="AF32" s="58">
        <f>SUMIF('BD Original'!G:G,E32,'BD Original'!X:X)</f>
        <v>62</v>
      </c>
      <c r="AG32" s="66">
        <f>IFERROR(SUMIF('BD Original'!G:G,E32,'BD Original'!X:X)/SUMIF('BD Original'!G:G,E32,'BD Original'!W:W),0)</f>
        <v>0.51666666666666672</v>
      </c>
      <c r="AH32" s="58">
        <f>SUMIF('BD Original'!G:G,E32,'BD Original'!Y:Y)</f>
        <v>51334.522509021022</v>
      </c>
      <c r="AI32" s="58">
        <f>SUMIF('BD Original'!G:G,E32,'BD Original'!Z:Z)</f>
        <v>1040</v>
      </c>
      <c r="AJ32" s="66">
        <f t="shared" si="9"/>
        <v>2.0259270938328893E-2</v>
      </c>
      <c r="AK32" s="58">
        <f t="shared" si="10"/>
        <v>54636.401368749997</v>
      </c>
      <c r="AL32" s="71" t="str">
        <f>VLOOKUP(E32,'BD Original'!G:K,5,0)</f>
        <v>1.5 a 2 años</v>
      </c>
      <c r="AM32" s="71" t="str">
        <f>VLOOKUP(Q32,Etiquetas!E:F,2)</f>
        <v>2 Mediana ≤ 1MM</v>
      </c>
      <c r="AN32" s="71" t="str">
        <f>IFERROR(VLOOKUP(T32,Etiquetas!H:I,2),0)</f>
        <v>4 Crecimiento Muy Bajo</v>
      </c>
      <c r="AO32" s="71" t="str">
        <f>VLOOKUP(AG32,Etiquetas!K:M,2)</f>
        <v>3 Medio Bajo</v>
      </c>
      <c r="AP32" s="70">
        <f>VLOOKUP(AG32,Etiquetas!K:M,3)</f>
        <v>70</v>
      </c>
      <c r="AQ32" s="51" t="str">
        <f>VLOOKUP(AD32,Etiquetas!O:Q,2)</f>
        <v>1 Bajo Extremo</v>
      </c>
      <c r="AR32" s="70">
        <f>VLOOKUP(AD32,Etiquetas!O:Q,3)</f>
        <v>30</v>
      </c>
      <c r="AS32" s="51" t="str">
        <f>VLOOKUP(AB32,Etiquetas!S:U,2)</f>
        <v>3 Medio Bajo</v>
      </c>
      <c r="AT32" s="70">
        <f>VLOOKUP(AB32,Etiquetas!S:U,3)</f>
        <v>50</v>
      </c>
      <c r="AU32" s="70">
        <f t="shared" si="11"/>
        <v>54</v>
      </c>
      <c r="AV32" s="70" t="str">
        <f>VLOOKUP(AU32,Etiquetas!W:X,2)</f>
        <v>1 Mal Vendedor</v>
      </c>
      <c r="AW32" s="51" t="str">
        <f>VLOOKUP(Y32,Etiquetas!Z:AB,2)</f>
        <v>2 Bajo</v>
      </c>
      <c r="AX32" s="70">
        <f>VLOOKUP(Y32,Etiquetas!Z:AB,3)</f>
        <v>50</v>
      </c>
      <c r="AY32" s="51" t="str">
        <f>VLOOKUP(AJ32,Etiquetas!AD:AF,2)</f>
        <v>1 Bajo</v>
      </c>
      <c r="AZ32" s="70">
        <f>VLOOKUP(AJ32,Etiquetas!AD:AF,3)</f>
        <v>30</v>
      </c>
      <c r="BA32" s="79">
        <f t="shared" si="12"/>
        <v>50</v>
      </c>
      <c r="BB32" s="46" t="str">
        <f t="shared" si="13"/>
        <v>Antiguedad: 1.5 a 2 años|Tamaño Cartera: 2 Mediana ≤ 1MM|1 Mal Vendedor|Calidad Cartera: 2 Bajo|Alcance Incentivos: 1 Bajo</v>
      </c>
    </row>
    <row r="33" spans="2:54" x14ac:dyDescent="0.2">
      <c r="B33" s="46" t="s">
        <v>108</v>
      </c>
      <c r="C33" s="51" t="s">
        <v>46</v>
      </c>
      <c r="D33" s="47">
        <v>29508</v>
      </c>
      <c r="E33" s="52" t="s">
        <v>48</v>
      </c>
      <c r="F33" s="53">
        <v>44987</v>
      </c>
      <c r="G33" s="53">
        <v>0</v>
      </c>
      <c r="H33" s="53" t="str">
        <f t="shared" si="2"/>
        <v>ACTIVO</v>
      </c>
      <c r="I33" s="54" t="str">
        <f t="shared" si="3"/>
        <v>NO</v>
      </c>
      <c r="J33" s="47">
        <f>VLOOKUP(E33,'BD Original'!G:L,6,0)</f>
        <v>5</v>
      </c>
      <c r="K33" s="47">
        <f>VLOOKUP(E33,'BD Original'!G:M,7,0)</f>
        <v>9</v>
      </c>
      <c r="L33" s="55">
        <f>IF(VLOOKUP($E33&amp;"|"&amp;$J33+L$3,'BD Original'!$A:$Z,15,0)=0,"",IFERROR(VLOOKUP($E33&amp;"|"&amp;$J33+L$3,'BD Original'!$A:$Z,15,0),""))</f>
        <v>649191.03000000014</v>
      </c>
      <c r="M33" s="55">
        <f>IFERROR(VLOOKUP($E33&amp;"|"&amp;$J33+M$3,'BD Original'!$A:$Z,15,0),"")</f>
        <v>809230.59999999974</v>
      </c>
      <c r="N33" s="55">
        <f>IFERROR(VLOOKUP($E33&amp;"|"&amp;$J33+N$3,'BD Original'!$A:$Z,15,0),"")</f>
        <v>892166.98</v>
      </c>
      <c r="O33" s="55">
        <f>IFERROR(VLOOKUP($E33&amp;"|"&amp;$J33+O$3,'BD Original'!$A:$Z,15,0),"")</f>
        <v>878059.23</v>
      </c>
      <c r="P33" s="55">
        <f>IFERROR(VLOOKUP($E33&amp;"|"&amp;$J33+P$3,'BD Original'!$A:$Z,15,0),"")</f>
        <v>717913.44</v>
      </c>
      <c r="Q33" s="68">
        <f t="shared" si="4"/>
        <v>789312.25599999994</v>
      </c>
      <c r="R33" s="56">
        <f t="shared" si="5"/>
        <v>5</v>
      </c>
      <c r="S33" s="55">
        <f>IFERROR(VLOOKUP($E33&amp;"|"&amp;$J33+(K33-J33),'BD Original'!$A:$Z,15,0),"")</f>
        <v>717913.44</v>
      </c>
      <c r="T33" s="66">
        <f t="shared" si="15"/>
        <v>2.5474565868752963E-2</v>
      </c>
      <c r="U33" s="55">
        <f>IFERROR(VLOOKUP($E33&amp;"|"&amp;$J33+(K33-J33),'BD Original'!$A:$Z,16,0),"")</f>
        <v>595792.72</v>
      </c>
      <c r="V33" s="58">
        <f>SUMIF('BD Original'!G:G,E33,'BD Original'!R:R)</f>
        <v>0</v>
      </c>
      <c r="W33" s="57">
        <f t="shared" si="6"/>
        <v>0</v>
      </c>
      <c r="X33" s="66">
        <f t="shared" si="14"/>
        <v>0</v>
      </c>
      <c r="Y33" s="66">
        <f t="shared" si="7"/>
        <v>0.82989492437974144</v>
      </c>
      <c r="Z33" s="55">
        <f>SUMIF('BD Original'!G:G,E33,'BD Original'!T:T)</f>
        <v>2139925.2577499999</v>
      </c>
      <c r="AA33" s="55">
        <f>SUMIF('BD Original'!G:G,E33,'BD Original'!U:U)</f>
        <v>1307999.99</v>
      </c>
      <c r="AB33" s="66">
        <f t="shared" si="8"/>
        <v>0.61123629681126423</v>
      </c>
      <c r="AC33" s="55">
        <f>SUMIF('BD Original'!G:G,E33,'BD Original'!V:V)</f>
        <v>28</v>
      </c>
      <c r="AD33" s="69">
        <f>IFERROR(AC33/VLOOKUP(E33,'BD Original'!G:I,3,0),0)</f>
        <v>0.18543046357615894</v>
      </c>
      <c r="AE33" s="58">
        <f>SUMIF('BD Original'!G:G,E33,'BD Original'!W:W)</f>
        <v>76</v>
      </c>
      <c r="AF33" s="58">
        <f>SUMIF('BD Original'!G:G,E33,'BD Original'!X:X)</f>
        <v>41</v>
      </c>
      <c r="AG33" s="66">
        <f>IFERROR(SUMIF('BD Original'!G:G,E33,'BD Original'!X:X)/SUMIF('BD Original'!G:G,E33,'BD Original'!W:W),0)</f>
        <v>0.53947368421052633</v>
      </c>
      <c r="AH33" s="58">
        <f>SUMIF('BD Original'!G:G,E33,'BD Original'!Y:Y)</f>
        <v>38053.511801175773</v>
      </c>
      <c r="AI33" s="58">
        <f>SUMIF('BD Original'!G:G,E33,'BD Original'!Z:Z)</f>
        <v>7222.5</v>
      </c>
      <c r="AJ33" s="66">
        <f t="shared" si="9"/>
        <v>0.18979851420117394</v>
      </c>
      <c r="AK33" s="58">
        <f t="shared" si="10"/>
        <v>36829.954720000002</v>
      </c>
      <c r="AL33" s="71" t="str">
        <f>VLOOKUP(E33,'BD Original'!G:K,5,0)</f>
        <v>3 a 6 Meses</v>
      </c>
      <c r="AM33" s="71" t="str">
        <f>VLOOKUP(Q33,Etiquetas!E:F,2)</f>
        <v>2 Mediana ≤ 1MM</v>
      </c>
      <c r="AN33" s="71" t="str">
        <f>IFERROR(VLOOKUP(T33,Etiquetas!H:I,2),0)</f>
        <v>4 Crecimiento Muy Bajo</v>
      </c>
      <c r="AO33" s="71" t="str">
        <f>VLOOKUP(AG33,Etiquetas!K:M,2)</f>
        <v>3 Medio Bajo</v>
      </c>
      <c r="AP33" s="70">
        <f>VLOOKUP(AG33,Etiquetas!K:M,3)</f>
        <v>70</v>
      </c>
      <c r="AQ33" s="51" t="str">
        <f>VLOOKUP(AD33,Etiquetas!O:Q,2)</f>
        <v>1 Bajo Extremo</v>
      </c>
      <c r="AR33" s="70">
        <f>VLOOKUP(AD33,Etiquetas!O:Q,3)</f>
        <v>30</v>
      </c>
      <c r="AS33" s="51" t="str">
        <f>VLOOKUP(AB33,Etiquetas!S:U,2)</f>
        <v>3 Medio Bajo</v>
      </c>
      <c r="AT33" s="70">
        <f>VLOOKUP(AB33,Etiquetas!S:U,3)</f>
        <v>50</v>
      </c>
      <c r="AU33" s="70">
        <f t="shared" si="11"/>
        <v>54</v>
      </c>
      <c r="AV33" s="70" t="str">
        <f>VLOOKUP(AU33,Etiquetas!W:X,2)</f>
        <v>1 Mal Vendedor</v>
      </c>
      <c r="AW33" s="51" t="str">
        <f>VLOOKUP(Y33,Etiquetas!Z:AB,2)</f>
        <v>2 Bajo</v>
      </c>
      <c r="AX33" s="70">
        <f>VLOOKUP(Y33,Etiquetas!Z:AB,3)</f>
        <v>50</v>
      </c>
      <c r="AY33" s="51" t="str">
        <f>VLOOKUP(AJ33,Etiquetas!AD:AF,2)</f>
        <v>1 Bajo</v>
      </c>
      <c r="AZ33" s="70">
        <f>VLOOKUP(AJ33,Etiquetas!AD:AF,3)</f>
        <v>30</v>
      </c>
      <c r="BA33" s="79">
        <f t="shared" si="12"/>
        <v>50</v>
      </c>
      <c r="BB33" s="46" t="str">
        <f t="shared" si="13"/>
        <v>Antiguedad: 3 a 6 Meses|Tamaño Cartera: 2 Mediana ≤ 1MM|1 Mal Vendedor|Calidad Cartera: 2 Bajo|Alcance Incentivos: 1 Bajo</v>
      </c>
    </row>
    <row r="34" spans="2:54" x14ac:dyDescent="0.2">
      <c r="B34" s="46" t="s">
        <v>108</v>
      </c>
      <c r="C34" s="51" t="s">
        <v>22</v>
      </c>
      <c r="D34" s="47">
        <v>31036</v>
      </c>
      <c r="E34" s="52" t="s">
        <v>23</v>
      </c>
      <c r="F34" s="53">
        <v>45040</v>
      </c>
      <c r="G34" s="53">
        <v>0</v>
      </c>
      <c r="H34" s="53" t="str">
        <f t="shared" si="2"/>
        <v>ACTIVO</v>
      </c>
      <c r="I34" s="54" t="str">
        <f t="shared" si="3"/>
        <v>NO</v>
      </c>
      <c r="J34" s="47">
        <f>VLOOKUP(E34,'BD Original'!G:L,6,0)</f>
        <v>3</v>
      </c>
      <c r="K34" s="47">
        <f>VLOOKUP(E34,'BD Original'!G:M,7,0)</f>
        <v>6</v>
      </c>
      <c r="L34" s="55">
        <f>IF(VLOOKUP($E34&amp;"|"&amp;$J34+L$3,'BD Original'!$A:$Z,15,0)=0,"",IFERROR(VLOOKUP($E34&amp;"|"&amp;$J34+L$3,'BD Original'!$A:$Z,15,0),""))</f>
        <v>654948.19000000006</v>
      </c>
      <c r="M34" s="55">
        <f>IFERROR(VLOOKUP($E34&amp;"|"&amp;$J34+M$3,'BD Original'!$A:$Z,15,0),"")</f>
        <v>530981.46</v>
      </c>
      <c r="N34" s="55">
        <f>IFERROR(VLOOKUP($E34&amp;"|"&amp;$J34+N$3,'BD Original'!$A:$Z,15,0),"")</f>
        <v>560430.12</v>
      </c>
      <c r="O34" s="55">
        <f>IFERROR(VLOOKUP($E34&amp;"|"&amp;$J34+O$3,'BD Original'!$A:$Z,15,0),"")</f>
        <v>717936.73</v>
      </c>
      <c r="P34" s="55" t="str">
        <f>IFERROR(VLOOKUP($E34&amp;"|"&amp;$J34+P$3,'BD Original'!$A:$Z,15,0),"")</f>
        <v/>
      </c>
      <c r="Q34" s="68">
        <f t="shared" si="4"/>
        <v>616074.125</v>
      </c>
      <c r="R34" s="56">
        <f t="shared" si="5"/>
        <v>4</v>
      </c>
      <c r="S34" s="55">
        <f>IFERROR(VLOOKUP($E34&amp;"|"&amp;$J34+(K34-J34),'BD Original'!$A:$Z,15,0),"")</f>
        <v>717936.73</v>
      </c>
      <c r="T34" s="66">
        <f t="shared" si="15"/>
        <v>3.1081691776654319E-2</v>
      </c>
      <c r="U34" s="55">
        <f>IFERROR(VLOOKUP($E34&amp;"|"&amp;$J34+(K34-J34),'BD Original'!$A:$Z,16,0),"")</f>
        <v>709554.81</v>
      </c>
      <c r="V34" s="58">
        <f>SUMIF('BD Original'!G:G,E34,'BD Original'!R:R)</f>
        <v>0</v>
      </c>
      <c r="W34" s="57">
        <f t="shared" si="6"/>
        <v>0</v>
      </c>
      <c r="X34" s="66">
        <f t="shared" si="14"/>
        <v>0</v>
      </c>
      <c r="Y34" s="66">
        <f t="shared" si="7"/>
        <v>0.98832498791362866</v>
      </c>
      <c r="Z34" s="55">
        <f>SUMIF('BD Original'!G:G,E34,'BD Original'!T:T)</f>
        <v>1700534.9405500004</v>
      </c>
      <c r="AA34" s="55">
        <f>SUMIF('BD Original'!G:G,E34,'BD Original'!U:U)</f>
        <v>1242999.2700000003</v>
      </c>
      <c r="AB34" s="66">
        <f t="shared" si="8"/>
        <v>0.73094603372158862</v>
      </c>
      <c r="AC34" s="55">
        <f>SUMIF('BD Original'!G:G,E34,'BD Original'!V:V)</f>
        <v>76</v>
      </c>
      <c r="AD34" s="69">
        <f>IFERROR(AC34/VLOOKUP(E34,'BD Original'!G:I,3,0),0)</f>
        <v>0.77551020408163263</v>
      </c>
      <c r="AE34" s="58">
        <f>SUMIF('BD Original'!G:G,E34,'BD Original'!W:W)</f>
        <v>95</v>
      </c>
      <c r="AF34" s="58">
        <f>SUMIF('BD Original'!G:G,E34,'BD Original'!X:X)</f>
        <v>46</v>
      </c>
      <c r="AG34" s="66">
        <f>IFERROR(SUMIF('BD Original'!G:G,E34,'BD Original'!X:X)/SUMIF('BD Original'!G:G,E34,'BD Original'!W:W),0)</f>
        <v>0.48421052631578948</v>
      </c>
      <c r="AH34" s="58">
        <f>SUMIF('BD Original'!G:G,E34,'BD Original'!Y:Y)</f>
        <v>30518.726286768455</v>
      </c>
      <c r="AI34" s="58">
        <f>SUMIF('BD Original'!G:G,E34,'BD Original'!Z:Z)</f>
        <v>20690</v>
      </c>
      <c r="AJ34" s="66">
        <f t="shared" si="9"/>
        <v>0.67794441372116676</v>
      </c>
      <c r="AK34" s="58">
        <f t="shared" si="10"/>
        <v>30596.762187500004</v>
      </c>
      <c r="AL34" s="71" t="str">
        <f>VLOOKUP(E34,'BD Original'!G:K,5,0)</f>
        <v>3 a 6 Meses</v>
      </c>
      <c r="AM34" s="71" t="str">
        <f>VLOOKUP(Q34,Etiquetas!E:F,2)</f>
        <v>2 Mediana ≤ 1MM</v>
      </c>
      <c r="AN34" s="71" t="str">
        <f>IFERROR(VLOOKUP(T34,Etiquetas!H:I,2),0)</f>
        <v>4 Crecimiento Muy Bajo</v>
      </c>
      <c r="AO34" s="71" t="str">
        <f>VLOOKUP(AG34,Etiquetas!K:M,2)</f>
        <v>2 Bajo</v>
      </c>
      <c r="AP34" s="70">
        <f>VLOOKUP(AG34,Etiquetas!K:M,3)</f>
        <v>50</v>
      </c>
      <c r="AQ34" s="51" t="str">
        <f>VLOOKUP(AD34,Etiquetas!O:Q,2)</f>
        <v>1 Bajo Extremo</v>
      </c>
      <c r="AR34" s="70">
        <f>VLOOKUP(AD34,Etiquetas!O:Q,3)</f>
        <v>30</v>
      </c>
      <c r="AS34" s="51" t="str">
        <f>VLOOKUP(AB34,Etiquetas!S:U,2)</f>
        <v>4 Medio Alto</v>
      </c>
      <c r="AT34" s="70">
        <f>VLOOKUP(AB34,Etiquetas!S:U,3)</f>
        <v>70</v>
      </c>
      <c r="AU34" s="70">
        <f t="shared" si="11"/>
        <v>54</v>
      </c>
      <c r="AV34" s="70" t="str">
        <f>VLOOKUP(AU34,Etiquetas!W:X,2)</f>
        <v>1 Mal Vendedor</v>
      </c>
      <c r="AW34" s="51" t="str">
        <f>VLOOKUP(Y34,Etiquetas!Z:AB,2)</f>
        <v>5 Alto</v>
      </c>
      <c r="AX34" s="70">
        <f>VLOOKUP(Y34,Etiquetas!Z:AB,3)</f>
        <v>90</v>
      </c>
      <c r="AY34" s="51" t="str">
        <f>VLOOKUP(AJ34,Etiquetas!AD:AF,2)</f>
        <v>3 Medio Alto</v>
      </c>
      <c r="AZ34" s="70">
        <f>VLOOKUP(AJ34,Etiquetas!AD:AF,3)</f>
        <v>70</v>
      </c>
      <c r="BA34" s="79">
        <f t="shared" si="12"/>
        <v>70</v>
      </c>
      <c r="BB34" s="46" t="str">
        <f t="shared" si="13"/>
        <v>Antiguedad: 3 a 6 Meses|Tamaño Cartera: 2 Mediana ≤ 1MM|1 Mal Vendedor|Calidad Cartera: 5 Alto|Alcance Incentivos: 3 Medio Alto</v>
      </c>
    </row>
    <row r="35" spans="2:54" x14ac:dyDescent="0.2">
      <c r="B35" s="46" t="s">
        <v>108</v>
      </c>
      <c r="C35" s="51" t="s">
        <v>22</v>
      </c>
      <c r="D35" s="47">
        <v>31037</v>
      </c>
      <c r="E35" s="52" t="s">
        <v>24</v>
      </c>
      <c r="F35" s="53">
        <v>45040</v>
      </c>
      <c r="G35" s="53">
        <v>0</v>
      </c>
      <c r="H35" s="53" t="str">
        <f t="shared" si="2"/>
        <v>ACTIVO</v>
      </c>
      <c r="I35" s="54" t="str">
        <f t="shared" si="3"/>
        <v>NO</v>
      </c>
      <c r="J35" s="47">
        <f>VLOOKUP(E35,'BD Original'!G:L,6,0)</f>
        <v>3</v>
      </c>
      <c r="K35" s="47">
        <f>VLOOKUP(E35,'BD Original'!G:M,7,0)</f>
        <v>7</v>
      </c>
      <c r="L35" s="55">
        <f>IF(VLOOKUP($E35&amp;"|"&amp;$J35+L$3,'BD Original'!$A:$Z,15,0)=0,"",IFERROR(VLOOKUP($E35&amp;"|"&amp;$J35+L$3,'BD Original'!$A:$Z,15,0),""))</f>
        <v>558836.07999999996</v>
      </c>
      <c r="M35" s="55">
        <f>IFERROR(VLOOKUP($E35&amp;"|"&amp;$J35+M$3,'BD Original'!$A:$Z,15,0),"")</f>
        <v>485813.00999999995</v>
      </c>
      <c r="N35" s="55">
        <f>IFERROR(VLOOKUP($E35&amp;"|"&amp;$J35+N$3,'BD Original'!$A:$Z,15,0),"")</f>
        <v>436167.04000000004</v>
      </c>
      <c r="O35" s="55">
        <f>IFERROR(VLOOKUP($E35&amp;"|"&amp;$J35+O$3,'BD Original'!$A:$Z,15,0),"")</f>
        <v>474371.97999999992</v>
      </c>
      <c r="P35" s="55">
        <f>IFERROR(VLOOKUP($E35&amp;"|"&amp;$J35+P$3,'BD Original'!$A:$Z,15,0),"")</f>
        <v>546731.31000000006</v>
      </c>
      <c r="Q35" s="68">
        <f t="shared" si="4"/>
        <v>500383.88399999996</v>
      </c>
      <c r="R35" s="56">
        <f t="shared" si="5"/>
        <v>5</v>
      </c>
      <c r="S35" s="55">
        <f>IFERROR(VLOOKUP($E35&amp;"|"&amp;$J35+(K35-J35),'BD Original'!$A:$Z,15,0),"")</f>
        <v>546731.31000000006</v>
      </c>
      <c r="T35" s="66">
        <f t="shared" si="15"/>
        <v>-5.4597205211307509E-3</v>
      </c>
      <c r="U35" s="55">
        <f>IFERROR(VLOOKUP($E35&amp;"|"&amp;$J35+(K35-J35),'BD Original'!$A:$Z,16,0),"")</f>
        <v>493925.99</v>
      </c>
      <c r="V35" s="58">
        <f>SUMIF('BD Original'!G:G,E35,'BD Original'!R:R)</f>
        <v>0</v>
      </c>
      <c r="W35" s="57">
        <f t="shared" si="6"/>
        <v>0</v>
      </c>
      <c r="X35" s="66">
        <f t="shared" si="14"/>
        <v>0</v>
      </c>
      <c r="Y35" s="66">
        <f t="shared" si="7"/>
        <v>0.90341632345877532</v>
      </c>
      <c r="Z35" s="55">
        <f>SUMIF('BD Original'!G:G,E35,'BD Original'!T:T)</f>
        <v>1986634.5079000001</v>
      </c>
      <c r="AA35" s="55">
        <f>SUMIF('BD Original'!G:G,E35,'BD Original'!U:U)</f>
        <v>1056999.6400000001</v>
      </c>
      <c r="AB35" s="66">
        <f t="shared" si="8"/>
        <v>0.53205541119756172</v>
      </c>
      <c r="AC35" s="55">
        <f>SUMIF('BD Original'!G:G,E35,'BD Original'!V:V)</f>
        <v>47</v>
      </c>
      <c r="AD35" s="69">
        <f>IFERROR(AC35/VLOOKUP(E35,'BD Original'!G:I,3,0),0)</f>
        <v>0.47959183673469385</v>
      </c>
      <c r="AE35" s="58">
        <f>SUMIF('BD Original'!G:G,E35,'BD Original'!W:W)</f>
        <v>86</v>
      </c>
      <c r="AF35" s="58">
        <f>SUMIF('BD Original'!G:G,E35,'BD Original'!X:X)</f>
        <v>43</v>
      </c>
      <c r="AG35" s="66">
        <f>IFERROR(SUMIF('BD Original'!G:G,E35,'BD Original'!X:X)/SUMIF('BD Original'!G:G,E35,'BD Original'!W:W),0)</f>
        <v>0.5</v>
      </c>
      <c r="AH35" s="58">
        <f>SUMIF('BD Original'!G:G,E35,'BD Original'!Y:Y)</f>
        <v>41301.617250999872</v>
      </c>
      <c r="AI35" s="58">
        <f>SUMIF('BD Original'!G:G,E35,'BD Original'!Z:Z)</f>
        <v>2775.0000000000005</v>
      </c>
      <c r="AJ35" s="66">
        <f t="shared" si="9"/>
        <v>6.718865227808532E-2</v>
      </c>
      <c r="AK35" s="58">
        <f t="shared" si="10"/>
        <v>19327.073329999996</v>
      </c>
      <c r="AL35" s="71" t="str">
        <f>VLOOKUP(E35,'BD Original'!G:K,5,0)</f>
        <v>3 a 6 Meses</v>
      </c>
      <c r="AM35" s="71" t="str">
        <f>VLOOKUP(Q35,Etiquetas!E:F,2)</f>
        <v>2 Mediana ≤ 1MM</v>
      </c>
      <c r="AN35" s="71" t="str">
        <f>IFERROR(VLOOKUP(T35,Etiquetas!H:I,2),0)</f>
        <v>2 Decrecimiento entre 0.1% y 50%</v>
      </c>
      <c r="AO35" s="71" t="str">
        <f>VLOOKUP(AG35,Etiquetas!K:M,2)</f>
        <v>2 Bajo</v>
      </c>
      <c r="AP35" s="70">
        <f>VLOOKUP(AG35,Etiquetas!K:M,3)</f>
        <v>50</v>
      </c>
      <c r="AQ35" s="51" t="str">
        <f>VLOOKUP(AD35,Etiquetas!O:Q,2)</f>
        <v>1 Bajo Extremo</v>
      </c>
      <c r="AR35" s="70">
        <f>VLOOKUP(AD35,Etiquetas!O:Q,3)</f>
        <v>30</v>
      </c>
      <c r="AS35" s="51" t="str">
        <f>VLOOKUP(AB35,Etiquetas!S:U,2)</f>
        <v>3 Medio Bajo</v>
      </c>
      <c r="AT35" s="70">
        <f>VLOOKUP(AB35,Etiquetas!S:U,3)</f>
        <v>50</v>
      </c>
      <c r="AU35" s="70">
        <f t="shared" si="11"/>
        <v>46</v>
      </c>
      <c r="AV35" s="70" t="str">
        <f>VLOOKUP(AU35,Etiquetas!W:X,2)</f>
        <v>1 Mal Vendedor</v>
      </c>
      <c r="AW35" s="51" t="str">
        <f>VLOOKUP(Y35,Etiquetas!Z:AB,2)</f>
        <v>4 Medio Alto</v>
      </c>
      <c r="AX35" s="70">
        <f>VLOOKUP(Y35,Etiquetas!Z:AB,3)</f>
        <v>80</v>
      </c>
      <c r="AY35" s="51" t="str">
        <f>VLOOKUP(AJ35,Etiquetas!AD:AF,2)</f>
        <v>1 Bajo</v>
      </c>
      <c r="AZ35" s="70">
        <f>VLOOKUP(AJ35,Etiquetas!AD:AF,3)</f>
        <v>30</v>
      </c>
      <c r="BA35" s="79">
        <f t="shared" si="12"/>
        <v>58</v>
      </c>
      <c r="BB35" s="46" t="str">
        <f t="shared" si="13"/>
        <v>Antiguedad: 3 a 6 Meses|Tamaño Cartera: 2 Mediana ≤ 1MM|1 Mal Vendedor|Calidad Cartera: 4 Medio Alto|Alcance Incentivos: 1 Bajo</v>
      </c>
    </row>
    <row r="36" spans="2:54" x14ac:dyDescent="0.2">
      <c r="B36" s="46" t="s">
        <v>108</v>
      </c>
      <c r="C36" s="51" t="s">
        <v>58</v>
      </c>
      <c r="D36" s="47">
        <v>25225</v>
      </c>
      <c r="E36" s="52" t="s">
        <v>59</v>
      </c>
      <c r="F36" s="53">
        <v>44823</v>
      </c>
      <c r="G36" s="53">
        <v>0</v>
      </c>
      <c r="H36" s="53" t="str">
        <f t="shared" si="2"/>
        <v>ACTIVO</v>
      </c>
      <c r="I36" s="54" t="str">
        <f t="shared" si="3"/>
        <v>NO</v>
      </c>
      <c r="J36" s="47">
        <f>VLOOKUP(E36,'BD Original'!G:L,6,0)</f>
        <v>10</v>
      </c>
      <c r="K36" s="47">
        <f>VLOOKUP(E36,'BD Original'!G:M,7,0)</f>
        <v>14</v>
      </c>
      <c r="L36" s="55">
        <f>IF(VLOOKUP($E36&amp;"|"&amp;$J36+L$3,'BD Original'!$A:$Z,15,0)=0,"",IFERROR(VLOOKUP($E36&amp;"|"&amp;$J36+L$3,'BD Original'!$A:$Z,15,0),""))</f>
        <v>1478613.0799999996</v>
      </c>
      <c r="M36" s="55">
        <f>IFERROR(VLOOKUP($E36&amp;"|"&amp;$J36+M$3,'BD Original'!$A:$Z,15,0),"")</f>
        <v>1404558.1600000001</v>
      </c>
      <c r="N36" s="55">
        <f>IFERROR(VLOOKUP($E36&amp;"|"&amp;$J36+N$3,'BD Original'!$A:$Z,15,0),"")</f>
        <v>1152167.2899999998</v>
      </c>
      <c r="O36" s="55">
        <f>IFERROR(VLOOKUP($E36&amp;"|"&amp;$J36+O$3,'BD Original'!$A:$Z,15,0),"")</f>
        <v>1076910.8900000001</v>
      </c>
      <c r="P36" s="55">
        <f>IFERROR(VLOOKUP($E36&amp;"|"&amp;$J36+P$3,'BD Original'!$A:$Z,15,0),"")</f>
        <v>977349.49000000011</v>
      </c>
      <c r="Q36" s="68">
        <f t="shared" si="4"/>
        <v>1217919.7820000001</v>
      </c>
      <c r="R36" s="56">
        <f t="shared" si="5"/>
        <v>5</v>
      </c>
      <c r="S36" s="55">
        <f>IFERROR(VLOOKUP($E36&amp;"|"&amp;$J36+(K36-J36),'BD Original'!$A:$Z,15,0),"")</f>
        <v>977349.49000000011</v>
      </c>
      <c r="T36" s="66">
        <f t="shared" si="15"/>
        <v>-9.8327474336457499E-2</v>
      </c>
      <c r="U36" s="55">
        <f>IFERROR(VLOOKUP($E36&amp;"|"&amp;$J36+(K36-J36),'BD Original'!$A:$Z,16,0),"")</f>
        <v>638575.75000000012</v>
      </c>
      <c r="V36" s="58">
        <f>SUMIF('BD Original'!G:G,E36,'BD Original'!R:R)</f>
        <v>260120.37</v>
      </c>
      <c r="W36" s="57">
        <f t="shared" si="6"/>
        <v>0.21357758847864741</v>
      </c>
      <c r="X36" s="66">
        <f t="shared" si="14"/>
        <v>0.51258621234875379</v>
      </c>
      <c r="Y36" s="66">
        <f t="shared" si="7"/>
        <v>0.51603337636037461</v>
      </c>
      <c r="Z36" s="55">
        <f>SUMIF('BD Original'!G:G,E36,'BD Original'!T:T)</f>
        <v>4019084.6620499999</v>
      </c>
      <c r="AA36" s="55">
        <f>SUMIF('BD Original'!G:G,E36,'BD Original'!U:U)</f>
        <v>1507500.6499999997</v>
      </c>
      <c r="AB36" s="66">
        <f t="shared" si="8"/>
        <v>0.37508556717764546</v>
      </c>
      <c r="AC36" s="55">
        <f>SUMIF('BD Original'!G:G,E36,'BD Original'!V:V)</f>
        <v>63</v>
      </c>
      <c r="AD36" s="69">
        <f>IFERROR(AC36/VLOOKUP(E36,'BD Original'!G:I,3,0),0)</f>
        <v>0.2</v>
      </c>
      <c r="AE36" s="58">
        <f>SUMIF('BD Original'!G:G,E36,'BD Original'!W:W)</f>
        <v>354</v>
      </c>
      <c r="AF36" s="58">
        <f>SUMIF('BD Original'!G:G,E36,'BD Original'!X:X)</f>
        <v>111</v>
      </c>
      <c r="AG36" s="66">
        <f>IFERROR(SUMIF('BD Original'!G:G,E36,'BD Original'!X:X)/SUMIF('BD Original'!G:G,E36,'BD Original'!W:W),0)</f>
        <v>0.3135593220338983</v>
      </c>
      <c r="AH36" s="58">
        <f>SUMIF('BD Original'!G:G,E36,'BD Original'!Y:Y)</f>
        <v>80226.425442680833</v>
      </c>
      <c r="AI36" s="58">
        <f>SUMIF('BD Original'!G:G,E36,'BD Original'!Z:Z)</f>
        <v>1722.5</v>
      </c>
      <c r="AJ36" s="66">
        <f t="shared" si="9"/>
        <v>2.1470481708432469E-2</v>
      </c>
      <c r="AK36" s="58">
        <f t="shared" si="10"/>
        <v>112398.96146500001</v>
      </c>
      <c r="AL36" s="71" t="str">
        <f>VLOOKUP(E36,'BD Original'!G:K,5,0)</f>
        <v>6 a 12 Meses</v>
      </c>
      <c r="AM36" s="71" t="str">
        <f>VLOOKUP(Q36,Etiquetas!E:F,2)</f>
        <v>3 Mediana ≥ 1MM</v>
      </c>
      <c r="AN36" s="71" t="str">
        <f>IFERROR(VLOOKUP(T36,Etiquetas!H:I,2),0)</f>
        <v>2 Decrecimiento entre 0.1% y 50%</v>
      </c>
      <c r="AO36" s="71" t="str">
        <f>VLOOKUP(AG36,Etiquetas!K:M,2)</f>
        <v>2 Bajo</v>
      </c>
      <c r="AP36" s="70">
        <f>VLOOKUP(AG36,Etiquetas!K:M,3)</f>
        <v>50</v>
      </c>
      <c r="AQ36" s="51" t="str">
        <f>VLOOKUP(AD36,Etiquetas!O:Q,2)</f>
        <v>1 Bajo Extremo</v>
      </c>
      <c r="AR36" s="70">
        <f>VLOOKUP(AD36,Etiquetas!O:Q,3)</f>
        <v>30</v>
      </c>
      <c r="AS36" s="51" t="str">
        <f>VLOOKUP(AB36,Etiquetas!S:U,2)</f>
        <v>2 Bajo</v>
      </c>
      <c r="AT36" s="70">
        <f>VLOOKUP(AB36,Etiquetas!S:U,3)</f>
        <v>30</v>
      </c>
      <c r="AU36" s="70">
        <f t="shared" si="11"/>
        <v>38</v>
      </c>
      <c r="AV36" s="70" t="str">
        <f>VLOOKUP(AU36,Etiquetas!W:X,2)</f>
        <v>1 Mal Vendedor</v>
      </c>
      <c r="AW36" s="51" t="str">
        <f>VLOOKUP(Y36,Etiquetas!Z:AB,2)</f>
        <v>1 Bajo Extremo</v>
      </c>
      <c r="AX36" s="70">
        <f>VLOOKUP(Y36,Etiquetas!Z:AB,3)</f>
        <v>30</v>
      </c>
      <c r="AY36" s="51" t="str">
        <f>VLOOKUP(AJ36,Etiquetas!AD:AF,2)</f>
        <v>1 Bajo</v>
      </c>
      <c r="AZ36" s="70">
        <f>VLOOKUP(AJ36,Etiquetas!AD:AF,3)</f>
        <v>30</v>
      </c>
      <c r="BA36" s="79">
        <f t="shared" si="12"/>
        <v>34</v>
      </c>
      <c r="BB36" s="46" t="str">
        <f t="shared" si="13"/>
        <v>Antiguedad: 6 a 12 Meses|Tamaño Cartera: 3 Mediana ≥ 1MM|1 Mal Vendedor|Calidad Cartera: 1 Bajo Extremo|Alcance Incentivos: 1 Bajo</v>
      </c>
    </row>
    <row r="37" spans="2:54" x14ac:dyDescent="0.2">
      <c r="B37" s="46" t="s">
        <v>108</v>
      </c>
      <c r="C37" s="51" t="s">
        <v>58</v>
      </c>
      <c r="D37" s="47">
        <v>27027</v>
      </c>
      <c r="E37" s="52" t="s">
        <v>60</v>
      </c>
      <c r="F37" s="53">
        <v>44887</v>
      </c>
      <c r="G37" s="53">
        <v>0</v>
      </c>
      <c r="H37" s="53" t="str">
        <f t="shared" si="2"/>
        <v>ACTIVO</v>
      </c>
      <c r="I37" s="54" t="str">
        <f t="shared" si="3"/>
        <v>NO</v>
      </c>
      <c r="J37" s="47">
        <f>VLOOKUP(E37,'BD Original'!G:L,6,0)</f>
        <v>8</v>
      </c>
      <c r="K37" s="47">
        <f>VLOOKUP(E37,'BD Original'!G:M,7,0)</f>
        <v>12</v>
      </c>
      <c r="L37" s="55">
        <f>IF(VLOOKUP($E37&amp;"|"&amp;$J37+L$3,'BD Original'!$A:$Z,15,0)=0,"",IFERROR(VLOOKUP($E37&amp;"|"&amp;$J37+L$3,'BD Original'!$A:$Z,15,0),""))</f>
        <v>1571890.0499999996</v>
      </c>
      <c r="M37" s="55">
        <f>IFERROR(VLOOKUP($E37&amp;"|"&amp;$J37+M$3,'BD Original'!$A:$Z,15,0),"")</f>
        <v>1545810.5099999998</v>
      </c>
      <c r="N37" s="55">
        <f>IFERROR(VLOOKUP($E37&amp;"|"&amp;$J37+N$3,'BD Original'!$A:$Z,15,0),"")</f>
        <v>1240101.8700000001</v>
      </c>
      <c r="O37" s="55">
        <f>IFERROR(VLOOKUP($E37&amp;"|"&amp;$J37+O$3,'BD Original'!$A:$Z,15,0),"")</f>
        <v>1132439.3199999998</v>
      </c>
      <c r="P37" s="55">
        <f>IFERROR(VLOOKUP($E37&amp;"|"&amp;$J37+P$3,'BD Original'!$A:$Z,15,0),"")</f>
        <v>1157538.5099999998</v>
      </c>
      <c r="Q37" s="68">
        <f t="shared" si="4"/>
        <v>1329556.0519999999</v>
      </c>
      <c r="R37" s="56">
        <f t="shared" si="5"/>
        <v>5</v>
      </c>
      <c r="S37" s="55">
        <f>IFERROR(VLOOKUP($E37&amp;"|"&amp;$J37+(K37-J37),'BD Original'!$A:$Z,15,0),"")</f>
        <v>1157538.5099999998</v>
      </c>
      <c r="T37" s="66">
        <f t="shared" si="15"/>
        <v>-7.3643142313285725E-2</v>
      </c>
      <c r="U37" s="55">
        <f>IFERROR(VLOOKUP($E37&amp;"|"&amp;$J37+(K37-J37),'BD Original'!$A:$Z,16,0),"")</f>
        <v>878670.43</v>
      </c>
      <c r="V37" s="58">
        <f>SUMIF('BD Original'!G:G,E37,'BD Original'!R:R)</f>
        <v>275965.71000000002</v>
      </c>
      <c r="W37" s="57">
        <f t="shared" si="6"/>
        <v>0.20756229839642748</v>
      </c>
      <c r="X37" s="66">
        <f t="shared" si="14"/>
        <v>0.498149516151426</v>
      </c>
      <c r="Y37" s="66">
        <f t="shared" si="7"/>
        <v>0.61295280316649503</v>
      </c>
      <c r="Z37" s="55">
        <f>SUMIF('BD Original'!G:G,E37,'BD Original'!T:T)</f>
        <v>3695368.1849000007</v>
      </c>
      <c r="AA37" s="55">
        <f>SUMIF('BD Original'!G:G,E37,'BD Original'!U:U)</f>
        <v>1574003.4799999997</v>
      </c>
      <c r="AB37" s="66">
        <f t="shared" si="8"/>
        <v>0.42593955493574004</v>
      </c>
      <c r="AC37" s="55">
        <f>SUMIF('BD Original'!G:G,E37,'BD Original'!V:V)</f>
        <v>23</v>
      </c>
      <c r="AD37" s="69">
        <f>IFERROR(AC37/VLOOKUP(E37,'BD Original'!G:I,3,0),0)</f>
        <v>9.1633466135458169E-2</v>
      </c>
      <c r="AE37" s="58">
        <f>SUMIF('BD Original'!G:G,E37,'BD Original'!W:W)</f>
        <v>399</v>
      </c>
      <c r="AF37" s="58">
        <f>SUMIF('BD Original'!G:G,E37,'BD Original'!X:X)</f>
        <v>171</v>
      </c>
      <c r="AG37" s="66">
        <f>IFERROR(SUMIF('BD Original'!G:G,E37,'BD Original'!X:X)/SUMIF('BD Original'!G:G,E37,'BD Original'!W:W),0)</f>
        <v>0.42857142857142855</v>
      </c>
      <c r="AH37" s="58">
        <f>SUMIF('BD Original'!G:G,E37,'BD Original'!Y:Y)</f>
        <v>72707.741524078243</v>
      </c>
      <c r="AI37" s="58">
        <f>SUMIF('BD Original'!G:G,E37,'BD Original'!Z:Z)</f>
        <v>2437.5</v>
      </c>
      <c r="AJ37" s="66">
        <f t="shared" si="9"/>
        <v>3.3524628174467309E-2</v>
      </c>
      <c r="AK37" s="58">
        <f t="shared" si="10"/>
        <v>122130.11499</v>
      </c>
      <c r="AL37" s="71" t="str">
        <f>VLOOKUP(E37,'BD Original'!G:K,5,0)</f>
        <v>6 a 12 Meses</v>
      </c>
      <c r="AM37" s="71" t="str">
        <f>VLOOKUP(Q37,Etiquetas!E:F,2)</f>
        <v>3 Mediana ≥ 1MM</v>
      </c>
      <c r="AN37" s="71" t="str">
        <f>IFERROR(VLOOKUP(T37,Etiquetas!H:I,2),0)</f>
        <v>2 Decrecimiento entre 0.1% y 50%</v>
      </c>
      <c r="AO37" s="71" t="str">
        <f>VLOOKUP(AG37,Etiquetas!K:M,2)</f>
        <v>2 Bajo</v>
      </c>
      <c r="AP37" s="70">
        <f>VLOOKUP(AG37,Etiquetas!K:M,3)</f>
        <v>50</v>
      </c>
      <c r="AQ37" s="51" t="str">
        <f>VLOOKUP(AD37,Etiquetas!O:Q,2)</f>
        <v>1 Bajo Extremo</v>
      </c>
      <c r="AR37" s="70">
        <f>VLOOKUP(AD37,Etiquetas!O:Q,3)</f>
        <v>30</v>
      </c>
      <c r="AS37" s="51" t="str">
        <f>VLOOKUP(AB37,Etiquetas!S:U,2)</f>
        <v>2 Bajo</v>
      </c>
      <c r="AT37" s="70">
        <f>VLOOKUP(AB37,Etiquetas!S:U,3)</f>
        <v>30</v>
      </c>
      <c r="AU37" s="70">
        <f t="shared" si="11"/>
        <v>38</v>
      </c>
      <c r="AV37" s="70" t="str">
        <f>VLOOKUP(AU37,Etiquetas!W:X,2)</f>
        <v>1 Mal Vendedor</v>
      </c>
      <c r="AW37" s="51" t="str">
        <f>VLOOKUP(Y37,Etiquetas!Z:AB,2)</f>
        <v>1 Bajo Extremo</v>
      </c>
      <c r="AX37" s="70">
        <f>VLOOKUP(Y37,Etiquetas!Z:AB,3)</f>
        <v>30</v>
      </c>
      <c r="AY37" s="51" t="str">
        <f>VLOOKUP(AJ37,Etiquetas!AD:AF,2)</f>
        <v>1 Bajo</v>
      </c>
      <c r="AZ37" s="70">
        <f>VLOOKUP(AJ37,Etiquetas!AD:AF,3)</f>
        <v>30</v>
      </c>
      <c r="BA37" s="79">
        <f t="shared" si="12"/>
        <v>34</v>
      </c>
      <c r="BB37" s="46" t="str">
        <f t="shared" si="13"/>
        <v>Antiguedad: 6 a 12 Meses|Tamaño Cartera: 3 Mediana ≥ 1MM|1 Mal Vendedor|Calidad Cartera: 1 Bajo Extremo|Alcance Incentivos: 1 Bajo</v>
      </c>
    </row>
    <row r="38" spans="2:54" x14ac:dyDescent="0.2">
      <c r="B38" s="46" t="s">
        <v>108</v>
      </c>
      <c r="C38" s="51" t="s">
        <v>58</v>
      </c>
      <c r="D38" s="47">
        <v>32999</v>
      </c>
      <c r="E38" s="52" t="s">
        <v>61</v>
      </c>
      <c r="F38" s="53">
        <v>45110</v>
      </c>
      <c r="G38" s="53">
        <v>45229</v>
      </c>
      <c r="H38" s="53" t="str">
        <f t="shared" si="2"/>
        <v>BAJA</v>
      </c>
      <c r="I38" s="54" t="str">
        <f t="shared" si="3"/>
        <v>NO</v>
      </c>
      <c r="J38" s="47">
        <f>VLOOKUP(E38,'BD Original'!G:L,6,0)</f>
        <v>0</v>
      </c>
      <c r="K38" s="47">
        <f>VLOOKUP(E38,'BD Original'!G:M,7,0)</f>
        <v>2</v>
      </c>
      <c r="L38" s="55">
        <f>IF(VLOOKUP($E38&amp;"|"&amp;$J38+L$3,'BD Original'!$A:$Z,15,0)=0,"",IFERROR(VLOOKUP($E38&amp;"|"&amp;$J38+L$3,'BD Original'!$A:$Z,15,0),""))</f>
        <v>33288.660000000003</v>
      </c>
      <c r="M38" s="55">
        <f>IFERROR(VLOOKUP($E38&amp;"|"&amp;$J38+M$3,'BD Original'!$A:$Z,15,0),"")</f>
        <v>29880.66</v>
      </c>
      <c r="N38" s="55">
        <f>IFERROR(VLOOKUP($E38&amp;"|"&amp;$J38+N$3,'BD Original'!$A:$Z,15,0),"")</f>
        <v>20668.97</v>
      </c>
      <c r="O38" s="55" t="str">
        <f>IFERROR(VLOOKUP($E38&amp;"|"&amp;$J38+O$3,'BD Original'!$A:$Z,15,0),"")</f>
        <v/>
      </c>
      <c r="P38" s="55" t="str">
        <f>IFERROR(VLOOKUP($E38&amp;"|"&amp;$J38+P$3,'BD Original'!$A:$Z,15,0),"")</f>
        <v/>
      </c>
      <c r="Q38" s="68">
        <f t="shared" si="4"/>
        <v>27946.096666666668</v>
      </c>
      <c r="R38" s="56">
        <f t="shared" si="5"/>
        <v>3</v>
      </c>
      <c r="S38" s="55">
        <f>IFERROR(VLOOKUP($E38&amp;"|"&amp;$J38+(K38-J38),'BD Original'!$A:$Z,15,0),"")</f>
        <v>20668.97</v>
      </c>
      <c r="T38" s="66">
        <f t="shared" si="15"/>
        <v>-0.21202713763042591</v>
      </c>
      <c r="U38" s="55">
        <f>IFERROR(VLOOKUP($E38&amp;"|"&amp;$J38+(K38-J38),'BD Original'!$A:$Z,16,0),"")</f>
        <v>20668.97</v>
      </c>
      <c r="V38" s="58">
        <f>SUMIF('BD Original'!G:G,E38,'BD Original'!R:R)</f>
        <v>0</v>
      </c>
      <c r="W38" s="57">
        <f t="shared" si="6"/>
        <v>0</v>
      </c>
      <c r="X38" s="66">
        <f t="shared" si="14"/>
        <v>0</v>
      </c>
      <c r="Y38" s="66">
        <f t="shared" si="7"/>
        <v>1</v>
      </c>
      <c r="Z38" s="55">
        <f>SUMIF('BD Original'!G:G,E38,'BD Original'!T:T)</f>
        <v>400500</v>
      </c>
      <c r="AA38" s="55">
        <f>SUMIF('BD Original'!G:G,E38,'BD Original'!U:U)</f>
        <v>39000.03</v>
      </c>
      <c r="AB38" s="66">
        <f t="shared" si="8"/>
        <v>9.7378352059925094E-2</v>
      </c>
      <c r="AC38" s="55">
        <f>SUMIF('BD Original'!G:G,E38,'BD Original'!V:V)</f>
        <v>44</v>
      </c>
      <c r="AD38" s="69">
        <f>IFERROR(AC38/VLOOKUP(E38,'BD Original'!G:I,3,0),0)</f>
        <v>1.5714285714285714</v>
      </c>
      <c r="AE38" s="58">
        <f>SUMIF('BD Original'!G:G,E38,'BD Original'!W:W)</f>
        <v>0</v>
      </c>
      <c r="AF38" s="58">
        <f>SUMIF('BD Original'!G:G,E38,'BD Original'!X:X)</f>
        <v>0</v>
      </c>
      <c r="AG38" s="66">
        <f>IFERROR(SUMIF('BD Original'!G:G,E38,'BD Original'!X:X)/SUMIF('BD Original'!G:G,E38,'BD Original'!W:W),0)</f>
        <v>0</v>
      </c>
      <c r="AH38" s="58">
        <f>SUMIF('BD Original'!G:G,E38,'BD Original'!Y:Y)</f>
        <v>7025.6833810265689</v>
      </c>
      <c r="AI38" s="58">
        <f>SUMIF('BD Original'!G:G,E38,'BD Original'!Z:Z)</f>
        <v>4575</v>
      </c>
      <c r="AJ38" s="66">
        <f t="shared" si="9"/>
        <v>0.65118220561364337</v>
      </c>
      <c r="AK38" s="58">
        <f t="shared" si="10"/>
        <v>-6868.0994416666663</v>
      </c>
      <c r="AL38" s="71" t="str">
        <f>VLOOKUP(E38,'BD Original'!G:K,5,0)</f>
        <v>&lt; 3 Meses</v>
      </c>
      <c r="AM38" s="71" t="str">
        <f>VLOOKUP(Q38,Etiquetas!E:F,2)</f>
        <v>1 Pequeño ≤ 500k</v>
      </c>
      <c r="AN38" s="71" t="str">
        <f>IFERROR(VLOOKUP(T38,Etiquetas!H:I,2),0)</f>
        <v>2 Decrecimiento entre 0.1% y 50%</v>
      </c>
      <c r="AO38" s="71" t="str">
        <f>VLOOKUP(AG38,Etiquetas!K:M,2)</f>
        <v>1 Bajo Extremo</v>
      </c>
      <c r="AP38" s="70">
        <f>VLOOKUP(AG38,Etiquetas!K:M,3)</f>
        <v>30</v>
      </c>
      <c r="AQ38" s="51" t="str">
        <f>VLOOKUP(AD38,Etiquetas!O:Q,2)</f>
        <v>2 Bajo</v>
      </c>
      <c r="AR38" s="70">
        <f>VLOOKUP(AD38,Etiquetas!O:Q,3)</f>
        <v>50</v>
      </c>
      <c r="AS38" s="51" t="str">
        <f>VLOOKUP(AB38,Etiquetas!S:U,2)</f>
        <v>1 Bajo Extremo</v>
      </c>
      <c r="AT38" s="70">
        <f>VLOOKUP(AB38,Etiquetas!S:U,3)</f>
        <v>0</v>
      </c>
      <c r="AU38" s="70">
        <f t="shared" si="11"/>
        <v>22</v>
      </c>
      <c r="AV38" s="70" t="str">
        <f>VLOOKUP(AU38,Etiquetas!W:X,2)</f>
        <v>1 Mal Vendedor</v>
      </c>
      <c r="AW38" s="51" t="str">
        <f>VLOOKUP(Y38,Etiquetas!Z:AB,2)</f>
        <v>7 Sobresaliente</v>
      </c>
      <c r="AX38" s="70">
        <f>VLOOKUP(Y38,Etiquetas!Z:AB,3)</f>
        <v>110</v>
      </c>
      <c r="AY38" s="51" t="str">
        <f>VLOOKUP(AJ38,Etiquetas!AD:AF,2)</f>
        <v>3 Medio Alto</v>
      </c>
      <c r="AZ38" s="70">
        <f>VLOOKUP(AJ38,Etiquetas!AD:AF,3)</f>
        <v>70</v>
      </c>
      <c r="BA38" s="79">
        <f t="shared" si="12"/>
        <v>62</v>
      </c>
      <c r="BB38" s="46" t="str">
        <f t="shared" si="13"/>
        <v>Antiguedad: &lt; 3 Meses|Tamaño Cartera: 1 Pequeño ≤ 500k|1 Mal Vendedor|Calidad Cartera: 7 Sobresaliente|Alcance Incentivos: 3 Medio Alto</v>
      </c>
    </row>
    <row r="39" spans="2:54" x14ac:dyDescent="0.2">
      <c r="B39" s="46" t="s">
        <v>108</v>
      </c>
      <c r="C39" s="51" t="s">
        <v>30</v>
      </c>
      <c r="D39" s="47">
        <v>28375</v>
      </c>
      <c r="E39" s="52" t="s">
        <v>31</v>
      </c>
      <c r="F39" s="53">
        <v>44949</v>
      </c>
      <c r="G39" s="53">
        <v>45275</v>
      </c>
      <c r="H39" s="53" t="str">
        <f t="shared" si="2"/>
        <v>BAJA</v>
      </c>
      <c r="I39" s="54" t="str">
        <f t="shared" si="3"/>
        <v>NO</v>
      </c>
      <c r="J39" s="47">
        <f>VLOOKUP(E39,'BD Original'!G:L,6,0)</f>
        <v>6</v>
      </c>
      <c r="K39" s="47">
        <f>VLOOKUP(E39,'BD Original'!G:M,7,0)</f>
        <v>9</v>
      </c>
      <c r="L39" s="55">
        <f>IF(VLOOKUP($E39&amp;"|"&amp;$J39+L$3,'BD Original'!$A:$Z,15,0)=0,"",IFERROR(VLOOKUP($E39&amp;"|"&amp;$J39+L$3,'BD Original'!$A:$Z,15,0),""))</f>
        <v>720804.60000000009</v>
      </c>
      <c r="M39" s="55">
        <f>IFERROR(VLOOKUP($E39&amp;"|"&amp;$J39+M$3,'BD Original'!$A:$Z,15,0),"")</f>
        <v>796736.29999999993</v>
      </c>
      <c r="N39" s="55">
        <f>IFERROR(VLOOKUP($E39&amp;"|"&amp;$J39+N$3,'BD Original'!$A:$Z,15,0),"")</f>
        <v>739415.01</v>
      </c>
      <c r="O39" s="55">
        <f>IFERROR(VLOOKUP($E39&amp;"|"&amp;$J39+O$3,'BD Original'!$A:$Z,15,0),"")</f>
        <v>1311201.8799999999</v>
      </c>
      <c r="P39" s="55" t="str">
        <f>IFERROR(VLOOKUP($E39&amp;"|"&amp;$J39+P$3,'BD Original'!$A:$Z,15,0),"")</f>
        <v/>
      </c>
      <c r="Q39" s="68">
        <f t="shared" si="4"/>
        <v>892039.44750000001</v>
      </c>
      <c r="R39" s="56">
        <f t="shared" si="5"/>
        <v>4</v>
      </c>
      <c r="S39" s="55">
        <f>IFERROR(VLOOKUP($E39&amp;"|"&amp;$J39+(K39-J39),'BD Original'!$A:$Z,15,0),"")</f>
        <v>1311201.8799999999</v>
      </c>
      <c r="T39" s="66">
        <f t="shared" si="15"/>
        <v>0.22072359191443303</v>
      </c>
      <c r="U39" s="55">
        <f>IFERROR(VLOOKUP($E39&amp;"|"&amp;$J39+(K39-J39),'BD Original'!$A:$Z,16,0),"")</f>
        <v>1163070.82</v>
      </c>
      <c r="V39" s="58">
        <f>SUMIF('BD Original'!G:G,E39,'BD Original'!R:R)</f>
        <v>376</v>
      </c>
      <c r="W39" s="57">
        <f t="shared" si="6"/>
        <v>4.2150602314030514E-4</v>
      </c>
      <c r="X39" s="66">
        <f t="shared" si="14"/>
        <v>1.2645180694209155E-3</v>
      </c>
      <c r="Y39" s="66">
        <f t="shared" si="7"/>
        <v>0.88677221363324621</v>
      </c>
      <c r="Z39" s="55">
        <f>SUMIF('BD Original'!G:G,E39,'BD Original'!T:T)</f>
        <v>2030930.2448999998</v>
      </c>
      <c r="AA39" s="55">
        <f>SUMIF('BD Original'!G:G,E39,'BD Original'!U:U)</f>
        <v>1315999.7</v>
      </c>
      <c r="AB39" s="66">
        <f t="shared" si="8"/>
        <v>0.64797877884023436</v>
      </c>
      <c r="AC39" s="55">
        <f>SUMIF('BD Original'!G:G,E39,'BD Original'!V:V)</f>
        <v>82</v>
      </c>
      <c r="AD39" s="69">
        <f>IFERROR(AC39/VLOOKUP(E39,'BD Original'!G:I,3,0),0)</f>
        <v>0.43386243386243384</v>
      </c>
      <c r="AE39" s="58">
        <f>SUMIF('BD Original'!G:G,E39,'BD Original'!W:W)</f>
        <v>170</v>
      </c>
      <c r="AF39" s="58">
        <f>SUMIF('BD Original'!G:G,E39,'BD Original'!X:X)</f>
        <v>78</v>
      </c>
      <c r="AG39" s="66">
        <f>IFERROR(SUMIF('BD Original'!G:G,E39,'BD Original'!X:X)/SUMIF('BD Original'!G:G,E39,'BD Original'!W:W),0)</f>
        <v>0.45882352941176469</v>
      </c>
      <c r="AH39" s="58">
        <f>SUMIF('BD Original'!G:G,E39,'BD Original'!Y:Y)</f>
        <v>37310.229421413213</v>
      </c>
      <c r="AI39" s="58">
        <f>SUMIF('BD Original'!G:G,E39,'BD Original'!Z:Z)</f>
        <v>3827.5</v>
      </c>
      <c r="AJ39" s="66">
        <f t="shared" si="9"/>
        <v>0.10258580714605063</v>
      </c>
      <c r="AK39" s="58">
        <f t="shared" si="10"/>
        <v>42343.143231249996</v>
      </c>
      <c r="AL39" s="71" t="str">
        <f>VLOOKUP(E39,'BD Original'!G:K,5,0)</f>
        <v>6 a 12 Meses</v>
      </c>
      <c r="AM39" s="71" t="str">
        <f>VLOOKUP(Q39,Etiquetas!E:F,2)</f>
        <v>2 Mediana ≤ 1MM</v>
      </c>
      <c r="AN39" s="71" t="str">
        <f>IFERROR(VLOOKUP(T39,Etiquetas!H:I,2),0)</f>
        <v>6 Crecimiento Alto</v>
      </c>
      <c r="AO39" s="71" t="str">
        <f>VLOOKUP(AG39,Etiquetas!K:M,2)</f>
        <v>2 Bajo</v>
      </c>
      <c r="AP39" s="70">
        <f>VLOOKUP(AG39,Etiquetas!K:M,3)</f>
        <v>50</v>
      </c>
      <c r="AQ39" s="51" t="str">
        <f>VLOOKUP(AD39,Etiquetas!O:Q,2)</f>
        <v>1 Bajo Extremo</v>
      </c>
      <c r="AR39" s="70">
        <f>VLOOKUP(AD39,Etiquetas!O:Q,3)</f>
        <v>30</v>
      </c>
      <c r="AS39" s="51" t="str">
        <f>VLOOKUP(AB39,Etiquetas!S:U,2)</f>
        <v>3 Medio Bajo</v>
      </c>
      <c r="AT39" s="70">
        <f>VLOOKUP(AB39,Etiquetas!S:U,3)</f>
        <v>50</v>
      </c>
      <c r="AU39" s="70">
        <f t="shared" si="11"/>
        <v>46</v>
      </c>
      <c r="AV39" s="70" t="str">
        <f>VLOOKUP(AU39,Etiquetas!W:X,2)</f>
        <v>1 Mal Vendedor</v>
      </c>
      <c r="AW39" s="51" t="str">
        <f>VLOOKUP(Y39,Etiquetas!Z:AB,2)</f>
        <v>3 Medio Bajo</v>
      </c>
      <c r="AX39" s="70">
        <f>VLOOKUP(Y39,Etiquetas!Z:AB,3)</f>
        <v>70</v>
      </c>
      <c r="AY39" s="51" t="str">
        <f>VLOOKUP(AJ39,Etiquetas!AD:AF,2)</f>
        <v>1 Bajo</v>
      </c>
      <c r="AZ39" s="70">
        <f>VLOOKUP(AJ39,Etiquetas!AD:AF,3)</f>
        <v>30</v>
      </c>
      <c r="BA39" s="79">
        <f t="shared" si="12"/>
        <v>54</v>
      </c>
      <c r="BB39" s="46" t="str">
        <f t="shared" si="13"/>
        <v>Antiguedad: 6 a 12 Meses|Tamaño Cartera: 2 Mediana ≤ 1MM|1 Mal Vendedor|Calidad Cartera: 3 Medio Bajo|Alcance Incentivos: 1 Bajo</v>
      </c>
    </row>
    <row r="40" spans="2:54" x14ac:dyDescent="0.2">
      <c r="B40" s="46" t="s">
        <v>108</v>
      </c>
      <c r="C40" s="51" t="s">
        <v>30</v>
      </c>
      <c r="D40" s="47">
        <v>33376</v>
      </c>
      <c r="E40" s="52" t="s">
        <v>32</v>
      </c>
      <c r="F40" s="53">
        <v>45124</v>
      </c>
      <c r="G40" s="53">
        <v>0</v>
      </c>
      <c r="H40" s="53" t="str">
        <f t="shared" si="2"/>
        <v>ACTIVO</v>
      </c>
      <c r="I40" s="54" t="str">
        <f t="shared" si="3"/>
        <v>NO</v>
      </c>
      <c r="J40" s="47">
        <f>VLOOKUP(E40,'BD Original'!G:L,6,0)</f>
        <v>0</v>
      </c>
      <c r="K40" s="47">
        <f>VLOOKUP(E40,'BD Original'!G:M,7,0)</f>
        <v>2</v>
      </c>
      <c r="L40" s="55">
        <f>IF(VLOOKUP($E40&amp;"|"&amp;$J40+L$3,'BD Original'!$A:$Z,15,0)=0,"",IFERROR(VLOOKUP($E40&amp;"|"&amp;$J40+L$3,'BD Original'!$A:$Z,15,0),""))</f>
        <v>303473.75</v>
      </c>
      <c r="M40" s="55">
        <f>IFERROR(VLOOKUP($E40&amp;"|"&amp;$J40+M$3,'BD Original'!$A:$Z,15,0),"")</f>
        <v>508040.27999999997</v>
      </c>
      <c r="N40" s="55">
        <f>IFERROR(VLOOKUP($E40&amp;"|"&amp;$J40+N$3,'BD Original'!$A:$Z,15,0),"")</f>
        <v>594277.58000000007</v>
      </c>
      <c r="O40" s="55" t="str">
        <f>IFERROR(VLOOKUP($E40&amp;"|"&amp;$J40+O$3,'BD Original'!$A:$Z,15,0),"")</f>
        <v/>
      </c>
      <c r="P40" s="55" t="str">
        <f>IFERROR(VLOOKUP($E40&amp;"|"&amp;$J40+P$3,'BD Original'!$A:$Z,15,0),"")</f>
        <v/>
      </c>
      <c r="Q40" s="68">
        <f t="shared" si="4"/>
        <v>468597.20333333337</v>
      </c>
      <c r="R40" s="56">
        <f t="shared" si="5"/>
        <v>3</v>
      </c>
      <c r="S40" s="55">
        <f>IFERROR(VLOOKUP($E40&amp;"|"&amp;$J40+(K40-J40),'BD Original'!$A:$Z,15,0),"")</f>
        <v>594277.58000000007</v>
      </c>
      <c r="T40" s="66">
        <f t="shared" si="15"/>
        <v>0.3993749888362097</v>
      </c>
      <c r="U40" s="55">
        <f>IFERROR(VLOOKUP($E40&amp;"|"&amp;$J40+(K40-J40),'BD Original'!$A:$Z,16,0),"")</f>
        <v>577232.10000000009</v>
      </c>
      <c r="V40" s="58">
        <f>SUMIF('BD Original'!G:G,E40,'BD Original'!R:R)</f>
        <v>0</v>
      </c>
      <c r="W40" s="57">
        <f t="shared" si="6"/>
        <v>0</v>
      </c>
      <c r="X40" s="66">
        <f t="shared" si="14"/>
        <v>0</v>
      </c>
      <c r="Y40" s="66">
        <f t="shared" si="7"/>
        <v>0.97131730932874838</v>
      </c>
      <c r="Z40" s="55">
        <f>SUMIF('BD Original'!G:G,E40,'BD Original'!T:T)</f>
        <v>410288.9873342872</v>
      </c>
      <c r="AA40" s="55">
        <f>SUMIF('BD Original'!G:G,E40,'BD Original'!U:U)</f>
        <v>770000.29</v>
      </c>
      <c r="AB40" s="66">
        <f t="shared" si="8"/>
        <v>1.8767266823387447</v>
      </c>
      <c r="AC40" s="55">
        <f>SUMIF('BD Original'!G:G,E40,'BD Original'!V:V)</f>
        <v>28</v>
      </c>
      <c r="AD40" s="69">
        <f>IFERROR(AC40/VLOOKUP(E40,'BD Original'!G:I,3,0),0)</f>
        <v>2</v>
      </c>
      <c r="AE40" s="58">
        <f>SUMIF('BD Original'!G:G,E40,'BD Original'!W:W)</f>
        <v>42</v>
      </c>
      <c r="AF40" s="58">
        <f>SUMIF('BD Original'!G:G,E40,'BD Original'!X:X)</f>
        <v>32</v>
      </c>
      <c r="AG40" s="66">
        <f>IFERROR(SUMIF('BD Original'!G:G,E40,'BD Original'!X:X)/SUMIF('BD Original'!G:G,E40,'BD Original'!W:W),0)</f>
        <v>0.76190476190476186</v>
      </c>
      <c r="AH40" s="58">
        <f>SUMIF('BD Original'!G:G,E40,'BD Original'!Y:Y)</f>
        <v>10580.003292892919</v>
      </c>
      <c r="AI40" s="58">
        <f>SUMIF('BD Original'!G:G,E40,'BD Original'!Z:Z)</f>
        <v>15175</v>
      </c>
      <c r="AJ40" s="66">
        <f t="shared" si="9"/>
        <v>1.4343095724926431</v>
      </c>
      <c r="AK40" s="58">
        <f t="shared" si="10"/>
        <v>22002.672525000002</v>
      </c>
      <c r="AL40" s="71" t="str">
        <f>VLOOKUP(E40,'BD Original'!G:K,5,0)</f>
        <v>&lt; 3 Meses</v>
      </c>
      <c r="AM40" s="71" t="str">
        <f>VLOOKUP(Q40,Etiquetas!E:F,2)</f>
        <v>1 Pequeño ≤ 500k</v>
      </c>
      <c r="AN40" s="71" t="str">
        <f>IFERROR(VLOOKUP(T40,Etiquetas!H:I,2),0)</f>
        <v>8 Crecimiento Exponencial</v>
      </c>
      <c r="AO40" s="71" t="str">
        <f>VLOOKUP(AG40,Etiquetas!K:M,2)</f>
        <v>4 Medio Alto</v>
      </c>
      <c r="AP40" s="70">
        <f>VLOOKUP(AG40,Etiquetas!K:M,3)</f>
        <v>80</v>
      </c>
      <c r="AQ40" s="51" t="str">
        <f>VLOOKUP(AD40,Etiquetas!O:Q,2)</f>
        <v>3 Medio Bajo</v>
      </c>
      <c r="AR40" s="70">
        <f>VLOOKUP(AD40,Etiquetas!O:Q,3)</f>
        <v>70</v>
      </c>
      <c r="AS40" s="51" t="str">
        <f>VLOOKUP(AB40,Etiquetas!S:U,2)</f>
        <v>7 Sobresaliente</v>
      </c>
      <c r="AT40" s="70">
        <f>VLOOKUP(AB40,Etiquetas!S:U,3)</f>
        <v>110</v>
      </c>
      <c r="AU40" s="70">
        <f t="shared" si="11"/>
        <v>90</v>
      </c>
      <c r="AV40" s="70" t="str">
        <f>VLOOKUP(AU40,Etiquetas!W:X,2)</f>
        <v>4 Gran Vendedor</v>
      </c>
      <c r="AW40" s="51" t="str">
        <f>VLOOKUP(Y40,Etiquetas!Z:AB,2)</f>
        <v>5 Alto</v>
      </c>
      <c r="AX40" s="70">
        <f>VLOOKUP(Y40,Etiquetas!Z:AB,3)</f>
        <v>90</v>
      </c>
      <c r="AY40" s="51" t="str">
        <f>VLOOKUP(AJ40,Etiquetas!AD:AF,2)</f>
        <v>5 Sobresaliente</v>
      </c>
      <c r="AZ40" s="70">
        <f>VLOOKUP(AJ40,Etiquetas!AD:AF,3)</f>
        <v>90</v>
      </c>
      <c r="BA40" s="79">
        <f t="shared" si="12"/>
        <v>90</v>
      </c>
      <c r="BB40" s="46" t="str">
        <f t="shared" si="13"/>
        <v>Antiguedad: &lt; 3 Meses|Tamaño Cartera: 1 Pequeño ≤ 500k|4 Gran Vendedor|Calidad Cartera: 5 Alto|Alcance Incentivos: 5 Sobresaliente</v>
      </c>
    </row>
    <row r="41" spans="2:54" x14ac:dyDescent="0.2">
      <c r="B41" s="46" t="s">
        <v>108</v>
      </c>
      <c r="C41" s="51" t="s">
        <v>30</v>
      </c>
      <c r="D41" s="47">
        <v>33499</v>
      </c>
      <c r="E41" s="52" t="s">
        <v>33</v>
      </c>
      <c r="F41" s="53">
        <v>45128</v>
      </c>
      <c r="G41" s="53">
        <v>0</v>
      </c>
      <c r="H41" s="53" t="str">
        <f t="shared" si="2"/>
        <v>ACTIVO</v>
      </c>
      <c r="I41" s="54" t="str">
        <f t="shared" si="3"/>
        <v>NO</v>
      </c>
      <c r="J41" s="47">
        <f>VLOOKUP(E41,'BD Original'!G:L,6,0)</f>
        <v>0</v>
      </c>
      <c r="K41" s="47">
        <f>VLOOKUP(E41,'BD Original'!G:M,7,0)</f>
        <v>4</v>
      </c>
      <c r="L41" s="55">
        <f>IF(VLOOKUP($E41&amp;"|"&amp;$J41+L$3,'BD Original'!$A:$Z,15,0)=0,"",IFERROR(VLOOKUP($E41&amp;"|"&amp;$J41+L$3,'BD Original'!$A:$Z,15,0),""))</f>
        <v>533654.06999999995</v>
      </c>
      <c r="M41" s="55">
        <f>IFERROR(VLOOKUP($E41&amp;"|"&amp;$J41+M$3,'BD Original'!$A:$Z,15,0),"")</f>
        <v>1143374.9300000002</v>
      </c>
      <c r="N41" s="55">
        <f>IFERROR(VLOOKUP($E41&amp;"|"&amp;$J41+N$3,'BD Original'!$A:$Z,15,0),"")</f>
        <v>1114403.3900000001</v>
      </c>
      <c r="O41" s="55">
        <f>IFERROR(VLOOKUP($E41&amp;"|"&amp;$J41+O$3,'BD Original'!$A:$Z,15,0),"")</f>
        <v>775926.45</v>
      </c>
      <c r="P41" s="55">
        <f>IFERROR(VLOOKUP($E41&amp;"|"&amp;$J41+P$3,'BD Original'!$A:$Z,15,0),"")</f>
        <v>1487694.53</v>
      </c>
      <c r="Q41" s="68">
        <f t="shared" si="4"/>
        <v>1011010.674</v>
      </c>
      <c r="R41" s="56">
        <f t="shared" si="5"/>
        <v>5</v>
      </c>
      <c r="S41" s="55">
        <f>IFERROR(VLOOKUP($E41&amp;"|"&amp;$J41+(K41-J41),'BD Original'!$A:$Z,15,0),"")</f>
        <v>1487694.53</v>
      </c>
      <c r="T41" s="66">
        <f t="shared" si="15"/>
        <v>0.29215164572101338</v>
      </c>
      <c r="U41" s="55">
        <f>IFERROR(VLOOKUP($E41&amp;"|"&amp;$J41+(K41-J41),'BD Original'!$A:$Z,16,0),"")</f>
        <v>1487694.53</v>
      </c>
      <c r="V41" s="58">
        <f>SUMIF('BD Original'!G:G,E41,'BD Original'!R:R)</f>
        <v>0</v>
      </c>
      <c r="W41" s="57">
        <f t="shared" si="6"/>
        <v>0</v>
      </c>
      <c r="X41" s="66">
        <f t="shared" si="14"/>
        <v>0</v>
      </c>
      <c r="Y41" s="66">
        <f t="shared" si="7"/>
        <v>1</v>
      </c>
      <c r="Z41" s="55">
        <f>SUMIF('BD Original'!G:G,E41,'BD Original'!T:T)</f>
        <v>991176.88442315278</v>
      </c>
      <c r="AA41" s="55">
        <f>SUMIF('BD Original'!G:G,E41,'BD Original'!U:U)</f>
        <v>2926501.2</v>
      </c>
      <c r="AB41" s="66">
        <f t="shared" si="8"/>
        <v>2.952551906719628</v>
      </c>
      <c r="AC41" s="55">
        <f>SUMIF('BD Original'!G:G,E41,'BD Original'!V:V)</f>
        <v>98</v>
      </c>
      <c r="AD41" s="69">
        <f>IFERROR(AC41/VLOOKUP(E41,'BD Original'!G:I,3,0),0)</f>
        <v>9.8000000000000007</v>
      </c>
      <c r="AE41" s="58">
        <f>SUMIF('BD Original'!G:G,E41,'BD Original'!W:W)</f>
        <v>48</v>
      </c>
      <c r="AF41" s="58">
        <f>SUMIF('BD Original'!G:G,E41,'BD Original'!X:X)</f>
        <v>36</v>
      </c>
      <c r="AG41" s="66">
        <f>IFERROR(SUMIF('BD Original'!G:G,E41,'BD Original'!X:X)/SUMIF('BD Original'!G:G,E41,'BD Original'!W:W),0)</f>
        <v>0.75</v>
      </c>
      <c r="AH41" s="58">
        <f>SUMIF('BD Original'!G:G,E41,'BD Original'!Y:Y)</f>
        <v>32816.699999999997</v>
      </c>
      <c r="AI41" s="58">
        <f>SUMIF('BD Original'!G:G,E41,'BD Original'!Z:Z)</f>
        <v>49248.074999999997</v>
      </c>
      <c r="AJ41" s="66">
        <f t="shared" si="9"/>
        <v>1.5007016244777811</v>
      </c>
      <c r="AK41" s="58">
        <f t="shared" si="10"/>
        <v>57982.728755000004</v>
      </c>
      <c r="AL41" s="71" t="str">
        <f>VLOOKUP(E41,'BD Original'!G:K,5,0)</f>
        <v>&lt; 3 Meses</v>
      </c>
      <c r="AM41" s="71" t="str">
        <f>VLOOKUP(Q41,Etiquetas!E:F,2)</f>
        <v>3 Mediana ≥ 1MM</v>
      </c>
      <c r="AN41" s="71" t="str">
        <f>IFERROR(VLOOKUP(T41,Etiquetas!H:I,2),0)</f>
        <v>6 Crecimiento Alto</v>
      </c>
      <c r="AO41" s="71" t="str">
        <f>VLOOKUP(AG41,Etiquetas!K:M,2)</f>
        <v>4 Medio Alto</v>
      </c>
      <c r="AP41" s="70">
        <f>VLOOKUP(AG41,Etiquetas!K:M,3)</f>
        <v>80</v>
      </c>
      <c r="AQ41" s="51" t="str">
        <f>VLOOKUP(AD41,Etiquetas!O:Q,2)</f>
        <v>6 Muy Alto</v>
      </c>
      <c r="AR41" s="70">
        <f>VLOOKUP(AD41,Etiquetas!O:Q,3)</f>
        <v>100</v>
      </c>
      <c r="AS41" s="51" t="str">
        <f>VLOOKUP(AB41,Etiquetas!S:U,2)</f>
        <v>7 Sobresaliente</v>
      </c>
      <c r="AT41" s="70">
        <f>VLOOKUP(AB41,Etiquetas!S:U,3)</f>
        <v>110</v>
      </c>
      <c r="AU41" s="70">
        <f t="shared" si="11"/>
        <v>96</v>
      </c>
      <c r="AV41" s="70" t="str">
        <f>VLOOKUP(AU41,Etiquetas!W:X,2)</f>
        <v>4 Gran Vendedor</v>
      </c>
      <c r="AW41" s="51" t="str">
        <f>VLOOKUP(Y41,Etiquetas!Z:AB,2)</f>
        <v>7 Sobresaliente</v>
      </c>
      <c r="AX41" s="70">
        <f>VLOOKUP(Y41,Etiquetas!Z:AB,3)</f>
        <v>110</v>
      </c>
      <c r="AY41" s="51" t="str">
        <f>VLOOKUP(AJ41,Etiquetas!AD:AF,2)</f>
        <v>5 Sobresaliente</v>
      </c>
      <c r="AZ41" s="70">
        <f>VLOOKUP(AJ41,Etiquetas!AD:AF,3)</f>
        <v>90</v>
      </c>
      <c r="BA41" s="79">
        <f t="shared" si="12"/>
        <v>101</v>
      </c>
      <c r="BB41" s="46" t="str">
        <f t="shared" si="13"/>
        <v>Antiguedad: &lt; 3 Meses|Tamaño Cartera: 3 Mediana ≥ 1MM|4 Gran Vendedor|Calidad Cartera: 7 Sobresaliente|Alcance Incentivos: 5 Sobresaliente</v>
      </c>
    </row>
    <row r="42" spans="2:54" x14ac:dyDescent="0.2">
      <c r="B42" s="46" t="s">
        <v>109</v>
      </c>
      <c r="C42" s="46" t="s">
        <v>40</v>
      </c>
      <c r="D42" s="47">
        <v>33543</v>
      </c>
      <c r="E42" s="46" t="s">
        <v>44</v>
      </c>
      <c r="F42" s="60">
        <v>45128</v>
      </c>
      <c r="G42" s="53">
        <v>45203</v>
      </c>
      <c r="H42" s="53" t="str">
        <f t="shared" si="2"/>
        <v>BAJA</v>
      </c>
      <c r="I42" s="54" t="str">
        <f t="shared" si="3"/>
        <v>NO</v>
      </c>
      <c r="J42" s="47">
        <f>VLOOKUP(E42,'BD Original'!G:L,6,0)</f>
        <v>1</v>
      </c>
      <c r="K42" s="47">
        <f>VLOOKUP(E42,'BD Original'!G:M,7,0)</f>
        <v>2</v>
      </c>
      <c r="L42" s="55">
        <f>IF(VLOOKUP($E42&amp;"|"&amp;$J42+L$3,'BD Original'!$A:$Z,15,0)=0,"",IFERROR(VLOOKUP($E42&amp;"|"&amp;$J42+L$3,'BD Original'!$A:$Z,15,0),""))</f>
        <v>489022.56</v>
      </c>
      <c r="M42" s="55">
        <f>IFERROR(VLOOKUP($E42&amp;"|"&amp;$J42+M$3,'BD Original'!$A:$Z,15,0),"")</f>
        <v>465823.65999999986</v>
      </c>
      <c r="N42" s="55" t="str">
        <f>IFERROR(VLOOKUP($E42&amp;"|"&amp;$J42+N$3,'BD Original'!$A:$Z,15,0),"")</f>
        <v/>
      </c>
      <c r="O42" s="55" t="str">
        <f>IFERROR(VLOOKUP($E42&amp;"|"&amp;$J42+O$3,'BD Original'!$A:$Z,15,0),"")</f>
        <v/>
      </c>
      <c r="P42" s="55" t="str">
        <f>IFERROR(VLOOKUP($E42&amp;"|"&amp;$J42+P$3,'BD Original'!$A:$Z,15,0),"")</f>
        <v/>
      </c>
      <c r="Q42" s="68">
        <f t="shared" si="4"/>
        <v>477423.10999999993</v>
      </c>
      <c r="R42" s="56">
        <f t="shared" si="5"/>
        <v>2</v>
      </c>
      <c r="S42" s="55">
        <f>IFERROR(VLOOKUP($E42&amp;"|"&amp;$J42+(K42-J42),'BD Original'!$A:$Z,15,0),"")</f>
        <v>465823.65999999986</v>
      </c>
      <c r="T42" s="66">
        <f t="shared" si="15"/>
        <v>-4.7439324680644823E-2</v>
      </c>
      <c r="U42" s="55">
        <f>IFERROR(VLOOKUP($E42&amp;"|"&amp;$J42+(K42-J42),'BD Original'!$A:$Z,16,0),"")</f>
        <v>337395.12999999995</v>
      </c>
      <c r="V42" s="58">
        <f>SUMIF('BD Original'!G:G,E42,'BD Original'!R:R)</f>
        <v>92892.900000000009</v>
      </c>
      <c r="W42" s="57">
        <f t="shared" si="6"/>
        <v>0.19457143580669989</v>
      </c>
      <c r="X42" s="66">
        <f t="shared" si="14"/>
        <v>1.1674286148401993</v>
      </c>
      <c r="Y42" s="66">
        <f t="shared" si="7"/>
        <v>0.60387529948995966</v>
      </c>
      <c r="Z42" s="55">
        <f>SUMIF('BD Original'!G:G,E42,'BD Original'!T:T)</f>
        <v>361762.15218969819</v>
      </c>
      <c r="AA42" s="55">
        <f>SUMIF('BD Original'!G:G,E42,'BD Original'!U:U)</f>
        <v>190000</v>
      </c>
      <c r="AB42" s="66">
        <f t="shared" si="8"/>
        <v>0.52520695946205342</v>
      </c>
      <c r="AC42" s="55">
        <f>SUMIF('BD Original'!G:G,E42,'BD Original'!V:V)</f>
        <v>17</v>
      </c>
      <c r="AD42" s="69">
        <f>IFERROR(AC42/VLOOKUP(E42,'BD Original'!G:I,3,0),0)</f>
        <v>0.41463414634146339</v>
      </c>
      <c r="AE42" s="58">
        <f>SUMIF('BD Original'!G:G,E42,'BD Original'!W:W)</f>
        <v>10</v>
      </c>
      <c r="AF42" s="58">
        <f>SUMIF('BD Original'!G:G,E42,'BD Original'!X:X)</f>
        <v>3</v>
      </c>
      <c r="AG42" s="66">
        <f>IFERROR(SUMIF('BD Original'!G:G,E42,'BD Original'!X:X)/SUMIF('BD Original'!G:G,E42,'BD Original'!W:W),0)</f>
        <v>0.3</v>
      </c>
      <c r="AH42" s="58">
        <f>SUMIF('BD Original'!G:G,E42,'BD Original'!Y:Y)</f>
        <v>9265.9809287653825</v>
      </c>
      <c r="AI42" s="58">
        <f>SUMIF('BD Original'!G:G,E42,'BD Original'!Z:Z)</f>
        <v>2450</v>
      </c>
      <c r="AJ42" s="66">
        <f t="shared" si="9"/>
        <v>0.26440805553508112</v>
      </c>
      <c r="AK42" s="58">
        <f t="shared" si="10"/>
        <v>65123.278825000001</v>
      </c>
      <c r="AL42" s="71" t="str">
        <f>VLOOKUP(E42,'BD Original'!G:K,5,0)</f>
        <v>&lt; 3 Meses</v>
      </c>
      <c r="AM42" s="71" t="str">
        <f>VLOOKUP(Q42,Etiquetas!E:F,2)</f>
        <v>1 Pequeño ≤ 500k</v>
      </c>
      <c r="AN42" s="71" t="str">
        <f>IFERROR(VLOOKUP(T42,Etiquetas!H:I,2),0)</f>
        <v>2 Decrecimiento entre 0.1% y 50%</v>
      </c>
      <c r="AO42" s="71" t="str">
        <f>VLOOKUP(AG42,Etiquetas!K:M,2)</f>
        <v>1 Bajo Extremo</v>
      </c>
      <c r="AP42" s="70">
        <f>VLOOKUP(AG42,Etiquetas!K:M,3)</f>
        <v>30</v>
      </c>
      <c r="AQ42" s="51" t="str">
        <f>VLOOKUP(AD42,Etiquetas!O:Q,2)</f>
        <v>1 Bajo Extremo</v>
      </c>
      <c r="AR42" s="70">
        <f>VLOOKUP(AD42,Etiquetas!O:Q,3)</f>
        <v>30</v>
      </c>
      <c r="AS42" s="51" t="str">
        <f>VLOOKUP(AB42,Etiquetas!S:U,2)</f>
        <v>3 Medio Bajo</v>
      </c>
      <c r="AT42" s="70">
        <f>VLOOKUP(AB42,Etiquetas!S:U,3)</f>
        <v>50</v>
      </c>
      <c r="AU42" s="70">
        <f t="shared" si="11"/>
        <v>38</v>
      </c>
      <c r="AV42" s="70" t="str">
        <f>VLOOKUP(AU42,Etiquetas!W:X,2)</f>
        <v>1 Mal Vendedor</v>
      </c>
      <c r="AW42" s="51" t="str">
        <f>VLOOKUP(Y42,Etiquetas!Z:AB,2)</f>
        <v>1 Bajo Extremo</v>
      </c>
      <c r="AX42" s="70">
        <f>VLOOKUP(Y42,Etiquetas!Z:AB,3)</f>
        <v>30</v>
      </c>
      <c r="AY42" s="51" t="str">
        <f>VLOOKUP(AJ42,Etiquetas!AD:AF,2)</f>
        <v>1 Bajo</v>
      </c>
      <c r="AZ42" s="70">
        <f>VLOOKUP(AJ42,Etiquetas!AD:AF,3)</f>
        <v>30</v>
      </c>
      <c r="BA42" s="79">
        <f t="shared" si="12"/>
        <v>34</v>
      </c>
      <c r="BB42" s="46" t="str">
        <f t="shared" si="13"/>
        <v>Antiguedad: &lt; 3 Meses|Tamaño Cartera: 1 Pequeño ≤ 500k|1 Mal Vendedor|Calidad Cartera: 1 Bajo Extremo|Alcance Incentivos: 1 Bajo</v>
      </c>
    </row>
    <row r="43" spans="2:54" x14ac:dyDescent="0.2">
      <c r="B43" s="46" t="s">
        <v>109</v>
      </c>
      <c r="C43" s="46" t="s">
        <v>40</v>
      </c>
      <c r="D43" s="47">
        <v>33878</v>
      </c>
      <c r="E43" s="46" t="s">
        <v>45</v>
      </c>
      <c r="F43" s="60">
        <v>45140</v>
      </c>
      <c r="G43" s="53">
        <v>0</v>
      </c>
      <c r="H43" s="53" t="str">
        <f t="shared" si="2"/>
        <v>ACTIVO</v>
      </c>
      <c r="I43" s="54" t="str">
        <f t="shared" si="3"/>
        <v>NO</v>
      </c>
      <c r="J43" s="47">
        <f>VLOOKUP(E43,'BD Original'!G:L,6,0)</f>
        <v>0</v>
      </c>
      <c r="K43" s="47">
        <f>VLOOKUP(E43,'BD Original'!G:M,7,0)</f>
        <v>4</v>
      </c>
      <c r="L43" s="55">
        <f>IF(VLOOKUP($E43&amp;"|"&amp;$J43+L$3,'BD Original'!$A:$Z,15,0)=0,"",IFERROR(VLOOKUP($E43&amp;"|"&amp;$J43+L$3,'BD Original'!$A:$Z,15,0),""))</f>
        <v>129111.69</v>
      </c>
      <c r="M43" s="55">
        <f>IFERROR(VLOOKUP($E43&amp;"|"&amp;$J43+M$3,'BD Original'!$A:$Z,15,0),"")</f>
        <v>212272.25999999998</v>
      </c>
      <c r="N43" s="59" t="str">
        <f>IFERROR(VLOOKUP($E43&amp;"|"&amp;$J43+N$3,'BD Original'!$A:$Z,15,0),"")</f>
        <v/>
      </c>
      <c r="O43" s="55">
        <f>IFERROR(VLOOKUP($E43&amp;"|"&amp;$J43+O$3,'BD Original'!$A:$Z,15,0),"")</f>
        <v>196949.75</v>
      </c>
      <c r="P43" s="55">
        <f>IFERROR(VLOOKUP($E43&amp;"|"&amp;$J43+P$3,'BD Original'!$A:$Z,15,0),"")</f>
        <v>455162.30999999994</v>
      </c>
      <c r="Q43" s="68">
        <f t="shared" si="4"/>
        <v>248374.00249999997</v>
      </c>
      <c r="R43" s="56">
        <f t="shared" si="5"/>
        <v>4</v>
      </c>
      <c r="S43" s="55">
        <f>IFERROR(VLOOKUP($E43&amp;"|"&amp;$J43+(K43-J43),'BD Original'!$A:$Z,15,0),"")</f>
        <v>455162.30999999994</v>
      </c>
      <c r="T43" s="66">
        <f t="shared" si="15"/>
        <v>0.52194950015810226</v>
      </c>
      <c r="U43" s="55">
        <f>IFERROR(VLOOKUP($E43&amp;"|"&amp;$J43+(K43-J43),'BD Original'!$A:$Z,16,0),"")</f>
        <v>455162.30999999994</v>
      </c>
      <c r="V43" s="58">
        <f>SUMIF('BD Original'!G:G,E43,'BD Original'!R:R)</f>
        <v>0</v>
      </c>
      <c r="W43" s="57">
        <f t="shared" si="6"/>
        <v>0</v>
      </c>
      <c r="X43" s="66">
        <f t="shared" si="14"/>
        <v>0</v>
      </c>
      <c r="Y43" s="66">
        <f t="shared" si="7"/>
        <v>1</v>
      </c>
      <c r="Z43" s="55">
        <f>SUMIF('BD Original'!G:G,E43,'BD Original'!T:T)</f>
        <v>564500</v>
      </c>
      <c r="AA43" s="55">
        <f>SUMIF('BD Original'!G:G,E43,'BD Original'!U:U)</f>
        <v>511500.44000000006</v>
      </c>
      <c r="AB43" s="66">
        <f t="shared" si="8"/>
        <v>0.90611238263950411</v>
      </c>
      <c r="AC43" s="55">
        <f>SUMIF('BD Original'!G:G,E43,'BD Original'!V:V)</f>
        <v>57</v>
      </c>
      <c r="AD43" s="69">
        <f>IFERROR(AC43/VLOOKUP(E43,'BD Original'!G:I,3,0),0)</f>
        <v>1.9655172413793103</v>
      </c>
      <c r="AE43" s="58">
        <f>SUMIF('BD Original'!G:G,E43,'BD Original'!W:W)</f>
        <v>0</v>
      </c>
      <c r="AF43" s="58">
        <f>SUMIF('BD Original'!G:G,E43,'BD Original'!X:X)</f>
        <v>0</v>
      </c>
      <c r="AG43" s="66">
        <f>IFERROR(SUMIF('BD Original'!G:G,E43,'BD Original'!X:X)/SUMIF('BD Original'!G:G,E43,'BD Original'!W:W),0)</f>
        <v>0</v>
      </c>
      <c r="AH43" s="58">
        <f>SUMIF('BD Original'!G:G,E43,'BD Original'!Y:Y)</f>
        <v>30923.035756968158</v>
      </c>
      <c r="AI43" s="58">
        <f>SUMIF('BD Original'!G:G,E43,'BD Original'!Z:Z)</f>
        <v>13337.112499999999</v>
      </c>
      <c r="AJ43" s="66">
        <f t="shared" si="9"/>
        <v>0.43130023212532204</v>
      </c>
      <c r="AK43" s="58">
        <f t="shared" si="10"/>
        <v>7615.7832687500004</v>
      </c>
      <c r="AL43" s="71" t="str">
        <f>VLOOKUP(E43,'BD Original'!G:K,5,0)</f>
        <v>&lt; 3 Meses</v>
      </c>
      <c r="AM43" s="71" t="str">
        <f>VLOOKUP(Q43,Etiquetas!E:F,2)</f>
        <v>1 Pequeño ≤ 500k</v>
      </c>
      <c r="AN43" s="71" t="str">
        <f>IFERROR(VLOOKUP(T43,Etiquetas!H:I,2),0)</f>
        <v>8 Crecimiento Exponencial</v>
      </c>
      <c r="AO43" s="71" t="str">
        <f>VLOOKUP(AG43,Etiquetas!K:M,2)</f>
        <v>1 Bajo Extremo</v>
      </c>
      <c r="AP43" s="70">
        <f>VLOOKUP(AG43,Etiquetas!K:M,3)</f>
        <v>30</v>
      </c>
      <c r="AQ43" s="51" t="str">
        <f>VLOOKUP(AD43,Etiquetas!O:Q,2)</f>
        <v>2 Bajo</v>
      </c>
      <c r="AR43" s="70">
        <f>VLOOKUP(AD43,Etiquetas!O:Q,3)</f>
        <v>50</v>
      </c>
      <c r="AS43" s="51" t="str">
        <f>VLOOKUP(AB43,Etiquetas!S:U,2)</f>
        <v>5 Alto</v>
      </c>
      <c r="AT43" s="70">
        <f>VLOOKUP(AB43,Etiquetas!S:U,3)</f>
        <v>80</v>
      </c>
      <c r="AU43" s="70">
        <f t="shared" si="11"/>
        <v>54</v>
      </c>
      <c r="AV43" s="70" t="str">
        <f>VLOOKUP(AU43,Etiquetas!W:X,2)</f>
        <v>1 Mal Vendedor</v>
      </c>
      <c r="AW43" s="51" t="str">
        <f>VLOOKUP(Y43,Etiquetas!Z:AB,2)</f>
        <v>7 Sobresaliente</v>
      </c>
      <c r="AX43" s="70">
        <f>VLOOKUP(Y43,Etiquetas!Z:AB,3)</f>
        <v>110</v>
      </c>
      <c r="AY43" s="51" t="str">
        <f>VLOOKUP(AJ43,Etiquetas!AD:AF,2)</f>
        <v>2 Medio</v>
      </c>
      <c r="AZ43" s="70">
        <f>VLOOKUP(AJ43,Etiquetas!AD:AF,3)</f>
        <v>50</v>
      </c>
      <c r="BA43" s="79">
        <f t="shared" si="12"/>
        <v>76</v>
      </c>
      <c r="BB43" s="46" t="str">
        <f t="shared" si="13"/>
        <v>Antiguedad: &lt; 3 Meses|Tamaño Cartera: 1 Pequeño ≤ 500k|1 Mal Vendedor|Calidad Cartera: 7 Sobresaliente|Alcance Incentivos: 2 Medio</v>
      </c>
    </row>
    <row r="44" spans="2:54" x14ac:dyDescent="0.2">
      <c r="B44" s="46" t="s">
        <v>109</v>
      </c>
      <c r="C44" s="46" t="s">
        <v>17</v>
      </c>
      <c r="D44" s="47">
        <v>33995</v>
      </c>
      <c r="E44" s="46" t="s">
        <v>21</v>
      </c>
      <c r="F44" s="60">
        <v>45146</v>
      </c>
      <c r="G44" s="53">
        <v>45222</v>
      </c>
      <c r="H44" s="53" t="str">
        <f t="shared" si="2"/>
        <v>BAJA</v>
      </c>
      <c r="I44" s="54" t="str">
        <f t="shared" si="3"/>
        <v>NO</v>
      </c>
      <c r="J44" s="47">
        <f>VLOOKUP(E44,'BD Original'!G:L,6,0)</f>
        <v>0</v>
      </c>
      <c r="K44" s="47">
        <f>VLOOKUP(E44,'BD Original'!G:M,7,0)</f>
        <v>1</v>
      </c>
      <c r="L44" s="55">
        <f>IF(VLOOKUP($E44&amp;"|"&amp;$J44+L$3,'BD Original'!$A:$Z,15,0)=0,"",IFERROR(VLOOKUP($E44&amp;"|"&amp;$J44+L$3,'BD Original'!$A:$Z,15,0),""))</f>
        <v>99999.8</v>
      </c>
      <c r="M44" s="55">
        <f>IFERROR(VLOOKUP($E44&amp;"|"&amp;$J44+M$3,'BD Original'!$A:$Z,15,0),"")</f>
        <v>200810.02999999997</v>
      </c>
      <c r="N44" s="55" t="str">
        <f>IFERROR(VLOOKUP($E44&amp;"|"&amp;$J44+N$3,'BD Original'!$A:$Z,15,0),"")</f>
        <v/>
      </c>
      <c r="O44" s="55" t="str">
        <f>IFERROR(VLOOKUP($E44&amp;"|"&amp;$J44+O$3,'BD Original'!$A:$Z,15,0),"")</f>
        <v/>
      </c>
      <c r="P44" s="55" t="str">
        <f>IFERROR(VLOOKUP($E44&amp;"|"&amp;$J44+P$3,'BD Original'!$A:$Z,15,0),"")</f>
        <v/>
      </c>
      <c r="Q44" s="68">
        <f t="shared" si="4"/>
        <v>150404.91499999998</v>
      </c>
      <c r="R44" s="56">
        <f t="shared" si="5"/>
        <v>2</v>
      </c>
      <c r="S44" s="55">
        <f>IFERROR(VLOOKUP($E44&amp;"|"&amp;$J44+(K44-J44),'BD Original'!$A:$Z,15,0),"")</f>
        <v>200810.02999999997</v>
      </c>
      <c r="T44" s="66">
        <f t="shared" si="15"/>
        <v>1.0081043162086321</v>
      </c>
      <c r="U44" s="55">
        <f>IFERROR(VLOOKUP($E44&amp;"|"&amp;$J44+(K44-J44),'BD Original'!$A:$Z,16,0),"")</f>
        <v>200810.02999999997</v>
      </c>
      <c r="V44" s="58">
        <f>SUMIF('BD Original'!G:G,E44,'BD Original'!R:R)</f>
        <v>0</v>
      </c>
      <c r="W44" s="57">
        <f t="shared" si="6"/>
        <v>0</v>
      </c>
      <c r="X44" s="66">
        <f t="shared" si="14"/>
        <v>0</v>
      </c>
      <c r="Y44" s="66">
        <f t="shared" si="7"/>
        <v>1</v>
      </c>
      <c r="Z44" s="55">
        <f>SUMIF('BD Original'!G:G,E44,'BD Original'!T:T)</f>
        <v>156500</v>
      </c>
      <c r="AA44" s="55">
        <f>SUMIF('BD Original'!G:G,E44,'BD Original'!U:U)</f>
        <v>242000</v>
      </c>
      <c r="AB44" s="66">
        <f t="shared" si="8"/>
        <v>1.5463258785942493</v>
      </c>
      <c r="AC44" s="55">
        <f>SUMIF('BD Original'!G:G,E44,'BD Original'!V:V)</f>
        <v>44</v>
      </c>
      <c r="AD44" s="69">
        <f>IFERROR(AC44/VLOOKUP(E44,'BD Original'!G:I,3,0),0)</f>
        <v>1.9130434782608696</v>
      </c>
      <c r="AE44" s="58">
        <f>SUMIF('BD Original'!G:G,E44,'BD Original'!W:W)</f>
        <v>0</v>
      </c>
      <c r="AF44" s="58">
        <f>SUMIF('BD Original'!G:G,E44,'BD Original'!X:X)</f>
        <v>0</v>
      </c>
      <c r="AG44" s="66">
        <f>IFERROR(SUMIF('BD Original'!G:G,E44,'BD Original'!X:X)/SUMIF('BD Original'!G:G,E44,'BD Original'!W:W),0)</f>
        <v>0</v>
      </c>
      <c r="AH44" s="58">
        <f>SUMIF('BD Original'!G:G,E44,'BD Original'!Y:Y)</f>
        <v>5416.3500816345395</v>
      </c>
      <c r="AI44" s="58">
        <f>SUMIF('BD Original'!G:G,E44,'BD Original'!Z:Z)</f>
        <v>6325</v>
      </c>
      <c r="AJ44" s="66">
        <f t="shared" si="9"/>
        <v>1.1677605591718416</v>
      </c>
      <c r="AK44" s="58">
        <f t="shared" si="10"/>
        <v>1810.7826124999992</v>
      </c>
      <c r="AL44" s="71" t="str">
        <f>VLOOKUP(E44,'BD Original'!G:K,5,0)</f>
        <v>&lt; 3 Meses</v>
      </c>
      <c r="AM44" s="71" t="str">
        <f>VLOOKUP(Q44,Etiquetas!E:F,2)</f>
        <v>1 Pequeño ≤ 500k</v>
      </c>
      <c r="AN44" s="71" t="str">
        <f>IFERROR(VLOOKUP(T44,Etiquetas!H:I,2),0)</f>
        <v>8 Crecimiento Exponencial</v>
      </c>
      <c r="AO44" s="71" t="str">
        <f>VLOOKUP(AG44,Etiquetas!K:M,2)</f>
        <v>1 Bajo Extremo</v>
      </c>
      <c r="AP44" s="70">
        <f>VLOOKUP(AG44,Etiquetas!K:M,3)</f>
        <v>30</v>
      </c>
      <c r="AQ44" s="51" t="str">
        <f>VLOOKUP(AD44,Etiquetas!O:Q,2)</f>
        <v>2 Bajo</v>
      </c>
      <c r="AR44" s="70">
        <f>VLOOKUP(AD44,Etiquetas!O:Q,3)</f>
        <v>50</v>
      </c>
      <c r="AS44" s="51" t="str">
        <f>VLOOKUP(AB44,Etiquetas!S:U,2)</f>
        <v>7 Sobresaliente</v>
      </c>
      <c r="AT44" s="70">
        <f>VLOOKUP(AB44,Etiquetas!S:U,3)</f>
        <v>110</v>
      </c>
      <c r="AU44" s="70">
        <f t="shared" si="11"/>
        <v>66</v>
      </c>
      <c r="AV44" s="70" t="str">
        <f>VLOOKUP(AU44,Etiquetas!W:X,2)</f>
        <v>2 Medio Vendedor</v>
      </c>
      <c r="AW44" s="51" t="str">
        <f>VLOOKUP(Y44,Etiquetas!Z:AB,2)</f>
        <v>7 Sobresaliente</v>
      </c>
      <c r="AX44" s="70">
        <f>VLOOKUP(Y44,Etiquetas!Z:AB,3)</f>
        <v>110</v>
      </c>
      <c r="AY44" s="51" t="str">
        <f>VLOOKUP(AJ44,Etiquetas!AD:AF,2)</f>
        <v>5 Sobresaliente</v>
      </c>
      <c r="AZ44" s="70">
        <f>VLOOKUP(AJ44,Etiquetas!AD:AF,3)</f>
        <v>90</v>
      </c>
      <c r="BA44" s="79">
        <f t="shared" si="12"/>
        <v>86</v>
      </c>
      <c r="BB44" s="46" t="str">
        <f t="shared" si="13"/>
        <v>Antiguedad: &lt; 3 Meses|Tamaño Cartera: 1 Pequeño ≤ 500k|2 Medio Vendedor|Calidad Cartera: 7 Sobresaliente|Alcance Incentivos: 5 Sobresaliente</v>
      </c>
    </row>
    <row r="45" spans="2:54" x14ac:dyDescent="0.2">
      <c r="B45" s="46" t="s">
        <v>109</v>
      </c>
      <c r="C45" s="46" t="s">
        <v>49</v>
      </c>
      <c r="D45" s="47">
        <v>33877</v>
      </c>
      <c r="E45" s="46" t="s">
        <v>50</v>
      </c>
      <c r="F45" s="60">
        <v>45140</v>
      </c>
      <c r="G45" s="53">
        <v>45204</v>
      </c>
      <c r="H45" s="53" t="str">
        <f t="shared" si="2"/>
        <v>BAJA</v>
      </c>
      <c r="I45" s="54" t="str">
        <f t="shared" si="3"/>
        <v>NO</v>
      </c>
      <c r="J45" s="47">
        <f>VLOOKUP(E45,'BD Original'!G:L,6,0)</f>
        <v>0</v>
      </c>
      <c r="K45" s="47">
        <f>VLOOKUP(E45,'BD Original'!G:M,7,0)</f>
        <v>1</v>
      </c>
      <c r="L45" s="55">
        <f>IF(VLOOKUP($E45&amp;"|"&amp;$J45+L$3,'BD Original'!$A:$Z,15,0)=0,"",IFERROR(VLOOKUP($E45&amp;"|"&amp;$J45+L$3,'BD Original'!$A:$Z,15,0),""))</f>
        <v>393589.62999999995</v>
      </c>
      <c r="M45" s="55">
        <f>IFERROR(VLOOKUP($E45&amp;"|"&amp;$J45+M$3,'BD Original'!$A:$Z,15,0),"")</f>
        <v>287325.49</v>
      </c>
      <c r="N45" s="55" t="str">
        <f>IFERROR(VLOOKUP($E45&amp;"|"&amp;$J45+N$3,'BD Original'!$A:$Z,15,0),"")</f>
        <v/>
      </c>
      <c r="O45" s="55" t="str">
        <f>IFERROR(VLOOKUP($E45&amp;"|"&amp;$J45+O$3,'BD Original'!$A:$Z,15,0),"")</f>
        <v/>
      </c>
      <c r="P45" s="55" t="str">
        <f>IFERROR(VLOOKUP($E45&amp;"|"&amp;$J45+P$3,'BD Original'!$A:$Z,15,0),"")</f>
        <v/>
      </c>
      <c r="Q45" s="68">
        <f t="shared" si="4"/>
        <v>340457.55999999994</v>
      </c>
      <c r="R45" s="56">
        <f t="shared" si="5"/>
        <v>2</v>
      </c>
      <c r="S45" s="55">
        <f>IFERROR(VLOOKUP($E45&amp;"|"&amp;$J45+(K45-J45),'BD Original'!$A:$Z,15,0),"")</f>
        <v>287325.49</v>
      </c>
      <c r="T45" s="66">
        <f t="shared" si="15"/>
        <v>-0.26998714371615928</v>
      </c>
      <c r="U45" s="55">
        <f>IFERROR(VLOOKUP($E45&amp;"|"&amp;$J45+(K45-J45),'BD Original'!$A:$Z,16,0),"")</f>
        <v>265951.44</v>
      </c>
      <c r="V45" s="58">
        <f>SUMIF('BD Original'!G:G,E45,'BD Original'!R:R)</f>
        <v>0</v>
      </c>
      <c r="W45" s="57">
        <f t="shared" si="6"/>
        <v>0</v>
      </c>
      <c r="X45" s="66">
        <f t="shared" si="14"/>
        <v>0</v>
      </c>
      <c r="Y45" s="66">
        <f t="shared" si="7"/>
        <v>0.92561032437463175</v>
      </c>
      <c r="Z45" s="55">
        <f>SUMIF('BD Original'!G:G,E45,'BD Original'!T:T)</f>
        <v>156500</v>
      </c>
      <c r="AA45" s="55">
        <f>SUMIF('BD Original'!G:G,E45,'BD Original'!U:U)</f>
        <v>193000</v>
      </c>
      <c r="AB45" s="66">
        <f t="shared" si="8"/>
        <v>1.2332268370607029</v>
      </c>
      <c r="AC45" s="55">
        <f>SUMIF('BD Original'!G:G,E45,'BD Original'!V:V)</f>
        <v>22</v>
      </c>
      <c r="AD45" s="69">
        <f>IFERROR(AC45/VLOOKUP(E45,'BD Original'!G:I,3,0),0)</f>
        <v>0.75862068965517238</v>
      </c>
      <c r="AE45" s="58">
        <f>SUMIF('BD Original'!G:G,E45,'BD Original'!W:W)</f>
        <v>0</v>
      </c>
      <c r="AF45" s="58">
        <f>SUMIF('BD Original'!G:G,E45,'BD Original'!X:X)</f>
        <v>0</v>
      </c>
      <c r="AG45" s="66">
        <f>IFERROR(SUMIF('BD Original'!G:G,E45,'BD Original'!X:X)/SUMIF('BD Original'!G:G,E45,'BD Original'!W:W),0)</f>
        <v>0</v>
      </c>
      <c r="AH45" s="58">
        <f>SUMIF('BD Original'!G:G,E45,'BD Original'!Y:Y)</f>
        <v>5625</v>
      </c>
      <c r="AI45" s="58">
        <f>SUMIF('BD Original'!G:G,E45,'BD Original'!Z:Z)</f>
        <v>4587.5</v>
      </c>
      <c r="AJ45" s="66">
        <f t="shared" si="9"/>
        <v>0.81555555555555559</v>
      </c>
      <c r="AK45" s="58">
        <f t="shared" si="10"/>
        <v>11870.059699999998</v>
      </c>
      <c r="AL45" s="71" t="str">
        <f>VLOOKUP(E45,'BD Original'!G:K,5,0)</f>
        <v>&lt; 3 Meses</v>
      </c>
      <c r="AM45" s="71" t="str">
        <f>VLOOKUP(Q45,Etiquetas!E:F,2)</f>
        <v>1 Pequeño ≤ 500k</v>
      </c>
      <c r="AN45" s="71" t="str">
        <f>IFERROR(VLOOKUP(T45,Etiquetas!H:I,2),0)</f>
        <v>2 Decrecimiento entre 0.1% y 50%</v>
      </c>
      <c r="AO45" s="71" t="str">
        <f>VLOOKUP(AG45,Etiquetas!K:M,2)</f>
        <v>1 Bajo Extremo</v>
      </c>
      <c r="AP45" s="70">
        <f>VLOOKUP(AG45,Etiquetas!K:M,3)</f>
        <v>30</v>
      </c>
      <c r="AQ45" s="51" t="str">
        <f>VLOOKUP(AD45,Etiquetas!O:Q,2)</f>
        <v>1 Bajo Extremo</v>
      </c>
      <c r="AR45" s="70">
        <f>VLOOKUP(AD45,Etiquetas!O:Q,3)</f>
        <v>30</v>
      </c>
      <c r="AS45" s="51" t="str">
        <f>VLOOKUP(AB45,Etiquetas!S:U,2)</f>
        <v>7 Sobresaliente</v>
      </c>
      <c r="AT45" s="70">
        <f>VLOOKUP(AB45,Etiquetas!S:U,3)</f>
        <v>110</v>
      </c>
      <c r="AU45" s="70">
        <f t="shared" si="11"/>
        <v>62</v>
      </c>
      <c r="AV45" s="70" t="str">
        <f>VLOOKUP(AU45,Etiquetas!W:X,2)</f>
        <v>2 Medio Vendedor</v>
      </c>
      <c r="AW45" s="51" t="str">
        <f>VLOOKUP(Y45,Etiquetas!Z:AB,2)</f>
        <v>4 Medio Alto</v>
      </c>
      <c r="AX45" s="70">
        <f>VLOOKUP(Y45,Etiquetas!Z:AB,3)</f>
        <v>80</v>
      </c>
      <c r="AY45" s="51" t="str">
        <f>VLOOKUP(AJ45,Etiquetas!AD:AF,2)</f>
        <v>4 Alto</v>
      </c>
      <c r="AZ45" s="70">
        <f>VLOOKUP(AJ45,Etiquetas!AD:AF,3)</f>
        <v>80</v>
      </c>
      <c r="BA45" s="79">
        <f t="shared" si="12"/>
        <v>71</v>
      </c>
      <c r="BB45" s="46" t="str">
        <f t="shared" si="13"/>
        <v>Antiguedad: &lt; 3 Meses|Tamaño Cartera: 1 Pequeño ≤ 500k|2 Medio Vendedor|Calidad Cartera: 4 Medio Alto|Alcance Incentivos: 4 Alto</v>
      </c>
    </row>
    <row r="46" spans="2:54" x14ac:dyDescent="0.2">
      <c r="B46" s="46" t="s">
        <v>109</v>
      </c>
      <c r="C46" s="46" t="s">
        <v>54</v>
      </c>
      <c r="D46" s="47">
        <v>34226</v>
      </c>
      <c r="E46" s="46" t="s">
        <v>57</v>
      </c>
      <c r="F46" s="60">
        <v>45154</v>
      </c>
      <c r="G46" s="53">
        <v>0</v>
      </c>
      <c r="H46" s="53" t="str">
        <f t="shared" si="2"/>
        <v>ACTIVO</v>
      </c>
      <c r="I46" s="54" t="str">
        <f t="shared" si="3"/>
        <v>NO</v>
      </c>
      <c r="J46" s="47">
        <f>VLOOKUP(E46,'BD Original'!G:L,6,0)</f>
        <v>0</v>
      </c>
      <c r="K46" s="47">
        <f>VLOOKUP(E46,'BD Original'!G:M,7,0)</f>
        <v>3</v>
      </c>
      <c r="L46" s="55">
        <f>IF(VLOOKUP($E46&amp;"|"&amp;$J46+L$3,'BD Original'!$A:$Z,15,0)=0,"",IFERROR(VLOOKUP($E46&amp;"|"&amp;$J46+L$3,'BD Original'!$A:$Z,15,0),""))</f>
        <v>540791.86</v>
      </c>
      <c r="M46" s="55">
        <f>IFERROR(VLOOKUP($E46&amp;"|"&amp;$J46+M$3,'BD Original'!$A:$Z,15,0),"")</f>
        <v>533139.66</v>
      </c>
      <c r="N46" s="55">
        <f>IFERROR(VLOOKUP($E46&amp;"|"&amp;$J46+N$3,'BD Original'!$A:$Z,15,0),"")</f>
        <v>533168.67000000004</v>
      </c>
      <c r="O46" s="55">
        <f>IFERROR(VLOOKUP($E46&amp;"|"&amp;$J46+O$3,'BD Original'!$A:$Z,15,0),"")</f>
        <v>641885.73</v>
      </c>
      <c r="P46" s="55" t="str">
        <f>IFERROR(VLOOKUP($E46&amp;"|"&amp;$J46+P$3,'BD Original'!$A:$Z,15,0),"")</f>
        <v/>
      </c>
      <c r="Q46" s="68">
        <f t="shared" si="4"/>
        <v>562246.48</v>
      </c>
      <c r="R46" s="56">
        <f t="shared" si="5"/>
        <v>4</v>
      </c>
      <c r="S46" s="55">
        <f>IFERROR(VLOOKUP($E46&amp;"|"&amp;$J46+(K46-J46),'BD Original'!$A:$Z,15,0),"")</f>
        <v>641885.73</v>
      </c>
      <c r="T46" s="66">
        <f t="shared" si="15"/>
        <v>5.8788441581403506E-2</v>
      </c>
      <c r="U46" s="55">
        <f>IFERROR(VLOOKUP($E46&amp;"|"&amp;$J46+(K46-J46),'BD Original'!$A:$Z,16,0),"")</f>
        <v>612326.6</v>
      </c>
      <c r="V46" s="58">
        <f>SUMIF('BD Original'!G:G,E46,'BD Original'!R:R)</f>
        <v>0</v>
      </c>
      <c r="W46" s="57">
        <f t="shared" si="6"/>
        <v>0</v>
      </c>
      <c r="X46" s="66">
        <f t="shared" si="14"/>
        <v>0</v>
      </c>
      <c r="Y46" s="66">
        <f t="shared" si="7"/>
        <v>0.95394954488238892</v>
      </c>
      <c r="Z46" s="55">
        <f>SUMIF('BD Original'!G:G,E46,'BD Original'!T:T)</f>
        <v>769856.07049999991</v>
      </c>
      <c r="AA46" s="55">
        <f>SUMIF('BD Original'!G:G,E46,'BD Original'!U:U)</f>
        <v>536001.46999999986</v>
      </c>
      <c r="AB46" s="66">
        <f t="shared" si="8"/>
        <v>0.69623594661256871</v>
      </c>
      <c r="AC46" s="55">
        <f>SUMIF('BD Original'!G:G,E46,'BD Original'!V:V)</f>
        <v>79</v>
      </c>
      <c r="AD46" s="69">
        <f>IFERROR(AC46/VLOOKUP(E46,'BD Original'!G:I,3,0),0)</f>
        <v>5.2666666666666666</v>
      </c>
      <c r="AE46" s="58">
        <f>SUMIF('BD Original'!G:G,E46,'BD Original'!W:W)</f>
        <v>5</v>
      </c>
      <c r="AF46" s="58">
        <f>SUMIF('BD Original'!G:G,E46,'BD Original'!X:X)</f>
        <v>1</v>
      </c>
      <c r="AG46" s="66">
        <f>IFERROR(SUMIF('BD Original'!G:G,E46,'BD Original'!X:X)/SUMIF('BD Original'!G:G,E46,'BD Original'!W:W),0)</f>
        <v>0.2</v>
      </c>
      <c r="AH46" s="58">
        <f>SUMIF('BD Original'!G:G,E46,'BD Original'!Y:Y)</f>
        <v>20124</v>
      </c>
      <c r="AI46" s="58">
        <f>SUMIF('BD Original'!G:G,E46,'BD Original'!Z:Z)</f>
        <v>8603.8173999999999</v>
      </c>
      <c r="AJ46" s="66">
        <f t="shared" si="9"/>
        <v>0.4275401212482608</v>
      </c>
      <c r="AK46" s="58">
        <f t="shared" si="10"/>
        <v>24480.126949999998</v>
      </c>
      <c r="AL46" s="71" t="str">
        <f>VLOOKUP(E46,'BD Original'!G:K,5,0)</f>
        <v>&lt; 3 Meses</v>
      </c>
      <c r="AM46" s="71" t="str">
        <f>VLOOKUP(Q46,Etiquetas!E:F,2)</f>
        <v>2 Mediana ≤ 1MM</v>
      </c>
      <c r="AN46" s="71" t="str">
        <f>IFERROR(VLOOKUP(T46,Etiquetas!H:I,2),0)</f>
        <v>4 Crecimiento Muy Bajo</v>
      </c>
      <c r="AO46" s="71" t="str">
        <f>VLOOKUP(AG46,Etiquetas!K:M,2)</f>
        <v>1 Bajo Extremo</v>
      </c>
      <c r="AP46" s="70">
        <f>VLOOKUP(AG46,Etiquetas!K:M,3)</f>
        <v>30</v>
      </c>
      <c r="AQ46" s="51" t="str">
        <f>VLOOKUP(AD46,Etiquetas!O:Q,2)</f>
        <v>4 Medio Alto</v>
      </c>
      <c r="AR46" s="70">
        <f>VLOOKUP(AD46,Etiquetas!O:Q,3)</f>
        <v>80</v>
      </c>
      <c r="AS46" s="51" t="str">
        <f>VLOOKUP(AB46,Etiquetas!S:U,2)</f>
        <v>3 Medio Bajo</v>
      </c>
      <c r="AT46" s="70">
        <f>VLOOKUP(AB46,Etiquetas!S:U,3)</f>
        <v>50</v>
      </c>
      <c r="AU46" s="70">
        <f t="shared" si="11"/>
        <v>48</v>
      </c>
      <c r="AV46" s="70" t="str">
        <f>VLOOKUP(AU46,Etiquetas!W:X,2)</f>
        <v>1 Mal Vendedor</v>
      </c>
      <c r="AW46" s="51" t="str">
        <f>VLOOKUP(Y46,Etiquetas!Z:AB,2)</f>
        <v>5 Alto</v>
      </c>
      <c r="AX46" s="70">
        <f>VLOOKUP(Y46,Etiquetas!Z:AB,3)</f>
        <v>90</v>
      </c>
      <c r="AY46" s="51" t="str">
        <f>VLOOKUP(AJ46,Etiquetas!AD:AF,2)</f>
        <v>2 Medio</v>
      </c>
      <c r="AZ46" s="70">
        <f>VLOOKUP(AJ46,Etiquetas!AD:AF,3)</f>
        <v>50</v>
      </c>
      <c r="BA46" s="79">
        <f t="shared" si="12"/>
        <v>65</v>
      </c>
      <c r="BB46" s="46" t="str">
        <f t="shared" si="13"/>
        <v>Antiguedad: &lt; 3 Meses|Tamaño Cartera: 2 Mediana ≤ 1MM|1 Mal Vendedor|Calidad Cartera: 5 Alto|Alcance Incentivos: 2 Medio</v>
      </c>
    </row>
    <row r="47" spans="2:54" x14ac:dyDescent="0.2">
      <c r="B47" s="46" t="s">
        <v>109</v>
      </c>
      <c r="C47" s="46" t="s">
        <v>25</v>
      </c>
      <c r="D47" s="47">
        <v>33403</v>
      </c>
      <c r="E47" s="46" t="s">
        <v>29</v>
      </c>
      <c r="F47" s="60">
        <v>45126</v>
      </c>
      <c r="G47" s="53">
        <v>45217</v>
      </c>
      <c r="H47" s="53" t="str">
        <f t="shared" si="2"/>
        <v>BAJA</v>
      </c>
      <c r="I47" s="54" t="str">
        <f t="shared" si="3"/>
        <v>NO</v>
      </c>
      <c r="J47" s="47">
        <f>VLOOKUP(E47,'BD Original'!G:L,6,0)</f>
        <v>1</v>
      </c>
      <c r="K47" s="47">
        <f>VLOOKUP(E47,'BD Original'!G:M,7,0)</f>
        <v>2</v>
      </c>
      <c r="L47" s="55">
        <f>IF(VLOOKUP($E47&amp;"|"&amp;$J47+L$3,'BD Original'!$A:$Z,15,0)=0,"",IFERROR(VLOOKUP($E47&amp;"|"&amp;$J47+L$3,'BD Original'!$A:$Z,15,0),""))</f>
        <v>49999.95</v>
      </c>
      <c r="M47" s="55">
        <f>IFERROR(VLOOKUP($E47&amp;"|"&amp;$J47+M$3,'BD Original'!$A:$Z,15,0),"")</f>
        <v>325987.45</v>
      </c>
      <c r="N47" s="55" t="str">
        <f>IFERROR(VLOOKUP($E47&amp;"|"&amp;$J47+N$3,'BD Original'!$A:$Z,15,0),"")</f>
        <v/>
      </c>
      <c r="O47" s="55" t="str">
        <f>IFERROR(VLOOKUP($E47&amp;"|"&amp;$J47+O$3,'BD Original'!$A:$Z,15,0),"")</f>
        <v/>
      </c>
      <c r="P47" s="55" t="str">
        <f>IFERROR(VLOOKUP($E47&amp;"|"&amp;$J47+P$3,'BD Original'!$A:$Z,15,0),"")</f>
        <v/>
      </c>
      <c r="Q47" s="68">
        <f t="shared" si="4"/>
        <v>187993.7</v>
      </c>
      <c r="R47" s="56">
        <f t="shared" si="5"/>
        <v>2</v>
      </c>
      <c r="S47" s="55">
        <f>IFERROR(VLOOKUP($E47&amp;"|"&amp;$J47+(K47-J47),'BD Original'!$A:$Z,15,0),"")</f>
        <v>325987.45</v>
      </c>
      <c r="T47" s="66">
        <f t="shared" si="15"/>
        <v>5.5197555197555204</v>
      </c>
      <c r="U47" s="55">
        <f>IFERROR(VLOOKUP($E47&amp;"|"&amp;$J47+(K47-J47),'BD Original'!$A:$Z,16,0),"")</f>
        <v>325987.45</v>
      </c>
      <c r="V47" s="58">
        <f>SUMIF('BD Original'!G:G,E47,'BD Original'!R:R)</f>
        <v>0</v>
      </c>
      <c r="W47" s="57">
        <f t="shared" si="6"/>
        <v>0</v>
      </c>
      <c r="X47" s="66">
        <f t="shared" si="14"/>
        <v>0</v>
      </c>
      <c r="Y47" s="66">
        <f t="shared" si="7"/>
        <v>1</v>
      </c>
      <c r="Z47" s="55">
        <f>SUMIF('BD Original'!G:G,E47,'BD Original'!T:T)</f>
        <v>215985.9521331946</v>
      </c>
      <c r="AA47" s="55">
        <f>SUMIF('BD Original'!G:G,E47,'BD Original'!U:U)</f>
        <v>282000</v>
      </c>
      <c r="AB47" s="66">
        <f t="shared" si="8"/>
        <v>1.3056404697380306</v>
      </c>
      <c r="AC47" s="55">
        <f>SUMIF('BD Original'!G:G,E47,'BD Original'!V:V)</f>
        <v>41</v>
      </c>
      <c r="AD47" s="69">
        <f>IFERROR(AC47/VLOOKUP(E47,'BD Original'!G:I,3,0),0)</f>
        <v>0.95348837209302328</v>
      </c>
      <c r="AE47" s="58">
        <f>SUMIF('BD Original'!G:G,E47,'BD Original'!W:W)</f>
        <v>0</v>
      </c>
      <c r="AF47" s="58">
        <f>SUMIF('BD Original'!G:G,E47,'BD Original'!X:X)</f>
        <v>0</v>
      </c>
      <c r="AG47" s="66">
        <f>IFERROR(SUMIF('BD Original'!G:G,E47,'BD Original'!X:X)/SUMIF('BD Original'!G:G,E47,'BD Original'!W:W),0)</f>
        <v>0</v>
      </c>
      <c r="AH47" s="58">
        <f>SUMIF('BD Original'!G:G,E47,'BD Original'!Y:Y)</f>
        <v>6940.7176298988361</v>
      </c>
      <c r="AI47" s="58">
        <f>SUMIF('BD Original'!G:G,E47,'BD Original'!Z:Z)</f>
        <v>7475</v>
      </c>
      <c r="AJ47" s="66">
        <f t="shared" si="9"/>
        <v>1.0769779723928852</v>
      </c>
      <c r="AK47" s="58">
        <f t="shared" si="10"/>
        <v>4547.1377499999999</v>
      </c>
      <c r="AL47" s="71" t="str">
        <f>VLOOKUP(E47,'BD Original'!G:K,5,0)</f>
        <v>&lt; 3 Meses</v>
      </c>
      <c r="AM47" s="71" t="str">
        <f>VLOOKUP(Q47,Etiquetas!E:F,2)</f>
        <v>1 Pequeño ≤ 500k</v>
      </c>
      <c r="AN47" s="71" t="str">
        <f>IFERROR(VLOOKUP(T47,Etiquetas!H:I,2),0)</f>
        <v>8 Crecimiento Exponencial</v>
      </c>
      <c r="AO47" s="71" t="str">
        <f>VLOOKUP(AG47,Etiquetas!K:M,2)</f>
        <v>1 Bajo Extremo</v>
      </c>
      <c r="AP47" s="70">
        <f>VLOOKUP(AG47,Etiquetas!K:M,3)</f>
        <v>30</v>
      </c>
      <c r="AQ47" s="51" t="str">
        <f>VLOOKUP(AD47,Etiquetas!O:Q,2)</f>
        <v>1 Bajo Extremo</v>
      </c>
      <c r="AR47" s="70">
        <f>VLOOKUP(AD47,Etiquetas!O:Q,3)</f>
        <v>30</v>
      </c>
      <c r="AS47" s="51" t="str">
        <f>VLOOKUP(AB47,Etiquetas!S:U,2)</f>
        <v>7 Sobresaliente</v>
      </c>
      <c r="AT47" s="70">
        <f>VLOOKUP(AB47,Etiquetas!S:U,3)</f>
        <v>110</v>
      </c>
      <c r="AU47" s="70">
        <f t="shared" si="11"/>
        <v>62</v>
      </c>
      <c r="AV47" s="70" t="str">
        <f>VLOOKUP(AU47,Etiquetas!W:X,2)</f>
        <v>2 Medio Vendedor</v>
      </c>
      <c r="AW47" s="51" t="str">
        <f>VLOOKUP(Y47,Etiquetas!Z:AB,2)</f>
        <v>7 Sobresaliente</v>
      </c>
      <c r="AX47" s="70">
        <f>VLOOKUP(Y47,Etiquetas!Z:AB,3)</f>
        <v>110</v>
      </c>
      <c r="AY47" s="51" t="str">
        <f>VLOOKUP(AJ47,Etiquetas!AD:AF,2)</f>
        <v>5 Sobresaliente</v>
      </c>
      <c r="AZ47" s="70">
        <f>VLOOKUP(AJ47,Etiquetas!AD:AF,3)</f>
        <v>90</v>
      </c>
      <c r="BA47" s="79">
        <f t="shared" si="12"/>
        <v>84</v>
      </c>
      <c r="BB47" s="46" t="str">
        <f t="shared" si="13"/>
        <v>Antiguedad: &lt; 3 Meses|Tamaño Cartera: 1 Pequeño ≤ 500k|2 Medio Vendedor|Calidad Cartera: 7 Sobresaliente|Alcance Incentivos: 5 Sobresaliente</v>
      </c>
    </row>
    <row r="48" spans="2:54" x14ac:dyDescent="0.2">
      <c r="B48" s="46" t="s">
        <v>109</v>
      </c>
      <c r="C48" s="46" t="s">
        <v>34</v>
      </c>
      <c r="D48" s="47">
        <v>33967</v>
      </c>
      <c r="E48" s="46" t="s">
        <v>36</v>
      </c>
      <c r="F48" s="60">
        <v>45145</v>
      </c>
      <c r="G48" s="53">
        <v>0</v>
      </c>
      <c r="H48" s="53" t="str">
        <f t="shared" si="2"/>
        <v>ACTIVO</v>
      </c>
      <c r="I48" s="54" t="str">
        <f t="shared" si="3"/>
        <v>NO</v>
      </c>
      <c r="J48" s="47">
        <f>VLOOKUP(E48,'BD Original'!G:L,6,0)</f>
        <v>0</v>
      </c>
      <c r="K48" s="47">
        <f>VLOOKUP(E48,'BD Original'!G:M,7,0)</f>
        <v>3</v>
      </c>
      <c r="L48" s="55">
        <f>IF(VLOOKUP($E48&amp;"|"&amp;$J48+L$3,'BD Original'!$A:$Z,15,0)=0,"",IFERROR(VLOOKUP($E48&amp;"|"&amp;$J48+L$3,'BD Original'!$A:$Z,15,0),""))</f>
        <v>315967.48</v>
      </c>
      <c r="M48" s="55">
        <f>IFERROR(VLOOKUP($E48&amp;"|"&amp;$J48+M$3,'BD Original'!$A:$Z,15,0),"")</f>
        <v>423493.14</v>
      </c>
      <c r="N48" s="55">
        <f>IFERROR(VLOOKUP($E48&amp;"|"&amp;$J48+N$3,'BD Original'!$A:$Z,15,0),"")</f>
        <v>355936.92000000004</v>
      </c>
      <c r="O48" s="55">
        <f>IFERROR(VLOOKUP($E48&amp;"|"&amp;$J48+O$3,'BD Original'!$A:$Z,15,0),"")</f>
        <v>107017.94</v>
      </c>
      <c r="P48" s="55" t="str">
        <f>IFERROR(VLOOKUP($E48&amp;"|"&amp;$J48+P$3,'BD Original'!$A:$Z,15,0),"")</f>
        <v/>
      </c>
      <c r="Q48" s="68">
        <f t="shared" si="4"/>
        <v>300603.87</v>
      </c>
      <c r="R48" s="56">
        <f t="shared" si="5"/>
        <v>4</v>
      </c>
      <c r="S48" s="55">
        <f>IFERROR(VLOOKUP($E48&amp;"|"&amp;$J48+(K48-J48),'BD Original'!$A:$Z,15,0),"")</f>
        <v>107017.94</v>
      </c>
      <c r="T48" s="66">
        <f t="shared" si="15"/>
        <v>-0.30293801263288245</v>
      </c>
      <c r="U48" s="55">
        <f>IFERROR(VLOOKUP($E48&amp;"|"&amp;$J48+(K48-J48),'BD Original'!$A:$Z,16,0),"")</f>
        <v>107017.94</v>
      </c>
      <c r="V48" s="58">
        <f>SUMIF('BD Original'!G:G,E48,'BD Original'!R:R)</f>
        <v>0</v>
      </c>
      <c r="W48" s="57">
        <f t="shared" si="6"/>
        <v>0</v>
      </c>
      <c r="X48" s="66">
        <f t="shared" si="14"/>
        <v>0</v>
      </c>
      <c r="Y48" s="66">
        <f t="shared" si="7"/>
        <v>1</v>
      </c>
      <c r="Z48" s="55">
        <f>SUMIF('BD Original'!G:G,E48,'BD Original'!T:T)</f>
        <v>844300.57149999996</v>
      </c>
      <c r="AA48" s="55">
        <f>SUMIF('BD Original'!G:G,E48,'BD Original'!U:U)</f>
        <v>434000.27</v>
      </c>
      <c r="AB48" s="66">
        <f t="shared" si="8"/>
        <v>0.51403526735620597</v>
      </c>
      <c r="AC48" s="55">
        <f>SUMIF('BD Original'!G:G,E48,'BD Original'!V:V)</f>
        <v>73</v>
      </c>
      <c r="AD48" s="69">
        <f>IFERROR(AC48/VLOOKUP(E48,'BD Original'!G:I,3,0),0)</f>
        <v>3.0416666666666665</v>
      </c>
      <c r="AE48" s="58">
        <f>SUMIF('BD Original'!G:G,E48,'BD Original'!W:W)</f>
        <v>2</v>
      </c>
      <c r="AF48" s="58">
        <f>SUMIF('BD Original'!G:G,E48,'BD Original'!X:X)</f>
        <v>0</v>
      </c>
      <c r="AG48" s="66">
        <f>IFERROR(SUMIF('BD Original'!G:G,E48,'BD Original'!X:X)/SUMIF('BD Original'!G:G,E48,'BD Original'!W:W),0)</f>
        <v>0</v>
      </c>
      <c r="AH48" s="58">
        <f>SUMIF('BD Original'!G:G,E48,'BD Original'!Y:Y)</f>
        <v>27716.265021468018</v>
      </c>
      <c r="AI48" s="58">
        <f>SUMIF('BD Original'!G:G,E48,'BD Original'!Z:Z)</f>
        <v>8152.5</v>
      </c>
      <c r="AJ48" s="66">
        <f t="shared" si="9"/>
        <v>0.29414136405772451</v>
      </c>
      <c r="AK48" s="58">
        <f t="shared" si="10"/>
        <v>9322.8475249999974</v>
      </c>
      <c r="AL48" s="71" t="str">
        <f>VLOOKUP(E48,'BD Original'!G:K,5,0)</f>
        <v>&lt; 3 Meses</v>
      </c>
      <c r="AM48" s="71" t="str">
        <f>VLOOKUP(Q48,Etiquetas!E:F,2)</f>
        <v>1 Pequeño ≤ 500k</v>
      </c>
      <c r="AN48" s="71" t="str">
        <f>IFERROR(VLOOKUP(T48,Etiquetas!H:I,2),0)</f>
        <v>2 Decrecimiento entre 0.1% y 50%</v>
      </c>
      <c r="AO48" s="71" t="str">
        <f>VLOOKUP(AG48,Etiquetas!K:M,2)</f>
        <v>1 Bajo Extremo</v>
      </c>
      <c r="AP48" s="70">
        <f>VLOOKUP(AG48,Etiquetas!K:M,3)</f>
        <v>30</v>
      </c>
      <c r="AQ48" s="51" t="str">
        <f>VLOOKUP(AD48,Etiquetas!O:Q,2)</f>
        <v>3 Medio Bajo</v>
      </c>
      <c r="AR48" s="70">
        <f>VLOOKUP(AD48,Etiquetas!O:Q,3)</f>
        <v>70</v>
      </c>
      <c r="AS48" s="51" t="str">
        <f>VLOOKUP(AB48,Etiquetas!S:U,2)</f>
        <v>3 Medio Bajo</v>
      </c>
      <c r="AT48" s="70">
        <f>VLOOKUP(AB48,Etiquetas!S:U,3)</f>
        <v>50</v>
      </c>
      <c r="AU48" s="70">
        <f t="shared" si="11"/>
        <v>46</v>
      </c>
      <c r="AV48" s="70" t="str">
        <f>VLOOKUP(AU48,Etiquetas!W:X,2)</f>
        <v>1 Mal Vendedor</v>
      </c>
      <c r="AW48" s="51" t="str">
        <f>VLOOKUP(Y48,Etiquetas!Z:AB,2)</f>
        <v>7 Sobresaliente</v>
      </c>
      <c r="AX48" s="70">
        <f>VLOOKUP(Y48,Etiquetas!Z:AB,3)</f>
        <v>110</v>
      </c>
      <c r="AY48" s="51" t="str">
        <f>VLOOKUP(AJ48,Etiquetas!AD:AF,2)</f>
        <v>1 Bajo</v>
      </c>
      <c r="AZ48" s="70">
        <f>VLOOKUP(AJ48,Etiquetas!AD:AF,3)</f>
        <v>30</v>
      </c>
      <c r="BA48" s="79">
        <f t="shared" si="12"/>
        <v>70</v>
      </c>
      <c r="BB48" s="46" t="str">
        <f t="shared" si="13"/>
        <v>Antiguedad: &lt; 3 Meses|Tamaño Cartera: 1 Pequeño ≤ 500k|1 Mal Vendedor|Calidad Cartera: 7 Sobresaliente|Alcance Incentivos: 1 Bajo</v>
      </c>
    </row>
    <row r="49" spans="2:54" x14ac:dyDescent="0.2">
      <c r="B49" s="46" t="s">
        <v>108</v>
      </c>
      <c r="C49" s="46" t="s">
        <v>9</v>
      </c>
      <c r="D49" s="47">
        <v>33645</v>
      </c>
      <c r="E49" s="46" t="s">
        <v>11</v>
      </c>
      <c r="F49" s="60">
        <v>45132</v>
      </c>
      <c r="G49" s="53">
        <v>45217</v>
      </c>
      <c r="H49" s="53" t="str">
        <f t="shared" si="2"/>
        <v>BAJA</v>
      </c>
      <c r="I49" s="54" t="str">
        <f t="shared" si="3"/>
        <v>NO</v>
      </c>
      <c r="J49" s="47">
        <f>VLOOKUP(E49,'BD Original'!G:L,6,0)</f>
        <v>1</v>
      </c>
      <c r="K49" s="47">
        <f>VLOOKUP(E49,'BD Original'!G:M,7,0)</f>
        <v>2</v>
      </c>
      <c r="L49" s="55">
        <f>IF(VLOOKUP($E49&amp;"|"&amp;$J49+L$3,'BD Original'!$A:$Z,15,0)=0,"",IFERROR(VLOOKUP($E49&amp;"|"&amp;$J49+L$3,'BD Original'!$A:$Z,15,0),""))</f>
        <v>180034.97</v>
      </c>
      <c r="M49" s="55">
        <f>IFERROR(VLOOKUP($E49&amp;"|"&amp;$J49+M$3,'BD Original'!$A:$Z,15,0),"")</f>
        <v>184924.64</v>
      </c>
      <c r="N49" s="55" t="str">
        <f>IFERROR(VLOOKUP($E49&amp;"|"&amp;$J49+N$3,'BD Original'!$A:$Z,15,0),"")</f>
        <v/>
      </c>
      <c r="O49" s="55" t="str">
        <f>IFERROR(VLOOKUP($E49&amp;"|"&amp;$J49+O$3,'BD Original'!$A:$Z,15,0),"")</f>
        <v/>
      </c>
      <c r="P49" s="55" t="str">
        <f>IFERROR(VLOOKUP($E49&amp;"|"&amp;$J49+P$3,'BD Original'!$A:$Z,15,0),"")</f>
        <v/>
      </c>
      <c r="Q49" s="68">
        <f t="shared" si="4"/>
        <v>182479.80499999999</v>
      </c>
      <c r="R49" s="56">
        <f t="shared" si="5"/>
        <v>2</v>
      </c>
      <c r="S49" s="55">
        <f>IFERROR(VLOOKUP($E49&amp;"|"&amp;$J49+(K49-J49),'BD Original'!$A:$Z,15,0),"")</f>
        <v>184924.64</v>
      </c>
      <c r="T49" s="66">
        <f t="shared" si="15"/>
        <v>2.7159556834986054E-2</v>
      </c>
      <c r="U49" s="55">
        <f>IFERROR(VLOOKUP($E49&amp;"|"&amp;$J49+(K49-J49),'BD Original'!$A:$Z,16,0),"")</f>
        <v>184924.64</v>
      </c>
      <c r="V49" s="58">
        <f>SUMIF('BD Original'!G:G,E49,'BD Original'!R:R)</f>
        <v>0</v>
      </c>
      <c r="W49" s="57">
        <f t="shared" si="6"/>
        <v>0</v>
      </c>
      <c r="X49" s="66">
        <f t="shared" si="14"/>
        <v>0</v>
      </c>
      <c r="Y49" s="66">
        <f t="shared" si="7"/>
        <v>1</v>
      </c>
      <c r="Z49" s="55">
        <f>SUMIF('BD Original'!G:G,E49,'BD Original'!T:T)</f>
        <v>192085.84807492196</v>
      </c>
      <c r="AA49" s="55">
        <f>SUMIF('BD Original'!G:G,E49,'BD Original'!U:U)</f>
        <v>254000</v>
      </c>
      <c r="AB49" s="66">
        <f t="shared" si="8"/>
        <v>1.3223254213966289</v>
      </c>
      <c r="AC49" s="55">
        <f>SUMIF('BD Original'!G:G,E49,'BD Original'!V:V)</f>
        <v>58</v>
      </c>
      <c r="AD49" s="69">
        <f>IFERROR(AC49/VLOOKUP(E49,'BD Original'!G:I,3,0),0)</f>
        <v>1.5675675675675675</v>
      </c>
      <c r="AE49" s="58">
        <f>SUMIF('BD Original'!G:G,E49,'BD Original'!W:W)</f>
        <v>0</v>
      </c>
      <c r="AF49" s="58">
        <f>SUMIF('BD Original'!G:G,E49,'BD Original'!X:X)</f>
        <v>0</v>
      </c>
      <c r="AG49" s="66">
        <f>IFERROR(SUMIF('BD Original'!G:G,E49,'BD Original'!X:X)/SUMIF('BD Original'!G:G,E49,'BD Original'!W:W),0)</f>
        <v>0</v>
      </c>
      <c r="AH49" s="58">
        <f>SUMIF('BD Original'!G:G,E49,'BD Original'!Y:Y)</f>
        <v>6153.6944279051213</v>
      </c>
      <c r="AI49" s="58">
        <f>SUMIF('BD Original'!G:G,E49,'BD Original'!Z:Z)</f>
        <v>7462.5</v>
      </c>
      <c r="AJ49" s="66">
        <f t="shared" si="9"/>
        <v>1.2126861493414176</v>
      </c>
      <c r="AK49" s="58">
        <f t="shared" si="10"/>
        <v>4223.8387874999989</v>
      </c>
      <c r="AL49" s="71" t="str">
        <f>VLOOKUP(E49,'BD Original'!G:K,5,0)</f>
        <v>&lt; 3 Meses</v>
      </c>
      <c r="AM49" s="71" t="str">
        <f>VLOOKUP(Q49,Etiquetas!E:F,2)</f>
        <v>1 Pequeño ≤ 500k</v>
      </c>
      <c r="AN49" s="71" t="str">
        <f>IFERROR(VLOOKUP(T49,Etiquetas!H:I,2),0)</f>
        <v>4 Crecimiento Muy Bajo</v>
      </c>
      <c r="AO49" s="71" t="str">
        <f>VLOOKUP(AG49,Etiquetas!K:M,2)</f>
        <v>1 Bajo Extremo</v>
      </c>
      <c r="AP49" s="70">
        <f>VLOOKUP(AG49,Etiquetas!K:M,3)</f>
        <v>30</v>
      </c>
      <c r="AQ49" s="51" t="str">
        <f>VLOOKUP(AD49,Etiquetas!O:Q,2)</f>
        <v>2 Bajo</v>
      </c>
      <c r="AR49" s="70">
        <f>VLOOKUP(AD49,Etiquetas!O:Q,3)</f>
        <v>50</v>
      </c>
      <c r="AS49" s="51" t="str">
        <f>VLOOKUP(AB49,Etiquetas!S:U,2)</f>
        <v>7 Sobresaliente</v>
      </c>
      <c r="AT49" s="70">
        <f>VLOOKUP(AB49,Etiquetas!S:U,3)</f>
        <v>110</v>
      </c>
      <c r="AU49" s="70">
        <f t="shared" si="11"/>
        <v>66</v>
      </c>
      <c r="AV49" s="70" t="str">
        <f>VLOOKUP(AU49,Etiquetas!W:X,2)</f>
        <v>2 Medio Vendedor</v>
      </c>
      <c r="AW49" s="51" t="str">
        <f>VLOOKUP(Y49,Etiquetas!Z:AB,2)</f>
        <v>7 Sobresaliente</v>
      </c>
      <c r="AX49" s="70">
        <f>VLOOKUP(Y49,Etiquetas!Z:AB,3)</f>
        <v>110</v>
      </c>
      <c r="AY49" s="51" t="str">
        <f>VLOOKUP(AJ49,Etiquetas!AD:AF,2)</f>
        <v>5 Sobresaliente</v>
      </c>
      <c r="AZ49" s="70">
        <f>VLOOKUP(AJ49,Etiquetas!AD:AF,3)</f>
        <v>90</v>
      </c>
      <c r="BA49" s="79">
        <f t="shared" si="12"/>
        <v>86</v>
      </c>
      <c r="BB49" s="46" t="str">
        <f t="shared" si="13"/>
        <v>Antiguedad: &lt; 3 Meses|Tamaño Cartera: 1 Pequeño ≤ 500k|2 Medio Vendedor|Calidad Cartera: 7 Sobresaliente|Alcance Incentivos: 5 Sobresaliente</v>
      </c>
    </row>
    <row r="50" spans="2:54" x14ac:dyDescent="0.2">
      <c r="B50" s="46" t="s">
        <v>108</v>
      </c>
      <c r="C50" s="46" t="s">
        <v>13</v>
      </c>
      <c r="D50" s="47">
        <v>34232</v>
      </c>
      <c r="E50" s="46" t="s">
        <v>16</v>
      </c>
      <c r="F50" s="60">
        <v>45154</v>
      </c>
      <c r="G50" s="53">
        <v>45233</v>
      </c>
      <c r="H50" s="53" t="str">
        <f t="shared" si="2"/>
        <v>BAJA</v>
      </c>
      <c r="I50" s="54" t="str">
        <f t="shared" si="3"/>
        <v>NO</v>
      </c>
      <c r="J50" s="47">
        <f>VLOOKUP(E50,'BD Original'!G:L,6,0)</f>
        <v>0</v>
      </c>
      <c r="K50" s="47">
        <f>VLOOKUP(E50,'BD Original'!G:M,7,0)</f>
        <v>1</v>
      </c>
      <c r="L50" s="55">
        <f>IF(VLOOKUP($E50&amp;"|"&amp;$J50+L$3,'BD Original'!$A:$Z,15,0)=0,"",IFERROR(VLOOKUP($E50&amp;"|"&amp;$J50+L$3,'BD Original'!$A:$Z,15,0),""))</f>
        <v>189999.77000000002</v>
      </c>
      <c r="M50" s="55">
        <f>IFERROR(VLOOKUP($E50&amp;"|"&amp;$J50+M$3,'BD Original'!$A:$Z,15,0),"")</f>
        <v>641112.62</v>
      </c>
      <c r="N50" s="55" t="str">
        <f>IFERROR(VLOOKUP($E50&amp;"|"&amp;$J50+N$3,'BD Original'!$A:$Z,15,0),"")</f>
        <v/>
      </c>
      <c r="O50" s="55" t="str">
        <f>IFERROR(VLOOKUP($E50&amp;"|"&amp;$J50+O$3,'BD Original'!$A:$Z,15,0),"")</f>
        <v/>
      </c>
      <c r="P50" s="55" t="str">
        <f>IFERROR(VLOOKUP($E50&amp;"|"&amp;$J50+P$3,'BD Original'!$A:$Z,15,0),"")</f>
        <v/>
      </c>
      <c r="Q50" s="68">
        <f t="shared" si="4"/>
        <v>415556.19500000001</v>
      </c>
      <c r="R50" s="56">
        <f t="shared" si="5"/>
        <v>2</v>
      </c>
      <c r="S50" s="55">
        <f>IFERROR(VLOOKUP($E50&amp;"|"&amp;$J50+(K50-J50),'BD Original'!$A:$Z,15,0),"")</f>
        <v>641112.62</v>
      </c>
      <c r="T50" s="66">
        <f t="shared" si="15"/>
        <v>2.374281032024407</v>
      </c>
      <c r="U50" s="55">
        <f>IFERROR(VLOOKUP($E50&amp;"|"&amp;$J50+(K50-J50),'BD Original'!$A:$Z,16,0),"")</f>
        <v>614216.88</v>
      </c>
      <c r="V50" s="58">
        <f>SUMIF('BD Original'!G:G,E50,'BD Original'!R:R)</f>
        <v>0</v>
      </c>
      <c r="W50" s="57">
        <f t="shared" si="6"/>
        <v>0</v>
      </c>
      <c r="X50" s="66">
        <f t="shared" si="14"/>
        <v>0</v>
      </c>
      <c r="Y50" s="66">
        <f t="shared" si="7"/>
        <v>0.95804833790356525</v>
      </c>
      <c r="Z50" s="55">
        <f>SUMIF('BD Original'!G:G,E50,'BD Original'!T:T)</f>
        <v>141900</v>
      </c>
      <c r="AA50" s="55">
        <f>SUMIF('BD Original'!G:G,E50,'BD Original'!U:U)</f>
        <v>234000</v>
      </c>
      <c r="AB50" s="66">
        <f t="shared" si="8"/>
        <v>1.6490486257928119</v>
      </c>
      <c r="AC50" s="55">
        <f>SUMIF('BD Original'!G:G,E50,'BD Original'!V:V)</f>
        <v>40</v>
      </c>
      <c r="AD50" s="69">
        <f>IFERROR(AC50/VLOOKUP(E50,'BD Original'!G:I,3,0),0)</f>
        <v>2.6666666666666665</v>
      </c>
      <c r="AE50" s="58">
        <f>SUMIF('BD Original'!G:G,E50,'BD Original'!W:W)</f>
        <v>0</v>
      </c>
      <c r="AF50" s="58">
        <f>SUMIF('BD Original'!G:G,E50,'BD Original'!X:X)</f>
        <v>0</v>
      </c>
      <c r="AG50" s="66">
        <f>IFERROR(SUMIF('BD Original'!G:G,E50,'BD Original'!X:X)/SUMIF('BD Original'!G:G,E50,'BD Original'!W:W),0)</f>
        <v>0</v>
      </c>
      <c r="AH50" s="58">
        <f>SUMIF('BD Original'!G:G,E50,'BD Original'!Y:Y)</f>
        <v>5396.1746116276317</v>
      </c>
      <c r="AI50" s="58">
        <f>SUMIF('BD Original'!G:G,E50,'BD Original'!Z:Z)</f>
        <v>7462.5</v>
      </c>
      <c r="AJ50" s="66">
        <f t="shared" si="9"/>
        <v>1.3829241151536993</v>
      </c>
      <c r="AK50" s="58">
        <f t="shared" si="10"/>
        <v>17625.731212500003</v>
      </c>
      <c r="AL50" s="71" t="str">
        <f>VLOOKUP(E50,'BD Original'!G:K,5,0)</f>
        <v>&lt; 3 Meses</v>
      </c>
      <c r="AM50" s="71" t="str">
        <f>VLOOKUP(Q50,Etiquetas!E:F,2)</f>
        <v>1 Pequeño ≤ 500k</v>
      </c>
      <c r="AN50" s="71" t="str">
        <f>IFERROR(VLOOKUP(T50,Etiquetas!H:I,2),0)</f>
        <v>8 Crecimiento Exponencial</v>
      </c>
      <c r="AO50" s="71" t="str">
        <f>VLOOKUP(AG50,Etiquetas!K:M,2)</f>
        <v>1 Bajo Extremo</v>
      </c>
      <c r="AP50" s="70">
        <f>VLOOKUP(AG50,Etiquetas!K:M,3)</f>
        <v>30</v>
      </c>
      <c r="AQ50" s="51" t="str">
        <f>VLOOKUP(AD50,Etiquetas!O:Q,2)</f>
        <v>3 Medio Bajo</v>
      </c>
      <c r="AR50" s="70">
        <f>VLOOKUP(AD50,Etiquetas!O:Q,3)</f>
        <v>70</v>
      </c>
      <c r="AS50" s="51" t="str">
        <f>VLOOKUP(AB50,Etiquetas!S:U,2)</f>
        <v>7 Sobresaliente</v>
      </c>
      <c r="AT50" s="70">
        <f>VLOOKUP(AB50,Etiquetas!S:U,3)</f>
        <v>110</v>
      </c>
      <c r="AU50" s="70">
        <f t="shared" si="11"/>
        <v>70</v>
      </c>
      <c r="AV50" s="70" t="str">
        <f>VLOOKUP(AU50,Etiquetas!W:X,2)</f>
        <v>2 Medio Vendedor</v>
      </c>
      <c r="AW50" s="51" t="str">
        <f>VLOOKUP(Y50,Etiquetas!Z:AB,2)</f>
        <v>5 Alto</v>
      </c>
      <c r="AX50" s="70">
        <f>VLOOKUP(Y50,Etiquetas!Z:AB,3)</f>
        <v>90</v>
      </c>
      <c r="AY50" s="51" t="str">
        <f>VLOOKUP(AJ50,Etiquetas!AD:AF,2)</f>
        <v>5 Sobresaliente</v>
      </c>
      <c r="AZ50" s="70">
        <f>VLOOKUP(AJ50,Etiquetas!AD:AF,3)</f>
        <v>90</v>
      </c>
      <c r="BA50" s="79">
        <f t="shared" si="12"/>
        <v>80</v>
      </c>
      <c r="BB50" s="46" t="str">
        <f t="shared" si="13"/>
        <v>Antiguedad: &lt; 3 Meses|Tamaño Cartera: 1 Pequeño ≤ 500k|2 Medio Vendedor|Calidad Cartera: 5 Alto|Alcance Incentivos: 5 Sobresaliente</v>
      </c>
    </row>
    <row r="51" spans="2:54" x14ac:dyDescent="0.2">
      <c r="B51" s="46" t="s">
        <v>108</v>
      </c>
      <c r="C51" s="46" t="s">
        <v>13</v>
      </c>
      <c r="D51" s="47">
        <v>34479</v>
      </c>
      <c r="E51" s="46" t="s">
        <v>14</v>
      </c>
      <c r="F51" s="60">
        <v>45162</v>
      </c>
      <c r="G51" s="53">
        <v>0</v>
      </c>
      <c r="H51" s="53" t="str">
        <f t="shared" si="2"/>
        <v>ACTIVO</v>
      </c>
      <c r="I51" s="54" t="str">
        <f t="shared" si="3"/>
        <v>NO</v>
      </c>
      <c r="J51" s="47">
        <f>VLOOKUP(E51,'BD Original'!G:L,6,0)</f>
        <v>0</v>
      </c>
      <c r="K51" s="47">
        <f>VLOOKUP(E51,'BD Original'!G:M,7,0)</f>
        <v>2</v>
      </c>
      <c r="L51" s="55">
        <f>IF(VLOOKUP($E51&amp;"|"&amp;$J51+L$3,'BD Original'!$A:$Z,15,0)=0,"",IFERROR(VLOOKUP($E51&amp;"|"&amp;$J51+L$3,'BD Original'!$A:$Z,15,0),""))</f>
        <v>71835.66</v>
      </c>
      <c r="M51" s="55">
        <f>IFERROR(VLOOKUP($E51&amp;"|"&amp;$J51+M$3,'BD Original'!$A:$Z,15,0),"")</f>
        <v>539135.69999999995</v>
      </c>
      <c r="N51" s="55">
        <f>IFERROR(VLOOKUP($E51&amp;"|"&amp;$J51+N$3,'BD Original'!$A:$Z,15,0),"")</f>
        <v>629149.35</v>
      </c>
      <c r="O51" s="55" t="str">
        <f>IFERROR(VLOOKUP($E51&amp;"|"&amp;$J51+O$3,'BD Original'!$A:$Z,15,0),"")</f>
        <v/>
      </c>
      <c r="P51" s="55" t="str">
        <f>IFERROR(VLOOKUP($E51&amp;"|"&amp;$J51+P$3,'BD Original'!$A:$Z,15,0),"")</f>
        <v/>
      </c>
      <c r="Q51" s="68">
        <f t="shared" si="4"/>
        <v>413373.57</v>
      </c>
      <c r="R51" s="56">
        <f t="shared" si="5"/>
        <v>3</v>
      </c>
      <c r="S51" s="55">
        <f>IFERROR(VLOOKUP($E51&amp;"|"&amp;$J51+(K51-J51),'BD Original'!$A:$Z,15,0),"")</f>
        <v>629149.35</v>
      </c>
      <c r="T51" s="66">
        <f t="shared" si="15"/>
        <v>1.9594215572101294</v>
      </c>
      <c r="U51" s="55">
        <f>IFERROR(VLOOKUP($E51&amp;"|"&amp;$J51+(K51-J51),'BD Original'!$A:$Z,16,0),"")</f>
        <v>623685.68999999994</v>
      </c>
      <c r="V51" s="58">
        <f>SUMIF('BD Original'!G:G,E51,'BD Original'!R:R)</f>
        <v>0</v>
      </c>
      <c r="W51" s="57">
        <f t="shared" si="6"/>
        <v>0</v>
      </c>
      <c r="X51" s="66">
        <f t="shared" si="14"/>
        <v>0</v>
      </c>
      <c r="Y51" s="66">
        <f t="shared" si="7"/>
        <v>0.99131579806925008</v>
      </c>
      <c r="Z51" s="55">
        <f>SUMIF('BD Original'!G:G,E51,'BD Original'!T:T)</f>
        <v>438229.97195000004</v>
      </c>
      <c r="AA51" s="55">
        <f>SUMIF('BD Original'!G:G,E51,'BD Original'!U:U)</f>
        <v>560999.97</v>
      </c>
      <c r="AB51" s="66">
        <f t="shared" si="8"/>
        <v>1.2801497065655003</v>
      </c>
      <c r="AC51" s="55">
        <f>SUMIF('BD Original'!G:G,E51,'BD Original'!V:V)</f>
        <v>47</v>
      </c>
      <c r="AD51" s="69">
        <f>IFERROR(AC51/VLOOKUP(E51,'BD Original'!G:I,3,0),0)</f>
        <v>6.7142857142857144</v>
      </c>
      <c r="AE51" s="58">
        <f>SUMIF('BD Original'!G:G,E51,'BD Original'!W:W)</f>
        <v>0</v>
      </c>
      <c r="AF51" s="58">
        <f>SUMIF('BD Original'!G:G,E51,'BD Original'!X:X)</f>
        <v>0</v>
      </c>
      <c r="AG51" s="66">
        <f>IFERROR(SUMIF('BD Original'!G:G,E51,'BD Original'!X:X)/SUMIF('BD Original'!G:G,E51,'BD Original'!W:W),0)</f>
        <v>0</v>
      </c>
      <c r="AH51" s="58">
        <f>SUMIF('BD Original'!G:G,E51,'BD Original'!Y:Y)</f>
        <v>9748.8782323703235</v>
      </c>
      <c r="AI51" s="58">
        <f>SUMIF('BD Original'!G:G,E51,'BD Original'!Z:Z)</f>
        <v>10062.5</v>
      </c>
      <c r="AJ51" s="66">
        <f t="shared" si="9"/>
        <v>1.0321700364036062</v>
      </c>
      <c r="AK51" s="58">
        <f t="shared" si="10"/>
        <v>17123.146941666666</v>
      </c>
      <c r="AL51" s="71" t="str">
        <f>VLOOKUP(E51,'BD Original'!G:K,5,0)</f>
        <v>&lt; 3 Meses</v>
      </c>
      <c r="AM51" s="71" t="str">
        <f>VLOOKUP(Q51,Etiquetas!E:F,2)</f>
        <v>1 Pequeño ≤ 500k</v>
      </c>
      <c r="AN51" s="71" t="str">
        <f>IFERROR(VLOOKUP(T51,Etiquetas!H:I,2),0)</f>
        <v>8 Crecimiento Exponencial</v>
      </c>
      <c r="AO51" s="71" t="str">
        <f>VLOOKUP(AG51,Etiquetas!K:M,2)</f>
        <v>1 Bajo Extremo</v>
      </c>
      <c r="AP51" s="70">
        <f>VLOOKUP(AG51,Etiquetas!K:M,3)</f>
        <v>30</v>
      </c>
      <c r="AQ51" s="51" t="str">
        <f>VLOOKUP(AD51,Etiquetas!O:Q,2)</f>
        <v>5 Alto</v>
      </c>
      <c r="AR51" s="70">
        <f>VLOOKUP(AD51,Etiquetas!O:Q,3)</f>
        <v>90</v>
      </c>
      <c r="AS51" s="51" t="str">
        <f>VLOOKUP(AB51,Etiquetas!S:U,2)</f>
        <v>7 Sobresaliente</v>
      </c>
      <c r="AT51" s="70">
        <f>VLOOKUP(AB51,Etiquetas!S:U,3)</f>
        <v>110</v>
      </c>
      <c r="AU51" s="70">
        <f t="shared" si="11"/>
        <v>74</v>
      </c>
      <c r="AV51" s="70" t="str">
        <f>VLOOKUP(AU51,Etiquetas!W:X,2)</f>
        <v>2 Medio Vendedor</v>
      </c>
      <c r="AW51" s="51" t="str">
        <f>VLOOKUP(Y51,Etiquetas!Z:AB,2)</f>
        <v>6 Muy Alto</v>
      </c>
      <c r="AX51" s="70">
        <f>VLOOKUP(Y51,Etiquetas!Z:AB,3)</f>
        <v>100</v>
      </c>
      <c r="AY51" s="51" t="str">
        <f>VLOOKUP(AJ51,Etiquetas!AD:AF,2)</f>
        <v>5 Sobresaliente</v>
      </c>
      <c r="AZ51" s="70">
        <f>VLOOKUP(AJ51,Etiquetas!AD:AF,3)</f>
        <v>90</v>
      </c>
      <c r="BA51" s="79">
        <f t="shared" si="12"/>
        <v>86</v>
      </c>
      <c r="BB51" s="46" t="str">
        <f t="shared" si="13"/>
        <v>Antiguedad: &lt; 3 Meses|Tamaño Cartera: 1 Pequeño ≤ 500k|2 Medio Vendedor|Calidad Cartera: 6 Muy Alto|Alcance Incentivos: 5 Sobresaliente</v>
      </c>
    </row>
    <row r="52" spans="2:54" x14ac:dyDescent="0.2">
      <c r="B52" s="46" t="s">
        <v>108</v>
      </c>
      <c r="C52" s="46" t="s">
        <v>64</v>
      </c>
      <c r="D52" s="47">
        <v>33951</v>
      </c>
      <c r="E52" s="46" t="s">
        <v>67</v>
      </c>
      <c r="F52" s="60">
        <v>45145</v>
      </c>
      <c r="G52" s="53">
        <v>45264</v>
      </c>
      <c r="H52" s="53" t="str">
        <f t="shared" si="2"/>
        <v>BAJA</v>
      </c>
      <c r="I52" s="54" t="str">
        <f t="shared" si="3"/>
        <v>NO</v>
      </c>
      <c r="J52" s="47">
        <f>VLOOKUP(E52,'BD Original'!G:L,6,0)</f>
        <v>0</v>
      </c>
      <c r="K52" s="47">
        <f>VLOOKUP(E52,'BD Original'!G:M,7,0)</f>
        <v>3</v>
      </c>
      <c r="L52" s="55">
        <f>IF(VLOOKUP($E52&amp;"|"&amp;$J52+L$3,'BD Original'!$A:$Z,15,0)=0,"",IFERROR(VLOOKUP($E52&amp;"|"&amp;$J52+L$3,'BD Original'!$A:$Z,15,0),""))</f>
        <v>69999.199999999997</v>
      </c>
      <c r="M52" s="55">
        <f>IFERROR(VLOOKUP($E52&amp;"|"&amp;$J52+M$3,'BD Original'!$A:$Z,15,0),"")</f>
        <v>191521.13</v>
      </c>
      <c r="N52" s="55">
        <f>IFERROR(VLOOKUP($E52&amp;"|"&amp;$J52+N$3,'BD Original'!$A:$Z,15,0),"")</f>
        <v>440566.51</v>
      </c>
      <c r="O52" s="55">
        <f>IFERROR(VLOOKUP($E52&amp;"|"&amp;$J52+O$3,'BD Original'!$A:$Z,15,0),"")</f>
        <v>344716.83</v>
      </c>
      <c r="P52" s="55" t="str">
        <f>IFERROR(VLOOKUP($E52&amp;"|"&amp;$J52+P$3,'BD Original'!$A:$Z,15,0),"")</f>
        <v/>
      </c>
      <c r="Q52" s="68">
        <f t="shared" si="4"/>
        <v>261700.91750000004</v>
      </c>
      <c r="R52" s="56">
        <f t="shared" si="5"/>
        <v>4</v>
      </c>
      <c r="S52" s="55">
        <f>IFERROR(VLOOKUP($E52&amp;"|"&amp;$J52+(K52-J52),'BD Original'!$A:$Z,15,0),"")</f>
        <v>344716.83</v>
      </c>
      <c r="T52" s="66">
        <f t="shared" si="15"/>
        <v>0.70133487126020899</v>
      </c>
      <c r="U52" s="55">
        <f>IFERROR(VLOOKUP($E52&amp;"|"&amp;$J52+(K52-J52),'BD Original'!$A:$Z,16,0),"")</f>
        <v>316486.40999999997</v>
      </c>
      <c r="V52" s="58">
        <f>SUMIF('BD Original'!G:G,E52,'BD Original'!R:R)</f>
        <v>0</v>
      </c>
      <c r="W52" s="57">
        <f t="shared" si="6"/>
        <v>0</v>
      </c>
      <c r="X52" s="66">
        <f t="shared" si="14"/>
        <v>0</v>
      </c>
      <c r="Y52" s="66">
        <f t="shared" si="7"/>
        <v>0.91810547805281206</v>
      </c>
      <c r="Z52" s="55">
        <f>SUMIF('BD Original'!G:G,E52,'BD Original'!T:T)</f>
        <v>735300.60899999994</v>
      </c>
      <c r="AA52" s="55">
        <f>SUMIF('BD Original'!G:G,E52,'BD Original'!U:U)</f>
        <v>366499.44</v>
      </c>
      <c r="AB52" s="66">
        <f t="shared" si="8"/>
        <v>0.49843483809762495</v>
      </c>
      <c r="AC52" s="55">
        <f>SUMIF('BD Original'!G:G,E52,'BD Original'!V:V)</f>
        <v>76</v>
      </c>
      <c r="AD52" s="69">
        <f>IFERROR(AC52/VLOOKUP(E52,'BD Original'!G:I,3,0),0)</f>
        <v>3.1666666666666665</v>
      </c>
      <c r="AE52" s="58">
        <f>SUMIF('BD Original'!G:G,E52,'BD Original'!W:W)</f>
        <v>0</v>
      </c>
      <c r="AF52" s="58">
        <f>SUMIF('BD Original'!G:G,E52,'BD Original'!X:X)</f>
        <v>0</v>
      </c>
      <c r="AG52" s="66">
        <f>IFERROR(SUMIF('BD Original'!G:G,E52,'BD Original'!X:X)/SUMIF('BD Original'!G:G,E52,'BD Original'!W:W),0)</f>
        <v>0</v>
      </c>
      <c r="AH52" s="58">
        <f>SUMIF('BD Original'!G:G,E52,'BD Original'!Y:Y)</f>
        <v>22008.550589614337</v>
      </c>
      <c r="AI52" s="58">
        <f>SUMIF('BD Original'!G:G,E52,'BD Original'!Z:Z)</f>
        <v>6137.6665000000003</v>
      </c>
      <c r="AJ52" s="66">
        <f t="shared" si="9"/>
        <v>0.27887645190484817</v>
      </c>
      <c r="AK52" s="58">
        <f t="shared" si="10"/>
        <v>6582.2193812500027</v>
      </c>
      <c r="AL52" s="71" t="str">
        <f>VLOOKUP(E52,'BD Original'!G:K,5,0)</f>
        <v>&lt; 3 Meses</v>
      </c>
      <c r="AM52" s="71" t="str">
        <f>VLOOKUP(Q52,Etiquetas!E:F,2)</f>
        <v>1 Pequeño ≤ 500k</v>
      </c>
      <c r="AN52" s="71" t="str">
        <f>IFERROR(VLOOKUP(T52,Etiquetas!H:I,2),0)</f>
        <v>8 Crecimiento Exponencial</v>
      </c>
      <c r="AO52" s="71" t="str">
        <f>VLOOKUP(AG52,Etiquetas!K:M,2)</f>
        <v>1 Bajo Extremo</v>
      </c>
      <c r="AP52" s="70">
        <f>VLOOKUP(AG52,Etiquetas!K:M,3)</f>
        <v>30</v>
      </c>
      <c r="AQ52" s="51" t="str">
        <f>VLOOKUP(AD52,Etiquetas!O:Q,2)</f>
        <v>3 Medio Bajo</v>
      </c>
      <c r="AR52" s="70">
        <f>VLOOKUP(AD52,Etiquetas!O:Q,3)</f>
        <v>70</v>
      </c>
      <c r="AS52" s="51" t="str">
        <f>VLOOKUP(AB52,Etiquetas!S:U,2)</f>
        <v>2 Bajo</v>
      </c>
      <c r="AT52" s="70">
        <f>VLOOKUP(AB52,Etiquetas!S:U,3)</f>
        <v>30</v>
      </c>
      <c r="AU52" s="70">
        <f t="shared" si="11"/>
        <v>38</v>
      </c>
      <c r="AV52" s="70" t="str">
        <f>VLOOKUP(AU52,Etiquetas!W:X,2)</f>
        <v>1 Mal Vendedor</v>
      </c>
      <c r="AW52" s="51" t="str">
        <f>VLOOKUP(Y52,Etiquetas!Z:AB,2)</f>
        <v>4 Medio Alto</v>
      </c>
      <c r="AX52" s="70">
        <f>VLOOKUP(Y52,Etiquetas!Z:AB,3)</f>
        <v>80</v>
      </c>
      <c r="AY52" s="51" t="str">
        <f>VLOOKUP(AJ52,Etiquetas!AD:AF,2)</f>
        <v>1 Bajo</v>
      </c>
      <c r="AZ52" s="70">
        <f>VLOOKUP(AJ52,Etiquetas!AD:AF,3)</f>
        <v>30</v>
      </c>
      <c r="BA52" s="79">
        <f t="shared" si="12"/>
        <v>54</v>
      </c>
      <c r="BB52" s="46" t="str">
        <f t="shared" si="13"/>
        <v>Antiguedad: &lt; 3 Meses|Tamaño Cartera: 1 Pequeño ≤ 500k|1 Mal Vendedor|Calidad Cartera: 4 Medio Alto|Alcance Incentivos: 1 Bajo</v>
      </c>
    </row>
    <row r="53" spans="2:54" x14ac:dyDescent="0.2">
      <c r="B53" s="46" t="s">
        <v>108</v>
      </c>
      <c r="C53" s="46" t="s">
        <v>58</v>
      </c>
      <c r="D53" s="47">
        <v>33874</v>
      </c>
      <c r="E53" s="46" t="s">
        <v>62</v>
      </c>
      <c r="F53" s="60">
        <v>45140</v>
      </c>
      <c r="G53" s="53">
        <v>0</v>
      </c>
      <c r="H53" s="53" t="str">
        <f t="shared" si="2"/>
        <v>ACTIVO</v>
      </c>
      <c r="I53" s="54" t="str">
        <f t="shared" si="3"/>
        <v>NO</v>
      </c>
      <c r="J53" s="47">
        <f>VLOOKUP(E53,'BD Original'!G:L,6,0)</f>
        <v>0</v>
      </c>
      <c r="K53" s="47">
        <f>VLOOKUP(E53,'BD Original'!G:M,7,0)</f>
        <v>4</v>
      </c>
      <c r="L53" s="55">
        <f>IF(VLOOKUP($E53&amp;"|"&amp;$J53+L$3,'BD Original'!$A:$Z,15,0)=0,"",IFERROR(VLOOKUP($E53&amp;"|"&amp;$J53+L$3,'BD Original'!$A:$Z,15,0),""))</f>
        <v>105948.41</v>
      </c>
      <c r="M53" s="55">
        <f>IFERROR(VLOOKUP($E53&amp;"|"&amp;$J53+M$3,'BD Original'!$A:$Z,15,0),"")</f>
        <v>179489.19</v>
      </c>
      <c r="N53" s="59" t="str">
        <f>IFERROR(VLOOKUP($E53&amp;"|"&amp;$J53+N$3,'BD Original'!$A:$Z,15,0),"")</f>
        <v/>
      </c>
      <c r="O53" s="55">
        <f>IFERROR(VLOOKUP($E53&amp;"|"&amp;$J53+O$3,'BD Original'!$A:$Z,15,0),"")</f>
        <v>424277.02</v>
      </c>
      <c r="P53" s="55">
        <f>IFERROR(VLOOKUP($E53&amp;"|"&amp;$J53+P$3,'BD Original'!$A:$Z,15,0),"")</f>
        <v>444308.31000000006</v>
      </c>
      <c r="Q53" s="68">
        <f t="shared" si="4"/>
        <v>288505.73250000004</v>
      </c>
      <c r="R53" s="56">
        <f t="shared" si="5"/>
        <v>4</v>
      </c>
      <c r="S53" s="55">
        <f>IFERROR(VLOOKUP($E53&amp;"|"&amp;$J53+(K53-J53),'BD Original'!$A:$Z,15,0),"")</f>
        <v>444308.31000000006</v>
      </c>
      <c r="T53" s="66">
        <f t="shared" si="15"/>
        <v>0.61261240955108187</v>
      </c>
      <c r="U53" s="55">
        <f>IFERROR(VLOOKUP($E53&amp;"|"&amp;$J53+(K53-J53),'BD Original'!$A:$Z,16,0),"")</f>
        <v>437056.76</v>
      </c>
      <c r="V53" s="58">
        <f>SUMIF('BD Original'!G:G,E53,'BD Original'!R:R)</f>
        <v>0</v>
      </c>
      <c r="W53" s="57">
        <f t="shared" si="6"/>
        <v>0</v>
      </c>
      <c r="X53" s="66">
        <f t="shared" si="14"/>
        <v>0</v>
      </c>
      <c r="Y53" s="66">
        <f t="shared" si="7"/>
        <v>0.98367901334098373</v>
      </c>
      <c r="Z53" s="55">
        <f>SUMIF('BD Original'!G:G,E53,'BD Original'!T:T)</f>
        <v>610899.90650000004</v>
      </c>
      <c r="AA53" s="55">
        <f>SUMIF('BD Original'!G:G,E53,'BD Original'!U:U)</f>
        <v>690499.77</v>
      </c>
      <c r="AB53" s="66">
        <f t="shared" si="8"/>
        <v>1.1302993545310027</v>
      </c>
      <c r="AC53" s="55">
        <f>SUMIF('BD Original'!G:G,E53,'BD Original'!V:V)</f>
        <v>113</v>
      </c>
      <c r="AD53" s="69">
        <f>IFERROR(AC53/VLOOKUP(E53,'BD Original'!G:I,3,0),0)</f>
        <v>3.896551724137931</v>
      </c>
      <c r="AE53" s="58">
        <f>SUMIF('BD Original'!G:G,E53,'BD Original'!W:W)</f>
        <v>6</v>
      </c>
      <c r="AF53" s="58">
        <f>SUMIF('BD Original'!G:G,E53,'BD Original'!X:X)</f>
        <v>6</v>
      </c>
      <c r="AG53" s="66">
        <f>IFERROR(SUMIF('BD Original'!G:G,E53,'BD Original'!X:X)/SUMIF('BD Original'!G:G,E53,'BD Original'!W:W),0)</f>
        <v>1</v>
      </c>
      <c r="AH53" s="58">
        <f>SUMIF('BD Original'!G:G,E53,'BD Original'!Y:Y)</f>
        <v>19846.925542623554</v>
      </c>
      <c r="AI53" s="58">
        <f>SUMIF('BD Original'!G:G,E53,'BD Original'!Z:Z)</f>
        <v>18441.483</v>
      </c>
      <c r="AJ53" s="66">
        <f t="shared" si="9"/>
        <v>0.92918588122854573</v>
      </c>
      <c r="AK53" s="58">
        <f t="shared" si="10"/>
        <v>11199.450368750002</v>
      </c>
      <c r="AL53" s="71" t="str">
        <f>VLOOKUP(E53,'BD Original'!G:K,5,0)</f>
        <v>&lt; 3 Meses</v>
      </c>
      <c r="AM53" s="71" t="str">
        <f>VLOOKUP(Q53,Etiquetas!E:F,2)</f>
        <v>1 Pequeño ≤ 500k</v>
      </c>
      <c r="AN53" s="71" t="str">
        <f>IFERROR(VLOOKUP(T53,Etiquetas!H:I,2),0)</f>
        <v>8 Crecimiento Exponencial</v>
      </c>
      <c r="AO53" s="71" t="str">
        <f>VLOOKUP(AG53,Etiquetas!K:M,2)</f>
        <v>7 Sobresaliente</v>
      </c>
      <c r="AP53" s="70">
        <f>VLOOKUP(AG53,Etiquetas!K:M,3)</f>
        <v>110</v>
      </c>
      <c r="AQ53" s="51" t="str">
        <f>VLOOKUP(AD53,Etiquetas!O:Q,2)</f>
        <v>3 Medio Bajo</v>
      </c>
      <c r="AR53" s="70">
        <f>VLOOKUP(AD53,Etiquetas!O:Q,3)</f>
        <v>70</v>
      </c>
      <c r="AS53" s="51" t="str">
        <f>VLOOKUP(AB53,Etiquetas!S:U,2)</f>
        <v>7 Sobresaliente</v>
      </c>
      <c r="AT53" s="70">
        <f>VLOOKUP(AB53,Etiquetas!S:U,3)</f>
        <v>110</v>
      </c>
      <c r="AU53" s="70">
        <f t="shared" si="11"/>
        <v>102</v>
      </c>
      <c r="AV53" s="70" t="str">
        <f>VLOOKUP(AU53,Etiquetas!W:X,2)</f>
        <v>4 Gran Vendedor</v>
      </c>
      <c r="AW53" s="51" t="str">
        <f>VLOOKUP(Y53,Etiquetas!Z:AB,2)</f>
        <v>5 Alto</v>
      </c>
      <c r="AX53" s="70">
        <f>VLOOKUP(Y53,Etiquetas!Z:AB,3)</f>
        <v>90</v>
      </c>
      <c r="AY53" s="51" t="str">
        <f>VLOOKUP(AJ53,Etiquetas!AD:AF,2)</f>
        <v>4 Alto</v>
      </c>
      <c r="AZ53" s="70">
        <f>VLOOKUP(AJ53,Etiquetas!AD:AF,3)</f>
        <v>80</v>
      </c>
      <c r="BA53" s="79">
        <f t="shared" si="12"/>
        <v>95</v>
      </c>
      <c r="BB53" s="46" t="str">
        <f t="shared" si="13"/>
        <v>Antiguedad: &lt; 3 Meses|Tamaño Cartera: 1 Pequeño ≤ 500k|4 Gran Vendedor|Calidad Cartera: 5 Alto|Alcance Incentivos: 4 Alto</v>
      </c>
    </row>
    <row r="54" spans="2:54" x14ac:dyDescent="0.2">
      <c r="B54" s="46" t="s">
        <v>109</v>
      </c>
      <c r="C54" s="46" t="s">
        <v>51</v>
      </c>
      <c r="D54" s="47">
        <v>35102</v>
      </c>
      <c r="E54" s="46" t="s">
        <v>77</v>
      </c>
      <c r="F54" s="60">
        <v>45187</v>
      </c>
      <c r="G54" s="53">
        <v>0</v>
      </c>
      <c r="H54" s="53" t="str">
        <f t="shared" si="2"/>
        <v>ACTIVO</v>
      </c>
      <c r="I54" s="54" t="str">
        <f t="shared" si="3"/>
        <v>NO</v>
      </c>
      <c r="J54" s="47">
        <f>VLOOKUP(E54,'BD Original'!G:L,6,0)</f>
        <v>0</v>
      </c>
      <c r="K54" s="47">
        <f>VLOOKUP(E54,'BD Original'!G:M,7,0)</f>
        <v>2</v>
      </c>
      <c r="L54" s="55" t="str">
        <f>IF(VLOOKUP($E54&amp;"|"&amp;$J54+L$3,'BD Original'!$A:$Z,15,0)=0,"",IFERROR(VLOOKUP($E54&amp;"|"&amp;$J54+L$3,'BD Original'!$A:$Z,15,0),""))</f>
        <v/>
      </c>
      <c r="M54" s="55">
        <f>IFERROR(VLOOKUP($E54&amp;"|"&amp;$J54+M$3,'BD Original'!$A:$Z,15,0),"")</f>
        <v>65991.66</v>
      </c>
      <c r="N54" s="55">
        <f>IFERROR(VLOOKUP($E54&amp;"|"&amp;$J54+N$3,'BD Original'!$A:$Z,15,0),"")</f>
        <v>128614.11</v>
      </c>
      <c r="O54" s="55" t="str">
        <f>IFERROR(VLOOKUP($E54&amp;"|"&amp;$J54+O$3,'BD Original'!$A:$Z,15,0),"")</f>
        <v/>
      </c>
      <c r="P54" s="55" t="str">
        <f>IFERROR(VLOOKUP($E54&amp;"|"&amp;$J54+P$3,'BD Original'!$A:$Z,15,0),"")</f>
        <v/>
      </c>
      <c r="Q54" s="68">
        <f t="shared" si="4"/>
        <v>97302.885000000009</v>
      </c>
      <c r="R54" s="56">
        <f t="shared" si="5"/>
        <v>2</v>
      </c>
      <c r="S54" s="55">
        <f>IFERROR(VLOOKUP($E54&amp;"|"&amp;$J54+(K54-J54),'BD Original'!$A:$Z,15,0),"")</f>
        <v>128614.11</v>
      </c>
      <c r="T54" s="66" t="str">
        <f t="shared" si="15"/>
        <v>NA</v>
      </c>
      <c r="U54" s="55">
        <f>IFERROR(VLOOKUP($E54&amp;"|"&amp;$J54+(K54-J54),'BD Original'!$A:$Z,16,0),"")</f>
        <v>128614.11</v>
      </c>
      <c r="V54" s="58">
        <f>SUMIF('BD Original'!G:G,E54,'BD Original'!R:R)</f>
        <v>0</v>
      </c>
      <c r="W54" s="57">
        <f t="shared" si="6"/>
        <v>0</v>
      </c>
      <c r="X54" s="66">
        <f t="shared" si="14"/>
        <v>0</v>
      </c>
      <c r="Y54" s="66">
        <f t="shared" si="7"/>
        <v>1</v>
      </c>
      <c r="Z54" s="55">
        <f>SUMIF('BD Original'!G:G,E54,'BD Original'!T:T)</f>
        <v>200954.2143600416</v>
      </c>
      <c r="AA54" s="55">
        <f>SUMIF('BD Original'!G:G,E54,'BD Original'!U:U)</f>
        <v>150999.23000000004</v>
      </c>
      <c r="AB54" s="66">
        <f t="shared" si="8"/>
        <v>0.75141111362541901</v>
      </c>
      <c r="AC54" s="55">
        <f>SUMIF('BD Original'!G:G,E54,'BD Original'!V:V)</f>
        <v>25</v>
      </c>
      <c r="AD54" s="69">
        <f>IFERROR(AC54/VLOOKUP(E54,'BD Original'!G:I,3,0),0)</f>
        <v>2.0833333333333335</v>
      </c>
      <c r="AE54" s="58">
        <f>SUMIF('BD Original'!G:G,E54,'BD Original'!W:W)</f>
        <v>0</v>
      </c>
      <c r="AF54" s="58">
        <f>SUMIF('BD Original'!G:G,E54,'BD Original'!X:X)</f>
        <v>0</v>
      </c>
      <c r="AG54" s="66">
        <f>IFERROR(SUMIF('BD Original'!G:G,E54,'BD Original'!X:X)/SUMIF('BD Original'!G:G,E54,'BD Original'!W:W),0)</f>
        <v>0</v>
      </c>
      <c r="AH54" s="58">
        <f>SUMIF('BD Original'!G:G,E54,'BD Original'!Y:Y)</f>
        <v>13617.928853872454</v>
      </c>
      <c r="AI54" s="58">
        <f>SUMIF('BD Original'!G:G,E54,'BD Original'!Z:Z)</f>
        <v>5667.5</v>
      </c>
      <c r="AJ54" s="66">
        <f t="shared" si="9"/>
        <v>0.4161792928142935</v>
      </c>
      <c r="AK54" s="58">
        <f t="shared" si="10"/>
        <v>-1571.3341124999988</v>
      </c>
      <c r="AL54" s="71" t="str">
        <f>VLOOKUP(E54,'BD Original'!G:K,5,0)</f>
        <v>&lt; 3 Meses</v>
      </c>
      <c r="AM54" s="71" t="str">
        <f>VLOOKUP(Q54,Etiquetas!E:F,2)</f>
        <v>1 Pequeño ≤ 500k</v>
      </c>
      <c r="AN54" s="71" t="str">
        <f>VLOOKUP(T54,Etiquetas!H:I,2)</f>
        <v>NA</v>
      </c>
      <c r="AO54" s="71" t="str">
        <f>VLOOKUP(AG54,Etiquetas!K:M,2)</f>
        <v>1 Bajo Extremo</v>
      </c>
      <c r="AP54" s="70">
        <f>VLOOKUP(AG54,Etiquetas!K:M,3)</f>
        <v>30</v>
      </c>
      <c r="AQ54" s="51" t="str">
        <f>VLOOKUP(AD54,Etiquetas!O:Q,2)</f>
        <v>3 Medio Bajo</v>
      </c>
      <c r="AR54" s="70">
        <f>VLOOKUP(AD54,Etiquetas!O:Q,3)</f>
        <v>70</v>
      </c>
      <c r="AS54" s="51" t="str">
        <f>VLOOKUP(AB54,Etiquetas!S:U,2)</f>
        <v>4 Medio Alto</v>
      </c>
      <c r="AT54" s="70">
        <f>VLOOKUP(AB54,Etiquetas!S:U,3)</f>
        <v>70</v>
      </c>
      <c r="AU54" s="70">
        <f t="shared" si="11"/>
        <v>54</v>
      </c>
      <c r="AV54" s="70" t="str">
        <f>VLOOKUP(AU54,Etiquetas!W:X,2)</f>
        <v>1 Mal Vendedor</v>
      </c>
      <c r="AW54" s="51" t="str">
        <f>VLOOKUP(Y54,Etiquetas!Z:AB,2)</f>
        <v>7 Sobresaliente</v>
      </c>
      <c r="AX54" s="70">
        <f>VLOOKUP(Y54,Etiquetas!Z:AB,3)</f>
        <v>110</v>
      </c>
      <c r="AY54" s="51" t="str">
        <f>VLOOKUP(AJ54,Etiquetas!AD:AF,2)</f>
        <v>2 Medio</v>
      </c>
      <c r="AZ54" s="70">
        <f>VLOOKUP(AJ54,Etiquetas!AD:AF,3)</f>
        <v>50</v>
      </c>
      <c r="BA54" s="79">
        <f t="shared" si="12"/>
        <v>76</v>
      </c>
      <c r="BB54" s="46" t="str">
        <f t="shared" si="13"/>
        <v>Antiguedad: &lt; 3 Meses|Tamaño Cartera: 1 Pequeño ≤ 500k|1 Mal Vendedor|Calidad Cartera: 7 Sobresaliente|Alcance Incentivos: 2 Medio</v>
      </c>
    </row>
    <row r="55" spans="2:54" x14ac:dyDescent="0.2">
      <c r="B55" s="46" t="s">
        <v>109</v>
      </c>
      <c r="C55" s="46" t="s">
        <v>54</v>
      </c>
      <c r="D55" s="47">
        <v>34786</v>
      </c>
      <c r="E55" s="46" t="s">
        <v>78</v>
      </c>
      <c r="F55" s="60">
        <v>45173</v>
      </c>
      <c r="G55" s="53">
        <v>45254</v>
      </c>
      <c r="H55" s="53" t="str">
        <f t="shared" si="2"/>
        <v>BAJA</v>
      </c>
      <c r="I55" s="54" t="str">
        <f t="shared" si="3"/>
        <v>NO</v>
      </c>
      <c r="J55" s="47">
        <f>VLOOKUP(E55,'BD Original'!G:L,6,0)</f>
        <v>0</v>
      </c>
      <c r="K55" s="47">
        <f>VLOOKUP(E55,'BD Original'!G:M,7,0)</f>
        <v>1</v>
      </c>
      <c r="L55" s="55">
        <f>IF(VLOOKUP($E55&amp;"|"&amp;$J55+L$3,'BD Original'!$A:$Z,15,0)=0,"",IFERROR(VLOOKUP($E55&amp;"|"&amp;$J55+L$3,'BD Original'!$A:$Z,15,0),""))</f>
        <v>83866.45</v>
      </c>
      <c r="M55" s="55">
        <f>IFERROR(VLOOKUP($E55&amp;"|"&amp;$J55+M$3,'BD Original'!$A:$Z,15,0),"")</f>
        <v>62312.639999999999</v>
      </c>
      <c r="N55" s="55" t="str">
        <f>IFERROR(VLOOKUP($E55&amp;"|"&amp;$J55+N$3,'BD Original'!$A:$Z,15,0),"")</f>
        <v/>
      </c>
      <c r="O55" s="55" t="str">
        <f>IFERROR(VLOOKUP($E55&amp;"|"&amp;$J55+O$3,'BD Original'!$A:$Z,15,0),"")</f>
        <v/>
      </c>
      <c r="P55" s="55" t="str">
        <f>IFERROR(VLOOKUP($E55&amp;"|"&amp;$J55+P$3,'BD Original'!$A:$Z,15,0),"")</f>
        <v/>
      </c>
      <c r="Q55" s="68">
        <f t="shared" si="4"/>
        <v>73089.544999999998</v>
      </c>
      <c r="R55" s="56">
        <f t="shared" si="5"/>
        <v>2</v>
      </c>
      <c r="S55" s="55">
        <f>IFERROR(VLOOKUP($E55&amp;"|"&amp;$J55+(K55-J55),'BD Original'!$A:$Z,15,0),"")</f>
        <v>62312.639999999999</v>
      </c>
      <c r="T55" s="66">
        <f t="shared" si="15"/>
        <v>-0.25700157810423596</v>
      </c>
      <c r="U55" s="55">
        <f>IFERROR(VLOOKUP($E55&amp;"|"&amp;$J55+(K55-J55),'BD Original'!$A:$Z,16,0),"")</f>
        <v>62312.639999999999</v>
      </c>
      <c r="V55" s="58">
        <f>SUMIF('BD Original'!G:G,E55,'BD Original'!R:R)</f>
        <v>0</v>
      </c>
      <c r="W55" s="57">
        <f t="shared" si="6"/>
        <v>0</v>
      </c>
      <c r="X55" s="66">
        <f t="shared" si="14"/>
        <v>0</v>
      </c>
      <c r="Y55" s="66">
        <f t="shared" si="7"/>
        <v>1</v>
      </c>
      <c r="Z55" s="55">
        <f>SUMIF('BD Original'!G:G,E55,'BD Original'!T:T)</f>
        <v>132000</v>
      </c>
      <c r="AA55" s="55">
        <f>SUMIF('BD Original'!G:G,E55,'BD Original'!U:U)</f>
        <v>94000</v>
      </c>
      <c r="AB55" s="66">
        <f t="shared" si="8"/>
        <v>0.71212121212121215</v>
      </c>
      <c r="AC55" s="55">
        <f>SUMIF('BD Original'!G:G,E55,'BD Original'!V:V)</f>
        <v>35</v>
      </c>
      <c r="AD55" s="69">
        <f>IFERROR(AC55/VLOOKUP(E55,'BD Original'!G:I,3,0),0)</f>
        <v>1.3461538461538463</v>
      </c>
      <c r="AE55" s="58">
        <f>SUMIF('BD Original'!G:G,E55,'BD Original'!W:W)</f>
        <v>0</v>
      </c>
      <c r="AF55" s="58">
        <f>SUMIF('BD Original'!G:G,E55,'BD Original'!X:X)</f>
        <v>0</v>
      </c>
      <c r="AG55" s="66">
        <f>IFERROR(SUMIF('BD Original'!G:G,E55,'BD Original'!X:X)/SUMIF('BD Original'!G:G,E55,'BD Original'!W:W),0)</f>
        <v>0</v>
      </c>
      <c r="AH55" s="58">
        <f>SUMIF('BD Original'!G:G,E55,'BD Original'!Y:Y)</f>
        <v>8313.1455484726539</v>
      </c>
      <c r="AI55" s="58">
        <f>SUMIF('BD Original'!G:G,E55,'BD Original'!Z:Z)</f>
        <v>4000</v>
      </c>
      <c r="AJ55" s="66">
        <f t="shared" si="9"/>
        <v>0.48116564021123226</v>
      </c>
      <c r="AK55" s="58">
        <f t="shared" si="10"/>
        <v>-3797.3511624999992</v>
      </c>
      <c r="AL55" s="71" t="str">
        <f>VLOOKUP(E55,'BD Original'!G:K,5,0)</f>
        <v>&lt; 3 Meses</v>
      </c>
      <c r="AM55" s="71" t="str">
        <f>VLOOKUP(Q55,Etiquetas!E:F,2)</f>
        <v>1 Pequeño ≤ 500k</v>
      </c>
      <c r="AN55" s="71" t="str">
        <f>IFERROR(VLOOKUP(T55,Etiquetas!H:I,2),0)</f>
        <v>2 Decrecimiento entre 0.1% y 50%</v>
      </c>
      <c r="AO55" s="71" t="str">
        <f>VLOOKUP(AG55,Etiquetas!K:M,2)</f>
        <v>1 Bajo Extremo</v>
      </c>
      <c r="AP55" s="70">
        <f>VLOOKUP(AG55,Etiquetas!K:M,3)</f>
        <v>30</v>
      </c>
      <c r="AQ55" s="51" t="str">
        <f>VLOOKUP(AD55,Etiquetas!O:Q,2)</f>
        <v>2 Bajo</v>
      </c>
      <c r="AR55" s="70">
        <f>VLOOKUP(AD55,Etiquetas!O:Q,3)</f>
        <v>50</v>
      </c>
      <c r="AS55" s="51" t="str">
        <f>VLOOKUP(AB55,Etiquetas!S:U,2)</f>
        <v>4 Medio Alto</v>
      </c>
      <c r="AT55" s="70">
        <f>VLOOKUP(AB55,Etiquetas!S:U,3)</f>
        <v>70</v>
      </c>
      <c r="AU55" s="70">
        <f t="shared" si="11"/>
        <v>50</v>
      </c>
      <c r="AV55" s="70" t="str">
        <f>VLOOKUP(AU55,Etiquetas!W:X,2)</f>
        <v>1 Mal Vendedor</v>
      </c>
      <c r="AW55" s="51" t="str">
        <f>VLOOKUP(Y55,Etiquetas!Z:AB,2)</f>
        <v>7 Sobresaliente</v>
      </c>
      <c r="AX55" s="70">
        <f>VLOOKUP(Y55,Etiquetas!Z:AB,3)</f>
        <v>110</v>
      </c>
      <c r="AY55" s="51" t="str">
        <f>VLOOKUP(AJ55,Etiquetas!AD:AF,2)</f>
        <v>2 Medio</v>
      </c>
      <c r="AZ55" s="70">
        <f>VLOOKUP(AJ55,Etiquetas!AD:AF,3)</f>
        <v>50</v>
      </c>
      <c r="BA55" s="79">
        <f t="shared" si="12"/>
        <v>74</v>
      </c>
      <c r="BB55" s="46" t="str">
        <f t="shared" si="13"/>
        <v>Antiguedad: &lt; 3 Meses|Tamaño Cartera: 1 Pequeño ≤ 500k|1 Mal Vendedor|Calidad Cartera: 7 Sobresaliente|Alcance Incentivos: 2 Medio</v>
      </c>
    </row>
    <row r="56" spans="2:54" x14ac:dyDescent="0.2">
      <c r="B56" s="46" t="s">
        <v>108</v>
      </c>
      <c r="C56" s="46" t="s">
        <v>9</v>
      </c>
      <c r="D56" s="47">
        <v>34963</v>
      </c>
      <c r="E56" s="46" t="s">
        <v>70</v>
      </c>
      <c r="F56" s="60">
        <v>45177</v>
      </c>
      <c r="G56" s="53">
        <v>0</v>
      </c>
      <c r="H56" s="53" t="str">
        <f t="shared" si="2"/>
        <v>ACTIVO</v>
      </c>
      <c r="I56" s="54" t="str">
        <f t="shared" si="3"/>
        <v>NO</v>
      </c>
      <c r="J56" s="47">
        <f>VLOOKUP(E56,'BD Original'!G:L,6,0)</f>
        <v>0</v>
      </c>
      <c r="K56" s="47">
        <f>VLOOKUP(E56,'BD Original'!G:M,7,0)</f>
        <v>2</v>
      </c>
      <c r="L56" s="55" t="str">
        <f>IF(VLOOKUP($E56&amp;"|"&amp;$J56+L$3,'BD Original'!$A:$Z,15,0)=0,"",IFERROR(VLOOKUP($E56&amp;"|"&amp;$J56+L$3,'BD Original'!$A:$Z,15,0),""))</f>
        <v/>
      </c>
      <c r="M56" s="55">
        <f>IFERROR(VLOOKUP($E56&amp;"|"&amp;$J56+M$3,'BD Original'!$A:$Z,15,0),"")</f>
        <v>776696.58000000007</v>
      </c>
      <c r="N56" s="55">
        <f>IFERROR(VLOOKUP($E56&amp;"|"&amp;$J56+N$3,'BD Original'!$A:$Z,15,0),"")</f>
        <v>668166.29</v>
      </c>
      <c r="O56" s="55" t="str">
        <f>IFERROR(VLOOKUP($E56&amp;"|"&amp;$J56+O$3,'BD Original'!$A:$Z,15,0),"")</f>
        <v/>
      </c>
      <c r="P56" s="55" t="str">
        <f>IFERROR(VLOOKUP($E56&amp;"|"&amp;$J56+P$3,'BD Original'!$A:$Z,15,0),"")</f>
        <v/>
      </c>
      <c r="Q56" s="68">
        <f t="shared" si="4"/>
        <v>722431.43500000006</v>
      </c>
      <c r="R56" s="56">
        <f t="shared" si="5"/>
        <v>2</v>
      </c>
      <c r="S56" s="55">
        <f>IFERROR(VLOOKUP($E56&amp;"|"&amp;$J56+(K56-J56),'BD Original'!$A:$Z,15,0),"")</f>
        <v>668166.29</v>
      </c>
      <c r="T56" s="66" t="str">
        <f t="shared" si="15"/>
        <v>NA</v>
      </c>
      <c r="U56" s="55">
        <f>IFERROR(VLOOKUP($E56&amp;"|"&amp;$J56+(K56-J56),'BD Original'!$A:$Z,16,0),"")</f>
        <v>624447.63</v>
      </c>
      <c r="V56" s="58">
        <f>SUMIF('BD Original'!G:G,E56,'BD Original'!R:R)</f>
        <v>0</v>
      </c>
      <c r="W56" s="57">
        <f t="shared" si="6"/>
        <v>0</v>
      </c>
      <c r="X56" s="66">
        <f t="shared" si="14"/>
        <v>0</v>
      </c>
      <c r="Y56" s="66">
        <f t="shared" si="7"/>
        <v>0.93456919234880886</v>
      </c>
      <c r="Z56" s="55">
        <f>SUMIF('BD Original'!G:G,E56,'BD Original'!T:T)</f>
        <v>488990.11219999997</v>
      </c>
      <c r="AA56" s="55">
        <f>SUMIF('BD Original'!G:G,E56,'BD Original'!U:U)</f>
        <v>669499.94000000006</v>
      </c>
      <c r="AB56" s="66">
        <f t="shared" si="8"/>
        <v>1.3691482164902558</v>
      </c>
      <c r="AC56" s="55">
        <f>SUMIF('BD Original'!G:G,E56,'BD Original'!V:V)</f>
        <v>16</v>
      </c>
      <c r="AD56" s="69">
        <f>IFERROR(AC56/VLOOKUP(E56,'BD Original'!G:I,3,0),0)</f>
        <v>0.72727272727272729</v>
      </c>
      <c r="AE56" s="58">
        <f>SUMIF('BD Original'!G:G,E56,'BD Original'!W:W)</f>
        <v>0</v>
      </c>
      <c r="AF56" s="58">
        <f>SUMIF('BD Original'!G:G,E56,'BD Original'!X:X)</f>
        <v>0</v>
      </c>
      <c r="AG56" s="66">
        <f>IFERROR(SUMIF('BD Original'!G:G,E56,'BD Original'!X:X)/SUMIF('BD Original'!G:G,E56,'BD Original'!W:W),0)</f>
        <v>0</v>
      </c>
      <c r="AH56" s="58">
        <f>SUMIF('BD Original'!G:G,E56,'BD Original'!Y:Y)</f>
        <v>20703.035714285714</v>
      </c>
      <c r="AI56" s="58">
        <f>SUMIF('BD Original'!G:G,E56,'BD Original'!Z:Z)</f>
        <v>11880.931825</v>
      </c>
      <c r="AJ56" s="66">
        <f t="shared" si="9"/>
        <v>0.573873898927866</v>
      </c>
      <c r="AK56" s="58">
        <f t="shared" si="10"/>
        <v>37480.273425000007</v>
      </c>
      <c r="AL56" s="71" t="str">
        <f>VLOOKUP(E56,'BD Original'!G:K,5,0)</f>
        <v>&lt; 3 Meses</v>
      </c>
      <c r="AM56" s="71" t="str">
        <f>VLOOKUP(Q56,Etiquetas!E:F,2)</f>
        <v>2 Mediana ≤ 1MM</v>
      </c>
      <c r="AN56" s="71" t="str">
        <f>IFERROR(VLOOKUP(T56,Etiquetas!H:I,2),0)</f>
        <v>NA</v>
      </c>
      <c r="AO56" s="71" t="str">
        <f>VLOOKUP(AG56,Etiquetas!K:M,2)</f>
        <v>1 Bajo Extremo</v>
      </c>
      <c r="AP56" s="70">
        <f>VLOOKUP(AG56,Etiquetas!K:M,3)</f>
        <v>30</v>
      </c>
      <c r="AQ56" s="51" t="str">
        <f>VLOOKUP(AD56,Etiquetas!O:Q,2)</f>
        <v>1 Bajo Extremo</v>
      </c>
      <c r="AR56" s="70">
        <f>VLOOKUP(AD56,Etiquetas!O:Q,3)</f>
        <v>30</v>
      </c>
      <c r="AS56" s="51" t="str">
        <f>VLOOKUP(AB56,Etiquetas!S:U,2)</f>
        <v>7 Sobresaliente</v>
      </c>
      <c r="AT56" s="70">
        <f>VLOOKUP(AB56,Etiquetas!S:U,3)</f>
        <v>110</v>
      </c>
      <c r="AU56" s="70">
        <f t="shared" si="11"/>
        <v>62</v>
      </c>
      <c r="AV56" s="70" t="str">
        <f>VLOOKUP(AU56,Etiquetas!W:X,2)</f>
        <v>2 Medio Vendedor</v>
      </c>
      <c r="AW56" s="51" t="str">
        <f>VLOOKUP(Y56,Etiquetas!Z:AB,2)</f>
        <v>4 Medio Alto</v>
      </c>
      <c r="AX56" s="70">
        <f>VLOOKUP(Y56,Etiquetas!Z:AB,3)</f>
        <v>80</v>
      </c>
      <c r="AY56" s="51" t="str">
        <f>VLOOKUP(AJ56,Etiquetas!AD:AF,2)</f>
        <v>2 Medio</v>
      </c>
      <c r="AZ56" s="70">
        <f>VLOOKUP(AJ56,Etiquetas!AD:AF,3)</f>
        <v>50</v>
      </c>
      <c r="BA56" s="79">
        <f t="shared" si="12"/>
        <v>68</v>
      </c>
      <c r="BB56" s="46" t="str">
        <f t="shared" si="13"/>
        <v>Antiguedad: &lt; 3 Meses|Tamaño Cartera: 2 Mediana ≤ 1MM|2 Medio Vendedor|Calidad Cartera: 4 Medio Alto|Alcance Incentivos: 2 Medio</v>
      </c>
    </row>
    <row r="57" spans="2:54" x14ac:dyDescent="0.2">
      <c r="B57" s="46" t="s">
        <v>108</v>
      </c>
      <c r="C57" s="46" t="s">
        <v>13</v>
      </c>
      <c r="D57" s="47">
        <v>34961</v>
      </c>
      <c r="E57" s="46" t="s">
        <v>72</v>
      </c>
      <c r="F57" s="60">
        <v>45177</v>
      </c>
      <c r="G57" s="53">
        <v>0</v>
      </c>
      <c r="H57" s="53" t="str">
        <f t="shared" si="2"/>
        <v>ACTIVO</v>
      </c>
      <c r="I57" s="54" t="str">
        <f t="shared" si="3"/>
        <v>NO</v>
      </c>
      <c r="J57" s="47">
        <f>VLOOKUP(E57,'BD Original'!G:L,6,0)</f>
        <v>0</v>
      </c>
      <c r="K57" s="47">
        <f>VLOOKUP(E57,'BD Original'!G:M,7,0)</f>
        <v>2</v>
      </c>
      <c r="L57" s="55" t="str">
        <f>IF(VLOOKUP($E57&amp;"|"&amp;$J57+L$3,'BD Original'!$A:$Z,15,0)=0,"",IFERROR(VLOOKUP($E57&amp;"|"&amp;$J57+L$3,'BD Original'!$A:$Z,15,0),""))</f>
        <v/>
      </c>
      <c r="M57" s="55" t="str">
        <f>IFERROR(VLOOKUP($E57&amp;"|"&amp;$J57+M$3,'BD Original'!$A:$Z,15,0),"")</f>
        <v/>
      </c>
      <c r="N57" s="55">
        <f>IFERROR(VLOOKUP($E57&amp;"|"&amp;$J57+N$3,'BD Original'!$A:$Z,15,0),"")</f>
        <v>932970.56000000017</v>
      </c>
      <c r="O57" s="55" t="str">
        <f>IFERROR(VLOOKUP($E57&amp;"|"&amp;$J57+O$3,'BD Original'!$A:$Z,15,0),"")</f>
        <v/>
      </c>
      <c r="P57" s="55" t="str">
        <f>IFERROR(VLOOKUP($E57&amp;"|"&amp;$J57+P$3,'BD Original'!$A:$Z,15,0),"")</f>
        <v/>
      </c>
      <c r="Q57" s="68">
        <f t="shared" si="4"/>
        <v>932970.56000000017</v>
      </c>
      <c r="R57" s="56">
        <f t="shared" si="5"/>
        <v>1</v>
      </c>
      <c r="S57" s="55">
        <f>IFERROR(VLOOKUP($E57&amp;"|"&amp;$J57+(K57-J57),'BD Original'!$A:$Z,15,0),"")</f>
        <v>932970.56000000017</v>
      </c>
      <c r="T57" s="66" t="str">
        <f t="shared" si="15"/>
        <v>NA</v>
      </c>
      <c r="U57" s="55">
        <f>IFERROR(VLOOKUP($E57&amp;"|"&amp;$J57+(K57-J57),'BD Original'!$A:$Z,16,0),"")</f>
        <v>932970.56000000017</v>
      </c>
      <c r="V57" s="58">
        <f>SUMIF('BD Original'!G:G,E57,'BD Original'!R:R)</f>
        <v>0</v>
      </c>
      <c r="W57" s="57">
        <f t="shared" si="6"/>
        <v>0</v>
      </c>
      <c r="X57" s="66">
        <f t="shared" si="14"/>
        <v>0</v>
      </c>
      <c r="Y57" s="66">
        <f t="shared" si="7"/>
        <v>1</v>
      </c>
      <c r="Z57" s="55">
        <f>SUMIF('BD Original'!G:G,E57,'BD Original'!T:T)</f>
        <v>35000</v>
      </c>
      <c r="AA57" s="55">
        <f>SUMIF('BD Original'!G:G,E57,'BD Original'!U:U)</f>
        <v>401000.58000000013</v>
      </c>
      <c r="AB57" s="66">
        <f t="shared" si="8"/>
        <v>11.457159428571432</v>
      </c>
      <c r="AC57" s="55">
        <f>SUMIF('BD Original'!G:G,E57,'BD Original'!V:V)</f>
        <v>6</v>
      </c>
      <c r="AD57" s="69">
        <f>IFERROR(AC57/VLOOKUP(E57,'BD Original'!G:I,3,0),0)</f>
        <v>0.27272727272727271</v>
      </c>
      <c r="AE57" s="58">
        <f>SUMIF('BD Original'!G:G,E57,'BD Original'!W:W)</f>
        <v>0</v>
      </c>
      <c r="AF57" s="58">
        <f>SUMIF('BD Original'!G:G,E57,'BD Original'!X:X)</f>
        <v>0</v>
      </c>
      <c r="AG57" s="66">
        <f>IFERROR(SUMIF('BD Original'!G:G,E57,'BD Original'!X:X)/SUMIF('BD Original'!G:G,E57,'BD Original'!W:W),0)</f>
        <v>0</v>
      </c>
      <c r="AH57" s="58">
        <f>SUMIF('BD Original'!G:G,E57,'BD Original'!Y:Y)</f>
        <v>13065.15</v>
      </c>
      <c r="AI57" s="58">
        <f>SUMIF('BD Original'!G:G,E57,'BD Original'!Z:Z)</f>
        <v>5908.6374999999998</v>
      </c>
      <c r="AJ57" s="66">
        <f t="shared" si="9"/>
        <v>0.45224413803132762</v>
      </c>
      <c r="AK57" s="58">
        <f t="shared" si="10"/>
        <v>49554.444700000007</v>
      </c>
      <c r="AL57" s="71" t="str">
        <f>VLOOKUP(E57,'BD Original'!G:K,5,0)</f>
        <v>&lt; 3 Meses</v>
      </c>
      <c r="AM57" s="71" t="str">
        <f>VLOOKUP(Q57,Etiquetas!E:F,2)</f>
        <v>2 Mediana ≤ 1MM</v>
      </c>
      <c r="AN57" s="71" t="str">
        <f>IFERROR(VLOOKUP(T57,Etiquetas!H:I,2),0)</f>
        <v>NA</v>
      </c>
      <c r="AO57" s="71" t="str">
        <f>VLOOKUP(AG57,Etiquetas!K:M,2)</f>
        <v>1 Bajo Extremo</v>
      </c>
      <c r="AP57" s="70">
        <f>VLOOKUP(AG57,Etiquetas!K:M,3)</f>
        <v>30</v>
      </c>
      <c r="AQ57" s="51" t="str">
        <f>VLOOKUP(AD57,Etiquetas!O:Q,2)</f>
        <v>1 Bajo Extremo</v>
      </c>
      <c r="AR57" s="70">
        <f>VLOOKUP(AD57,Etiquetas!O:Q,3)</f>
        <v>30</v>
      </c>
      <c r="AS57" s="51" t="str">
        <f>VLOOKUP(AB57,Etiquetas!S:U,2)</f>
        <v>7 Sobresaliente</v>
      </c>
      <c r="AT57" s="70">
        <f>VLOOKUP(AB57,Etiquetas!S:U,3)</f>
        <v>110</v>
      </c>
      <c r="AU57" s="70">
        <f t="shared" si="11"/>
        <v>62</v>
      </c>
      <c r="AV57" s="70" t="str">
        <f>VLOOKUP(AU57,Etiquetas!W:X,2)</f>
        <v>2 Medio Vendedor</v>
      </c>
      <c r="AW57" s="51" t="str">
        <f>VLOOKUP(Y57,Etiquetas!Z:AB,2)</f>
        <v>7 Sobresaliente</v>
      </c>
      <c r="AX57" s="70">
        <f>VLOOKUP(Y57,Etiquetas!Z:AB,3)</f>
        <v>110</v>
      </c>
      <c r="AY57" s="51" t="str">
        <f>VLOOKUP(AJ57,Etiquetas!AD:AF,2)</f>
        <v>2 Medio</v>
      </c>
      <c r="AZ57" s="70">
        <f>VLOOKUP(AJ57,Etiquetas!AD:AF,3)</f>
        <v>50</v>
      </c>
      <c r="BA57" s="79">
        <f t="shared" si="12"/>
        <v>80</v>
      </c>
      <c r="BB57" s="46" t="str">
        <f t="shared" si="13"/>
        <v>Antiguedad: &lt; 3 Meses|Tamaño Cartera: 2 Mediana ≤ 1MM|2 Medio Vendedor|Calidad Cartera: 7 Sobresaliente|Alcance Incentivos: 2 Medio</v>
      </c>
    </row>
    <row r="58" spans="2:54" x14ac:dyDescent="0.2">
      <c r="B58" s="46" t="s">
        <v>108</v>
      </c>
      <c r="C58" s="46" t="s">
        <v>13</v>
      </c>
      <c r="E58" s="46" t="s">
        <v>73</v>
      </c>
      <c r="F58" s="60">
        <v>45194</v>
      </c>
      <c r="G58" s="53">
        <v>45217</v>
      </c>
      <c r="H58" s="53" t="str">
        <f t="shared" si="2"/>
        <v>BAJA</v>
      </c>
      <c r="I58" s="54" t="str">
        <f t="shared" si="3"/>
        <v>NO</v>
      </c>
      <c r="J58" s="47">
        <f>VLOOKUP(E58,'BD Original'!G:L,6,0)</f>
        <v>0</v>
      </c>
      <c r="K58" s="47">
        <f>VLOOKUP(E58,'BD Original'!G:M,7,0)</f>
        <v>0</v>
      </c>
      <c r="L58" s="55" t="str">
        <f>IF(VLOOKUP($E58&amp;"|"&amp;$J58+L$3,'BD Original'!$A:$Z,15,0)=0,"",IFERROR(VLOOKUP($E58&amp;"|"&amp;$J58+L$3,'BD Original'!$A:$Z,15,0),""))</f>
        <v/>
      </c>
      <c r="M58" s="55" t="str">
        <f>IFERROR(VLOOKUP($E58&amp;"|"&amp;$J58+M$3,'BD Original'!$A:$Z,15,0),"")</f>
        <v/>
      </c>
      <c r="N58" s="55" t="str">
        <f>IFERROR(VLOOKUP($E58&amp;"|"&amp;$J58+N$3,'BD Original'!$A:$Z,15,0),"")</f>
        <v/>
      </c>
      <c r="O58" s="55" t="str">
        <f>IFERROR(VLOOKUP($E58&amp;"|"&amp;$J58+O$3,'BD Original'!$A:$Z,15,0),"")</f>
        <v/>
      </c>
      <c r="P58" s="55" t="str">
        <f>IFERROR(VLOOKUP($E58&amp;"|"&amp;$J58+P$3,'BD Original'!$A:$Z,15,0),"")</f>
        <v/>
      </c>
      <c r="Q58" s="68">
        <f t="shared" si="4"/>
        <v>0</v>
      </c>
      <c r="R58" s="56">
        <f t="shared" si="5"/>
        <v>0</v>
      </c>
      <c r="S58" s="55">
        <f>IFERROR(VLOOKUP($E58&amp;"|"&amp;$J58+(K58-J58),'BD Original'!$A:$Z,15,0),"")</f>
        <v>0</v>
      </c>
      <c r="T58" s="66" t="str">
        <f t="shared" si="15"/>
        <v>NA</v>
      </c>
      <c r="U58" s="55">
        <f>IFERROR(VLOOKUP($E58&amp;"|"&amp;$J58+(K58-J58),'BD Original'!$A:$Z,16,0),"")</f>
        <v>0</v>
      </c>
      <c r="V58" s="58">
        <f>SUMIF('BD Original'!G:G,E58,'BD Original'!R:R)</f>
        <v>0</v>
      </c>
      <c r="W58" s="57" t="e">
        <f t="shared" si="6"/>
        <v>#DIV/0!</v>
      </c>
      <c r="X58" s="66" t="e">
        <f t="shared" si="14"/>
        <v>#DIV/0!</v>
      </c>
      <c r="Y58" s="66">
        <f t="shared" si="7"/>
        <v>0</v>
      </c>
      <c r="Z58" s="55">
        <f>SUMIF('BD Original'!G:G,E58,'BD Original'!T:T)</f>
        <v>35000</v>
      </c>
      <c r="AA58" s="55">
        <f>SUMIF('BD Original'!G:G,E58,'BD Original'!U:U)</f>
        <v>0</v>
      </c>
      <c r="AB58" s="66">
        <f t="shared" si="8"/>
        <v>0</v>
      </c>
      <c r="AC58" s="55">
        <f>SUMIF('BD Original'!G:G,E58,'BD Original'!V:V)</f>
        <v>0</v>
      </c>
      <c r="AD58" s="69">
        <f>IFERROR(AC58/VLOOKUP(E58,'BD Original'!G:I,3,0),0)</f>
        <v>0</v>
      </c>
      <c r="AE58" s="58">
        <f>SUMIF('BD Original'!G:G,E58,'BD Original'!W:W)</f>
        <v>0</v>
      </c>
      <c r="AF58" s="58">
        <f>SUMIF('BD Original'!G:G,E58,'BD Original'!X:X)</f>
        <v>0</v>
      </c>
      <c r="AG58" s="66">
        <f>IFERROR(SUMIF('BD Original'!G:G,E58,'BD Original'!X:X)/SUMIF('BD Original'!G:G,E58,'BD Original'!W:W),0)</f>
        <v>0</v>
      </c>
      <c r="AH58" s="58">
        <f>SUMIF('BD Original'!G:G,E58,'BD Original'!Y:Y)</f>
        <v>2162.5</v>
      </c>
      <c r="AI58" s="58">
        <f>SUMIF('BD Original'!G:G,E58,'BD Original'!Z:Z)</f>
        <v>2000</v>
      </c>
      <c r="AJ58" s="66">
        <f t="shared" si="9"/>
        <v>0.92485549132947975</v>
      </c>
      <c r="AK58" s="58">
        <f t="shared" si="10"/>
        <v>0</v>
      </c>
      <c r="AL58" s="71" t="str">
        <f>VLOOKUP(E58,'BD Original'!G:K,5,0)</f>
        <v>&lt; 3 Meses</v>
      </c>
      <c r="AM58" s="71" t="str">
        <f>VLOOKUP(Q58,Etiquetas!E:F,2)</f>
        <v>1 Pequeño ≤ 500k</v>
      </c>
      <c r="AN58" s="71" t="str">
        <f>IFERROR(VLOOKUP(T58,Etiquetas!H:I,2),0)</f>
        <v>NA</v>
      </c>
      <c r="AO58" s="71" t="str">
        <f>VLOOKUP(AG58,Etiquetas!K:M,2)</f>
        <v>1 Bajo Extremo</v>
      </c>
      <c r="AP58" s="70">
        <f>VLOOKUP(AG58,Etiquetas!K:M,3)</f>
        <v>30</v>
      </c>
      <c r="AQ58" s="51" t="str">
        <f>VLOOKUP(AD58,Etiquetas!O:Q,2)</f>
        <v>1 Bajo Extremo</v>
      </c>
      <c r="AR58" s="70">
        <f>VLOOKUP(AD58,Etiquetas!O:Q,3)</f>
        <v>30</v>
      </c>
      <c r="AS58" s="51" t="str">
        <f>VLOOKUP(AB58,Etiquetas!S:U,2)</f>
        <v>1 Bajo Extremo</v>
      </c>
      <c r="AT58" s="70">
        <f>VLOOKUP(AB58,Etiquetas!S:U,3)</f>
        <v>0</v>
      </c>
      <c r="AU58" s="70">
        <f t="shared" si="11"/>
        <v>18</v>
      </c>
      <c r="AV58" s="70" t="str">
        <f>VLOOKUP(AU58,Etiquetas!W:X,2)</f>
        <v>1 Mal Vendedor</v>
      </c>
      <c r="AW58" s="51" t="str">
        <f>VLOOKUP(Y58,Etiquetas!Z:AB,2)</f>
        <v>1 Bajo Extremo</v>
      </c>
      <c r="AX58" s="70">
        <f>VLOOKUP(Y58,Etiquetas!Z:AB,3)</f>
        <v>30</v>
      </c>
      <c r="AY58" s="51" t="str">
        <f>VLOOKUP(AJ58,Etiquetas!AD:AF,2)</f>
        <v>4 Alto</v>
      </c>
      <c r="AZ58" s="70">
        <f>VLOOKUP(AJ58,Etiquetas!AD:AF,3)</f>
        <v>80</v>
      </c>
      <c r="BA58" s="79">
        <f t="shared" si="12"/>
        <v>29</v>
      </c>
      <c r="BB58" s="46" t="str">
        <f t="shared" si="13"/>
        <v>Antiguedad: &lt; 3 Meses|Tamaño Cartera: 1 Pequeño ≤ 500k|1 Mal Vendedor|Calidad Cartera: 1 Bajo Extremo|Alcance Incentivos: 4 Alto</v>
      </c>
    </row>
    <row r="59" spans="2:54" x14ac:dyDescent="0.2">
      <c r="B59" s="46" t="s">
        <v>108</v>
      </c>
      <c r="C59" s="46" t="s">
        <v>22</v>
      </c>
      <c r="D59" s="47">
        <v>34424</v>
      </c>
      <c r="E59" s="46" t="s">
        <v>74</v>
      </c>
      <c r="F59" s="60">
        <v>45159</v>
      </c>
      <c r="G59" s="53">
        <v>45218</v>
      </c>
      <c r="H59" s="53" t="str">
        <f t="shared" si="2"/>
        <v>BAJA</v>
      </c>
      <c r="I59" s="54" t="str">
        <f t="shared" si="3"/>
        <v>NO</v>
      </c>
      <c r="J59" s="47">
        <f>VLOOKUP(E59,'BD Original'!G:L,6,0)</f>
        <v>1</v>
      </c>
      <c r="K59" s="47">
        <f>VLOOKUP(E59,'BD Original'!G:M,7,0)</f>
        <v>1</v>
      </c>
      <c r="L59" s="55">
        <f>IF(VLOOKUP($E59&amp;"|"&amp;$J59+L$3,'BD Original'!$A:$Z,15,0)=0,"",IFERROR(VLOOKUP($E59&amp;"|"&amp;$J59+L$3,'BD Original'!$A:$Z,15,0),""))</f>
        <v>27488.06</v>
      </c>
      <c r="M59" s="55" t="str">
        <f>IFERROR(VLOOKUP($E59&amp;"|"&amp;$J59+M$3,'BD Original'!$A:$Z,15,0),"")</f>
        <v/>
      </c>
      <c r="N59" s="55" t="str">
        <f>IFERROR(VLOOKUP($E59&amp;"|"&amp;$J59+N$3,'BD Original'!$A:$Z,15,0),"")</f>
        <v/>
      </c>
      <c r="O59" s="55" t="str">
        <f>IFERROR(VLOOKUP($E59&amp;"|"&amp;$J59+O$3,'BD Original'!$A:$Z,15,0),"")</f>
        <v/>
      </c>
      <c r="P59" s="55" t="str">
        <f>IFERROR(VLOOKUP($E59&amp;"|"&amp;$J59+P$3,'BD Original'!$A:$Z,15,0),"")</f>
        <v/>
      </c>
      <c r="Q59" s="68">
        <f t="shared" si="4"/>
        <v>27488.06</v>
      </c>
      <c r="R59" s="56">
        <f t="shared" si="5"/>
        <v>1</v>
      </c>
      <c r="S59" s="55">
        <f>IFERROR(VLOOKUP($E59&amp;"|"&amp;$J59+(K59-J59),'BD Original'!$A:$Z,15,0),"")</f>
        <v>27488.06</v>
      </c>
      <c r="T59" s="66" t="str">
        <f t="shared" si="15"/>
        <v>NA</v>
      </c>
      <c r="U59" s="55">
        <f>IFERROR(VLOOKUP($E59&amp;"|"&amp;$J59+(K59-J59),'BD Original'!$A:$Z,16,0),"")</f>
        <v>27488.06</v>
      </c>
      <c r="V59" s="58">
        <f>SUMIF('BD Original'!G:G,E59,'BD Original'!R:R)</f>
        <v>0</v>
      </c>
      <c r="W59" s="57">
        <f t="shared" si="6"/>
        <v>0</v>
      </c>
      <c r="X59" s="66">
        <f t="shared" si="14"/>
        <v>0</v>
      </c>
      <c r="Y59" s="66">
        <f t="shared" si="7"/>
        <v>1</v>
      </c>
      <c r="Z59" s="55">
        <f>SUMIF('BD Original'!G:G,E59,'BD Original'!T:T)</f>
        <v>83025</v>
      </c>
      <c r="AA59" s="55">
        <f>SUMIF('BD Original'!G:G,E59,'BD Original'!U:U)</f>
        <v>35000</v>
      </c>
      <c r="AB59" s="66">
        <f t="shared" si="8"/>
        <v>0.42155977115326709</v>
      </c>
      <c r="AC59" s="55">
        <f>SUMIF('BD Original'!G:G,E59,'BD Original'!V:V)</f>
        <v>9</v>
      </c>
      <c r="AD59" s="69">
        <f>IFERROR(AC59/VLOOKUP(E59,'BD Original'!G:I,3,0),0)</f>
        <v>0.22500000000000001</v>
      </c>
      <c r="AE59" s="58">
        <f>SUMIF('BD Original'!G:G,E59,'BD Original'!W:W)</f>
        <v>0</v>
      </c>
      <c r="AF59" s="58">
        <f>SUMIF('BD Original'!G:G,E59,'BD Original'!X:X)</f>
        <v>0</v>
      </c>
      <c r="AG59" s="66">
        <f>IFERROR(SUMIF('BD Original'!G:G,E59,'BD Original'!X:X)/SUMIF('BD Original'!G:G,E59,'BD Original'!W:W),0)</f>
        <v>0</v>
      </c>
      <c r="AH59" s="58">
        <f>SUMIF('BD Original'!G:G,E59,'BD Original'!Y:Y)</f>
        <v>3345.9732142857147</v>
      </c>
      <c r="AI59" s="58">
        <f>SUMIF('BD Original'!G:G,E59,'BD Original'!Z:Z)</f>
        <v>2000</v>
      </c>
      <c r="AJ59" s="66">
        <f t="shared" si="9"/>
        <v>0.59773341623326537</v>
      </c>
      <c r="AK59" s="58">
        <f t="shared" si="10"/>
        <v>-6419.4365500000004</v>
      </c>
      <c r="AL59" s="71" t="str">
        <f>VLOOKUP(E59,'BD Original'!G:K,5,0)</f>
        <v>&lt; 3 Meses</v>
      </c>
      <c r="AM59" s="71" t="str">
        <f>VLOOKUP(Q59,Etiquetas!E:F,2)</f>
        <v>1 Pequeño ≤ 500k</v>
      </c>
      <c r="AN59" s="71" t="str">
        <f>IFERROR(VLOOKUP(T59,Etiquetas!H:I,2),0)</f>
        <v>NA</v>
      </c>
      <c r="AO59" s="71" t="str">
        <f>VLOOKUP(AG59,Etiquetas!K:M,2)</f>
        <v>1 Bajo Extremo</v>
      </c>
      <c r="AP59" s="70">
        <f>VLOOKUP(AG59,Etiquetas!K:M,3)</f>
        <v>30</v>
      </c>
      <c r="AQ59" s="51" t="str">
        <f>VLOOKUP(AD59,Etiquetas!O:Q,2)</f>
        <v>1 Bajo Extremo</v>
      </c>
      <c r="AR59" s="70">
        <f>VLOOKUP(AD59,Etiquetas!O:Q,3)</f>
        <v>30</v>
      </c>
      <c r="AS59" s="51" t="str">
        <f>VLOOKUP(AB59,Etiquetas!S:U,2)</f>
        <v>2 Bajo</v>
      </c>
      <c r="AT59" s="70">
        <f>VLOOKUP(AB59,Etiquetas!S:U,3)</f>
        <v>30</v>
      </c>
      <c r="AU59" s="70">
        <f t="shared" si="11"/>
        <v>30</v>
      </c>
      <c r="AV59" s="70" t="str">
        <f>VLOOKUP(AU59,Etiquetas!W:X,2)</f>
        <v>1 Mal Vendedor</v>
      </c>
      <c r="AW59" s="51" t="str">
        <f>VLOOKUP(Y59,Etiquetas!Z:AB,2)</f>
        <v>7 Sobresaliente</v>
      </c>
      <c r="AX59" s="70">
        <f>VLOOKUP(Y59,Etiquetas!Z:AB,3)</f>
        <v>110</v>
      </c>
      <c r="AY59" s="51" t="str">
        <f>VLOOKUP(AJ59,Etiquetas!AD:AF,2)</f>
        <v>2 Medio</v>
      </c>
      <c r="AZ59" s="70">
        <f>VLOOKUP(AJ59,Etiquetas!AD:AF,3)</f>
        <v>50</v>
      </c>
      <c r="BA59" s="79">
        <f t="shared" si="12"/>
        <v>64</v>
      </c>
      <c r="BB59" s="46" t="str">
        <f t="shared" si="13"/>
        <v>Antiguedad: &lt; 3 Meses|Tamaño Cartera: 1 Pequeño ≤ 500k|1 Mal Vendedor|Calidad Cartera: 7 Sobresaliente|Alcance Incentivos: 2 Medio</v>
      </c>
    </row>
    <row r="60" spans="2:54" x14ac:dyDescent="0.2">
      <c r="B60" s="46" t="s">
        <v>108</v>
      </c>
      <c r="C60" s="46" t="s">
        <v>22</v>
      </c>
      <c r="E60" s="46" t="s">
        <v>75</v>
      </c>
      <c r="F60" s="60">
        <v>45188</v>
      </c>
      <c r="G60" s="53">
        <v>45230</v>
      </c>
      <c r="H60" s="53" t="str">
        <f t="shared" si="2"/>
        <v>BAJA</v>
      </c>
      <c r="I60" s="54" t="str">
        <f t="shared" si="3"/>
        <v>NO</v>
      </c>
      <c r="J60" s="47">
        <f>VLOOKUP(E60,'BD Original'!G:L,6,0)</f>
        <v>0</v>
      </c>
      <c r="K60" s="47">
        <f>VLOOKUP(E60,'BD Original'!G:M,7,0)</f>
        <v>0</v>
      </c>
      <c r="L60" s="55" t="str">
        <f>IF(VLOOKUP($E60&amp;"|"&amp;$J60+L$3,'BD Original'!$A:$Z,15,0)=0,"",IFERROR(VLOOKUP($E60&amp;"|"&amp;$J60+L$3,'BD Original'!$A:$Z,15,0),""))</f>
        <v/>
      </c>
      <c r="M60" s="55" t="str">
        <f>IFERROR(VLOOKUP($E60&amp;"|"&amp;$J60+M$3,'BD Original'!$A:$Z,15,0),"")</f>
        <v/>
      </c>
      <c r="N60" s="55" t="str">
        <f>IFERROR(VLOOKUP($E60&amp;"|"&amp;$J60+N$3,'BD Original'!$A:$Z,15,0),"")</f>
        <v/>
      </c>
      <c r="O60" s="55" t="str">
        <f>IFERROR(VLOOKUP($E60&amp;"|"&amp;$J60+O$3,'BD Original'!$A:$Z,15,0),"")</f>
        <v/>
      </c>
      <c r="P60" s="55" t="str">
        <f>IFERROR(VLOOKUP($E60&amp;"|"&amp;$J60+P$3,'BD Original'!$A:$Z,15,0),"")</f>
        <v/>
      </c>
      <c r="Q60" s="68">
        <f t="shared" si="4"/>
        <v>0</v>
      </c>
      <c r="R60" s="56">
        <f t="shared" si="5"/>
        <v>0</v>
      </c>
      <c r="S60" s="55">
        <f>IFERROR(VLOOKUP($E60&amp;"|"&amp;$J60+(K60-J60),'BD Original'!$A:$Z,15,0),"")</f>
        <v>0</v>
      </c>
      <c r="T60" s="66" t="str">
        <f t="shared" si="15"/>
        <v>NA</v>
      </c>
      <c r="U60" s="55">
        <f>IFERROR(VLOOKUP($E60&amp;"|"&amp;$J60+(K60-J60),'BD Original'!$A:$Z,16,0),"")</f>
        <v>0</v>
      </c>
      <c r="V60" s="58">
        <f>SUMIF('BD Original'!G:G,E60,'BD Original'!R:R)</f>
        <v>0</v>
      </c>
      <c r="W60" s="57" t="e">
        <f t="shared" si="6"/>
        <v>#DIV/0!</v>
      </c>
      <c r="X60" s="66" t="e">
        <f t="shared" si="14"/>
        <v>#DIV/0!</v>
      </c>
      <c r="Y60" s="66">
        <f t="shared" si="7"/>
        <v>0</v>
      </c>
      <c r="Z60" s="55">
        <f>SUMIF('BD Original'!G:G,E60,'BD Original'!T:T)</f>
        <v>35000</v>
      </c>
      <c r="AA60" s="55">
        <f>SUMIF('BD Original'!G:G,E60,'BD Original'!U:U)</f>
        <v>0</v>
      </c>
      <c r="AB60" s="66">
        <f t="shared" si="8"/>
        <v>0</v>
      </c>
      <c r="AC60" s="55">
        <f>SUMIF('BD Original'!G:G,E60,'BD Original'!V:V)</f>
        <v>0</v>
      </c>
      <c r="AD60" s="69">
        <f>IFERROR(AC60/VLOOKUP(E60,'BD Original'!G:I,3,0),0)</f>
        <v>0</v>
      </c>
      <c r="AE60" s="58">
        <f>SUMIF('BD Original'!G:G,E60,'BD Original'!W:W)</f>
        <v>0</v>
      </c>
      <c r="AF60" s="58">
        <f>SUMIF('BD Original'!G:G,E60,'BD Original'!X:X)</f>
        <v>0</v>
      </c>
      <c r="AG60" s="66">
        <f>IFERROR(SUMIF('BD Original'!G:G,E60,'BD Original'!X:X)/SUMIF('BD Original'!G:G,E60,'BD Original'!W:W),0)</f>
        <v>0</v>
      </c>
      <c r="AH60" s="58">
        <f>SUMIF('BD Original'!G:G,E60,'BD Original'!Y:Y)</f>
        <v>2162.5</v>
      </c>
      <c r="AI60" s="58">
        <f>SUMIF('BD Original'!G:G,E60,'BD Original'!Z:Z)</f>
        <v>2000</v>
      </c>
      <c r="AJ60" s="66">
        <f t="shared" si="9"/>
        <v>0.92485549132947975</v>
      </c>
      <c r="AK60" s="58">
        <f t="shared" si="10"/>
        <v>0</v>
      </c>
      <c r="AL60" s="71" t="str">
        <f>VLOOKUP(E60,'BD Original'!G:K,5,0)</f>
        <v>&lt; 3 Meses</v>
      </c>
      <c r="AM60" s="71" t="str">
        <f>VLOOKUP(Q60,Etiquetas!E:F,2)</f>
        <v>1 Pequeño ≤ 500k</v>
      </c>
      <c r="AN60" s="71" t="str">
        <f>IFERROR(VLOOKUP(T60,Etiquetas!H:I,2),0)</f>
        <v>NA</v>
      </c>
      <c r="AO60" s="71" t="str">
        <f>VLOOKUP(AG60,Etiquetas!K:M,2)</f>
        <v>1 Bajo Extremo</v>
      </c>
      <c r="AP60" s="70">
        <f>VLOOKUP(AG60,Etiquetas!K:M,3)</f>
        <v>30</v>
      </c>
      <c r="AQ60" s="51" t="str">
        <f>VLOOKUP(AD60,Etiquetas!O:Q,2)</f>
        <v>1 Bajo Extremo</v>
      </c>
      <c r="AR60" s="70">
        <f>VLOOKUP(AD60,Etiquetas!O:Q,3)</f>
        <v>30</v>
      </c>
      <c r="AS60" s="51" t="str">
        <f>VLOOKUP(AB60,Etiquetas!S:U,2)</f>
        <v>1 Bajo Extremo</v>
      </c>
      <c r="AT60" s="70">
        <f>VLOOKUP(AB60,Etiquetas!S:U,3)</f>
        <v>0</v>
      </c>
      <c r="AU60" s="70">
        <f t="shared" si="11"/>
        <v>18</v>
      </c>
      <c r="AV60" s="70" t="str">
        <f>VLOOKUP(AU60,Etiquetas!W:X,2)</f>
        <v>1 Mal Vendedor</v>
      </c>
      <c r="AW60" s="51" t="str">
        <f>VLOOKUP(Y60,Etiquetas!Z:AB,2)</f>
        <v>1 Bajo Extremo</v>
      </c>
      <c r="AX60" s="70">
        <f>VLOOKUP(Y60,Etiquetas!Z:AB,3)</f>
        <v>30</v>
      </c>
      <c r="AY60" s="51" t="str">
        <f>VLOOKUP(AJ60,Etiquetas!AD:AF,2)</f>
        <v>4 Alto</v>
      </c>
      <c r="AZ60" s="70">
        <f>VLOOKUP(AJ60,Etiquetas!AD:AF,3)</f>
        <v>80</v>
      </c>
      <c r="BA60" s="79">
        <f t="shared" si="12"/>
        <v>29</v>
      </c>
      <c r="BB60" s="46" t="str">
        <f t="shared" si="13"/>
        <v>Antiguedad: &lt; 3 Meses|Tamaño Cartera: 1 Pequeño ≤ 500k|1 Mal Vendedor|Calidad Cartera: 1 Bajo Extremo|Alcance Incentivos: 4 Alto</v>
      </c>
    </row>
    <row r="61" spans="2:54" x14ac:dyDescent="0.2">
      <c r="B61" s="46" t="s">
        <v>108</v>
      </c>
      <c r="C61" s="61" t="s">
        <v>30</v>
      </c>
      <c r="D61" s="47">
        <v>34962</v>
      </c>
      <c r="E61" s="62" t="s">
        <v>76</v>
      </c>
      <c r="F61" s="60">
        <v>45177</v>
      </c>
      <c r="G61" s="53">
        <v>45244</v>
      </c>
      <c r="H61" s="53" t="str">
        <f t="shared" si="2"/>
        <v>BAJA</v>
      </c>
      <c r="I61" s="54" t="str">
        <f t="shared" si="3"/>
        <v>NO</v>
      </c>
      <c r="J61" s="47">
        <f>VLOOKUP(E61,'BD Original'!G:L,6,0)</f>
        <v>0</v>
      </c>
      <c r="K61" s="47">
        <f>VLOOKUP(E61,'BD Original'!G:M,7,0)</f>
        <v>1</v>
      </c>
      <c r="L61" s="55">
        <f>IF(VLOOKUP($E61&amp;"|"&amp;$J61+L$3,'BD Original'!$A:$Z,15,0)=0,"",IFERROR(VLOOKUP($E61&amp;"|"&amp;$J61+L$3,'BD Original'!$A:$Z,15,0),""))</f>
        <v>56000</v>
      </c>
      <c r="M61" s="55">
        <f>IFERROR(VLOOKUP($E61&amp;"|"&amp;$J61+M$3,'BD Original'!$A:$Z,15,0),"")</f>
        <v>43665.95</v>
      </c>
      <c r="N61" s="55" t="str">
        <f>IFERROR(VLOOKUP($E61&amp;"|"&amp;$J61+N$3,'BD Original'!$A:$Z,15,0),"")</f>
        <v/>
      </c>
      <c r="O61" s="55" t="str">
        <f>IFERROR(VLOOKUP($E61&amp;"|"&amp;$J61+O$3,'BD Original'!$A:$Z,15,0),"")</f>
        <v/>
      </c>
      <c r="P61" s="55" t="str">
        <f>IFERROR(VLOOKUP($E61&amp;"|"&amp;$J61+P$3,'BD Original'!$A:$Z,15,0),"")</f>
        <v/>
      </c>
      <c r="Q61" s="68">
        <f t="shared" si="4"/>
        <v>49832.974999999999</v>
      </c>
      <c r="R61" s="56">
        <f t="shared" si="5"/>
        <v>2</v>
      </c>
      <c r="S61" s="55">
        <f>IFERROR(VLOOKUP($E61&amp;"|"&amp;$J61+(K61-J61),'BD Original'!$A:$Z,15,0),"")</f>
        <v>43665.95</v>
      </c>
      <c r="T61" s="66">
        <f t="shared" si="15"/>
        <v>-0.22025089285714294</v>
      </c>
      <c r="U61" s="55">
        <f>IFERROR(VLOOKUP($E61&amp;"|"&amp;$J61+(K61-J61),'BD Original'!$A:$Z,16,0),"")</f>
        <v>43665.95</v>
      </c>
      <c r="V61" s="58">
        <f>SUMIF('BD Original'!G:G,E61,'BD Original'!R:R)</f>
        <v>0</v>
      </c>
      <c r="W61" s="57">
        <f t="shared" si="6"/>
        <v>0</v>
      </c>
      <c r="X61" s="66">
        <f t="shared" si="14"/>
        <v>0</v>
      </c>
      <c r="Y61" s="66">
        <f t="shared" si="7"/>
        <v>1</v>
      </c>
      <c r="Z61" s="55">
        <f>SUMIF('BD Original'!G:G,E61,'BD Original'!T:T)</f>
        <v>132000</v>
      </c>
      <c r="AA61" s="55">
        <f>SUMIF('BD Original'!G:G,E61,'BD Original'!U:U)</f>
        <v>56000</v>
      </c>
      <c r="AB61" s="66">
        <f t="shared" si="8"/>
        <v>0.42424242424242425</v>
      </c>
      <c r="AC61" s="55">
        <f>SUMIF('BD Original'!G:G,E61,'BD Original'!V:V)</f>
        <v>18</v>
      </c>
      <c r="AD61" s="69">
        <f>IFERROR(AC61/VLOOKUP(E61,'BD Original'!G:I,3,0),0)</f>
        <v>0.81818181818181823</v>
      </c>
      <c r="AE61" s="58">
        <f>SUMIF('BD Original'!G:G,E61,'BD Original'!W:W)</f>
        <v>0</v>
      </c>
      <c r="AF61" s="58">
        <f>SUMIF('BD Original'!G:G,E61,'BD Original'!X:X)</f>
        <v>0</v>
      </c>
      <c r="AG61" s="66">
        <f>IFERROR(SUMIF('BD Original'!G:G,E61,'BD Original'!X:X)/SUMIF('BD Original'!G:G,E61,'BD Original'!W:W),0)</f>
        <v>0</v>
      </c>
      <c r="AH61" s="58">
        <f>SUMIF('BD Original'!G:G,E61,'BD Original'!Y:Y)</f>
        <v>6630.2029240537377</v>
      </c>
      <c r="AI61" s="58">
        <f>SUMIF('BD Original'!G:G,E61,'BD Original'!Z:Z)</f>
        <v>4000</v>
      </c>
      <c r="AJ61" s="66">
        <f t="shared" si="9"/>
        <v>0.60329978521296612</v>
      </c>
      <c r="AK61" s="58">
        <f t="shared" si="10"/>
        <v>-5134.6039375</v>
      </c>
      <c r="AL61" s="71" t="str">
        <f>VLOOKUP(E61,'BD Original'!G:K,5,0)</f>
        <v>&lt; 3 Meses</v>
      </c>
      <c r="AM61" s="71" t="str">
        <f>VLOOKUP(Q61,Etiquetas!E:F,2)</f>
        <v>1 Pequeño ≤ 500k</v>
      </c>
      <c r="AN61" s="71" t="str">
        <f>IFERROR(VLOOKUP(T61,Etiquetas!H:I,2),0)</f>
        <v>2 Decrecimiento entre 0.1% y 50%</v>
      </c>
      <c r="AO61" s="71" t="str">
        <f>VLOOKUP(AG61,Etiquetas!K:M,2)</f>
        <v>1 Bajo Extremo</v>
      </c>
      <c r="AP61" s="70">
        <f>VLOOKUP(AG61,Etiquetas!K:M,3)</f>
        <v>30</v>
      </c>
      <c r="AQ61" s="51" t="str">
        <f>VLOOKUP(AD61,Etiquetas!O:Q,2)</f>
        <v>1 Bajo Extremo</v>
      </c>
      <c r="AR61" s="70">
        <f>VLOOKUP(AD61,Etiquetas!O:Q,3)</f>
        <v>30</v>
      </c>
      <c r="AS61" s="51" t="str">
        <f>VLOOKUP(AB61,Etiquetas!S:U,2)</f>
        <v>2 Bajo</v>
      </c>
      <c r="AT61" s="70">
        <f>VLOOKUP(AB61,Etiquetas!S:U,3)</f>
        <v>30</v>
      </c>
      <c r="AU61" s="70">
        <f t="shared" si="11"/>
        <v>30</v>
      </c>
      <c r="AV61" s="70" t="str">
        <f>VLOOKUP(AU61,Etiquetas!W:X,2)</f>
        <v>1 Mal Vendedor</v>
      </c>
      <c r="AW61" s="51" t="str">
        <f>VLOOKUP(Y61,Etiquetas!Z:AB,2)</f>
        <v>7 Sobresaliente</v>
      </c>
      <c r="AX61" s="70">
        <f>VLOOKUP(Y61,Etiquetas!Z:AB,3)</f>
        <v>110</v>
      </c>
      <c r="AY61" s="51" t="str">
        <f>VLOOKUP(AJ61,Etiquetas!AD:AF,2)</f>
        <v>3 Medio Alto</v>
      </c>
      <c r="AZ61" s="70">
        <f>VLOOKUP(AJ61,Etiquetas!AD:AF,3)</f>
        <v>70</v>
      </c>
      <c r="BA61" s="79">
        <f t="shared" si="12"/>
        <v>66</v>
      </c>
      <c r="BB61" s="46" t="str">
        <f t="shared" si="13"/>
        <v>Antiguedad: &lt; 3 Meses|Tamaño Cartera: 1 Pequeño ≤ 500k|1 Mal Vendedor|Calidad Cartera: 7 Sobresaliente|Alcance Incentivos: 3 Medio Alto</v>
      </c>
    </row>
    <row r="62" spans="2:54" x14ac:dyDescent="0.2">
      <c r="B62" s="46" t="s">
        <v>63</v>
      </c>
      <c r="C62" s="61" t="s">
        <v>68</v>
      </c>
      <c r="D62" s="47">
        <v>35429</v>
      </c>
      <c r="E62" s="62" t="s">
        <v>89</v>
      </c>
      <c r="F62" s="60">
        <v>45201</v>
      </c>
      <c r="G62" s="53">
        <v>0</v>
      </c>
      <c r="H62" s="53" t="str">
        <f t="shared" si="2"/>
        <v>ACTIVO</v>
      </c>
      <c r="I62" s="54" t="str">
        <f t="shared" si="3"/>
        <v>NO</v>
      </c>
      <c r="J62" s="47">
        <f>VLOOKUP(E62,'BD Original'!G:L,6,0)</f>
        <v>0</v>
      </c>
      <c r="K62" s="47">
        <f>VLOOKUP(E62,'BD Original'!G:M,7,0)</f>
        <v>0</v>
      </c>
      <c r="L62" s="55">
        <f>IF(VLOOKUP($E62&amp;"|"&amp;$J62+L$3,'BD Original'!$A:$Z,15,0)=0,"",IFERROR(VLOOKUP($E62&amp;"|"&amp;$J62+L$3,'BD Original'!$A:$Z,15,0),""))</f>
        <v>458864.25</v>
      </c>
      <c r="M62" s="55" t="str">
        <f>IFERROR(VLOOKUP($E62&amp;"|"&amp;$J62+M$3,'BD Original'!$A:$Z,15,0),"")</f>
        <v/>
      </c>
      <c r="N62" s="55" t="str">
        <f>IFERROR(VLOOKUP($E62&amp;"|"&amp;$J62+N$3,'BD Original'!$A:$Z,15,0),"")</f>
        <v/>
      </c>
      <c r="O62" s="55" t="str">
        <f>IFERROR(VLOOKUP($E62&amp;"|"&amp;$J62+O$3,'BD Original'!$A:$Z,15,0),"")</f>
        <v/>
      </c>
      <c r="P62" s="55" t="str">
        <f>IFERROR(VLOOKUP($E62&amp;"|"&amp;$J62+P$3,'BD Original'!$A:$Z,15,0),"")</f>
        <v/>
      </c>
      <c r="Q62" s="68">
        <f t="shared" si="4"/>
        <v>458864.25</v>
      </c>
      <c r="R62" s="56">
        <f t="shared" si="5"/>
        <v>1</v>
      </c>
      <c r="S62" s="55">
        <f>IFERROR(VLOOKUP($E62&amp;"|"&amp;$J62+(K62-J62),'BD Original'!$A:$Z,15,0),"")</f>
        <v>458864.25</v>
      </c>
      <c r="T62" s="66" t="str">
        <f t="shared" si="15"/>
        <v>NA</v>
      </c>
      <c r="U62" s="55">
        <f>IFERROR(VLOOKUP($E62&amp;"|"&amp;$J62+(K62-J62),'BD Original'!$A:$Z,16,0),"")</f>
        <v>364978.08</v>
      </c>
      <c r="V62" s="58">
        <f>SUMIF('BD Original'!G:G,E62,'BD Original'!R:R)</f>
        <v>0</v>
      </c>
      <c r="W62" s="57">
        <f t="shared" si="6"/>
        <v>0</v>
      </c>
      <c r="X62" s="66">
        <f t="shared" si="14"/>
        <v>0</v>
      </c>
      <c r="Y62" s="66">
        <f t="shared" si="7"/>
        <v>0.79539445489597416</v>
      </c>
      <c r="Z62" s="55">
        <f>SUMIF('BD Original'!G:G,E62,'BD Original'!T:T)</f>
        <v>35000</v>
      </c>
      <c r="AA62" s="55">
        <f>SUMIF('BD Original'!G:G,E62,'BD Original'!U:U)</f>
        <v>87999.87</v>
      </c>
      <c r="AB62" s="66">
        <f t="shared" si="8"/>
        <v>2.5142819999999997</v>
      </c>
      <c r="AC62" s="55">
        <f>SUMIF('BD Original'!G:G,E62,'BD Original'!V:V)</f>
        <v>2</v>
      </c>
      <c r="AD62" s="69">
        <f>IFERROR(AC62/VLOOKUP(E62,'BD Original'!G:I,3,0),0)</f>
        <v>6.8965517241379309E-2</v>
      </c>
      <c r="AE62" s="58">
        <f>SUMIF('BD Original'!G:G,E62,'BD Original'!W:W)</f>
        <v>0</v>
      </c>
      <c r="AF62" s="58">
        <f>SUMIF('BD Original'!G:G,E62,'BD Original'!X:X)</f>
        <v>0</v>
      </c>
      <c r="AG62" s="66">
        <f>IFERROR(SUMIF('BD Original'!G:G,E62,'BD Original'!X:X)/SUMIF('BD Original'!G:G,E62,'BD Original'!W:W),0)</f>
        <v>0</v>
      </c>
      <c r="AH62" s="58">
        <f>SUMIF('BD Original'!G:G,E62,'BD Original'!Y:Y)</f>
        <v>2162.5</v>
      </c>
      <c r="AI62" s="58">
        <f>SUMIF('BD Original'!G:G,E62,'BD Original'!Z:Z)</f>
        <v>2000</v>
      </c>
      <c r="AJ62" s="66">
        <f t="shared" si="9"/>
        <v>0.92485549132947975</v>
      </c>
      <c r="AK62" s="58">
        <f t="shared" si="10"/>
        <v>18384.694375000003</v>
      </c>
      <c r="AL62" s="71" t="str">
        <f>VLOOKUP(E62,'BD Original'!G:K,5,0)</f>
        <v>&lt; 3 Meses</v>
      </c>
      <c r="AM62" s="71" t="str">
        <f>VLOOKUP(Q62,Etiquetas!E:F,2)</f>
        <v>1 Pequeño ≤ 500k</v>
      </c>
      <c r="AN62" s="71" t="str">
        <f>IFERROR(VLOOKUP(T62,Etiquetas!H:I,2),0)</f>
        <v>NA</v>
      </c>
      <c r="AO62" s="71" t="str">
        <f>VLOOKUP(AG62,Etiquetas!K:M,2)</f>
        <v>1 Bajo Extremo</v>
      </c>
      <c r="AP62" s="70">
        <f>VLOOKUP(AG62,Etiquetas!K:M,3)</f>
        <v>30</v>
      </c>
      <c r="AQ62" s="51" t="str">
        <f>VLOOKUP(AD62,Etiquetas!O:Q,2)</f>
        <v>1 Bajo Extremo</v>
      </c>
      <c r="AR62" s="70">
        <f>VLOOKUP(AD62,Etiquetas!O:Q,3)</f>
        <v>30</v>
      </c>
      <c r="AS62" s="51" t="str">
        <f>VLOOKUP(AB62,Etiquetas!S:U,2)</f>
        <v>7 Sobresaliente</v>
      </c>
      <c r="AT62" s="70">
        <f>VLOOKUP(AB62,Etiquetas!S:U,3)</f>
        <v>110</v>
      </c>
      <c r="AU62" s="70">
        <f t="shared" si="11"/>
        <v>62</v>
      </c>
      <c r="AV62" s="70" t="str">
        <f>VLOOKUP(AU62,Etiquetas!W:X,2)</f>
        <v>2 Medio Vendedor</v>
      </c>
      <c r="AW62" s="51" t="str">
        <f>VLOOKUP(Y62,Etiquetas!Z:AB,2)</f>
        <v>2 Bajo</v>
      </c>
      <c r="AX62" s="70">
        <f>VLOOKUP(Y62,Etiquetas!Z:AB,3)</f>
        <v>50</v>
      </c>
      <c r="AY62" s="51" t="str">
        <f>VLOOKUP(AJ62,Etiquetas!AD:AF,2)</f>
        <v>4 Alto</v>
      </c>
      <c r="AZ62" s="70">
        <f>VLOOKUP(AJ62,Etiquetas!AD:AF,3)</f>
        <v>80</v>
      </c>
      <c r="BA62" s="79">
        <f t="shared" si="12"/>
        <v>59</v>
      </c>
      <c r="BB62" s="46" t="str">
        <f t="shared" si="13"/>
        <v>Antiguedad: &lt; 3 Meses|Tamaño Cartera: 1 Pequeño ≤ 500k|2 Medio Vendedor|Calidad Cartera: 2 Bajo|Alcance Incentivos: 4 Alto</v>
      </c>
    </row>
    <row r="63" spans="2:54" x14ac:dyDescent="0.2">
      <c r="B63" s="46" t="s">
        <v>109</v>
      </c>
      <c r="C63" s="61" t="s">
        <v>40</v>
      </c>
      <c r="D63" s="47">
        <v>35609</v>
      </c>
      <c r="E63" s="62" t="s">
        <v>87</v>
      </c>
      <c r="F63" s="60">
        <v>45208</v>
      </c>
      <c r="G63" s="53" t="e">
        <v>#N/A</v>
      </c>
      <c r="H63" s="53" t="e">
        <f t="shared" si="2"/>
        <v>#N/A</v>
      </c>
      <c r="I63" s="54" t="str">
        <f t="shared" si="3"/>
        <v>NO</v>
      </c>
      <c r="J63" s="47">
        <f>VLOOKUP(E63,'BD Original'!G:L,6,0)</f>
        <v>0</v>
      </c>
      <c r="K63" s="47">
        <f>VLOOKUP(E63,'BD Original'!G:M,7,0)</f>
        <v>1</v>
      </c>
      <c r="L63" s="55" t="str">
        <f>IF(VLOOKUP($E63&amp;"|"&amp;$J63+L$3,'BD Original'!$A:$Z,15,0)=0,"",IFERROR(VLOOKUP($E63&amp;"|"&amp;$J63+L$3,'BD Original'!$A:$Z,15,0),""))</f>
        <v/>
      </c>
      <c r="M63" s="55">
        <f>IFERROR(VLOOKUP($E63&amp;"|"&amp;$J63+M$3,'BD Original'!$A:$Z,15,0),"")</f>
        <v>62737.320000000007</v>
      </c>
      <c r="N63" s="55" t="str">
        <f>IFERROR(VLOOKUP($E63&amp;"|"&amp;$J63+N$3,'BD Original'!$A:$Z,15,0),"")</f>
        <v/>
      </c>
      <c r="O63" s="55" t="str">
        <f>IFERROR(VLOOKUP($E63&amp;"|"&amp;$J63+O$3,'BD Original'!$A:$Z,15,0),"")</f>
        <v/>
      </c>
      <c r="P63" s="55" t="str">
        <f>IFERROR(VLOOKUP($E63&amp;"|"&amp;$J63+P$3,'BD Original'!$A:$Z,15,0),"")</f>
        <v/>
      </c>
      <c r="Q63" s="68">
        <f t="shared" si="4"/>
        <v>62737.320000000007</v>
      </c>
      <c r="R63" s="56">
        <f t="shared" si="5"/>
        <v>1</v>
      </c>
      <c r="S63" s="55">
        <f>IFERROR(VLOOKUP($E63&amp;"|"&amp;$J63+(K63-J63),'BD Original'!$A:$Z,15,0),"")</f>
        <v>62737.320000000007</v>
      </c>
      <c r="T63" s="66" t="str">
        <f t="shared" si="15"/>
        <v>NA</v>
      </c>
      <c r="U63" s="55">
        <f>IFERROR(VLOOKUP($E63&amp;"|"&amp;$J63+(K63-J63),'BD Original'!$A:$Z,16,0),"")</f>
        <v>62737.320000000007</v>
      </c>
      <c r="V63" s="58">
        <f>SUMIF('BD Original'!G:G,E63,'BD Original'!R:R)</f>
        <v>0</v>
      </c>
      <c r="W63" s="57">
        <f t="shared" si="6"/>
        <v>0</v>
      </c>
      <c r="X63" s="66">
        <f t="shared" si="14"/>
        <v>0</v>
      </c>
      <c r="Y63" s="66">
        <f t="shared" si="7"/>
        <v>1</v>
      </c>
      <c r="Z63" s="55">
        <f>SUMIF('BD Original'!G:G,E63,'BD Original'!T:T)</f>
        <v>35000</v>
      </c>
      <c r="AA63" s="55">
        <f>SUMIF('BD Original'!G:G,E63,'BD Original'!U:U)</f>
        <v>63500.26999999999</v>
      </c>
      <c r="AB63" s="66">
        <f t="shared" si="8"/>
        <v>1.8142934285714283</v>
      </c>
      <c r="AC63" s="55">
        <f>SUMIF('BD Original'!G:G,E63,'BD Original'!V:V)</f>
        <v>8</v>
      </c>
      <c r="AD63" s="69">
        <f>IFERROR(AC63/VLOOKUP(E63,'BD Original'!G:I,3,0),0)</f>
        <v>0.36363636363636365</v>
      </c>
      <c r="AE63" s="58">
        <f>SUMIF('BD Original'!G:G,E63,'BD Original'!W:W)</f>
        <v>0</v>
      </c>
      <c r="AF63" s="58">
        <f>SUMIF('BD Original'!G:G,E63,'BD Original'!X:X)</f>
        <v>0</v>
      </c>
      <c r="AG63" s="66">
        <f>IFERROR(SUMIF('BD Original'!G:G,E63,'BD Original'!X:X)/SUMIF('BD Original'!G:G,E63,'BD Original'!W:W),0)</f>
        <v>0</v>
      </c>
      <c r="AH63" s="58">
        <f>SUMIF('BD Original'!G:G,E63,'BD Original'!Y:Y)</f>
        <v>24790.15</v>
      </c>
      <c r="AI63" s="58">
        <f>SUMIF('BD Original'!G:G,E63,'BD Original'!Z:Z)</f>
        <v>2000</v>
      </c>
      <c r="AJ63" s="66">
        <f t="shared" si="9"/>
        <v>8.0677204454188453E-2</v>
      </c>
      <c r="AK63" s="58">
        <f t="shared" si="10"/>
        <v>-4392.6040999999996</v>
      </c>
      <c r="AL63" s="71" t="str">
        <f>VLOOKUP(E63,'BD Original'!G:K,5,0)</f>
        <v>&lt; 3 Meses</v>
      </c>
      <c r="AM63" s="71" t="str">
        <f>VLOOKUP(Q63,Etiquetas!E:F,2)</f>
        <v>1 Pequeño ≤ 500k</v>
      </c>
      <c r="AN63" s="71" t="str">
        <f>IFERROR(VLOOKUP(T63,Etiquetas!H:I,2),0)</f>
        <v>NA</v>
      </c>
      <c r="AO63" s="71" t="str">
        <f>VLOOKUP(AG63,Etiquetas!K:M,2)</f>
        <v>1 Bajo Extremo</v>
      </c>
      <c r="AP63" s="70">
        <f>VLOOKUP(AG63,Etiquetas!K:M,3)</f>
        <v>30</v>
      </c>
      <c r="AQ63" s="51" t="str">
        <f>VLOOKUP(AD63,Etiquetas!O:Q,2)</f>
        <v>1 Bajo Extremo</v>
      </c>
      <c r="AR63" s="70">
        <f>VLOOKUP(AD63,Etiquetas!O:Q,3)</f>
        <v>30</v>
      </c>
      <c r="AS63" s="51" t="str">
        <f>VLOOKUP(AB63,Etiquetas!S:U,2)</f>
        <v>7 Sobresaliente</v>
      </c>
      <c r="AT63" s="70">
        <f>VLOOKUP(AB63,Etiquetas!S:U,3)</f>
        <v>110</v>
      </c>
      <c r="AU63" s="70">
        <f t="shared" si="11"/>
        <v>62</v>
      </c>
      <c r="AV63" s="70" t="str">
        <f>VLOOKUP(AU63,Etiquetas!W:X,2)</f>
        <v>2 Medio Vendedor</v>
      </c>
      <c r="AW63" s="51" t="str">
        <f>VLOOKUP(Y63,Etiquetas!Z:AB,2)</f>
        <v>7 Sobresaliente</v>
      </c>
      <c r="AX63" s="70">
        <f>VLOOKUP(Y63,Etiquetas!Z:AB,3)</f>
        <v>110</v>
      </c>
      <c r="AY63" s="51" t="str">
        <f>VLOOKUP(AJ63,Etiquetas!AD:AF,2)</f>
        <v>1 Bajo</v>
      </c>
      <c r="AZ63" s="70">
        <f>VLOOKUP(AJ63,Etiquetas!AD:AF,3)</f>
        <v>30</v>
      </c>
      <c r="BA63" s="79">
        <f t="shared" si="12"/>
        <v>78</v>
      </c>
      <c r="BB63" s="46" t="str">
        <f t="shared" si="13"/>
        <v>Antiguedad: &lt; 3 Meses|Tamaño Cartera: 1 Pequeño ≤ 500k|2 Medio Vendedor|Calidad Cartera: 7 Sobresaliente|Alcance Incentivos: 1 Bajo</v>
      </c>
    </row>
    <row r="64" spans="2:54" x14ac:dyDescent="0.2">
      <c r="B64" s="46" t="s">
        <v>109</v>
      </c>
      <c r="C64" s="61" t="s">
        <v>17</v>
      </c>
      <c r="D64" s="47">
        <v>35971</v>
      </c>
      <c r="E64" s="62" t="s">
        <v>82</v>
      </c>
      <c r="F64" s="60">
        <v>45222</v>
      </c>
      <c r="G64" s="53">
        <v>0</v>
      </c>
      <c r="H64" s="53" t="str">
        <f t="shared" si="2"/>
        <v>ACTIVO</v>
      </c>
      <c r="I64" s="54" t="str">
        <f t="shared" si="3"/>
        <v>NO</v>
      </c>
      <c r="J64" s="47">
        <f>VLOOKUP(E64,'BD Original'!G:L,6,0)</f>
        <v>0</v>
      </c>
      <c r="K64" s="47">
        <f>VLOOKUP(E64,'BD Original'!G:M,7,0)</f>
        <v>1</v>
      </c>
      <c r="L64" s="55">
        <f>IF(VLOOKUP($E64&amp;"|"&amp;$J64+L$3,'BD Original'!$A:$Z,15,0)=0,"",IFERROR(VLOOKUP($E64&amp;"|"&amp;$J64+L$3,'BD Original'!$A:$Z,15,0),""))</f>
        <v>123999.45000000001</v>
      </c>
      <c r="M64" s="55">
        <f>IFERROR(VLOOKUP($E64&amp;"|"&amp;$J64+M$3,'BD Original'!$A:$Z,15,0),"")</f>
        <v>522667.75999999995</v>
      </c>
      <c r="N64" s="55" t="str">
        <f>IFERROR(VLOOKUP($E64&amp;"|"&amp;$J64+N$3,'BD Original'!$A:$Z,15,0),"")</f>
        <v/>
      </c>
      <c r="O64" s="55" t="str">
        <f>IFERROR(VLOOKUP($E64&amp;"|"&amp;$J64+O$3,'BD Original'!$A:$Z,15,0),"")</f>
        <v/>
      </c>
      <c r="P64" s="55" t="str">
        <f>IFERROR(VLOOKUP($E64&amp;"|"&amp;$J64+P$3,'BD Original'!$A:$Z,15,0),"")</f>
        <v/>
      </c>
      <c r="Q64" s="68">
        <f t="shared" si="4"/>
        <v>323333.60499999998</v>
      </c>
      <c r="R64" s="56">
        <f t="shared" si="5"/>
        <v>2</v>
      </c>
      <c r="S64" s="55">
        <f>IFERROR(VLOOKUP($E64&amp;"|"&amp;$J64+(K64-J64),'BD Original'!$A:$Z,15,0),"")</f>
        <v>522667.75999999995</v>
      </c>
      <c r="T64" s="66">
        <f t="shared" si="15"/>
        <v>3.2150812765701779</v>
      </c>
      <c r="U64" s="55">
        <f>IFERROR(VLOOKUP($E64&amp;"|"&amp;$J64+(K64-J64),'BD Original'!$A:$Z,16,0),"")</f>
        <v>467797.97000000003</v>
      </c>
      <c r="V64" s="58">
        <f>SUMIF('BD Original'!G:G,E64,'BD Original'!R:R)</f>
        <v>0</v>
      </c>
      <c r="W64" s="57">
        <f t="shared" si="6"/>
        <v>0</v>
      </c>
      <c r="X64" s="66">
        <f t="shared" si="14"/>
        <v>0</v>
      </c>
      <c r="Y64" s="66">
        <f t="shared" si="7"/>
        <v>0.89501975404031053</v>
      </c>
      <c r="Z64" s="55">
        <f>SUMIF('BD Original'!G:G,E64,'BD Original'!T:T)</f>
        <v>161440</v>
      </c>
      <c r="AA64" s="55">
        <f>SUMIF('BD Original'!G:G,E64,'BD Original'!U:U)</f>
        <v>337499.19</v>
      </c>
      <c r="AB64" s="66">
        <f t="shared" si="8"/>
        <v>2.0905549430128842</v>
      </c>
      <c r="AC64" s="55">
        <f>SUMIF('BD Original'!G:G,E64,'BD Original'!V:V)</f>
        <v>24</v>
      </c>
      <c r="AD64" s="69">
        <f>IFERROR(AC64/VLOOKUP(E64,'BD Original'!G:I,3,0),0)</f>
        <v>3</v>
      </c>
      <c r="AE64" s="58">
        <f>SUMIF('BD Original'!G:G,E64,'BD Original'!W:W)</f>
        <v>0</v>
      </c>
      <c r="AF64" s="58">
        <f>SUMIF('BD Original'!G:G,E64,'BD Original'!X:X)</f>
        <v>0</v>
      </c>
      <c r="AG64" s="66">
        <f>IFERROR(SUMIF('BD Original'!G:G,E64,'BD Original'!X:X)/SUMIF('BD Original'!G:G,E64,'BD Original'!W:W),0)</f>
        <v>0</v>
      </c>
      <c r="AH64" s="58">
        <f>SUMIF('BD Original'!G:G,E64,'BD Original'!Y:Y)</f>
        <v>16600.099999999999</v>
      </c>
      <c r="AI64" s="58">
        <f>SUMIF('BD Original'!G:G,E64,'BD Original'!Z:Z)</f>
        <v>5737.5</v>
      </c>
      <c r="AJ64" s="66">
        <f t="shared" si="9"/>
        <v>0.34563044800934939</v>
      </c>
      <c r="AK64" s="58">
        <f t="shared" si="10"/>
        <v>11460.4322875</v>
      </c>
      <c r="AL64" s="71" t="str">
        <f>VLOOKUP(E64,'BD Original'!G:K,5,0)</f>
        <v>&lt; 3 Meses</v>
      </c>
      <c r="AM64" s="71" t="str">
        <f>VLOOKUP(Q64,Etiquetas!E:F,2)</f>
        <v>1 Pequeño ≤ 500k</v>
      </c>
      <c r="AN64" s="71" t="str">
        <f>IFERROR(VLOOKUP(T64,Etiquetas!H:I,2),0)</f>
        <v>8 Crecimiento Exponencial</v>
      </c>
      <c r="AO64" s="71" t="str">
        <f>VLOOKUP(AG64,Etiquetas!K:M,2)</f>
        <v>1 Bajo Extremo</v>
      </c>
      <c r="AP64" s="70">
        <f>VLOOKUP(AG64,Etiquetas!K:M,3)</f>
        <v>30</v>
      </c>
      <c r="AQ64" s="51" t="str">
        <f>VLOOKUP(AD64,Etiquetas!O:Q,2)</f>
        <v>3 Medio Bajo</v>
      </c>
      <c r="AR64" s="70">
        <f>VLOOKUP(AD64,Etiquetas!O:Q,3)</f>
        <v>70</v>
      </c>
      <c r="AS64" s="51" t="str">
        <f>VLOOKUP(AB64,Etiquetas!S:U,2)</f>
        <v>7 Sobresaliente</v>
      </c>
      <c r="AT64" s="70">
        <f>VLOOKUP(AB64,Etiquetas!S:U,3)</f>
        <v>110</v>
      </c>
      <c r="AU64" s="70">
        <f t="shared" si="11"/>
        <v>70</v>
      </c>
      <c r="AV64" s="70" t="str">
        <f>VLOOKUP(AU64,Etiquetas!W:X,2)</f>
        <v>2 Medio Vendedor</v>
      </c>
      <c r="AW64" s="51" t="str">
        <f>VLOOKUP(Y64,Etiquetas!Z:AB,2)</f>
        <v>3 Medio Bajo</v>
      </c>
      <c r="AX64" s="70">
        <f>VLOOKUP(Y64,Etiquetas!Z:AB,3)</f>
        <v>70</v>
      </c>
      <c r="AY64" s="51" t="str">
        <f>VLOOKUP(AJ64,Etiquetas!AD:AF,2)</f>
        <v>1 Bajo</v>
      </c>
      <c r="AZ64" s="70">
        <f>VLOOKUP(AJ64,Etiquetas!AD:AF,3)</f>
        <v>30</v>
      </c>
      <c r="BA64" s="79">
        <f t="shared" si="12"/>
        <v>66</v>
      </c>
      <c r="BB64" s="46" t="str">
        <f t="shared" si="13"/>
        <v>Antiguedad: &lt; 3 Meses|Tamaño Cartera: 1 Pequeño ≤ 500k|2 Medio Vendedor|Calidad Cartera: 3 Medio Bajo|Alcance Incentivos: 1 Bajo</v>
      </c>
    </row>
    <row r="65" spans="2:54" x14ac:dyDescent="0.2">
      <c r="B65" s="46" t="s">
        <v>109</v>
      </c>
      <c r="C65" s="61" t="s">
        <v>17</v>
      </c>
      <c r="D65" s="47">
        <v>35961</v>
      </c>
      <c r="E65" s="62" t="s">
        <v>83</v>
      </c>
      <c r="F65" s="60">
        <v>45222</v>
      </c>
      <c r="G65" s="53">
        <v>45269</v>
      </c>
      <c r="H65" s="53" t="str">
        <f t="shared" si="2"/>
        <v>BAJA</v>
      </c>
      <c r="I65" s="54" t="str">
        <f t="shared" si="3"/>
        <v>NO</v>
      </c>
      <c r="J65" s="47">
        <f>VLOOKUP(E65,'BD Original'!G:L,6,0)</f>
        <v>0</v>
      </c>
      <c r="K65" s="47">
        <f>VLOOKUP(E65,'BD Original'!G:M,7,0)</f>
        <v>1</v>
      </c>
      <c r="L65" s="55" t="str">
        <f>IF(VLOOKUP($E65&amp;"|"&amp;$J65+L$3,'BD Original'!$A:$Z,15,0)=0,"",IFERROR(VLOOKUP($E65&amp;"|"&amp;$J65+L$3,'BD Original'!$A:$Z,15,0),""))</f>
        <v/>
      </c>
      <c r="M65" s="55">
        <f>IFERROR(VLOOKUP($E65&amp;"|"&amp;$J65+M$3,'BD Original'!$A:$Z,15,0),"")</f>
        <v>279141.53999999998</v>
      </c>
      <c r="N65" s="55" t="str">
        <f>IFERROR(VLOOKUP($E65&amp;"|"&amp;$J65+N$3,'BD Original'!$A:$Z,15,0),"")</f>
        <v/>
      </c>
      <c r="O65" s="55" t="str">
        <f>IFERROR(VLOOKUP($E65&amp;"|"&amp;$J65+O$3,'BD Original'!$A:$Z,15,0),"")</f>
        <v/>
      </c>
      <c r="P65" s="55" t="str">
        <f>IFERROR(VLOOKUP($E65&amp;"|"&amp;$J65+P$3,'BD Original'!$A:$Z,15,0),"")</f>
        <v/>
      </c>
      <c r="Q65" s="68">
        <f t="shared" si="4"/>
        <v>279141.53999999998</v>
      </c>
      <c r="R65" s="56">
        <f t="shared" si="5"/>
        <v>1</v>
      </c>
      <c r="S65" s="55">
        <f>IFERROR(VLOOKUP($E65&amp;"|"&amp;$J65+(K65-J65),'BD Original'!$A:$Z,15,0),"")</f>
        <v>279141.53999999998</v>
      </c>
      <c r="T65" s="66" t="str">
        <f t="shared" si="15"/>
        <v>NA</v>
      </c>
      <c r="U65" s="55">
        <f>IFERROR(VLOOKUP($E65&amp;"|"&amp;$J65+(K65-J65),'BD Original'!$A:$Z,16,0),"")</f>
        <v>279141.53999999998</v>
      </c>
      <c r="V65" s="58">
        <f>SUMIF('BD Original'!G:G,E65,'BD Original'!R:R)</f>
        <v>0</v>
      </c>
      <c r="W65" s="57">
        <f t="shared" si="6"/>
        <v>0</v>
      </c>
      <c r="X65" s="66">
        <f t="shared" si="14"/>
        <v>0</v>
      </c>
      <c r="Y65" s="66">
        <f t="shared" si="7"/>
        <v>1</v>
      </c>
      <c r="Z65" s="55">
        <f>SUMIF('BD Original'!G:G,E65,'BD Original'!T:T)</f>
        <v>94610</v>
      </c>
      <c r="AA65" s="55">
        <f>SUMIF('BD Original'!G:G,E65,'BD Original'!U:U)</f>
        <v>223000.13999999998</v>
      </c>
      <c r="AB65" s="66">
        <f t="shared" si="8"/>
        <v>2.3570461896205472</v>
      </c>
      <c r="AC65" s="55">
        <f>SUMIF('BD Original'!G:G,E65,'BD Original'!V:V)</f>
        <v>5</v>
      </c>
      <c r="AD65" s="69">
        <f>IFERROR(AC65/VLOOKUP(E65,'BD Original'!G:I,3,0),0)</f>
        <v>0.625</v>
      </c>
      <c r="AE65" s="58">
        <f>SUMIF('BD Original'!G:G,E65,'BD Original'!W:W)</f>
        <v>0</v>
      </c>
      <c r="AF65" s="58">
        <f>SUMIF('BD Original'!G:G,E65,'BD Original'!X:X)</f>
        <v>0</v>
      </c>
      <c r="AG65" s="66">
        <f>IFERROR(SUMIF('BD Original'!G:G,E65,'BD Original'!X:X)/SUMIF('BD Original'!G:G,E65,'BD Original'!W:W),0)</f>
        <v>0</v>
      </c>
      <c r="AH65" s="58">
        <f>SUMIF('BD Original'!G:G,E65,'BD Original'!Y:Y)</f>
        <v>10968.715</v>
      </c>
      <c r="AI65" s="58">
        <f>SUMIF('BD Original'!G:G,E65,'BD Original'!Z:Z)</f>
        <v>2218.4</v>
      </c>
      <c r="AJ65" s="66">
        <f t="shared" si="9"/>
        <v>0.20224793879684175</v>
      </c>
      <c r="AK65" s="58">
        <f t="shared" si="10"/>
        <v>8269.0385499999957</v>
      </c>
      <c r="AL65" s="71" t="str">
        <f>VLOOKUP(E65,'BD Original'!G:K,5,0)</f>
        <v>&lt; 3 Meses</v>
      </c>
      <c r="AM65" s="71" t="str">
        <f>VLOOKUP(Q65,Etiquetas!E:F,2)</f>
        <v>1 Pequeño ≤ 500k</v>
      </c>
      <c r="AN65" s="71" t="str">
        <f>IFERROR(VLOOKUP(T65,Etiquetas!H:I,2),0)</f>
        <v>NA</v>
      </c>
      <c r="AO65" s="71" t="str">
        <f>VLOOKUP(AG65,Etiquetas!K:M,2)</f>
        <v>1 Bajo Extremo</v>
      </c>
      <c r="AP65" s="70">
        <f>VLOOKUP(AG65,Etiquetas!K:M,3)</f>
        <v>30</v>
      </c>
      <c r="AQ65" s="51" t="str">
        <f>VLOOKUP(AD65,Etiquetas!O:Q,2)</f>
        <v>1 Bajo Extremo</v>
      </c>
      <c r="AR65" s="70">
        <f>VLOOKUP(AD65,Etiquetas!O:Q,3)</f>
        <v>30</v>
      </c>
      <c r="AS65" s="51" t="str">
        <f>VLOOKUP(AB65,Etiquetas!S:U,2)</f>
        <v>7 Sobresaliente</v>
      </c>
      <c r="AT65" s="70">
        <f>VLOOKUP(AB65,Etiquetas!S:U,3)</f>
        <v>110</v>
      </c>
      <c r="AU65" s="70">
        <f t="shared" si="11"/>
        <v>62</v>
      </c>
      <c r="AV65" s="70" t="str">
        <f>VLOOKUP(AU65,Etiquetas!W:X,2)</f>
        <v>2 Medio Vendedor</v>
      </c>
      <c r="AW65" s="51" t="str">
        <f>VLOOKUP(Y65,Etiquetas!Z:AB,2)</f>
        <v>7 Sobresaliente</v>
      </c>
      <c r="AX65" s="70">
        <f>VLOOKUP(Y65,Etiquetas!Z:AB,3)</f>
        <v>110</v>
      </c>
      <c r="AY65" s="51" t="str">
        <f>VLOOKUP(AJ65,Etiquetas!AD:AF,2)</f>
        <v>1 Bajo</v>
      </c>
      <c r="AZ65" s="70">
        <f>VLOOKUP(AJ65,Etiquetas!AD:AF,3)</f>
        <v>30</v>
      </c>
      <c r="BA65" s="79">
        <f t="shared" si="12"/>
        <v>78</v>
      </c>
      <c r="BB65" s="46" t="str">
        <f t="shared" si="13"/>
        <v>Antiguedad: &lt; 3 Meses|Tamaño Cartera: 1 Pequeño ≤ 500k|2 Medio Vendedor|Calidad Cartera: 7 Sobresaliente|Alcance Incentivos: 1 Bajo</v>
      </c>
    </row>
    <row r="66" spans="2:54" x14ac:dyDescent="0.2">
      <c r="B66" s="46" t="s">
        <v>109</v>
      </c>
      <c r="C66" s="61" t="s">
        <v>25</v>
      </c>
      <c r="D66" s="47">
        <v>36042</v>
      </c>
      <c r="E66" s="62" t="s">
        <v>85</v>
      </c>
      <c r="F66" s="60">
        <v>45223</v>
      </c>
      <c r="G66" s="53">
        <v>0</v>
      </c>
      <c r="H66" s="53" t="str">
        <f t="shared" si="2"/>
        <v>ACTIVO</v>
      </c>
      <c r="I66" s="54" t="str">
        <f t="shared" si="3"/>
        <v>NO</v>
      </c>
      <c r="J66" s="47">
        <f>VLOOKUP(E66,'BD Original'!G:L,6,0)</f>
        <v>0</v>
      </c>
      <c r="K66" s="47">
        <f>VLOOKUP(E66,'BD Original'!G:M,7,0)</f>
        <v>1</v>
      </c>
      <c r="L66" s="55" t="str">
        <f>IF(VLOOKUP($E66&amp;"|"&amp;$J66+L$3,'BD Original'!$A:$Z,15,0)=0,"",IFERROR(VLOOKUP($E66&amp;"|"&amp;$J66+L$3,'BD Original'!$A:$Z,15,0),""))</f>
        <v/>
      </c>
      <c r="M66" s="55">
        <f>IFERROR(VLOOKUP($E66&amp;"|"&amp;$J66+M$3,'BD Original'!$A:$Z,15,0),"")</f>
        <v>249323.05</v>
      </c>
      <c r="N66" s="55" t="str">
        <f>IFERROR(VLOOKUP($E66&amp;"|"&amp;$J66+N$3,'BD Original'!$A:$Z,15,0),"")</f>
        <v/>
      </c>
      <c r="O66" s="55" t="str">
        <f>IFERROR(VLOOKUP($E66&amp;"|"&amp;$J66+O$3,'BD Original'!$A:$Z,15,0),"")</f>
        <v/>
      </c>
      <c r="P66" s="55" t="str">
        <f>IFERROR(VLOOKUP($E66&amp;"|"&amp;$J66+P$3,'BD Original'!$A:$Z,15,0),"")</f>
        <v/>
      </c>
      <c r="Q66" s="68">
        <f t="shared" si="4"/>
        <v>249323.05</v>
      </c>
      <c r="R66" s="56">
        <f t="shared" si="5"/>
        <v>1</v>
      </c>
      <c r="S66" s="55">
        <f>IFERROR(VLOOKUP($E66&amp;"|"&amp;$J66+(K66-J66),'BD Original'!$A:$Z,15,0),"")</f>
        <v>249323.05</v>
      </c>
      <c r="T66" s="66" t="str">
        <f t="shared" si="15"/>
        <v>NA</v>
      </c>
      <c r="U66" s="55">
        <f>IFERROR(VLOOKUP($E66&amp;"|"&amp;$J66+(K66-J66),'BD Original'!$A:$Z,16,0),"")</f>
        <v>232910.99</v>
      </c>
      <c r="V66" s="58">
        <f>SUMIF('BD Original'!G:G,E66,'BD Original'!R:R)</f>
        <v>0</v>
      </c>
      <c r="W66" s="57">
        <f t="shared" si="6"/>
        <v>0</v>
      </c>
      <c r="X66" s="66">
        <f t="shared" si="14"/>
        <v>0</v>
      </c>
      <c r="Y66" s="66">
        <f t="shared" si="7"/>
        <v>0.93417351504403623</v>
      </c>
      <c r="Z66" s="55">
        <f>SUMIF('BD Original'!G:G,E66,'BD Original'!T:T)</f>
        <v>94240</v>
      </c>
      <c r="AA66" s="55">
        <f>SUMIF('BD Original'!G:G,E66,'BD Original'!U:U)</f>
        <v>117999.66000000002</v>
      </c>
      <c r="AB66" s="66">
        <f t="shared" si="8"/>
        <v>1.2521186332767404</v>
      </c>
      <c r="AC66" s="55">
        <f>SUMIF('BD Original'!G:G,E66,'BD Original'!V:V)</f>
        <v>8</v>
      </c>
      <c r="AD66" s="69">
        <f>IFERROR(AC66/VLOOKUP(E66,'BD Original'!G:I,3,0),0)</f>
        <v>1.1428571428571428</v>
      </c>
      <c r="AE66" s="58">
        <f>SUMIF('BD Original'!G:G,E66,'BD Original'!W:W)</f>
        <v>0</v>
      </c>
      <c r="AF66" s="58">
        <f>SUMIF('BD Original'!G:G,E66,'BD Original'!X:X)</f>
        <v>0</v>
      </c>
      <c r="AG66" s="66">
        <f>IFERROR(SUMIF('BD Original'!G:G,E66,'BD Original'!X:X)/SUMIF('BD Original'!G:G,E66,'BD Original'!W:W),0)</f>
        <v>0</v>
      </c>
      <c r="AH66" s="58">
        <f>SUMIF('BD Original'!G:G,E66,'BD Original'!Y:Y)</f>
        <v>11329.7</v>
      </c>
      <c r="AI66" s="58">
        <f>SUMIF('BD Original'!G:G,E66,'BD Original'!Z:Z)</f>
        <v>2000</v>
      </c>
      <c r="AJ66" s="66">
        <f t="shared" si="9"/>
        <v>0.17652718077265947</v>
      </c>
      <c r="AK66" s="58">
        <f t="shared" si="10"/>
        <v>6336.0753750000003</v>
      </c>
      <c r="AL66" s="71" t="str">
        <f>VLOOKUP(E66,'BD Original'!G:K,5,0)</f>
        <v>&lt; 3 Meses</v>
      </c>
      <c r="AM66" s="71" t="str">
        <f>VLOOKUP(Q66,Etiquetas!E:F,2)</f>
        <v>1 Pequeño ≤ 500k</v>
      </c>
      <c r="AN66" s="71" t="str">
        <f>IFERROR(VLOOKUP(T66,Etiquetas!H:I,2),0)</f>
        <v>NA</v>
      </c>
      <c r="AO66" s="71" t="str">
        <f>VLOOKUP(AG66,Etiquetas!K:M,2)</f>
        <v>1 Bajo Extremo</v>
      </c>
      <c r="AP66" s="70">
        <f>VLOOKUP(AG66,Etiquetas!K:M,3)</f>
        <v>30</v>
      </c>
      <c r="AQ66" s="51" t="str">
        <f>VLOOKUP(AD66,Etiquetas!O:Q,2)</f>
        <v>2 Bajo</v>
      </c>
      <c r="AR66" s="70">
        <f>VLOOKUP(AD66,Etiquetas!O:Q,3)</f>
        <v>50</v>
      </c>
      <c r="AS66" s="51" t="str">
        <f>VLOOKUP(AB66,Etiquetas!S:U,2)</f>
        <v>7 Sobresaliente</v>
      </c>
      <c r="AT66" s="70">
        <f>VLOOKUP(AB66,Etiquetas!S:U,3)</f>
        <v>110</v>
      </c>
      <c r="AU66" s="70">
        <f t="shared" si="11"/>
        <v>66</v>
      </c>
      <c r="AV66" s="70" t="str">
        <f>VLOOKUP(AU66,Etiquetas!W:X,2)</f>
        <v>2 Medio Vendedor</v>
      </c>
      <c r="AW66" s="51" t="str">
        <f>VLOOKUP(Y66,Etiquetas!Z:AB,2)</f>
        <v>4 Medio Alto</v>
      </c>
      <c r="AX66" s="70">
        <f>VLOOKUP(Y66,Etiquetas!Z:AB,3)</f>
        <v>80</v>
      </c>
      <c r="AY66" s="51" t="str">
        <f>VLOOKUP(AJ66,Etiquetas!AD:AF,2)</f>
        <v>1 Bajo</v>
      </c>
      <c r="AZ66" s="70">
        <f>VLOOKUP(AJ66,Etiquetas!AD:AF,3)</f>
        <v>30</v>
      </c>
      <c r="BA66" s="79">
        <f t="shared" si="12"/>
        <v>68</v>
      </c>
      <c r="BB66" s="46" t="str">
        <f t="shared" si="13"/>
        <v>Antiguedad: &lt; 3 Meses|Tamaño Cartera: 1 Pequeño ≤ 500k|2 Medio Vendedor|Calidad Cartera: 4 Medio Alto|Alcance Incentivos: 1 Bajo</v>
      </c>
    </row>
    <row r="67" spans="2:54" x14ac:dyDescent="0.2">
      <c r="B67" s="46" t="s">
        <v>108</v>
      </c>
      <c r="C67" s="61" t="s">
        <v>9</v>
      </c>
      <c r="D67" s="47">
        <v>36084</v>
      </c>
      <c r="E67" s="62" t="s">
        <v>79</v>
      </c>
      <c r="F67" s="60">
        <v>45226</v>
      </c>
      <c r="G67" s="53">
        <v>45267</v>
      </c>
      <c r="H67" s="53" t="str">
        <f t="shared" si="2"/>
        <v>BAJA</v>
      </c>
      <c r="I67" s="54" t="str">
        <f t="shared" si="3"/>
        <v>NO</v>
      </c>
      <c r="J67" s="47">
        <f>VLOOKUP(E67,'BD Original'!G:L,6,0)</f>
        <v>0</v>
      </c>
      <c r="K67" s="47">
        <f>VLOOKUP(E67,'BD Original'!G:M,7,0)</f>
        <v>1</v>
      </c>
      <c r="L67" s="55" t="str">
        <f>IF(VLOOKUP($E67&amp;"|"&amp;$J67+L$3,'BD Original'!$A:$Z,15,0)=0,"",IFERROR(VLOOKUP($E67&amp;"|"&amp;$J67+L$3,'BD Original'!$A:$Z,15,0),""))</f>
        <v/>
      </c>
      <c r="M67" s="55">
        <f>IFERROR(VLOOKUP($E67&amp;"|"&amp;$J67+M$3,'BD Original'!$A:$Z,15,0),"")</f>
        <v>373973.50999999995</v>
      </c>
      <c r="N67" s="55" t="str">
        <f>IFERROR(VLOOKUP($E67&amp;"|"&amp;$J67+N$3,'BD Original'!$A:$Z,15,0),"")</f>
        <v/>
      </c>
      <c r="O67" s="55" t="str">
        <f>IFERROR(VLOOKUP($E67&amp;"|"&amp;$J67+O$3,'BD Original'!$A:$Z,15,0),"")</f>
        <v/>
      </c>
      <c r="P67" s="55" t="str">
        <f>IFERROR(VLOOKUP($E67&amp;"|"&amp;$J67+P$3,'BD Original'!$A:$Z,15,0),"")</f>
        <v/>
      </c>
      <c r="Q67" s="68">
        <f t="shared" si="4"/>
        <v>373973.50999999995</v>
      </c>
      <c r="R67" s="56">
        <f t="shared" si="5"/>
        <v>1</v>
      </c>
      <c r="S67" s="55">
        <f>IFERROR(VLOOKUP($E67&amp;"|"&amp;$J67+(K67-J67),'BD Original'!$A:$Z,15,0),"")</f>
        <v>373973.50999999995</v>
      </c>
      <c r="T67" s="66" t="str">
        <f t="shared" si="15"/>
        <v>NA</v>
      </c>
      <c r="U67" s="55">
        <f>IFERROR(VLOOKUP($E67&amp;"|"&amp;$J67+(K67-J67),'BD Original'!$A:$Z,16,0),"")</f>
        <v>370570.63999999996</v>
      </c>
      <c r="V67" s="58">
        <f>SUMIF('BD Original'!G:G,E67,'BD Original'!R:R)</f>
        <v>0</v>
      </c>
      <c r="W67" s="57">
        <f t="shared" si="6"/>
        <v>0</v>
      </c>
      <c r="X67" s="66">
        <f t="shared" si="14"/>
        <v>0</v>
      </c>
      <c r="Y67" s="66">
        <f t="shared" si="7"/>
        <v>0.99090077262424281</v>
      </c>
      <c r="Z67" s="55">
        <f>SUMIF('BD Original'!G:G,E67,'BD Original'!T:T)</f>
        <v>85250</v>
      </c>
      <c r="AA67" s="55">
        <f>SUMIF('BD Original'!G:G,E67,'BD Original'!U:U)</f>
        <v>167000</v>
      </c>
      <c r="AB67" s="66">
        <f t="shared" si="8"/>
        <v>1.9589442815249267</v>
      </c>
      <c r="AC67" s="55">
        <f>SUMIF('BD Original'!G:G,E67,'BD Original'!V:V)</f>
        <v>8</v>
      </c>
      <c r="AD67" s="69">
        <f>IFERROR(AC67/VLOOKUP(E67,'BD Original'!G:I,3,0),0)</f>
        <v>2</v>
      </c>
      <c r="AE67" s="58">
        <f>SUMIF('BD Original'!G:G,E67,'BD Original'!W:W)</f>
        <v>0</v>
      </c>
      <c r="AF67" s="58">
        <f>SUMIF('BD Original'!G:G,E67,'BD Original'!X:X)</f>
        <v>0</v>
      </c>
      <c r="AG67" s="66">
        <f>IFERROR(SUMIF('BD Original'!G:G,E67,'BD Original'!X:X)/SUMIF('BD Original'!G:G,E67,'BD Original'!W:W),0)</f>
        <v>0</v>
      </c>
      <c r="AH67" s="58">
        <f>SUMIF('BD Original'!G:G,E67,'BD Original'!Y:Y)</f>
        <v>9657.625</v>
      </c>
      <c r="AI67" s="58">
        <f>SUMIF('BD Original'!G:G,E67,'BD Original'!Z:Z)</f>
        <v>4190.4624999999996</v>
      </c>
      <c r="AJ67" s="66">
        <f t="shared" si="9"/>
        <v>0.43390196865171299</v>
      </c>
      <c r="AK67" s="58">
        <f t="shared" si="10"/>
        <v>15693.939324999998</v>
      </c>
      <c r="AL67" s="71" t="str">
        <f>VLOOKUP(E67,'BD Original'!G:K,5,0)</f>
        <v>&lt; 3 Meses</v>
      </c>
      <c r="AM67" s="71" t="str">
        <f>VLOOKUP(Q67,Etiquetas!E:F,2)</f>
        <v>1 Pequeño ≤ 500k</v>
      </c>
      <c r="AN67" s="71" t="str">
        <f>IFERROR(VLOOKUP(T67,Etiquetas!H:I,2),0)</f>
        <v>NA</v>
      </c>
      <c r="AO67" s="71" t="str">
        <f>VLOOKUP(AG67,Etiquetas!K:M,2)</f>
        <v>1 Bajo Extremo</v>
      </c>
      <c r="AP67" s="70">
        <f>VLOOKUP(AG67,Etiquetas!K:M,3)</f>
        <v>30</v>
      </c>
      <c r="AQ67" s="51" t="str">
        <f>VLOOKUP(AD67,Etiquetas!O:Q,2)</f>
        <v>3 Medio Bajo</v>
      </c>
      <c r="AR67" s="70">
        <f>VLOOKUP(AD67,Etiquetas!O:Q,3)</f>
        <v>70</v>
      </c>
      <c r="AS67" s="51" t="str">
        <f>VLOOKUP(AB67,Etiquetas!S:U,2)</f>
        <v>7 Sobresaliente</v>
      </c>
      <c r="AT67" s="70">
        <f>VLOOKUP(AB67,Etiquetas!S:U,3)</f>
        <v>110</v>
      </c>
      <c r="AU67" s="70">
        <f t="shared" si="11"/>
        <v>70</v>
      </c>
      <c r="AV67" s="70" t="str">
        <f>VLOOKUP(AU67,Etiquetas!W:X,2)</f>
        <v>2 Medio Vendedor</v>
      </c>
      <c r="AW67" s="51" t="str">
        <f>VLOOKUP(Y67,Etiquetas!Z:AB,2)</f>
        <v>6 Muy Alto</v>
      </c>
      <c r="AX67" s="70">
        <f>VLOOKUP(Y67,Etiquetas!Z:AB,3)</f>
        <v>100</v>
      </c>
      <c r="AY67" s="51" t="str">
        <f>VLOOKUP(AJ67,Etiquetas!AD:AF,2)</f>
        <v>2 Medio</v>
      </c>
      <c r="AZ67" s="70">
        <f>VLOOKUP(AJ67,Etiquetas!AD:AF,3)</f>
        <v>50</v>
      </c>
      <c r="BA67" s="79">
        <f t="shared" si="12"/>
        <v>80</v>
      </c>
      <c r="BB67" s="46" t="str">
        <f t="shared" si="13"/>
        <v>Antiguedad: &lt; 3 Meses|Tamaño Cartera: 1 Pequeño ≤ 500k|2 Medio Vendedor|Calidad Cartera: 6 Muy Alto|Alcance Incentivos: 2 Medio</v>
      </c>
    </row>
    <row r="68" spans="2:54" x14ac:dyDescent="0.2">
      <c r="B68" s="46" t="s">
        <v>108</v>
      </c>
      <c r="C68" s="61" t="s">
        <v>13</v>
      </c>
      <c r="D68" s="47">
        <v>34961</v>
      </c>
      <c r="E68" s="62" t="s">
        <v>80</v>
      </c>
      <c r="F68" s="60">
        <v>45177</v>
      </c>
      <c r="G68" s="53">
        <v>0</v>
      </c>
      <c r="H68" s="53" t="str">
        <f t="shared" si="2"/>
        <v>ACTIVO</v>
      </c>
      <c r="I68" s="54" t="str">
        <f t="shared" si="3"/>
        <v>NO</v>
      </c>
      <c r="J68" s="47">
        <f>VLOOKUP(E68,'BD Original'!G:L,6,0)</f>
        <v>1</v>
      </c>
      <c r="K68" s="47">
        <f>VLOOKUP(E68,'BD Original'!G:M,7,0)</f>
        <v>1</v>
      </c>
      <c r="L68" s="55">
        <f>IF(VLOOKUP($E68&amp;"|"&amp;$J68+L$3,'BD Original'!$A:$Z,15,0)=0,"",IFERROR(VLOOKUP($E68&amp;"|"&amp;$J68+L$3,'BD Original'!$A:$Z,15,0),""))</f>
        <v>340230.22</v>
      </c>
      <c r="M68" s="55" t="str">
        <f>IFERROR(VLOOKUP($E68&amp;"|"&amp;$J68+M$3,'BD Original'!$A:$Z,15,0),"")</f>
        <v/>
      </c>
      <c r="N68" s="55" t="str">
        <f>IFERROR(VLOOKUP($E68&amp;"|"&amp;$J68+N$3,'BD Original'!$A:$Z,15,0),"")</f>
        <v/>
      </c>
      <c r="O68" s="55" t="str">
        <f>IFERROR(VLOOKUP($E68&amp;"|"&amp;$J68+O$3,'BD Original'!$A:$Z,15,0),"")</f>
        <v/>
      </c>
      <c r="P68" s="55" t="str">
        <f>IFERROR(VLOOKUP($E68&amp;"|"&amp;$J68+P$3,'BD Original'!$A:$Z,15,0),"")</f>
        <v/>
      </c>
      <c r="Q68" s="68">
        <f t="shared" si="4"/>
        <v>340230.22</v>
      </c>
      <c r="R68" s="56">
        <f t="shared" si="5"/>
        <v>1</v>
      </c>
      <c r="S68" s="55">
        <f>IFERROR(VLOOKUP($E68&amp;"|"&amp;$J68+(K68-J68),'BD Original'!$A:$Z,15,0),"")</f>
        <v>340230.22</v>
      </c>
      <c r="T68" s="66" t="str">
        <f t="shared" si="15"/>
        <v>NA</v>
      </c>
      <c r="U68" s="55">
        <f>IFERROR(VLOOKUP($E68&amp;"|"&amp;$J68+(K68-J68),'BD Original'!$A:$Z,16,0),"")</f>
        <v>340230.22</v>
      </c>
      <c r="V68" s="58">
        <f>SUMIF('BD Original'!G:G,E68,'BD Original'!R:R)</f>
        <v>0</v>
      </c>
      <c r="W68" s="57">
        <f t="shared" si="6"/>
        <v>0</v>
      </c>
      <c r="X68" s="66">
        <f t="shared" si="14"/>
        <v>0</v>
      </c>
      <c r="Y68" s="66">
        <f t="shared" si="7"/>
        <v>1</v>
      </c>
      <c r="Z68" s="55">
        <f>SUMIF('BD Original'!G:G,E68,'BD Original'!T:T)</f>
        <v>35000</v>
      </c>
      <c r="AA68" s="55">
        <f>SUMIF('BD Original'!G:G,E68,'BD Original'!U:U)</f>
        <v>331999.43000000011</v>
      </c>
      <c r="AB68" s="66">
        <f t="shared" si="8"/>
        <v>9.4856980000000028</v>
      </c>
      <c r="AC68" s="55">
        <f>SUMIF('BD Original'!G:G,E68,'BD Original'!V:V)</f>
        <v>46</v>
      </c>
      <c r="AD68" s="69">
        <f>IFERROR(AC68/VLOOKUP(E68,'BD Original'!G:I,3,0),0)</f>
        <v>0.86792452830188682</v>
      </c>
      <c r="AE68" s="58">
        <f>SUMIF('BD Original'!G:G,E68,'BD Original'!W:W)</f>
        <v>0</v>
      </c>
      <c r="AF68" s="58">
        <f>SUMIF('BD Original'!G:G,E68,'BD Original'!X:X)</f>
        <v>0</v>
      </c>
      <c r="AG68" s="66">
        <f>IFERROR(SUMIF('BD Original'!G:G,E68,'BD Original'!X:X)/SUMIF('BD Original'!G:G,E68,'BD Original'!W:W),0)</f>
        <v>0</v>
      </c>
      <c r="AH68" s="58">
        <f>SUMIF('BD Original'!G:G,E68,'BD Original'!Y:Y)</f>
        <v>2162.5</v>
      </c>
      <c r="AI68" s="58">
        <f>SUMIF('BD Original'!G:G,E68,'BD Original'!Z:Z)</f>
        <v>8625</v>
      </c>
      <c r="AJ68" s="66">
        <f t="shared" si="9"/>
        <v>3.9884393063583814</v>
      </c>
      <c r="AK68" s="58">
        <f t="shared" si="10"/>
        <v>18188.237649999999</v>
      </c>
      <c r="AL68" s="71" t="str">
        <f>VLOOKUP(E68,'BD Original'!G:K,5,0)</f>
        <v>&lt; 3 Meses</v>
      </c>
      <c r="AM68" s="71" t="str">
        <f>VLOOKUP(Q68,Etiquetas!E:F,2)</f>
        <v>1 Pequeño ≤ 500k</v>
      </c>
      <c r="AN68" s="71" t="str">
        <f>IFERROR(VLOOKUP(T68,Etiquetas!H:I,2),0)</f>
        <v>NA</v>
      </c>
      <c r="AO68" s="71" t="str">
        <f>VLOOKUP(AG68,Etiquetas!K:M,2)</f>
        <v>1 Bajo Extremo</v>
      </c>
      <c r="AP68" s="70">
        <f>VLOOKUP(AG68,Etiquetas!K:M,3)</f>
        <v>30</v>
      </c>
      <c r="AQ68" s="51" t="str">
        <f>VLOOKUP(AD68,Etiquetas!O:Q,2)</f>
        <v>1 Bajo Extremo</v>
      </c>
      <c r="AR68" s="70">
        <f>VLOOKUP(AD68,Etiquetas!O:Q,3)</f>
        <v>30</v>
      </c>
      <c r="AS68" s="51" t="str">
        <f>VLOOKUP(AB68,Etiquetas!S:U,2)</f>
        <v>7 Sobresaliente</v>
      </c>
      <c r="AT68" s="70">
        <f>VLOOKUP(AB68,Etiquetas!S:U,3)</f>
        <v>110</v>
      </c>
      <c r="AU68" s="70">
        <f t="shared" si="11"/>
        <v>62</v>
      </c>
      <c r="AV68" s="70" t="str">
        <f>VLOOKUP(AU68,Etiquetas!W:X,2)</f>
        <v>2 Medio Vendedor</v>
      </c>
      <c r="AW68" s="51" t="str">
        <f>VLOOKUP(Y68,Etiquetas!Z:AB,2)</f>
        <v>7 Sobresaliente</v>
      </c>
      <c r="AX68" s="70">
        <f>VLOOKUP(Y68,Etiquetas!Z:AB,3)</f>
        <v>110</v>
      </c>
      <c r="AY68" s="51" t="str">
        <f>VLOOKUP(AJ68,Etiquetas!AD:AF,2)</f>
        <v>5 Sobresaliente</v>
      </c>
      <c r="AZ68" s="70">
        <f>VLOOKUP(AJ68,Etiquetas!AD:AF,3)</f>
        <v>90</v>
      </c>
      <c r="BA68" s="79">
        <f t="shared" si="12"/>
        <v>84</v>
      </c>
      <c r="BB68" s="46" t="str">
        <f t="shared" si="13"/>
        <v>Antiguedad: &lt; 3 Meses|Tamaño Cartera: 1 Pequeño ≤ 500k|2 Medio Vendedor|Calidad Cartera: 7 Sobresaliente|Alcance Incentivos: 5 Sobresaliente</v>
      </c>
    </row>
    <row r="69" spans="2:54" x14ac:dyDescent="0.2">
      <c r="B69" s="46" t="s">
        <v>108</v>
      </c>
      <c r="C69" s="61" t="s">
        <v>13</v>
      </c>
      <c r="D69" s="47">
        <v>35841</v>
      </c>
      <c r="E69" s="62" t="s">
        <v>81</v>
      </c>
      <c r="F69" s="60">
        <v>45217</v>
      </c>
      <c r="G69" s="53">
        <v>0</v>
      </c>
      <c r="H69" s="53" t="str">
        <f t="shared" si="2"/>
        <v>ACTIVO</v>
      </c>
      <c r="I69" s="54" t="str">
        <f t="shared" ref="I69:I78" si="16">IF(P69=0,"SI","NO")</f>
        <v>NO</v>
      </c>
      <c r="J69" s="47">
        <f>VLOOKUP(E69,'BD Original'!G:L,6,0)</f>
        <v>0</v>
      </c>
      <c r="K69" s="47">
        <f>VLOOKUP(E69,'BD Original'!G:M,7,0)</f>
        <v>1</v>
      </c>
      <c r="L69" s="55" t="str">
        <f>IF(VLOOKUP($E69&amp;"|"&amp;$J69+L$3,'BD Original'!$A:$Z,15,0)=0,"",IFERROR(VLOOKUP($E69&amp;"|"&amp;$J69+L$3,'BD Original'!$A:$Z,15,0),""))</f>
        <v/>
      </c>
      <c r="M69" s="55">
        <f>IFERROR(VLOOKUP($E69&amp;"|"&amp;$J69+M$3,'BD Original'!$A:$Z,15,0),"")</f>
        <v>878181.5199999999</v>
      </c>
      <c r="N69" s="55" t="str">
        <f>IFERROR(VLOOKUP($E69&amp;"|"&amp;$J69+N$3,'BD Original'!$A:$Z,15,0),"")</f>
        <v/>
      </c>
      <c r="O69" s="55" t="str">
        <f>IFERROR(VLOOKUP($E69&amp;"|"&amp;$J69+O$3,'BD Original'!$A:$Z,15,0),"")</f>
        <v/>
      </c>
      <c r="P69" s="55" t="str">
        <f>IFERROR(VLOOKUP($E69&amp;"|"&amp;$J69+P$3,'BD Original'!$A:$Z,15,0),"")</f>
        <v/>
      </c>
      <c r="Q69" s="68">
        <f t="shared" ref="Q69:Q78" si="17">IFERROR(AVERAGE(L69:P69),0)</f>
        <v>878181.5199999999</v>
      </c>
      <c r="R69" s="56">
        <f t="shared" ref="R69:R78" si="18">COUNT(L69:P69)</f>
        <v>1</v>
      </c>
      <c r="S69" s="55">
        <f>IFERROR(VLOOKUP($E69&amp;"|"&amp;$J69+(K69-J69),'BD Original'!$A:$Z,15,0),"")</f>
        <v>878181.5199999999</v>
      </c>
      <c r="T69" s="66" t="str">
        <f t="shared" si="15"/>
        <v>NA</v>
      </c>
      <c r="U69" s="55">
        <f>IFERROR(VLOOKUP($E69&amp;"|"&amp;$J69+(K69-J69),'BD Original'!$A:$Z,16,0),"")</f>
        <v>878181.5199999999</v>
      </c>
      <c r="V69" s="58">
        <f>SUMIF('BD Original'!G:G,E69,'BD Original'!R:R)</f>
        <v>0</v>
      </c>
      <c r="W69" s="57">
        <f t="shared" si="6"/>
        <v>0</v>
      </c>
      <c r="X69" s="66">
        <f t="shared" si="14"/>
        <v>0</v>
      </c>
      <c r="Y69" s="66">
        <f t="shared" si="7"/>
        <v>1</v>
      </c>
      <c r="Z69" s="55">
        <f>SUMIF('BD Original'!G:G,E69,'BD Original'!T:T)</f>
        <v>112760</v>
      </c>
      <c r="AA69" s="55">
        <f>SUMIF('BD Original'!G:G,E69,'BD Original'!U:U)</f>
        <v>400500.18999999989</v>
      </c>
      <c r="AB69" s="66">
        <f t="shared" si="8"/>
        <v>3.5517931003902081</v>
      </c>
      <c r="AC69" s="55">
        <f>SUMIF('BD Original'!G:G,E69,'BD Original'!V:V)</f>
        <v>21</v>
      </c>
      <c r="AD69" s="69">
        <f>IFERROR(AC69/VLOOKUP(E69,'BD Original'!G:I,3,0),0)</f>
        <v>1.6153846153846154</v>
      </c>
      <c r="AE69" s="58">
        <f>SUMIF('BD Original'!G:G,E69,'BD Original'!W:W)</f>
        <v>0</v>
      </c>
      <c r="AF69" s="58">
        <f>SUMIF('BD Original'!G:G,E69,'BD Original'!X:X)</f>
        <v>0</v>
      </c>
      <c r="AG69" s="66">
        <f>IFERROR(SUMIF('BD Original'!G:G,E69,'BD Original'!X:X)/SUMIF('BD Original'!G:G,E69,'BD Original'!W:W),0)</f>
        <v>0</v>
      </c>
      <c r="AH69" s="58">
        <f>SUMIF('BD Original'!G:G,E69,'BD Original'!Y:Y)</f>
        <v>11135.57</v>
      </c>
      <c r="AI69" s="58">
        <f>SUMIF('BD Original'!G:G,E69,'BD Original'!Z:Z)</f>
        <v>7056.9750000000004</v>
      </c>
      <c r="AJ69" s="66">
        <f t="shared" si="9"/>
        <v>0.63373271417628385</v>
      </c>
      <c r="AK69" s="58">
        <f t="shared" si="10"/>
        <v>47552.412399999994</v>
      </c>
      <c r="AL69" s="71" t="str">
        <f>VLOOKUP(E69,'BD Original'!G:K,5,0)</f>
        <v>&lt; 3 Meses</v>
      </c>
      <c r="AM69" s="71" t="str">
        <f>VLOOKUP(Q69,Etiquetas!E:F,2)</f>
        <v>2 Mediana ≤ 1MM</v>
      </c>
      <c r="AN69" s="71" t="str">
        <f>IFERROR(VLOOKUP(T69,Etiquetas!H:I,2),0)</f>
        <v>NA</v>
      </c>
      <c r="AO69" s="71" t="str">
        <f>VLOOKUP(AG69,Etiquetas!K:M,2)</f>
        <v>1 Bajo Extremo</v>
      </c>
      <c r="AP69" s="70">
        <f>VLOOKUP(AG69,Etiquetas!K:M,3)</f>
        <v>30</v>
      </c>
      <c r="AQ69" s="51" t="str">
        <f>VLOOKUP(AD69,Etiquetas!O:Q,2)</f>
        <v>2 Bajo</v>
      </c>
      <c r="AR69" s="70">
        <f>VLOOKUP(AD69,Etiquetas!O:Q,3)</f>
        <v>50</v>
      </c>
      <c r="AS69" s="51" t="str">
        <f>VLOOKUP(AB69,Etiquetas!S:U,2)</f>
        <v>7 Sobresaliente</v>
      </c>
      <c r="AT69" s="70">
        <f>VLOOKUP(AB69,Etiquetas!S:U,3)</f>
        <v>110</v>
      </c>
      <c r="AU69" s="70">
        <f t="shared" si="11"/>
        <v>66</v>
      </c>
      <c r="AV69" s="70" t="str">
        <f>VLOOKUP(AU69,Etiquetas!W:X,2)</f>
        <v>2 Medio Vendedor</v>
      </c>
      <c r="AW69" s="51" t="str">
        <f>VLOOKUP(Y69,Etiquetas!Z:AB,2)</f>
        <v>7 Sobresaliente</v>
      </c>
      <c r="AX69" s="70">
        <f>VLOOKUP(Y69,Etiquetas!Z:AB,3)</f>
        <v>110</v>
      </c>
      <c r="AY69" s="51" t="str">
        <f>VLOOKUP(AJ69,Etiquetas!AD:AF,2)</f>
        <v>3 Medio Alto</v>
      </c>
      <c r="AZ69" s="70">
        <f>VLOOKUP(AJ69,Etiquetas!AD:AF,3)</f>
        <v>70</v>
      </c>
      <c r="BA69" s="79">
        <f t="shared" si="12"/>
        <v>84</v>
      </c>
      <c r="BB69" s="46" t="str">
        <f t="shared" si="13"/>
        <v>Antiguedad: &lt; 3 Meses|Tamaño Cartera: 2 Mediana ≤ 1MM|2 Medio Vendedor|Calidad Cartera: 7 Sobresaliente|Alcance Incentivos: 3 Medio Alto</v>
      </c>
    </row>
    <row r="70" spans="2:54" x14ac:dyDescent="0.2">
      <c r="B70" s="46" t="s">
        <v>108</v>
      </c>
      <c r="C70" s="61" t="s">
        <v>64</v>
      </c>
      <c r="D70" s="47">
        <v>35610</v>
      </c>
      <c r="E70" s="62" t="s">
        <v>88</v>
      </c>
      <c r="F70" s="60">
        <v>45208</v>
      </c>
      <c r="G70" s="53">
        <v>0</v>
      </c>
      <c r="H70" s="53" t="str">
        <f t="shared" ref="H70:H78" si="19">IF(G70=0,"ACTIVO","BAJA")</f>
        <v>ACTIVO</v>
      </c>
      <c r="I70" s="54" t="str">
        <f t="shared" si="16"/>
        <v>NO</v>
      </c>
      <c r="J70" s="47">
        <f>VLOOKUP(E70,'BD Original'!G:L,6,0)</f>
        <v>0</v>
      </c>
      <c r="K70" s="47">
        <f>VLOOKUP(E70,'BD Original'!G:M,7,0)</f>
        <v>1</v>
      </c>
      <c r="L70" s="55">
        <f>IF(VLOOKUP($E70&amp;"|"&amp;$J70+L$3,'BD Original'!$A:$Z,15,0)=0,"",IFERROR(VLOOKUP($E70&amp;"|"&amp;$J70+L$3,'BD Original'!$A:$Z,15,0),""))</f>
        <v>120712.59</v>
      </c>
      <c r="M70" s="55">
        <f>IFERROR(VLOOKUP($E70&amp;"|"&amp;$J70+M$3,'BD Original'!$A:$Z,15,0),"")</f>
        <v>186659.94999999998</v>
      </c>
      <c r="N70" s="55" t="str">
        <f>IFERROR(VLOOKUP($E70&amp;"|"&amp;$J70+N$3,'BD Original'!$A:$Z,15,0),"")</f>
        <v/>
      </c>
      <c r="O70" s="55" t="str">
        <f>IFERROR(VLOOKUP($E70&amp;"|"&amp;$J70+O$3,'BD Original'!$A:$Z,15,0),"")</f>
        <v/>
      </c>
      <c r="P70" s="55" t="str">
        <f>IFERROR(VLOOKUP($E70&amp;"|"&amp;$J70+P$3,'BD Original'!$A:$Z,15,0),"")</f>
        <v/>
      </c>
      <c r="Q70" s="68">
        <f t="shared" si="17"/>
        <v>153686.26999999999</v>
      </c>
      <c r="R70" s="56">
        <f t="shared" si="18"/>
        <v>2</v>
      </c>
      <c r="S70" s="55">
        <f>IFERROR(VLOOKUP($E70&amp;"|"&amp;$J70+(K70-J70),'BD Original'!$A:$Z,15,0),"")</f>
        <v>186659.94999999998</v>
      </c>
      <c r="T70" s="66">
        <f t="shared" si="15"/>
        <v>0.54631716542574371</v>
      </c>
      <c r="U70" s="55">
        <f>IFERROR(VLOOKUP($E70&amp;"|"&amp;$J70+(K70-J70),'BD Original'!$A:$Z,16,0),"")</f>
        <v>186659.94999999998</v>
      </c>
      <c r="V70" s="58">
        <f>SUMIF('BD Original'!G:G,E70,'BD Original'!R:R)</f>
        <v>0</v>
      </c>
      <c r="W70" s="57">
        <f t="shared" ref="W70:W78" si="20">V70/Q70</f>
        <v>0</v>
      </c>
      <c r="X70" s="66">
        <f t="shared" si="14"/>
        <v>0</v>
      </c>
      <c r="Y70" s="66">
        <f t="shared" ref="Y70:Y78" si="21">IFERROR(1-((S70-U70)+V70)/(S70+V70),0)</f>
        <v>1</v>
      </c>
      <c r="Z70" s="55">
        <f>SUMIF('BD Original'!G:G,E70,'BD Original'!T:T)</f>
        <v>133125</v>
      </c>
      <c r="AA70" s="55">
        <f>SUMIF('BD Original'!G:G,E70,'BD Original'!U:U)</f>
        <v>203998.63</v>
      </c>
      <c r="AB70" s="66">
        <f t="shared" ref="AB70:AB78" si="22">IFERROR(AA70/Z70,"NA")</f>
        <v>1.532384075117371</v>
      </c>
      <c r="AC70" s="55">
        <f>SUMIF('BD Original'!G:G,E70,'BD Original'!V:V)</f>
        <v>58</v>
      </c>
      <c r="AD70" s="69">
        <f>IFERROR(AC70/VLOOKUP(E70,'BD Original'!G:I,3,0),0)</f>
        <v>2.6363636363636362</v>
      </c>
      <c r="AE70" s="58">
        <f>SUMIF('BD Original'!G:G,E70,'BD Original'!W:W)</f>
        <v>0</v>
      </c>
      <c r="AF70" s="58">
        <f>SUMIF('BD Original'!G:G,E70,'BD Original'!X:X)</f>
        <v>0</v>
      </c>
      <c r="AG70" s="66">
        <f>IFERROR(SUMIF('BD Original'!G:G,E70,'BD Original'!X:X)/SUMIF('BD Original'!G:G,E70,'BD Original'!W:W),0)</f>
        <v>0</v>
      </c>
      <c r="AH70" s="58">
        <f>SUMIF('BD Original'!G:G,E70,'BD Original'!Y:Y)</f>
        <v>9778.375</v>
      </c>
      <c r="AI70" s="58">
        <f>SUMIF('BD Original'!G:G,E70,'BD Original'!Z:Z)</f>
        <v>4875</v>
      </c>
      <c r="AJ70" s="66">
        <f t="shared" ref="AJ70:AJ78" si="23">AI70/AH70</f>
        <v>0.49854909430247868</v>
      </c>
      <c r="AK70" s="58">
        <f t="shared" ref="AK70:AK78" si="24">IFERROR(((Q70*0.89/12*R70)-(Q70*0.2/12*R70)-(10000*R70-AI70-V70))/R70,0)</f>
        <v>1274.4605249999986</v>
      </c>
      <c r="AL70" s="71" t="str">
        <f>VLOOKUP(E70,'BD Original'!G:K,5,0)</f>
        <v>&lt; 3 Meses</v>
      </c>
      <c r="AM70" s="71" t="str">
        <f>VLOOKUP(Q70,Etiquetas!E:F,2)</f>
        <v>1 Pequeño ≤ 500k</v>
      </c>
      <c r="AN70" s="71" t="str">
        <f>IFERROR(VLOOKUP(T70,Etiquetas!H:I,2),0)</f>
        <v>8 Crecimiento Exponencial</v>
      </c>
      <c r="AO70" s="71" t="str">
        <f>VLOOKUP(AG70,Etiquetas!K:M,2)</f>
        <v>1 Bajo Extremo</v>
      </c>
      <c r="AP70" s="70">
        <f>VLOOKUP(AG70,Etiquetas!K:M,3)</f>
        <v>30</v>
      </c>
      <c r="AQ70" s="51" t="str">
        <f>VLOOKUP(AD70,Etiquetas!O:Q,2)</f>
        <v>3 Medio Bajo</v>
      </c>
      <c r="AR70" s="70">
        <f>VLOOKUP(AD70,Etiquetas!O:Q,3)</f>
        <v>70</v>
      </c>
      <c r="AS70" s="51" t="str">
        <f>VLOOKUP(AB70,Etiquetas!S:U,2)</f>
        <v>7 Sobresaliente</v>
      </c>
      <c r="AT70" s="70">
        <f>VLOOKUP(AB70,Etiquetas!S:U,3)</f>
        <v>110</v>
      </c>
      <c r="AU70" s="70">
        <f t="shared" ref="AU70:AU78" si="25">AP70*$AP$2+AR70*$AR$2+AT70*$AT$2</f>
        <v>70</v>
      </c>
      <c r="AV70" s="70" t="str">
        <f>VLOOKUP(AU70,Etiquetas!W:X,2)</f>
        <v>2 Medio Vendedor</v>
      </c>
      <c r="AW70" s="51" t="str">
        <f>VLOOKUP(Y70,Etiquetas!Z:AB,2)</f>
        <v>7 Sobresaliente</v>
      </c>
      <c r="AX70" s="70">
        <f>VLOOKUP(Y70,Etiquetas!Z:AB,3)</f>
        <v>110</v>
      </c>
      <c r="AY70" s="51" t="str">
        <f>VLOOKUP(AJ70,Etiquetas!AD:AF,2)</f>
        <v>2 Medio</v>
      </c>
      <c r="AZ70" s="70">
        <f>VLOOKUP(AJ70,Etiquetas!AD:AF,3)</f>
        <v>50</v>
      </c>
      <c r="BA70" s="79">
        <f t="shared" ref="BA70:BA78" si="26">AU70*$AU$1+AX70*$AX$1+AZ70*$AZ$1</f>
        <v>84</v>
      </c>
      <c r="BB70" s="46" t="str">
        <f t="shared" ref="BB70:BB78" si="27">"Antiguedad: "&amp;AL70&amp;"|Tamaño Cartera: "&amp;AM70&amp;"|"&amp;AV70&amp;"|Calidad Cartera: "&amp;AW70&amp;"|Alcance Incentivos: "&amp;AY70</f>
        <v>Antiguedad: &lt; 3 Meses|Tamaño Cartera: 1 Pequeño ≤ 500k|2 Medio Vendedor|Calidad Cartera: 7 Sobresaliente|Alcance Incentivos: 2 Medio</v>
      </c>
    </row>
    <row r="71" spans="2:54" x14ac:dyDescent="0.2">
      <c r="B71" s="46" t="s">
        <v>108</v>
      </c>
      <c r="C71" s="61" t="s">
        <v>22</v>
      </c>
      <c r="D71" s="47">
        <v>35878</v>
      </c>
      <c r="E71" s="62" t="s">
        <v>84</v>
      </c>
      <c r="F71" s="60">
        <v>45218</v>
      </c>
      <c r="G71" s="53">
        <v>0</v>
      </c>
      <c r="H71" s="53" t="str">
        <f t="shared" si="19"/>
        <v>ACTIVO</v>
      </c>
      <c r="I71" s="54" t="str">
        <f t="shared" si="16"/>
        <v>NO</v>
      </c>
      <c r="J71" s="47">
        <f>VLOOKUP(E71,'BD Original'!G:L,6,0)</f>
        <v>0</v>
      </c>
      <c r="K71" s="47">
        <f>VLOOKUP(E71,'BD Original'!G:M,7,0)</f>
        <v>1</v>
      </c>
      <c r="L71" s="55" t="str">
        <f>IF(VLOOKUP($E71&amp;"|"&amp;$J71+L$3,'BD Original'!$A:$Z,15,0)=0,"",IFERROR(VLOOKUP($E71&amp;"|"&amp;$J71+L$3,'BD Original'!$A:$Z,15,0),""))</f>
        <v/>
      </c>
      <c r="M71" s="55">
        <f>IFERROR(VLOOKUP($E71&amp;"|"&amp;$J71+M$3,'BD Original'!$A:$Z,15,0),"")</f>
        <v>192565.06999999998</v>
      </c>
      <c r="N71" s="55" t="str">
        <f>IFERROR(VLOOKUP($E71&amp;"|"&amp;$J71+N$3,'BD Original'!$A:$Z,15,0),"")</f>
        <v/>
      </c>
      <c r="O71" s="55" t="str">
        <f>IFERROR(VLOOKUP($E71&amp;"|"&amp;$J71+O$3,'BD Original'!$A:$Z,15,0),"")</f>
        <v/>
      </c>
      <c r="P71" s="55" t="str">
        <f>IFERROR(VLOOKUP($E71&amp;"|"&amp;$J71+P$3,'BD Original'!$A:$Z,15,0),"")</f>
        <v/>
      </c>
      <c r="Q71" s="68">
        <f t="shared" si="17"/>
        <v>192565.06999999998</v>
      </c>
      <c r="R71" s="56">
        <f t="shared" si="18"/>
        <v>1</v>
      </c>
      <c r="S71" s="55">
        <f>IFERROR(VLOOKUP($E71&amp;"|"&amp;$J71+(K71-J71),'BD Original'!$A:$Z,15,0),"")</f>
        <v>192565.06999999998</v>
      </c>
      <c r="T71" s="66" t="str">
        <f t="shared" si="15"/>
        <v>NA</v>
      </c>
      <c r="U71" s="55">
        <f>IFERROR(VLOOKUP($E71&amp;"|"&amp;$J71+(K71-J71),'BD Original'!$A:$Z,16,0),"")</f>
        <v>192565.06999999998</v>
      </c>
      <c r="V71" s="58">
        <f>SUMIF('BD Original'!G:G,E71,'BD Original'!R:R)</f>
        <v>0</v>
      </c>
      <c r="W71" s="57">
        <f t="shared" si="20"/>
        <v>0</v>
      </c>
      <c r="X71" s="66">
        <f t="shared" ref="X71:X78" si="28">W71/R71*12</f>
        <v>0</v>
      </c>
      <c r="Y71" s="66">
        <f t="shared" si="21"/>
        <v>1</v>
      </c>
      <c r="Z71" s="55">
        <f>SUMIF('BD Original'!G:G,E71,'BD Original'!T:T)</f>
        <v>112290</v>
      </c>
      <c r="AA71" s="55">
        <f>SUMIF('BD Original'!G:G,E71,'BD Original'!U:U)</f>
        <v>126000.13</v>
      </c>
      <c r="AB71" s="66">
        <f t="shared" si="22"/>
        <v>1.1220957342595066</v>
      </c>
      <c r="AC71" s="55">
        <f>SUMIF('BD Original'!G:G,E71,'BD Original'!V:V)</f>
        <v>17</v>
      </c>
      <c r="AD71" s="69">
        <f>IFERROR(AC71/VLOOKUP(E71,'BD Original'!G:I,3,0),0)</f>
        <v>1.4166666666666667</v>
      </c>
      <c r="AE71" s="58">
        <f>SUMIF('BD Original'!G:G,E71,'BD Original'!W:W)</f>
        <v>0</v>
      </c>
      <c r="AF71" s="58">
        <f>SUMIF('BD Original'!G:G,E71,'BD Original'!X:X)</f>
        <v>0</v>
      </c>
      <c r="AG71" s="66">
        <f>IFERROR(SUMIF('BD Original'!G:G,E71,'BD Original'!X:X)/SUMIF('BD Original'!G:G,E71,'BD Original'!W:W),0)</f>
        <v>0</v>
      </c>
      <c r="AH71" s="58">
        <f>SUMIF('BD Original'!G:G,E71,'BD Original'!Y:Y)</f>
        <v>10644.99</v>
      </c>
      <c r="AI71" s="58">
        <f>SUMIF('BD Original'!G:G,E71,'BD Original'!Z:Z)</f>
        <v>2194.25</v>
      </c>
      <c r="AJ71" s="66">
        <f t="shared" si="23"/>
        <v>0.20612983196790227</v>
      </c>
      <c r="AK71" s="58">
        <f t="shared" si="24"/>
        <v>3266.7415249999995</v>
      </c>
      <c r="AL71" s="71" t="str">
        <f>VLOOKUP(E71,'BD Original'!G:K,5,0)</f>
        <v>&lt; 3 Meses</v>
      </c>
      <c r="AM71" s="71" t="str">
        <f>VLOOKUP(Q71,Etiquetas!E:F,2)</f>
        <v>1 Pequeño ≤ 500k</v>
      </c>
      <c r="AN71" s="71" t="str">
        <f>IFERROR(VLOOKUP(T71,Etiquetas!H:I,2),0)</f>
        <v>NA</v>
      </c>
      <c r="AO71" s="71" t="str">
        <f>VLOOKUP(AG71,Etiquetas!K:M,2)</f>
        <v>1 Bajo Extremo</v>
      </c>
      <c r="AP71" s="70">
        <f>VLOOKUP(AG71,Etiquetas!K:M,3)</f>
        <v>30</v>
      </c>
      <c r="AQ71" s="51" t="str">
        <f>VLOOKUP(AD71,Etiquetas!O:Q,2)</f>
        <v>2 Bajo</v>
      </c>
      <c r="AR71" s="70">
        <f>VLOOKUP(AD71,Etiquetas!O:Q,3)</f>
        <v>50</v>
      </c>
      <c r="AS71" s="51" t="str">
        <f>VLOOKUP(AB71,Etiquetas!S:U,2)</f>
        <v>7 Sobresaliente</v>
      </c>
      <c r="AT71" s="70">
        <f>VLOOKUP(AB71,Etiquetas!S:U,3)</f>
        <v>110</v>
      </c>
      <c r="AU71" s="70">
        <f t="shared" si="25"/>
        <v>66</v>
      </c>
      <c r="AV71" s="70" t="str">
        <f>VLOOKUP(AU71,Etiquetas!W:X,2)</f>
        <v>2 Medio Vendedor</v>
      </c>
      <c r="AW71" s="51" t="str">
        <f>VLOOKUP(Y71,Etiquetas!Z:AB,2)</f>
        <v>7 Sobresaliente</v>
      </c>
      <c r="AX71" s="70">
        <f>VLOOKUP(Y71,Etiquetas!Z:AB,3)</f>
        <v>110</v>
      </c>
      <c r="AY71" s="51" t="str">
        <f>VLOOKUP(AJ71,Etiquetas!AD:AF,2)</f>
        <v>1 Bajo</v>
      </c>
      <c r="AZ71" s="70">
        <f>VLOOKUP(AJ71,Etiquetas!AD:AF,3)</f>
        <v>30</v>
      </c>
      <c r="BA71" s="79">
        <f t="shared" si="26"/>
        <v>80</v>
      </c>
      <c r="BB71" s="46" t="str">
        <f t="shared" si="27"/>
        <v>Antiguedad: &lt; 3 Meses|Tamaño Cartera: 1 Pequeño ≤ 500k|2 Medio Vendedor|Calidad Cartera: 7 Sobresaliente|Alcance Incentivos: 1 Bajo</v>
      </c>
    </row>
    <row r="72" spans="2:54" x14ac:dyDescent="0.2">
      <c r="B72" s="46" t="s">
        <v>108</v>
      </c>
      <c r="C72" s="61" t="s">
        <v>30</v>
      </c>
      <c r="D72" s="47">
        <v>36071</v>
      </c>
      <c r="E72" s="62" t="s">
        <v>86</v>
      </c>
      <c r="F72" s="60">
        <v>45225</v>
      </c>
      <c r="G72" s="53">
        <v>0</v>
      </c>
      <c r="H72" s="53" t="str">
        <f t="shared" si="19"/>
        <v>ACTIVO</v>
      </c>
      <c r="I72" s="54" t="str">
        <f t="shared" si="16"/>
        <v>NO</v>
      </c>
      <c r="J72" s="47">
        <f>VLOOKUP(E72,'BD Original'!G:L,6,0)</f>
        <v>0</v>
      </c>
      <c r="K72" s="47">
        <f>VLOOKUP(E72,'BD Original'!G:M,7,0)</f>
        <v>1</v>
      </c>
      <c r="L72" s="55" t="str">
        <f>IF(VLOOKUP($E72&amp;"|"&amp;$J72+L$3,'BD Original'!$A:$Z,15,0)=0,"",IFERROR(VLOOKUP($E72&amp;"|"&amp;$J72+L$3,'BD Original'!$A:$Z,15,0),""))</f>
        <v/>
      </c>
      <c r="M72" s="55">
        <f>IFERROR(VLOOKUP($E72&amp;"|"&amp;$J72+M$3,'BD Original'!$A:$Z,15,0),"")</f>
        <v>256000.39</v>
      </c>
      <c r="N72" s="55" t="str">
        <f>IFERROR(VLOOKUP($E72&amp;"|"&amp;$J72+N$3,'BD Original'!$A:$Z,15,0),"")</f>
        <v/>
      </c>
      <c r="O72" s="55" t="str">
        <f>IFERROR(VLOOKUP($E72&amp;"|"&amp;$J72+O$3,'BD Original'!$A:$Z,15,0),"")</f>
        <v/>
      </c>
      <c r="P72" s="55" t="str">
        <f>IFERROR(VLOOKUP($E72&amp;"|"&amp;$J72+P$3,'BD Original'!$A:$Z,15,0),"")</f>
        <v/>
      </c>
      <c r="Q72" s="68">
        <f t="shared" si="17"/>
        <v>256000.39</v>
      </c>
      <c r="R72" s="56">
        <f t="shared" si="18"/>
        <v>1</v>
      </c>
      <c r="S72" s="55">
        <f>IFERROR(VLOOKUP($E72&amp;"|"&amp;$J72+(K72-J72),'BD Original'!$A:$Z,15,0),"")</f>
        <v>256000.39</v>
      </c>
      <c r="T72" s="66" t="str">
        <f t="shared" si="15"/>
        <v>NA</v>
      </c>
      <c r="U72" s="55">
        <f>IFERROR(VLOOKUP($E72&amp;"|"&amp;$J72+(K72-J72),'BD Original'!$A:$Z,16,0),"")</f>
        <v>256000.39</v>
      </c>
      <c r="V72" s="58">
        <f>SUMIF('BD Original'!G:G,E72,'BD Original'!R:R)</f>
        <v>0</v>
      </c>
      <c r="W72" s="57">
        <f t="shared" si="20"/>
        <v>0</v>
      </c>
      <c r="X72" s="66">
        <f t="shared" si="28"/>
        <v>0</v>
      </c>
      <c r="Y72" s="66">
        <f t="shared" si="21"/>
        <v>1</v>
      </c>
      <c r="Z72" s="55">
        <f>SUMIF('BD Original'!G:G,E72,'BD Original'!T:T)</f>
        <v>85250</v>
      </c>
      <c r="AA72" s="55">
        <f>SUMIF('BD Original'!G:G,E72,'BD Original'!U:U)</f>
        <v>256000.38999999998</v>
      </c>
      <c r="AB72" s="66">
        <f t="shared" si="22"/>
        <v>3.0029371260997064</v>
      </c>
      <c r="AC72" s="55">
        <f>SUMIF('BD Original'!G:G,E72,'BD Original'!V:V)</f>
        <v>30</v>
      </c>
      <c r="AD72" s="69">
        <f>IFERROR(AC72/VLOOKUP(E72,'BD Original'!G:I,3,0),0)</f>
        <v>6</v>
      </c>
      <c r="AE72" s="58">
        <f>SUMIF('BD Original'!G:G,E72,'BD Original'!W:W)</f>
        <v>0</v>
      </c>
      <c r="AF72" s="58">
        <f>SUMIF('BD Original'!G:G,E72,'BD Original'!X:X)</f>
        <v>0</v>
      </c>
      <c r="AG72" s="66">
        <f>IFERROR(SUMIF('BD Original'!G:G,E72,'BD Original'!X:X)/SUMIF('BD Original'!G:G,E72,'BD Original'!W:W),0)</f>
        <v>0</v>
      </c>
      <c r="AH72" s="58">
        <f>SUMIF('BD Original'!G:G,E72,'BD Original'!Y:Y)</f>
        <v>11607.625</v>
      </c>
      <c r="AI72" s="58">
        <f>SUMIF('BD Original'!G:G,E72,'BD Original'!Z:Z)</f>
        <v>3679.9999999999995</v>
      </c>
      <c r="AJ72" s="66">
        <f t="shared" si="23"/>
        <v>0.31703298478370895</v>
      </c>
      <c r="AK72" s="58">
        <f t="shared" si="24"/>
        <v>8400.0224249999992</v>
      </c>
      <c r="AL72" s="71" t="str">
        <f>VLOOKUP(E72,'BD Original'!G:K,5,0)</f>
        <v>&lt; 3 Meses</v>
      </c>
      <c r="AM72" s="71" t="str">
        <f>VLOOKUP(Q72,Etiquetas!E:F,2)</f>
        <v>1 Pequeño ≤ 500k</v>
      </c>
      <c r="AN72" s="71" t="str">
        <f>IFERROR(VLOOKUP(T72,Etiquetas!H:I,2),0)</f>
        <v>NA</v>
      </c>
      <c r="AO72" s="71" t="str">
        <f>VLOOKUP(AG72,Etiquetas!K:M,2)</f>
        <v>1 Bajo Extremo</v>
      </c>
      <c r="AP72" s="70">
        <f>VLOOKUP(AG72,Etiquetas!K:M,3)</f>
        <v>30</v>
      </c>
      <c r="AQ72" s="51" t="str">
        <f>VLOOKUP(AD72,Etiquetas!O:Q,2)</f>
        <v>5 Alto</v>
      </c>
      <c r="AR72" s="70">
        <f>VLOOKUP(AD72,Etiquetas!O:Q,3)</f>
        <v>90</v>
      </c>
      <c r="AS72" s="51" t="str">
        <f>VLOOKUP(AB72,Etiquetas!S:U,2)</f>
        <v>7 Sobresaliente</v>
      </c>
      <c r="AT72" s="70">
        <f>VLOOKUP(AB72,Etiquetas!S:U,3)</f>
        <v>110</v>
      </c>
      <c r="AU72" s="70">
        <f t="shared" si="25"/>
        <v>74</v>
      </c>
      <c r="AV72" s="70" t="str">
        <f>VLOOKUP(AU72,Etiquetas!W:X,2)</f>
        <v>2 Medio Vendedor</v>
      </c>
      <c r="AW72" s="51" t="str">
        <f>VLOOKUP(Y72,Etiquetas!Z:AB,2)</f>
        <v>7 Sobresaliente</v>
      </c>
      <c r="AX72" s="70">
        <f>VLOOKUP(Y72,Etiquetas!Z:AB,3)</f>
        <v>110</v>
      </c>
      <c r="AY72" s="51" t="str">
        <f>VLOOKUP(AJ72,Etiquetas!AD:AF,2)</f>
        <v>1 Bajo</v>
      </c>
      <c r="AZ72" s="70">
        <f>VLOOKUP(AJ72,Etiquetas!AD:AF,3)</f>
        <v>30</v>
      </c>
      <c r="BA72" s="79">
        <f t="shared" si="26"/>
        <v>84</v>
      </c>
      <c r="BB72" s="46" t="str">
        <f t="shared" si="27"/>
        <v>Antiguedad: &lt; 3 Meses|Tamaño Cartera: 1 Pequeño ≤ 500k|2 Medio Vendedor|Calidad Cartera: 7 Sobresaliente|Alcance Incentivos: 1 Bajo</v>
      </c>
    </row>
    <row r="73" spans="2:54" x14ac:dyDescent="0.2">
      <c r="B73" s="46" t="s">
        <v>98</v>
      </c>
      <c r="C73" s="61" t="s">
        <v>49</v>
      </c>
      <c r="D73" s="47">
        <v>36153</v>
      </c>
      <c r="E73" s="62" t="s">
        <v>104</v>
      </c>
      <c r="F73" s="60">
        <v>45231</v>
      </c>
      <c r="G73" s="53">
        <v>0</v>
      </c>
      <c r="H73" s="53" t="str">
        <f t="shared" si="19"/>
        <v>ACTIVO</v>
      </c>
      <c r="I73" s="54" t="str">
        <f t="shared" si="16"/>
        <v>NO</v>
      </c>
      <c r="J73" s="47">
        <f>VLOOKUP(E73,'BD Original'!G:L,6,0)</f>
        <v>0</v>
      </c>
      <c r="K73" s="47">
        <f>VLOOKUP(E73,'BD Original'!G:M,7,0)</f>
        <v>0</v>
      </c>
      <c r="L73" s="55">
        <f>IF(VLOOKUP($E73&amp;"|"&amp;$J73+L$3,'BD Original'!$A:$Z,15,0)=0,"",IFERROR(VLOOKUP($E73&amp;"|"&amp;$J73+L$3,'BD Original'!$A:$Z,15,0),""))</f>
        <v>84999.09</v>
      </c>
      <c r="M73" s="55" t="str">
        <f>IFERROR(VLOOKUP($E73&amp;"|"&amp;$J73+M$3,'BD Original'!$A:$Z,15,0),"")</f>
        <v/>
      </c>
      <c r="N73" s="55" t="str">
        <f>IFERROR(VLOOKUP($E73&amp;"|"&amp;$J73+N$3,'BD Original'!$A:$Z,15,0),"")</f>
        <v/>
      </c>
      <c r="O73" s="55" t="str">
        <f>IFERROR(VLOOKUP($E73&amp;"|"&amp;$J73+O$3,'BD Original'!$A:$Z,15,0),"")</f>
        <v/>
      </c>
      <c r="P73" s="55" t="str">
        <f>IFERROR(VLOOKUP($E73&amp;"|"&amp;$J73+P$3,'BD Original'!$A:$Z,15,0),"")</f>
        <v/>
      </c>
      <c r="Q73" s="68">
        <f t="shared" si="17"/>
        <v>84999.09</v>
      </c>
      <c r="R73" s="56">
        <f t="shared" si="18"/>
        <v>1</v>
      </c>
      <c r="S73" s="55">
        <f>IFERROR(VLOOKUP($E73&amp;"|"&amp;$J73+(K73-J73),'BD Original'!$A:$Z,15,0),"")</f>
        <v>84999.09</v>
      </c>
      <c r="T73" s="66" t="str">
        <f t="shared" si="15"/>
        <v>NA</v>
      </c>
      <c r="U73" s="55">
        <f>IFERROR(VLOOKUP($E73&amp;"|"&amp;$J73+(K73-J73),'BD Original'!$A:$Z,16,0),"")</f>
        <v>84999.09</v>
      </c>
      <c r="V73" s="58">
        <f>SUMIF('BD Original'!G:G,E73,'BD Original'!R:R)</f>
        <v>0</v>
      </c>
      <c r="W73" s="57">
        <f t="shared" si="20"/>
        <v>0</v>
      </c>
      <c r="X73" s="66">
        <f t="shared" si="28"/>
        <v>0</v>
      </c>
      <c r="Y73" s="66">
        <f t="shared" si="21"/>
        <v>1</v>
      </c>
      <c r="Z73" s="55">
        <f>SUMIF('BD Original'!G:G,E73,'BD Original'!T:T)</f>
        <v>41440</v>
      </c>
      <c r="AA73" s="55">
        <f>SUMIF('BD Original'!G:G,E73,'BD Original'!U:U)</f>
        <v>84999.09</v>
      </c>
      <c r="AB73" s="66">
        <f t="shared" si="22"/>
        <v>2.0511363416988417</v>
      </c>
      <c r="AC73" s="55">
        <f>SUMIF('BD Original'!G:G,E73,'BD Original'!V:V)</f>
        <v>15</v>
      </c>
      <c r="AD73" s="69">
        <f>IFERROR(AC73/VLOOKUP(E73,'BD Original'!G:I,3,0),0)</f>
        <v>0.51724137931034486</v>
      </c>
      <c r="AE73" s="58">
        <f>SUMIF('BD Original'!G:G,E73,'BD Original'!W:W)</f>
        <v>0</v>
      </c>
      <c r="AF73" s="58">
        <f>SUMIF('BD Original'!G:G,E73,'BD Original'!X:X)</f>
        <v>0</v>
      </c>
      <c r="AG73" s="66">
        <f>IFERROR(SUMIF('BD Original'!G:G,E73,'BD Original'!X:X)/SUMIF('BD Original'!G:G,E73,'BD Original'!W:W),0)</f>
        <v>0</v>
      </c>
      <c r="AH73" s="58">
        <f>SUMIF('BD Original'!G:G,E73,'BD Original'!Y:Y)</f>
        <v>6816.9699999999993</v>
      </c>
      <c r="AI73" s="58">
        <f>SUMIF('BD Original'!G:G,E73,'BD Original'!Z:Z)</f>
        <v>2000</v>
      </c>
      <c r="AJ73" s="66">
        <f t="shared" si="23"/>
        <v>0.29338547771223877</v>
      </c>
      <c r="AK73" s="58">
        <f t="shared" si="24"/>
        <v>-3112.5523250000006</v>
      </c>
      <c r="AL73" s="71" t="str">
        <f>VLOOKUP(E73,'BD Original'!G:K,5,0)</f>
        <v>&lt; 3 Meses</v>
      </c>
      <c r="AM73" s="71" t="str">
        <f>VLOOKUP(Q73,Etiquetas!E:F,2)</f>
        <v>1 Pequeño ≤ 500k</v>
      </c>
      <c r="AN73" s="71" t="str">
        <f>IFERROR(VLOOKUP(T73,Etiquetas!H:I,2),0)</f>
        <v>NA</v>
      </c>
      <c r="AO73" s="71" t="str">
        <f>VLOOKUP(AG73,Etiquetas!K:M,2)</f>
        <v>1 Bajo Extremo</v>
      </c>
      <c r="AP73" s="70">
        <f>VLOOKUP(AG73,Etiquetas!K:M,3)</f>
        <v>30</v>
      </c>
      <c r="AQ73" s="51" t="str">
        <f>VLOOKUP(AD73,Etiquetas!O:Q,2)</f>
        <v>1 Bajo Extremo</v>
      </c>
      <c r="AR73" s="70">
        <f>VLOOKUP(AD73,Etiquetas!O:Q,3)</f>
        <v>30</v>
      </c>
      <c r="AS73" s="51" t="str">
        <f>VLOOKUP(AB73,Etiquetas!S:U,2)</f>
        <v>7 Sobresaliente</v>
      </c>
      <c r="AT73" s="70">
        <f>VLOOKUP(AB73,Etiquetas!S:U,3)</f>
        <v>110</v>
      </c>
      <c r="AU73" s="70">
        <f t="shared" si="25"/>
        <v>62</v>
      </c>
      <c r="AV73" s="70" t="str">
        <f>VLOOKUP(AU73,Etiquetas!W:X,2)</f>
        <v>2 Medio Vendedor</v>
      </c>
      <c r="AW73" s="51" t="str">
        <f>VLOOKUP(Y73,Etiquetas!Z:AB,2)</f>
        <v>7 Sobresaliente</v>
      </c>
      <c r="AX73" s="70">
        <f>VLOOKUP(Y73,Etiquetas!Z:AB,3)</f>
        <v>110</v>
      </c>
      <c r="AY73" s="51" t="str">
        <f>VLOOKUP(AJ73,Etiquetas!AD:AF,2)</f>
        <v>1 Bajo</v>
      </c>
      <c r="AZ73" s="70">
        <f>VLOOKUP(AJ73,Etiquetas!AD:AF,3)</f>
        <v>30</v>
      </c>
      <c r="BA73" s="79">
        <f t="shared" si="26"/>
        <v>78</v>
      </c>
      <c r="BB73" s="46" t="str">
        <f t="shared" si="27"/>
        <v>Antiguedad: &lt; 3 Meses|Tamaño Cartera: 1 Pequeño ≤ 500k|2 Medio Vendedor|Calidad Cartera: 7 Sobresaliente|Alcance Incentivos: 1 Bajo</v>
      </c>
    </row>
    <row r="74" spans="2:54" x14ac:dyDescent="0.2">
      <c r="B74" s="46" t="s">
        <v>98</v>
      </c>
      <c r="C74" s="61" t="s">
        <v>49</v>
      </c>
      <c r="D74" s="47">
        <v>36305</v>
      </c>
      <c r="E74" s="62" t="s">
        <v>103</v>
      </c>
      <c r="F74" s="60">
        <v>45240</v>
      </c>
      <c r="G74" s="53">
        <v>0</v>
      </c>
      <c r="H74" s="53" t="str">
        <f t="shared" si="19"/>
        <v>ACTIVO</v>
      </c>
      <c r="I74" s="54" t="str">
        <f t="shared" si="16"/>
        <v>NO</v>
      </c>
      <c r="J74" s="47">
        <f>VLOOKUP(E74,'BD Original'!G:L,6,0)</f>
        <v>0</v>
      </c>
      <c r="K74" s="47">
        <f>VLOOKUP(E74,'BD Original'!G:M,7,0)</f>
        <v>0</v>
      </c>
      <c r="L74" s="55">
        <f>IF(VLOOKUP($E74&amp;"|"&amp;$J74+L$3,'BD Original'!$A:$Z,15,0)=0,"",IFERROR(VLOOKUP($E74&amp;"|"&amp;$J74+L$3,'BD Original'!$A:$Z,15,0),""))</f>
        <v>134148</v>
      </c>
      <c r="M74" s="55" t="str">
        <f>IFERROR(VLOOKUP($E74&amp;"|"&amp;$J74+M$3,'BD Original'!$A:$Z,15,0),"")</f>
        <v/>
      </c>
      <c r="N74" s="55" t="str">
        <f>IFERROR(VLOOKUP($E74&amp;"|"&amp;$J74+N$3,'BD Original'!$A:$Z,15,0),"")</f>
        <v/>
      </c>
      <c r="O74" s="55" t="str">
        <f>IFERROR(VLOOKUP($E74&amp;"|"&amp;$J74+O$3,'BD Original'!$A:$Z,15,0),"")</f>
        <v/>
      </c>
      <c r="P74" s="55" t="str">
        <f>IFERROR(VLOOKUP($E74&amp;"|"&amp;$J74+P$3,'BD Original'!$A:$Z,15,0),"")</f>
        <v/>
      </c>
      <c r="Q74" s="68">
        <f t="shared" si="17"/>
        <v>134148</v>
      </c>
      <c r="R74" s="56">
        <f t="shared" si="18"/>
        <v>1</v>
      </c>
      <c r="S74" s="55">
        <f>IFERROR(VLOOKUP($E74&amp;"|"&amp;$J74+(K74-J74),'BD Original'!$A:$Z,15,0),"")</f>
        <v>134148</v>
      </c>
      <c r="T74" s="66" t="str">
        <f t="shared" si="15"/>
        <v>NA</v>
      </c>
      <c r="U74" s="55">
        <f>IFERROR(VLOOKUP($E74&amp;"|"&amp;$J74+(K74-J74),'BD Original'!$A:$Z,16,0),"")</f>
        <v>134148</v>
      </c>
      <c r="V74" s="58">
        <f>SUMIF('BD Original'!G:G,E74,'BD Original'!R:R)</f>
        <v>0</v>
      </c>
      <c r="W74" s="57">
        <f t="shared" si="20"/>
        <v>0</v>
      </c>
      <c r="X74" s="66">
        <f t="shared" si="28"/>
        <v>0</v>
      </c>
      <c r="Y74" s="66">
        <f t="shared" si="21"/>
        <v>1</v>
      </c>
      <c r="Z74" s="55">
        <f>SUMIF('BD Original'!G:G,E74,'BD Original'!T:T)</f>
        <v>0</v>
      </c>
      <c r="AA74" s="55">
        <f>SUMIF('BD Original'!G:G,E74,'BD Original'!U:U)</f>
        <v>135999.38</v>
      </c>
      <c r="AB74" s="66" t="str">
        <f t="shared" si="22"/>
        <v>NA</v>
      </c>
      <c r="AC74" s="55">
        <f>SUMIF('BD Original'!G:G,E74,'BD Original'!V:V)</f>
        <v>12</v>
      </c>
      <c r="AD74" s="69">
        <f>IFERROR(AC74/VLOOKUP(E74,'BD Original'!G:I,3,0),0)</f>
        <v>0.6</v>
      </c>
      <c r="AE74" s="58">
        <f>SUMIF('BD Original'!G:G,E74,'BD Original'!W:W)</f>
        <v>0</v>
      </c>
      <c r="AF74" s="58">
        <f>SUMIF('BD Original'!G:G,E74,'BD Original'!X:X)</f>
        <v>0</v>
      </c>
      <c r="AG74" s="66">
        <f>IFERROR(SUMIF('BD Original'!G:G,E74,'BD Original'!X:X)/SUMIF('BD Original'!G:G,E74,'BD Original'!W:W),0)</f>
        <v>0</v>
      </c>
      <c r="AH74" s="58">
        <f>SUMIF('BD Original'!G:G,E74,'BD Original'!Y:Y)</f>
        <v>9327.65</v>
      </c>
      <c r="AI74" s="58">
        <f>SUMIF('BD Original'!G:G,E74,'BD Original'!Z:Z)</f>
        <v>2000</v>
      </c>
      <c r="AJ74" s="66">
        <f t="shared" si="23"/>
        <v>0.21441627848386249</v>
      </c>
      <c r="AK74" s="58">
        <f t="shared" si="24"/>
        <v>-286.49000000000069</v>
      </c>
      <c r="AL74" s="71" t="str">
        <f>VLOOKUP(E74,'BD Original'!G:K,5,0)</f>
        <v>&lt; 3 Meses</v>
      </c>
      <c r="AM74" s="71" t="str">
        <f>VLOOKUP(Q74,Etiquetas!E:F,2)</f>
        <v>1 Pequeño ≤ 500k</v>
      </c>
      <c r="AN74" s="71" t="str">
        <f>IFERROR(VLOOKUP(T74,Etiquetas!H:I,2),0)</f>
        <v>NA</v>
      </c>
      <c r="AO74" s="71" t="str">
        <f>VLOOKUP(AG74,Etiquetas!K:M,2)</f>
        <v>1 Bajo Extremo</v>
      </c>
      <c r="AP74" s="70">
        <f>VLOOKUP(AG74,Etiquetas!K:M,3)</f>
        <v>30</v>
      </c>
      <c r="AQ74" s="51" t="str">
        <f>VLOOKUP(AD74,Etiquetas!O:Q,2)</f>
        <v>1 Bajo Extremo</v>
      </c>
      <c r="AR74" s="70">
        <f>VLOOKUP(AD74,Etiquetas!O:Q,3)</f>
        <v>30</v>
      </c>
      <c r="AS74" s="51" t="str">
        <f>VLOOKUP(AB74,Etiquetas!S:U,2)</f>
        <v>NA</v>
      </c>
      <c r="AT74" s="70">
        <f>VLOOKUP(AB74,Etiquetas!S:U,3)</f>
        <v>0</v>
      </c>
      <c r="AU74" s="70">
        <f t="shared" si="25"/>
        <v>18</v>
      </c>
      <c r="AV74" s="70" t="str">
        <f>VLOOKUP(AU74,Etiquetas!W:X,2)</f>
        <v>1 Mal Vendedor</v>
      </c>
      <c r="AW74" s="51" t="str">
        <f>VLOOKUP(Y74,Etiquetas!Z:AB,2)</f>
        <v>7 Sobresaliente</v>
      </c>
      <c r="AX74" s="70">
        <f>VLOOKUP(Y74,Etiquetas!Z:AB,3)</f>
        <v>110</v>
      </c>
      <c r="AY74" s="51" t="str">
        <f>VLOOKUP(AJ74,Etiquetas!AD:AF,2)</f>
        <v>1 Bajo</v>
      </c>
      <c r="AZ74" s="70">
        <f>VLOOKUP(AJ74,Etiquetas!AD:AF,3)</f>
        <v>30</v>
      </c>
      <c r="BA74" s="79">
        <f t="shared" si="26"/>
        <v>56</v>
      </c>
      <c r="BB74" s="46" t="str">
        <f t="shared" si="27"/>
        <v>Antiguedad: &lt; 3 Meses|Tamaño Cartera: 1 Pequeño ≤ 500k|1 Mal Vendedor|Calidad Cartera: 7 Sobresaliente|Alcance Incentivos: 1 Bajo</v>
      </c>
    </row>
    <row r="75" spans="2:54" x14ac:dyDescent="0.2">
      <c r="B75" s="46" t="s">
        <v>98</v>
      </c>
      <c r="C75" s="61" t="s">
        <v>51</v>
      </c>
      <c r="D75" s="47">
        <v>36251</v>
      </c>
      <c r="E75" s="62" t="s">
        <v>105</v>
      </c>
      <c r="F75" s="60">
        <v>45238</v>
      </c>
      <c r="G75" s="53">
        <v>0</v>
      </c>
      <c r="H75" s="53" t="str">
        <f t="shared" si="19"/>
        <v>ACTIVO</v>
      </c>
      <c r="I75" s="54" t="str">
        <f t="shared" si="16"/>
        <v>NO</v>
      </c>
      <c r="J75" s="47">
        <f>VLOOKUP(E75,'BD Original'!G:L,6,0)</f>
        <v>0</v>
      </c>
      <c r="K75" s="47">
        <f>VLOOKUP(E75,'BD Original'!G:M,7,0)</f>
        <v>0</v>
      </c>
      <c r="L75" s="55">
        <f>IF(VLOOKUP($E75&amp;"|"&amp;$J75+L$3,'BD Original'!$A:$Z,15,0)=0,"",IFERROR(VLOOKUP($E75&amp;"|"&amp;$J75+L$3,'BD Original'!$A:$Z,15,0),""))</f>
        <v>79999.839999999997</v>
      </c>
      <c r="M75" s="55" t="str">
        <f>IFERROR(VLOOKUP($E75&amp;"|"&amp;$J75+M$3,'BD Original'!$A:$Z,15,0),"")</f>
        <v/>
      </c>
      <c r="N75" s="55" t="str">
        <f>IFERROR(VLOOKUP($E75&amp;"|"&amp;$J75+N$3,'BD Original'!$A:$Z,15,0),"")</f>
        <v/>
      </c>
      <c r="O75" s="55" t="str">
        <f>IFERROR(VLOOKUP($E75&amp;"|"&amp;$J75+O$3,'BD Original'!$A:$Z,15,0),"")</f>
        <v/>
      </c>
      <c r="P75" s="55" t="str">
        <f>IFERROR(VLOOKUP($E75&amp;"|"&amp;$J75+P$3,'BD Original'!$A:$Z,15,0),"")</f>
        <v/>
      </c>
      <c r="Q75" s="68">
        <f t="shared" si="17"/>
        <v>79999.839999999997</v>
      </c>
      <c r="R75" s="56">
        <f t="shared" si="18"/>
        <v>1</v>
      </c>
      <c r="S75" s="55">
        <f>IFERROR(VLOOKUP($E75&amp;"|"&amp;$J75+(K75-J75),'BD Original'!$A:$Z,15,0),"")</f>
        <v>79999.839999999997</v>
      </c>
      <c r="T75" s="66" t="str">
        <f t="shared" si="15"/>
        <v>NA</v>
      </c>
      <c r="U75" s="55">
        <f>IFERROR(VLOOKUP($E75&amp;"|"&amp;$J75+(K75-J75),'BD Original'!$A:$Z,16,0),"")</f>
        <v>79999.839999999997</v>
      </c>
      <c r="V75" s="58">
        <f>SUMIF('BD Original'!G:G,E75,'BD Original'!R:R)</f>
        <v>0</v>
      </c>
      <c r="W75" s="57">
        <f t="shared" si="20"/>
        <v>0</v>
      </c>
      <c r="X75" s="66">
        <f t="shared" si="28"/>
        <v>0</v>
      </c>
      <c r="Y75" s="66">
        <f t="shared" si="21"/>
        <v>1</v>
      </c>
      <c r="Z75" s="55">
        <f>SUMIF('BD Original'!G:G,E75,'BD Original'!T:T)</f>
        <v>0</v>
      </c>
      <c r="AA75" s="55">
        <f>SUMIF('BD Original'!G:G,E75,'BD Original'!U:U)</f>
        <v>79999.839999999997</v>
      </c>
      <c r="AB75" s="66" t="str">
        <f t="shared" si="22"/>
        <v>NA</v>
      </c>
      <c r="AC75" s="55">
        <f>SUMIF('BD Original'!G:G,E75,'BD Original'!V:V)</f>
        <v>23</v>
      </c>
      <c r="AD75" s="69">
        <f>IFERROR(AC75/VLOOKUP(E75,'BD Original'!G:I,3,0),0)</f>
        <v>1.0454545454545454</v>
      </c>
      <c r="AE75" s="58">
        <f>SUMIF('BD Original'!G:G,E75,'BD Original'!W:W)</f>
        <v>0</v>
      </c>
      <c r="AF75" s="58">
        <f>SUMIF('BD Original'!G:G,E75,'BD Original'!X:X)</f>
        <v>0</v>
      </c>
      <c r="AG75" s="66">
        <f>IFERROR(SUMIF('BD Original'!G:G,E75,'BD Original'!X:X)/SUMIF('BD Original'!G:G,E75,'BD Original'!W:W),0)</f>
        <v>0</v>
      </c>
      <c r="AH75" s="58">
        <f>SUMIF('BD Original'!G:G,E75,'BD Original'!Y:Y)</f>
        <v>9327.65</v>
      </c>
      <c r="AI75" s="58">
        <f>SUMIF('BD Original'!G:G,E75,'BD Original'!Z:Z)</f>
        <v>2000</v>
      </c>
      <c r="AJ75" s="66">
        <f t="shared" si="23"/>
        <v>0.21441627848386249</v>
      </c>
      <c r="AK75" s="58">
        <f t="shared" si="24"/>
        <v>-3400.0091999999995</v>
      </c>
      <c r="AL75" s="71" t="str">
        <f>VLOOKUP(E75,'BD Original'!G:K,5,0)</f>
        <v>&lt; 3 Meses</v>
      </c>
      <c r="AM75" s="71" t="str">
        <f>VLOOKUP(Q75,Etiquetas!E:F,2)</f>
        <v>1 Pequeño ≤ 500k</v>
      </c>
      <c r="AN75" s="71" t="str">
        <f>IFERROR(VLOOKUP(T75,Etiquetas!H:I,2),0)</f>
        <v>NA</v>
      </c>
      <c r="AO75" s="71" t="str">
        <f>VLOOKUP(AG75,Etiquetas!K:M,2)</f>
        <v>1 Bajo Extremo</v>
      </c>
      <c r="AP75" s="70">
        <f>VLOOKUP(AG75,Etiquetas!K:M,3)</f>
        <v>30</v>
      </c>
      <c r="AQ75" s="51" t="str">
        <f>VLOOKUP(AD75,Etiquetas!O:Q,2)</f>
        <v>2 Bajo</v>
      </c>
      <c r="AR75" s="70">
        <f>VLOOKUP(AD75,Etiquetas!O:Q,3)</f>
        <v>50</v>
      </c>
      <c r="AS75" s="51" t="str">
        <f>VLOOKUP(AB75,Etiquetas!S:U,2)</f>
        <v>NA</v>
      </c>
      <c r="AT75" s="70">
        <f>VLOOKUP(AB75,Etiquetas!S:U,3)</f>
        <v>0</v>
      </c>
      <c r="AU75" s="70">
        <f t="shared" si="25"/>
        <v>22</v>
      </c>
      <c r="AV75" s="70" t="str">
        <f>VLOOKUP(AU75,Etiquetas!W:X,2)</f>
        <v>1 Mal Vendedor</v>
      </c>
      <c r="AW75" s="51" t="str">
        <f>VLOOKUP(Y75,Etiquetas!Z:AB,2)</f>
        <v>7 Sobresaliente</v>
      </c>
      <c r="AX75" s="70">
        <f>VLOOKUP(Y75,Etiquetas!Z:AB,3)</f>
        <v>110</v>
      </c>
      <c r="AY75" s="51" t="str">
        <f>VLOOKUP(AJ75,Etiquetas!AD:AF,2)</f>
        <v>1 Bajo</v>
      </c>
      <c r="AZ75" s="70">
        <f>VLOOKUP(AJ75,Etiquetas!AD:AF,3)</f>
        <v>30</v>
      </c>
      <c r="BA75" s="79">
        <f t="shared" si="26"/>
        <v>58</v>
      </c>
      <c r="BB75" s="46" t="str">
        <f t="shared" si="27"/>
        <v>Antiguedad: &lt; 3 Meses|Tamaño Cartera: 1 Pequeño ≤ 500k|1 Mal Vendedor|Calidad Cartera: 7 Sobresaliente|Alcance Incentivos: 1 Bajo</v>
      </c>
    </row>
    <row r="76" spans="2:54" x14ac:dyDescent="0.2">
      <c r="B76" s="46" t="s">
        <v>97</v>
      </c>
      <c r="C76" s="61" t="s">
        <v>13</v>
      </c>
      <c r="D76" s="47">
        <v>36252</v>
      </c>
      <c r="E76" s="62" t="s">
        <v>100</v>
      </c>
      <c r="F76" s="60">
        <v>45238</v>
      </c>
      <c r="G76" s="53">
        <v>0</v>
      </c>
      <c r="H76" s="53" t="str">
        <f t="shared" si="19"/>
        <v>ACTIVO</v>
      </c>
      <c r="I76" s="54" t="str">
        <f t="shared" si="16"/>
        <v>NO</v>
      </c>
      <c r="J76" s="47">
        <f>VLOOKUP(E76,'BD Original'!G:L,6,0)</f>
        <v>0</v>
      </c>
      <c r="K76" s="47">
        <f>VLOOKUP(E76,'BD Original'!G:M,7,0)</f>
        <v>0</v>
      </c>
      <c r="L76" s="55">
        <f>IF(VLOOKUP($E76&amp;"|"&amp;$J76+L$3,'BD Original'!$A:$Z,15,0)=0,"",IFERROR(VLOOKUP($E76&amp;"|"&amp;$J76+L$3,'BD Original'!$A:$Z,15,0),""))</f>
        <v>989465.56000000017</v>
      </c>
      <c r="M76" s="55" t="str">
        <f>IFERROR(VLOOKUP($E76&amp;"|"&amp;$J76+M$3,'BD Original'!$A:$Z,15,0),"")</f>
        <v/>
      </c>
      <c r="N76" s="55" t="str">
        <f>IFERROR(VLOOKUP($E76&amp;"|"&amp;$J76+N$3,'BD Original'!$A:$Z,15,0),"")</f>
        <v/>
      </c>
      <c r="O76" s="55" t="str">
        <f>IFERROR(VLOOKUP($E76&amp;"|"&amp;$J76+O$3,'BD Original'!$A:$Z,15,0),"")</f>
        <v/>
      </c>
      <c r="P76" s="55" t="str">
        <f>IFERROR(VLOOKUP($E76&amp;"|"&amp;$J76+P$3,'BD Original'!$A:$Z,15,0),"")</f>
        <v/>
      </c>
      <c r="Q76" s="68">
        <f t="shared" si="17"/>
        <v>989465.56000000017</v>
      </c>
      <c r="R76" s="56">
        <f t="shared" si="18"/>
        <v>1</v>
      </c>
      <c r="S76" s="55">
        <f>IFERROR(VLOOKUP($E76&amp;"|"&amp;$J76+(K76-J76),'BD Original'!$A:$Z,15,0),"")</f>
        <v>989465.56000000017</v>
      </c>
      <c r="T76" s="66" t="str">
        <f t="shared" ref="T76:T78" si="29">IFERROR((S76/L76)^(1/(R76-1))-1,"NA")</f>
        <v>NA</v>
      </c>
      <c r="U76" s="55">
        <f>IFERROR(VLOOKUP($E76&amp;"|"&amp;$J76+(K76-J76),'BD Original'!$A:$Z,16,0),"")</f>
        <v>989465.56000000017</v>
      </c>
      <c r="V76" s="58">
        <f>SUMIF('BD Original'!G:G,E76,'BD Original'!R:R)</f>
        <v>0</v>
      </c>
      <c r="W76" s="57">
        <f t="shared" si="20"/>
        <v>0</v>
      </c>
      <c r="X76" s="66">
        <f t="shared" si="28"/>
        <v>0</v>
      </c>
      <c r="Y76" s="66">
        <f t="shared" si="21"/>
        <v>1</v>
      </c>
      <c r="Z76" s="55">
        <f>SUMIF('BD Original'!G:G,E76,'BD Original'!T:T)</f>
        <v>0</v>
      </c>
      <c r="AA76" s="55">
        <f>SUMIF('BD Original'!G:G,E76,'BD Original'!U:U)</f>
        <v>312500.77</v>
      </c>
      <c r="AB76" s="66" t="str">
        <f t="shared" si="22"/>
        <v>NA</v>
      </c>
      <c r="AC76" s="55">
        <f>SUMIF('BD Original'!G:G,E76,'BD Original'!V:V)</f>
        <v>9</v>
      </c>
      <c r="AD76" s="69">
        <f>IFERROR(AC76/VLOOKUP(E76,'BD Original'!G:I,3,0),0)</f>
        <v>0.40909090909090912</v>
      </c>
      <c r="AE76" s="58">
        <f>SUMIF('BD Original'!G:G,E76,'BD Original'!W:W)</f>
        <v>0</v>
      </c>
      <c r="AF76" s="58">
        <f>SUMIF('BD Original'!G:G,E76,'BD Original'!X:X)</f>
        <v>0</v>
      </c>
      <c r="AG76" s="66">
        <f>IFERROR(SUMIF('BD Original'!G:G,E76,'BD Original'!X:X)/SUMIF('BD Original'!G:G,E76,'BD Original'!W:W),0)</f>
        <v>0</v>
      </c>
      <c r="AH76" s="58">
        <f>SUMIF('BD Original'!G:G,E76,'BD Original'!Y:Y)</f>
        <v>10987.65</v>
      </c>
      <c r="AI76" s="58">
        <f>SUMIF('BD Original'!G:G,E76,'BD Original'!Z:Z)</f>
        <v>3749.3199999999997</v>
      </c>
      <c r="AJ76" s="66">
        <f t="shared" si="23"/>
        <v>0.34123038138273426</v>
      </c>
      <c r="AK76" s="58">
        <f t="shared" si="24"/>
        <v>50643.589700000011</v>
      </c>
      <c r="AL76" s="71" t="str">
        <f>VLOOKUP(E76,'BD Original'!G:K,5,0)</f>
        <v>&lt; 3 Meses</v>
      </c>
      <c r="AM76" s="71" t="str">
        <f>VLOOKUP(Q76,Etiquetas!E:F,2)</f>
        <v>2 Mediana ≤ 1MM</v>
      </c>
      <c r="AN76" s="71" t="str">
        <f>IFERROR(VLOOKUP(T76,Etiquetas!H:I,2),0)</f>
        <v>NA</v>
      </c>
      <c r="AO76" s="71" t="str">
        <f>VLOOKUP(AG76,Etiquetas!K:M,2)</f>
        <v>1 Bajo Extremo</v>
      </c>
      <c r="AP76" s="70">
        <f>VLOOKUP(AG76,Etiquetas!K:M,3)</f>
        <v>30</v>
      </c>
      <c r="AQ76" s="51" t="str">
        <f>VLOOKUP(AD76,Etiquetas!O:Q,2)</f>
        <v>1 Bajo Extremo</v>
      </c>
      <c r="AR76" s="70">
        <f>VLOOKUP(AD76,Etiquetas!O:Q,3)</f>
        <v>30</v>
      </c>
      <c r="AS76" s="51" t="str">
        <f>VLOOKUP(AB76,Etiquetas!S:U,2)</f>
        <v>NA</v>
      </c>
      <c r="AT76" s="70">
        <f>VLOOKUP(AB76,Etiquetas!S:U,3)</f>
        <v>0</v>
      </c>
      <c r="AU76" s="70">
        <f t="shared" si="25"/>
        <v>18</v>
      </c>
      <c r="AV76" s="70" t="str">
        <f>VLOOKUP(AU76,Etiquetas!W:X,2)</f>
        <v>1 Mal Vendedor</v>
      </c>
      <c r="AW76" s="51" t="str">
        <f>VLOOKUP(Y76,Etiquetas!Z:AB,2)</f>
        <v>7 Sobresaliente</v>
      </c>
      <c r="AX76" s="70">
        <f>VLOOKUP(Y76,Etiquetas!Z:AB,3)</f>
        <v>110</v>
      </c>
      <c r="AY76" s="51" t="str">
        <f>VLOOKUP(AJ76,Etiquetas!AD:AF,2)</f>
        <v>1 Bajo</v>
      </c>
      <c r="AZ76" s="70">
        <f>VLOOKUP(AJ76,Etiquetas!AD:AF,3)</f>
        <v>30</v>
      </c>
      <c r="BA76" s="79">
        <f t="shared" si="26"/>
        <v>56</v>
      </c>
      <c r="BB76" s="46" t="str">
        <f t="shared" si="27"/>
        <v>Antiguedad: &lt; 3 Meses|Tamaño Cartera: 2 Mediana ≤ 1MM|1 Mal Vendedor|Calidad Cartera: 7 Sobresaliente|Alcance Incentivos: 1 Bajo</v>
      </c>
    </row>
    <row r="77" spans="2:54" x14ac:dyDescent="0.2">
      <c r="B77" s="46" t="s">
        <v>97</v>
      </c>
      <c r="C77" s="61" t="s">
        <v>22</v>
      </c>
      <c r="D77" s="47">
        <v>31036</v>
      </c>
      <c r="E77" s="62" t="s">
        <v>101</v>
      </c>
      <c r="F77" s="60">
        <v>45040</v>
      </c>
      <c r="G77" s="53">
        <v>0</v>
      </c>
      <c r="H77" s="53" t="str">
        <f t="shared" si="19"/>
        <v>ACTIVO</v>
      </c>
      <c r="I77" s="54" t="str">
        <f t="shared" si="16"/>
        <v>NO</v>
      </c>
      <c r="J77" s="47">
        <f>VLOOKUP(E77,'BD Original'!G:L,6,0)</f>
        <v>7</v>
      </c>
      <c r="K77" s="47">
        <f>VLOOKUP(E77,'BD Original'!G:M,7,0)</f>
        <v>7</v>
      </c>
      <c r="L77" s="55">
        <f>IF(VLOOKUP($E77&amp;"|"&amp;$J77+L$3,'BD Original'!$A:$Z,15,0)=0,"",IFERROR(VLOOKUP($E77&amp;"|"&amp;$J77+L$3,'BD Original'!$A:$Z,15,0),""))</f>
        <v>577314.51</v>
      </c>
      <c r="M77" s="55" t="str">
        <f>IFERROR(VLOOKUP($E77&amp;"|"&amp;$J77+M$3,'BD Original'!$A:$Z,15,0),"")</f>
        <v/>
      </c>
      <c r="N77" s="55" t="str">
        <f>IFERROR(VLOOKUP($E77&amp;"|"&amp;$J77+N$3,'BD Original'!$A:$Z,15,0),"")</f>
        <v/>
      </c>
      <c r="O77" s="55" t="str">
        <f>IFERROR(VLOOKUP($E77&amp;"|"&amp;$J77+O$3,'BD Original'!$A:$Z,15,0),"")</f>
        <v/>
      </c>
      <c r="P77" s="55" t="str">
        <f>IFERROR(VLOOKUP($E77&amp;"|"&amp;$J77+P$3,'BD Original'!$A:$Z,15,0),"")</f>
        <v/>
      </c>
      <c r="Q77" s="68">
        <f t="shared" si="17"/>
        <v>577314.51</v>
      </c>
      <c r="R77" s="56">
        <f t="shared" si="18"/>
        <v>1</v>
      </c>
      <c r="S77" s="55">
        <f>IFERROR(VLOOKUP($E77&amp;"|"&amp;$J77+(K77-J77),'BD Original'!$A:$Z,15,0),"")</f>
        <v>577314.51</v>
      </c>
      <c r="T77" s="66" t="str">
        <f t="shared" si="29"/>
        <v>NA</v>
      </c>
      <c r="U77" s="55">
        <f>IFERROR(VLOOKUP($E77&amp;"|"&amp;$J77+(K77-J77),'BD Original'!$A:$Z,16,0),"")</f>
        <v>552347.63</v>
      </c>
      <c r="V77" s="58">
        <f>SUMIF('BD Original'!G:G,E77,'BD Original'!R:R)</f>
        <v>0</v>
      </c>
      <c r="W77" s="57">
        <f t="shared" si="20"/>
        <v>0</v>
      </c>
      <c r="X77" s="66">
        <f t="shared" si="28"/>
        <v>0</v>
      </c>
      <c r="Y77" s="66">
        <f t="shared" si="21"/>
        <v>0.95675341678143511</v>
      </c>
      <c r="Z77" s="55">
        <f>SUMIF('BD Original'!G:G,E77,'BD Original'!T:T)</f>
        <v>0</v>
      </c>
      <c r="AA77" s="55">
        <f>SUMIF('BD Original'!G:G,E77,'BD Original'!U:U)</f>
        <v>125500.05999999995</v>
      </c>
      <c r="AB77" s="66" t="str">
        <f t="shared" si="22"/>
        <v>NA</v>
      </c>
      <c r="AC77" s="55">
        <f>SUMIF('BD Original'!G:G,E77,'BD Original'!V:V)</f>
        <v>6</v>
      </c>
      <c r="AD77" s="69">
        <f>IFERROR(AC77/VLOOKUP(E77,'BD Original'!G:I,3,0),0)</f>
        <v>2.7272727272727271E-2</v>
      </c>
      <c r="AE77" s="58">
        <f>SUMIF('BD Original'!G:G,E77,'BD Original'!W:W)</f>
        <v>24</v>
      </c>
      <c r="AF77" s="58">
        <f>SUMIF('BD Original'!G:G,E77,'BD Original'!X:X)</f>
        <v>19</v>
      </c>
      <c r="AG77" s="66">
        <f>IFERROR(SUMIF('BD Original'!G:G,E77,'BD Original'!X:X)/SUMIF('BD Original'!G:G,E77,'BD Original'!W:W),0)</f>
        <v>0.79166666666666663</v>
      </c>
      <c r="AH77" s="58">
        <f>SUMIF('BD Original'!G:G,E77,'BD Original'!Y:Y)</f>
        <v>8951</v>
      </c>
      <c r="AI77" s="58">
        <f>SUMIF('BD Original'!G:G,E77,'BD Original'!Z:Z)</f>
        <v>926.72268800000006</v>
      </c>
      <c r="AJ77" s="66">
        <f t="shared" si="23"/>
        <v>0.10353286649536365</v>
      </c>
      <c r="AK77" s="58">
        <f t="shared" si="24"/>
        <v>24122.307013000005</v>
      </c>
      <c r="AL77" s="71" t="str">
        <f>VLOOKUP(E77,'BD Original'!G:K,5,0)</f>
        <v>6 a 12 Meses</v>
      </c>
      <c r="AM77" s="71" t="str">
        <f>VLOOKUP(Q77,Etiquetas!E:F,2)</f>
        <v>2 Mediana ≤ 1MM</v>
      </c>
      <c r="AN77" s="71" t="str">
        <f>IFERROR(VLOOKUP(T77,Etiquetas!H:I,2),0)</f>
        <v>NA</v>
      </c>
      <c r="AO77" s="71" t="str">
        <f>VLOOKUP(AG77,Etiquetas!K:M,2)</f>
        <v>4 Medio Alto</v>
      </c>
      <c r="AP77" s="70">
        <f>VLOOKUP(AG77,Etiquetas!K:M,3)</f>
        <v>80</v>
      </c>
      <c r="AQ77" s="51" t="str">
        <f>VLOOKUP(AD77,Etiquetas!O:Q,2)</f>
        <v>1 Bajo Extremo</v>
      </c>
      <c r="AR77" s="70">
        <f>VLOOKUP(AD77,Etiquetas!O:Q,3)</f>
        <v>30</v>
      </c>
      <c r="AS77" s="51" t="str">
        <f>VLOOKUP(AB77,Etiquetas!S:U,2)</f>
        <v>NA</v>
      </c>
      <c r="AT77" s="70">
        <f>VLOOKUP(AB77,Etiquetas!S:U,3)</f>
        <v>0</v>
      </c>
      <c r="AU77" s="70">
        <f t="shared" si="25"/>
        <v>38</v>
      </c>
      <c r="AV77" s="70" t="str">
        <f>VLOOKUP(AU77,Etiquetas!W:X,2)</f>
        <v>1 Mal Vendedor</v>
      </c>
      <c r="AW77" s="51" t="str">
        <f>VLOOKUP(Y77,Etiquetas!Z:AB,2)</f>
        <v>5 Alto</v>
      </c>
      <c r="AX77" s="70">
        <f>VLOOKUP(Y77,Etiquetas!Z:AB,3)</f>
        <v>90</v>
      </c>
      <c r="AY77" s="51" t="str">
        <f>VLOOKUP(AJ77,Etiquetas!AD:AF,2)</f>
        <v>1 Bajo</v>
      </c>
      <c r="AZ77" s="70">
        <f>VLOOKUP(AJ77,Etiquetas!AD:AF,3)</f>
        <v>30</v>
      </c>
      <c r="BA77" s="79">
        <f t="shared" si="26"/>
        <v>58</v>
      </c>
      <c r="BB77" s="46" t="str">
        <f t="shared" si="27"/>
        <v>Antiguedad: 6 a 12 Meses|Tamaño Cartera: 2 Mediana ≤ 1MM|1 Mal Vendedor|Calidad Cartera: 5 Alto|Alcance Incentivos: 1 Bajo</v>
      </c>
    </row>
    <row r="78" spans="2:54" x14ac:dyDescent="0.2">
      <c r="B78" s="46" t="s">
        <v>97</v>
      </c>
      <c r="C78" s="61" t="s">
        <v>30</v>
      </c>
      <c r="D78" s="47">
        <v>28375</v>
      </c>
      <c r="E78" s="62" t="s">
        <v>102</v>
      </c>
      <c r="F78" s="60">
        <v>44949</v>
      </c>
      <c r="G78" s="53" t="e">
        <v>#N/A</v>
      </c>
      <c r="H78" s="53" t="e">
        <f t="shared" si="19"/>
        <v>#N/A</v>
      </c>
      <c r="I78" s="54" t="str">
        <f t="shared" si="16"/>
        <v>NO</v>
      </c>
      <c r="J78" s="47">
        <f>VLOOKUP(E78,'BD Original'!G:L,6,0)</f>
        <v>10</v>
      </c>
      <c r="K78" s="47">
        <f>VLOOKUP(E78,'BD Original'!G:M,7,0)</f>
        <v>10</v>
      </c>
      <c r="L78" s="55">
        <f>IF(VLOOKUP($E78&amp;"|"&amp;$J78+L$3,'BD Original'!$A:$Z,15,0)=0,"",IFERROR(VLOOKUP($E78&amp;"|"&amp;$J78+L$3,'BD Original'!$A:$Z,15,0),""))</f>
        <v>1468639.49</v>
      </c>
      <c r="M78" s="55" t="str">
        <f>IFERROR(VLOOKUP($E78&amp;"|"&amp;$J78+M$3,'BD Original'!$A:$Z,15,0),"")</f>
        <v/>
      </c>
      <c r="N78" s="55" t="str">
        <f>IFERROR(VLOOKUP($E78&amp;"|"&amp;$J78+N$3,'BD Original'!$A:$Z,15,0),"")</f>
        <v/>
      </c>
      <c r="O78" s="55" t="str">
        <f>IFERROR(VLOOKUP($E78&amp;"|"&amp;$J78+O$3,'BD Original'!$A:$Z,15,0),"")</f>
        <v/>
      </c>
      <c r="P78" s="55" t="str">
        <f>IFERROR(VLOOKUP($E78&amp;"|"&amp;$J78+P$3,'BD Original'!$A:$Z,15,0),"")</f>
        <v/>
      </c>
      <c r="Q78" s="68">
        <f t="shared" si="17"/>
        <v>1468639.49</v>
      </c>
      <c r="R78" s="56">
        <f t="shared" si="18"/>
        <v>1</v>
      </c>
      <c r="S78" s="55">
        <f>IFERROR(VLOOKUP($E78&amp;"|"&amp;$J78+(K78-J78),'BD Original'!$A:$Z,15,0),"")</f>
        <v>1468639.49</v>
      </c>
      <c r="T78" s="66" t="str">
        <f t="shared" si="29"/>
        <v>NA</v>
      </c>
      <c r="U78" s="55">
        <f>IFERROR(VLOOKUP($E78&amp;"|"&amp;$J78+(K78-J78),'BD Original'!$A:$Z,16,0),"")</f>
        <v>1362376.8399999996</v>
      </c>
      <c r="V78" s="58">
        <f>SUMIF('BD Original'!G:G,E78,'BD Original'!R:R)</f>
        <v>14849.21</v>
      </c>
      <c r="W78" s="57">
        <f t="shared" si="20"/>
        <v>1.0110861175331734E-2</v>
      </c>
      <c r="X78" s="66">
        <f t="shared" si="28"/>
        <v>0.12133033410398081</v>
      </c>
      <c r="Y78" s="66">
        <f t="shared" si="21"/>
        <v>0.91836010614708397</v>
      </c>
      <c r="Z78" s="55">
        <f>SUMIF('BD Original'!G:G,E78,'BD Original'!T:T)</f>
        <v>0</v>
      </c>
      <c r="AA78" s="55">
        <f>SUMIF('BD Original'!G:G,E78,'BD Original'!U:U)</f>
        <v>645001.05000000005</v>
      </c>
      <c r="AB78" s="66" t="str">
        <f t="shared" si="22"/>
        <v>NA</v>
      </c>
      <c r="AC78" s="55">
        <f>SUMIF('BD Original'!G:G,E78,'BD Original'!V:V)</f>
        <v>5</v>
      </c>
      <c r="AD78" s="69">
        <f>IFERROR(AC78/VLOOKUP(E78,'BD Original'!G:I,3,0),0)</f>
        <v>1.607717041800643E-2</v>
      </c>
      <c r="AE78" s="58">
        <f>SUMIF('BD Original'!G:G,E78,'BD Original'!W:W)</f>
        <v>21</v>
      </c>
      <c r="AF78" s="58">
        <f>SUMIF('BD Original'!G:G,E78,'BD Original'!X:X)</f>
        <v>16</v>
      </c>
      <c r="AG78" s="66">
        <f>IFERROR(SUMIF('BD Original'!G:G,E78,'BD Original'!X:X)/SUMIF('BD Original'!G:G,E78,'BD Original'!W:W),0)</f>
        <v>0.76190476190476186</v>
      </c>
      <c r="AH78" s="58">
        <f>SUMIF('BD Original'!G:G,E78,'BD Original'!Y:Y)</f>
        <v>16131</v>
      </c>
      <c r="AI78" s="58">
        <f>SUMIF('BD Original'!G:G,E78,'BD Original'!Z:Z)</f>
        <v>1418.5065049999996</v>
      </c>
      <c r="AJ78" s="66">
        <f t="shared" si="23"/>
        <v>8.7936675035645631E-2</v>
      </c>
      <c r="AK78" s="58">
        <f t="shared" si="24"/>
        <v>90714.487180000011</v>
      </c>
      <c r="AL78" s="71" t="str">
        <f>VLOOKUP(E78,'BD Original'!G:K,5,0)</f>
        <v>6 a 12 Meses</v>
      </c>
      <c r="AM78" s="71" t="str">
        <f>VLOOKUP(Q78,Etiquetas!E:F,2)</f>
        <v>3 Mediana ≥ 1MM</v>
      </c>
      <c r="AN78" s="71" t="str">
        <f>IFERROR(VLOOKUP(T78,Etiquetas!H:I,2),0)</f>
        <v>NA</v>
      </c>
      <c r="AO78" s="71" t="str">
        <f>VLOOKUP(AG78,Etiquetas!K:M,2)</f>
        <v>4 Medio Alto</v>
      </c>
      <c r="AP78" s="70">
        <f>VLOOKUP(AG78,Etiquetas!K:M,3)</f>
        <v>80</v>
      </c>
      <c r="AQ78" s="51" t="str">
        <f>VLOOKUP(AD78,Etiquetas!O:Q,2)</f>
        <v>1 Bajo Extremo</v>
      </c>
      <c r="AR78" s="70">
        <f>VLOOKUP(AD78,Etiquetas!O:Q,3)</f>
        <v>30</v>
      </c>
      <c r="AS78" s="51" t="str">
        <f>VLOOKUP(AB78,Etiquetas!S:U,2)</f>
        <v>NA</v>
      </c>
      <c r="AT78" s="70">
        <f>VLOOKUP(AB78,Etiquetas!S:U,3)</f>
        <v>0</v>
      </c>
      <c r="AU78" s="70">
        <f t="shared" si="25"/>
        <v>38</v>
      </c>
      <c r="AV78" s="70" t="str">
        <f>VLOOKUP(AU78,Etiquetas!W:X,2)</f>
        <v>1 Mal Vendedor</v>
      </c>
      <c r="AW78" s="51" t="str">
        <f>VLOOKUP(Y78,Etiquetas!Z:AB,2)</f>
        <v>4 Medio Alto</v>
      </c>
      <c r="AX78" s="70">
        <f>VLOOKUP(Y78,Etiquetas!Z:AB,3)</f>
        <v>80</v>
      </c>
      <c r="AY78" s="51" t="str">
        <f>VLOOKUP(AJ78,Etiquetas!AD:AF,2)</f>
        <v>1 Bajo</v>
      </c>
      <c r="AZ78" s="70">
        <f>VLOOKUP(AJ78,Etiquetas!AD:AF,3)</f>
        <v>30</v>
      </c>
      <c r="BA78" s="79">
        <f t="shared" si="26"/>
        <v>54</v>
      </c>
      <c r="BB78" s="46" t="str">
        <f t="shared" si="27"/>
        <v>Antiguedad: 6 a 12 Meses|Tamaño Cartera: 3 Mediana ≥ 1MM|1 Mal Vendedor|Calidad Cartera: 4 Medio Alto|Alcance Incentivos: 1 Bajo</v>
      </c>
    </row>
    <row r="79" spans="2:54" x14ac:dyDescent="0.2">
      <c r="L79" s="63"/>
      <c r="S79" s="63"/>
      <c r="Z79" s="63"/>
    </row>
    <row r="80" spans="2:54" x14ac:dyDescent="0.2">
      <c r="L80" s="63"/>
      <c r="S80" s="63"/>
      <c r="Z80" s="63"/>
      <c r="AH80" s="64"/>
      <c r="AI80" s="64"/>
      <c r="AJ80" s="57"/>
      <c r="AK80" s="64"/>
    </row>
    <row r="81" spans="12:26" x14ac:dyDescent="0.2">
      <c r="L81" s="63"/>
      <c r="S81" s="63"/>
      <c r="Z81" s="63"/>
    </row>
    <row r="82" spans="12:26" x14ac:dyDescent="0.2">
      <c r="L82" s="63"/>
      <c r="S82" s="63"/>
      <c r="Z82" s="63"/>
    </row>
    <row r="83" spans="12:26" x14ac:dyDescent="0.2">
      <c r="L83" s="63"/>
      <c r="S83" s="63"/>
      <c r="Z83" s="63"/>
    </row>
    <row r="84" spans="12:26" x14ac:dyDescent="0.2">
      <c r="L84" s="63"/>
      <c r="S84" s="63"/>
      <c r="Z84" s="63"/>
    </row>
    <row r="85" spans="12:26" x14ac:dyDescent="0.2">
      <c r="L85" s="63"/>
      <c r="S85" s="63"/>
      <c r="Z85" s="63"/>
    </row>
    <row r="86" spans="12:26" x14ac:dyDescent="0.2">
      <c r="L86" s="63"/>
      <c r="S86" s="63"/>
      <c r="Z86" s="63"/>
    </row>
    <row r="87" spans="12:26" x14ac:dyDescent="0.2">
      <c r="L87" s="63"/>
      <c r="S87" s="63"/>
      <c r="Z87" s="63"/>
    </row>
    <row r="88" spans="12:26" x14ac:dyDescent="0.2">
      <c r="L88" s="63"/>
      <c r="S88" s="63"/>
      <c r="Z88" s="63"/>
    </row>
    <row r="89" spans="12:26" x14ac:dyDescent="0.2">
      <c r="L89" s="63"/>
      <c r="S89" s="63"/>
      <c r="Z89" s="63"/>
    </row>
    <row r="90" spans="12:26" x14ac:dyDescent="0.2">
      <c r="L90" s="63"/>
      <c r="S90" s="63"/>
      <c r="Z90" s="63"/>
    </row>
    <row r="91" spans="12:26" x14ac:dyDescent="0.2">
      <c r="L91" s="63"/>
      <c r="S91" s="63"/>
      <c r="Z91" s="63"/>
    </row>
    <row r="92" spans="12:26" x14ac:dyDescent="0.2">
      <c r="L92" s="63"/>
      <c r="S92" s="63"/>
      <c r="Z92" s="63"/>
    </row>
    <row r="93" spans="12:26" x14ac:dyDescent="0.2">
      <c r="L93" s="63"/>
      <c r="S93" s="63"/>
      <c r="Z93" s="63"/>
    </row>
    <row r="94" spans="12:26" x14ac:dyDescent="0.2">
      <c r="L94" s="63"/>
      <c r="S94" s="63"/>
      <c r="Z94" s="63"/>
    </row>
    <row r="95" spans="12:26" x14ac:dyDescent="0.2">
      <c r="L95" s="63"/>
      <c r="S95" s="63"/>
      <c r="Z95" s="63"/>
    </row>
    <row r="96" spans="12:26" x14ac:dyDescent="0.2">
      <c r="L96" s="63"/>
      <c r="S96" s="63"/>
      <c r="Z96" s="63"/>
    </row>
    <row r="97" spans="12:26" x14ac:dyDescent="0.2">
      <c r="L97" s="63"/>
      <c r="S97" s="63"/>
      <c r="Z97" s="63"/>
    </row>
    <row r="98" spans="12:26" x14ac:dyDescent="0.2">
      <c r="L98" s="63"/>
      <c r="S98" s="63"/>
      <c r="Z98" s="63"/>
    </row>
    <row r="99" spans="12:26" x14ac:dyDescent="0.2">
      <c r="L99" s="63"/>
      <c r="S99" s="63"/>
      <c r="Z99" s="63"/>
    </row>
    <row r="100" spans="12:26" x14ac:dyDescent="0.2">
      <c r="L100" s="63"/>
      <c r="S100" s="63"/>
      <c r="Z100" s="63"/>
    </row>
    <row r="101" spans="12:26" x14ac:dyDescent="0.2">
      <c r="L101" s="63"/>
      <c r="S101" s="63"/>
      <c r="Z101" s="63"/>
    </row>
    <row r="102" spans="12:26" x14ac:dyDescent="0.2">
      <c r="L102" s="63"/>
      <c r="S102" s="63"/>
      <c r="Z102" s="63"/>
    </row>
    <row r="103" spans="12:26" x14ac:dyDescent="0.2">
      <c r="L103" s="63"/>
      <c r="S103" s="63"/>
      <c r="Z103" s="63"/>
    </row>
    <row r="104" spans="12:26" x14ac:dyDescent="0.2">
      <c r="L104" s="63"/>
      <c r="S104" s="63"/>
      <c r="Z104" s="63"/>
    </row>
    <row r="105" spans="12:26" x14ac:dyDescent="0.2">
      <c r="L105" s="63"/>
      <c r="S105" s="63"/>
      <c r="Z105" s="63"/>
    </row>
    <row r="106" spans="12:26" x14ac:dyDescent="0.2">
      <c r="L106" s="63"/>
      <c r="S106" s="63"/>
      <c r="Z106" s="63"/>
    </row>
    <row r="107" spans="12:26" x14ac:dyDescent="0.2">
      <c r="L107" s="63"/>
      <c r="S107" s="63"/>
      <c r="Z107" s="63"/>
    </row>
    <row r="108" spans="12:26" x14ac:dyDescent="0.2">
      <c r="L108" s="63"/>
      <c r="S108" s="63"/>
      <c r="Z108" s="63"/>
    </row>
    <row r="109" spans="12:26" x14ac:dyDescent="0.2">
      <c r="L109" s="63"/>
      <c r="S109" s="63"/>
      <c r="Z109" s="63"/>
    </row>
    <row r="110" spans="12:26" x14ac:dyDescent="0.2">
      <c r="L110" s="63"/>
      <c r="S110" s="63"/>
      <c r="Z110" s="63"/>
    </row>
    <row r="111" spans="12:26" x14ac:dyDescent="0.2">
      <c r="L111" s="63"/>
      <c r="S111" s="63"/>
      <c r="Z111" s="63"/>
    </row>
    <row r="112" spans="12:26" x14ac:dyDescent="0.2">
      <c r="L112" s="63"/>
      <c r="S112" s="63"/>
      <c r="Z112" s="63"/>
    </row>
    <row r="113" spans="12:26" x14ac:dyDescent="0.2">
      <c r="L113" s="63"/>
      <c r="S113" s="63"/>
      <c r="Z113" s="63"/>
    </row>
    <row r="114" spans="12:26" x14ac:dyDescent="0.2">
      <c r="L114" s="63"/>
      <c r="S114" s="63"/>
      <c r="Z114" s="63"/>
    </row>
    <row r="115" spans="12:26" x14ac:dyDescent="0.2">
      <c r="L115" s="63"/>
      <c r="S115" s="63"/>
      <c r="Z115" s="63"/>
    </row>
    <row r="116" spans="12:26" x14ac:dyDescent="0.2">
      <c r="L116" s="63"/>
      <c r="S116" s="63"/>
      <c r="Z116" s="63"/>
    </row>
    <row r="117" spans="12:26" x14ac:dyDescent="0.2">
      <c r="L117" s="63"/>
      <c r="S117" s="63"/>
      <c r="Z117" s="63"/>
    </row>
    <row r="118" spans="12:26" x14ac:dyDescent="0.2">
      <c r="L118" s="63"/>
      <c r="S118" s="63"/>
      <c r="Z118" s="63"/>
    </row>
    <row r="119" spans="12:26" x14ac:dyDescent="0.2">
      <c r="L119" s="63"/>
      <c r="S119" s="63"/>
      <c r="Z119" s="63"/>
    </row>
    <row r="120" spans="12:26" x14ac:dyDescent="0.2">
      <c r="L120" s="63"/>
      <c r="S120" s="63"/>
      <c r="Z120" s="63"/>
    </row>
    <row r="121" spans="12:26" x14ac:dyDescent="0.2">
      <c r="L121" s="63"/>
      <c r="S121" s="63"/>
      <c r="Z121" s="63"/>
    </row>
    <row r="122" spans="12:26" x14ac:dyDescent="0.2">
      <c r="L122" s="63"/>
      <c r="S122" s="63"/>
      <c r="Z122" s="63"/>
    </row>
    <row r="123" spans="12:26" x14ac:dyDescent="0.2">
      <c r="L123" s="63"/>
      <c r="S123" s="63"/>
      <c r="Z123" s="63"/>
    </row>
    <row r="124" spans="12:26" x14ac:dyDescent="0.2">
      <c r="L124" s="63"/>
      <c r="S124" s="63"/>
      <c r="Z124" s="63"/>
    </row>
    <row r="125" spans="12:26" x14ac:dyDescent="0.2">
      <c r="L125" s="63"/>
      <c r="S125" s="63"/>
      <c r="Z125" s="63"/>
    </row>
    <row r="126" spans="12:26" x14ac:dyDescent="0.2">
      <c r="L126" s="63"/>
      <c r="S126" s="63"/>
      <c r="Z126" s="63"/>
    </row>
    <row r="127" spans="12:26" x14ac:dyDescent="0.2">
      <c r="L127" s="63"/>
      <c r="S127" s="63"/>
      <c r="Z127" s="63"/>
    </row>
    <row r="128" spans="12:26" x14ac:dyDescent="0.2">
      <c r="L128" s="63"/>
      <c r="S128" s="63"/>
      <c r="Z128" s="63"/>
    </row>
    <row r="129" spans="12:26" x14ac:dyDescent="0.2">
      <c r="L129" s="63"/>
      <c r="S129" s="63"/>
      <c r="Z129" s="63"/>
    </row>
    <row r="130" spans="12:26" x14ac:dyDescent="0.2">
      <c r="L130" s="63"/>
      <c r="S130" s="63"/>
      <c r="Z130" s="63"/>
    </row>
    <row r="131" spans="12:26" x14ac:dyDescent="0.2">
      <c r="L131" s="63"/>
      <c r="S131" s="63"/>
      <c r="Z131" s="63"/>
    </row>
    <row r="132" spans="12:26" x14ac:dyDescent="0.2">
      <c r="L132" s="63"/>
      <c r="S132" s="63"/>
      <c r="Z132" s="63"/>
    </row>
    <row r="133" spans="12:26" x14ac:dyDescent="0.2">
      <c r="L133" s="63"/>
      <c r="S133" s="63"/>
      <c r="Z133" s="63"/>
    </row>
    <row r="134" spans="12:26" x14ac:dyDescent="0.2">
      <c r="L134" s="63"/>
      <c r="S134" s="63"/>
      <c r="Z134" s="63"/>
    </row>
    <row r="135" spans="12:26" x14ac:dyDescent="0.2">
      <c r="L135" s="63"/>
      <c r="S135" s="63"/>
      <c r="Z135" s="63"/>
    </row>
    <row r="136" spans="12:26" x14ac:dyDescent="0.2">
      <c r="L136" s="63"/>
      <c r="S136" s="63"/>
      <c r="Z136" s="63"/>
    </row>
    <row r="137" spans="12:26" x14ac:dyDescent="0.2">
      <c r="L137" s="63"/>
      <c r="S137" s="63"/>
      <c r="Z137" s="63"/>
    </row>
    <row r="138" spans="12:26" x14ac:dyDescent="0.2">
      <c r="L138" s="63"/>
      <c r="S138" s="63"/>
      <c r="Z138" s="63"/>
    </row>
    <row r="139" spans="12:26" x14ac:dyDescent="0.2">
      <c r="L139" s="63"/>
      <c r="S139" s="63"/>
      <c r="Z139" s="63"/>
    </row>
    <row r="140" spans="12:26" x14ac:dyDescent="0.2">
      <c r="L140" s="63"/>
      <c r="S140" s="63"/>
      <c r="Z140" s="63"/>
    </row>
    <row r="141" spans="12:26" x14ac:dyDescent="0.2">
      <c r="L141" s="63"/>
      <c r="S141" s="63"/>
      <c r="Z141" s="63"/>
    </row>
    <row r="142" spans="12:26" x14ac:dyDescent="0.2">
      <c r="L142" s="63"/>
      <c r="S142" s="63"/>
      <c r="Z142" s="63"/>
    </row>
    <row r="143" spans="12:26" x14ac:dyDescent="0.2">
      <c r="L143" s="63"/>
      <c r="S143" s="63"/>
      <c r="Z143" s="63"/>
    </row>
    <row r="144" spans="12:26" x14ac:dyDescent="0.2">
      <c r="L144" s="63"/>
      <c r="S144" s="63"/>
      <c r="Z144" s="63"/>
    </row>
    <row r="145" spans="12:26" x14ac:dyDescent="0.2">
      <c r="L145" s="63"/>
      <c r="S145" s="63"/>
      <c r="Z145" s="63"/>
    </row>
    <row r="146" spans="12:26" x14ac:dyDescent="0.2">
      <c r="L146" s="63"/>
      <c r="S146" s="63"/>
      <c r="Z146" s="63"/>
    </row>
    <row r="147" spans="12:26" x14ac:dyDescent="0.2">
      <c r="L147" s="63"/>
      <c r="S147" s="63"/>
      <c r="Z147" s="63"/>
    </row>
    <row r="148" spans="12:26" x14ac:dyDescent="0.2">
      <c r="L148" s="63"/>
      <c r="S148" s="63"/>
      <c r="Z148" s="63"/>
    </row>
    <row r="149" spans="12:26" x14ac:dyDescent="0.2">
      <c r="L149" s="63"/>
      <c r="S149" s="63"/>
      <c r="Z149" s="63"/>
    </row>
    <row r="150" spans="12:26" x14ac:dyDescent="0.2">
      <c r="L150" s="63"/>
      <c r="S150" s="63"/>
      <c r="Z150" s="63"/>
    </row>
    <row r="151" spans="12:26" x14ac:dyDescent="0.2">
      <c r="L151" s="63"/>
      <c r="S151" s="63"/>
      <c r="Z151" s="63"/>
    </row>
    <row r="152" spans="12:26" x14ac:dyDescent="0.2">
      <c r="L152" s="63"/>
      <c r="S152" s="63"/>
      <c r="Z152" s="63"/>
    </row>
    <row r="153" spans="12:26" x14ac:dyDescent="0.2">
      <c r="L153" s="63"/>
      <c r="S153" s="63"/>
      <c r="Z153" s="63"/>
    </row>
    <row r="154" spans="12:26" x14ac:dyDescent="0.2">
      <c r="L154" s="63"/>
      <c r="S154" s="63"/>
      <c r="Z154" s="63"/>
    </row>
    <row r="155" spans="12:26" x14ac:dyDescent="0.2">
      <c r="L155" s="63"/>
      <c r="S155" s="63"/>
      <c r="Z155" s="63"/>
    </row>
    <row r="156" spans="12:26" x14ac:dyDescent="0.2">
      <c r="L156" s="63"/>
      <c r="S156" s="63"/>
      <c r="Z156" s="63"/>
    </row>
    <row r="157" spans="12:26" x14ac:dyDescent="0.2">
      <c r="L157" s="63"/>
      <c r="S157" s="63"/>
      <c r="Z157" s="63"/>
    </row>
    <row r="158" spans="12:26" x14ac:dyDescent="0.2">
      <c r="L158" s="63"/>
      <c r="S158" s="63"/>
      <c r="Z158" s="63"/>
    </row>
    <row r="159" spans="12:26" x14ac:dyDescent="0.2">
      <c r="L159" s="63"/>
      <c r="S159" s="63"/>
      <c r="Z159" s="63"/>
    </row>
    <row r="160" spans="12:26" x14ac:dyDescent="0.2">
      <c r="L160" s="63"/>
      <c r="S160" s="63"/>
      <c r="Z160" s="63"/>
    </row>
    <row r="161" spans="12:26" x14ac:dyDescent="0.2">
      <c r="L161" s="63"/>
      <c r="S161" s="63"/>
      <c r="Z161" s="63"/>
    </row>
    <row r="162" spans="12:26" x14ac:dyDescent="0.2">
      <c r="L162" s="63"/>
      <c r="S162" s="63"/>
      <c r="Z162" s="63"/>
    </row>
    <row r="163" spans="12:26" x14ac:dyDescent="0.2">
      <c r="L163" s="63"/>
      <c r="S163" s="63"/>
      <c r="Z163" s="63"/>
    </row>
    <row r="164" spans="12:26" x14ac:dyDescent="0.2">
      <c r="L164" s="63"/>
      <c r="S164" s="63"/>
      <c r="Z164" s="63"/>
    </row>
    <row r="165" spans="12:26" x14ac:dyDescent="0.2">
      <c r="L165" s="63"/>
      <c r="S165" s="63"/>
      <c r="Z165" s="63"/>
    </row>
    <row r="166" spans="12:26" x14ac:dyDescent="0.2">
      <c r="L166" s="63"/>
      <c r="S166" s="63"/>
      <c r="Z166" s="63"/>
    </row>
    <row r="167" spans="12:26" x14ac:dyDescent="0.2">
      <c r="L167" s="63"/>
      <c r="S167" s="63"/>
      <c r="Z167" s="63"/>
    </row>
    <row r="168" spans="12:26" x14ac:dyDescent="0.2">
      <c r="L168" s="63"/>
      <c r="S168" s="63"/>
      <c r="Z168" s="63"/>
    </row>
    <row r="169" spans="12:26" x14ac:dyDescent="0.2">
      <c r="L169" s="63"/>
      <c r="S169" s="63"/>
      <c r="Z169" s="63"/>
    </row>
    <row r="170" spans="12:26" x14ac:dyDescent="0.2">
      <c r="L170" s="63"/>
      <c r="S170" s="63"/>
      <c r="Z170" s="63"/>
    </row>
    <row r="171" spans="12:26" x14ac:dyDescent="0.2">
      <c r="L171" s="63"/>
      <c r="S171" s="63"/>
      <c r="Z171" s="63"/>
    </row>
    <row r="172" spans="12:26" x14ac:dyDescent="0.2">
      <c r="L172" s="63"/>
      <c r="S172" s="63"/>
      <c r="Z172" s="63"/>
    </row>
    <row r="173" spans="12:26" x14ac:dyDescent="0.2">
      <c r="L173" s="63"/>
      <c r="S173" s="63"/>
      <c r="Z173" s="63"/>
    </row>
    <row r="174" spans="12:26" x14ac:dyDescent="0.2">
      <c r="L174" s="63"/>
      <c r="S174" s="63"/>
      <c r="Z174" s="63"/>
    </row>
    <row r="175" spans="12:26" x14ac:dyDescent="0.2">
      <c r="L175" s="63"/>
      <c r="S175" s="63"/>
      <c r="Z175" s="63"/>
    </row>
    <row r="176" spans="12:26" x14ac:dyDescent="0.2">
      <c r="L176" s="63"/>
      <c r="S176" s="63"/>
      <c r="Z176" s="63"/>
    </row>
    <row r="177" spans="12:26" x14ac:dyDescent="0.2">
      <c r="L177" s="63"/>
      <c r="S177" s="63"/>
      <c r="Z177" s="63"/>
    </row>
    <row r="178" spans="12:26" x14ac:dyDescent="0.2">
      <c r="L178" s="63"/>
      <c r="S178" s="63"/>
      <c r="Z178" s="63"/>
    </row>
    <row r="179" spans="12:26" x14ac:dyDescent="0.2">
      <c r="L179" s="63"/>
      <c r="S179" s="63"/>
      <c r="Z179" s="63"/>
    </row>
    <row r="180" spans="12:26" x14ac:dyDescent="0.2">
      <c r="L180" s="63"/>
      <c r="S180" s="63"/>
      <c r="Z180" s="63"/>
    </row>
    <row r="181" spans="12:26" x14ac:dyDescent="0.2">
      <c r="L181" s="63"/>
      <c r="S181" s="63"/>
      <c r="Z181" s="63"/>
    </row>
    <row r="182" spans="12:26" x14ac:dyDescent="0.2">
      <c r="L182" s="63"/>
      <c r="S182" s="63"/>
      <c r="Z182" s="63"/>
    </row>
    <row r="183" spans="12:26" x14ac:dyDescent="0.2">
      <c r="L183" s="63"/>
      <c r="S183" s="63"/>
      <c r="Z183" s="63"/>
    </row>
    <row r="184" spans="12:26" x14ac:dyDescent="0.2">
      <c r="L184" s="63"/>
      <c r="S184" s="63"/>
      <c r="Z184" s="63"/>
    </row>
    <row r="185" spans="12:26" x14ac:dyDescent="0.2">
      <c r="L185" s="63"/>
      <c r="S185" s="63"/>
      <c r="Z185" s="63"/>
    </row>
    <row r="186" spans="12:26" x14ac:dyDescent="0.2">
      <c r="L186" s="63"/>
      <c r="S186" s="63"/>
      <c r="Z186" s="63"/>
    </row>
    <row r="187" spans="12:26" x14ac:dyDescent="0.2">
      <c r="L187" s="63"/>
      <c r="S187" s="63"/>
      <c r="Z187" s="63"/>
    </row>
    <row r="188" spans="12:26" x14ac:dyDescent="0.2">
      <c r="L188" s="63"/>
      <c r="S188" s="63"/>
      <c r="Z188" s="63"/>
    </row>
    <row r="189" spans="12:26" x14ac:dyDescent="0.2">
      <c r="L189" s="63"/>
      <c r="S189" s="63"/>
      <c r="Z189" s="63"/>
    </row>
    <row r="190" spans="12:26" x14ac:dyDescent="0.2">
      <c r="L190" s="63"/>
      <c r="S190" s="63"/>
      <c r="Z190" s="63"/>
    </row>
    <row r="191" spans="12:26" x14ac:dyDescent="0.2">
      <c r="L191" s="63"/>
      <c r="S191" s="63"/>
      <c r="Z191" s="63"/>
    </row>
    <row r="192" spans="12:26" x14ac:dyDescent="0.2">
      <c r="L192" s="63"/>
      <c r="S192" s="63"/>
      <c r="Z192" s="63"/>
    </row>
    <row r="193" spans="12:26" x14ac:dyDescent="0.2">
      <c r="L193" s="63"/>
      <c r="S193" s="63"/>
      <c r="Z193" s="63"/>
    </row>
    <row r="194" spans="12:26" x14ac:dyDescent="0.2">
      <c r="L194" s="63"/>
      <c r="S194" s="63"/>
      <c r="Z194" s="63"/>
    </row>
    <row r="195" spans="12:26" x14ac:dyDescent="0.2">
      <c r="L195" s="63"/>
      <c r="S195" s="63"/>
      <c r="Z195" s="63"/>
    </row>
    <row r="196" spans="12:26" x14ac:dyDescent="0.2">
      <c r="L196" s="63"/>
      <c r="S196" s="63"/>
      <c r="Z196" s="63"/>
    </row>
    <row r="197" spans="12:26" x14ac:dyDescent="0.2">
      <c r="L197" s="63"/>
      <c r="S197" s="63"/>
      <c r="Z197" s="63"/>
    </row>
    <row r="198" spans="12:26" x14ac:dyDescent="0.2">
      <c r="L198" s="63"/>
      <c r="S198" s="63"/>
      <c r="Z198" s="63"/>
    </row>
    <row r="199" spans="12:26" x14ac:dyDescent="0.2">
      <c r="L199" s="63"/>
      <c r="S199" s="63"/>
      <c r="Z199" s="63"/>
    </row>
    <row r="200" spans="12:26" x14ac:dyDescent="0.2">
      <c r="L200" s="63"/>
      <c r="S200" s="63"/>
      <c r="Z200" s="63"/>
    </row>
    <row r="201" spans="12:26" x14ac:dyDescent="0.2">
      <c r="L201" s="63"/>
      <c r="S201" s="63"/>
      <c r="Z201" s="63"/>
    </row>
    <row r="202" spans="12:26" x14ac:dyDescent="0.2">
      <c r="L202" s="63"/>
      <c r="S202" s="63"/>
      <c r="Z202" s="63"/>
    </row>
    <row r="203" spans="12:26" x14ac:dyDescent="0.2">
      <c r="L203" s="63"/>
      <c r="S203" s="63"/>
      <c r="Z203" s="63"/>
    </row>
    <row r="204" spans="12:26" x14ac:dyDescent="0.2">
      <c r="L204" s="63"/>
      <c r="S204" s="63"/>
      <c r="Z204" s="63"/>
    </row>
    <row r="205" spans="12:26" x14ac:dyDescent="0.2">
      <c r="L205" s="63"/>
      <c r="S205" s="63"/>
      <c r="Z205" s="63"/>
    </row>
    <row r="206" spans="12:26" x14ac:dyDescent="0.2">
      <c r="L206" s="63"/>
      <c r="S206" s="63"/>
      <c r="Z206" s="63"/>
    </row>
    <row r="207" spans="12:26" x14ac:dyDescent="0.2">
      <c r="L207" s="63"/>
      <c r="S207" s="63"/>
      <c r="Z207" s="63"/>
    </row>
    <row r="208" spans="12:26" x14ac:dyDescent="0.2">
      <c r="L208" s="63"/>
      <c r="S208" s="63"/>
      <c r="Z208" s="63"/>
    </row>
    <row r="209" spans="12:26" x14ac:dyDescent="0.2">
      <c r="L209" s="63"/>
      <c r="S209" s="63"/>
      <c r="Z209" s="63"/>
    </row>
    <row r="210" spans="12:26" x14ac:dyDescent="0.2">
      <c r="L210" s="63"/>
      <c r="S210" s="63"/>
      <c r="Z210" s="63"/>
    </row>
    <row r="211" spans="12:26" x14ac:dyDescent="0.2">
      <c r="L211" s="63"/>
      <c r="S211" s="63"/>
      <c r="Z211" s="63"/>
    </row>
    <row r="212" spans="12:26" x14ac:dyDescent="0.2">
      <c r="L212" s="63"/>
      <c r="S212" s="63"/>
      <c r="Z212" s="63"/>
    </row>
    <row r="213" spans="12:26" x14ac:dyDescent="0.2">
      <c r="L213" s="63"/>
      <c r="S213" s="63"/>
      <c r="Z213" s="63"/>
    </row>
    <row r="214" spans="12:26" x14ac:dyDescent="0.2">
      <c r="L214" s="63"/>
      <c r="S214" s="63"/>
      <c r="Z214" s="63"/>
    </row>
    <row r="215" spans="12:26" x14ac:dyDescent="0.2">
      <c r="L215" s="63"/>
      <c r="S215" s="63"/>
      <c r="Z215" s="63"/>
    </row>
    <row r="216" spans="12:26" x14ac:dyDescent="0.2">
      <c r="L216" s="63"/>
      <c r="S216" s="63"/>
      <c r="Z216" s="63"/>
    </row>
    <row r="217" spans="12:26" x14ac:dyDescent="0.2">
      <c r="L217" s="63"/>
      <c r="S217" s="63"/>
      <c r="Z217" s="63"/>
    </row>
    <row r="218" spans="12:26" x14ac:dyDescent="0.2">
      <c r="L218" s="63"/>
      <c r="S218" s="63"/>
      <c r="Z218" s="63"/>
    </row>
    <row r="219" spans="12:26" x14ac:dyDescent="0.2">
      <c r="L219" s="63"/>
      <c r="S219" s="63"/>
      <c r="Z219" s="63"/>
    </row>
    <row r="220" spans="12:26" x14ac:dyDescent="0.2">
      <c r="L220" s="63"/>
      <c r="S220" s="63"/>
      <c r="Z220" s="63"/>
    </row>
    <row r="221" spans="12:26" x14ac:dyDescent="0.2">
      <c r="L221" s="63"/>
      <c r="S221" s="63"/>
      <c r="Z221" s="63"/>
    </row>
    <row r="222" spans="12:26" x14ac:dyDescent="0.2">
      <c r="L222" s="63"/>
      <c r="S222" s="63"/>
      <c r="Z222" s="63"/>
    </row>
    <row r="223" spans="12:26" x14ac:dyDescent="0.2">
      <c r="L223" s="63"/>
      <c r="S223" s="63"/>
      <c r="Z223" s="63"/>
    </row>
    <row r="224" spans="12:26" x14ac:dyDescent="0.2">
      <c r="L224" s="63"/>
      <c r="S224" s="63"/>
      <c r="Z224" s="63"/>
    </row>
    <row r="225" spans="12:26" x14ac:dyDescent="0.2">
      <c r="L225" s="63"/>
      <c r="S225" s="63"/>
      <c r="Z225" s="63"/>
    </row>
    <row r="226" spans="12:26" x14ac:dyDescent="0.2">
      <c r="L226" s="63"/>
      <c r="S226" s="63"/>
      <c r="Z226" s="63"/>
    </row>
  </sheetData>
  <autoFilter ref="B4:BA78" xr:uid="{7D5F64AD-8E68-4DDB-B20D-3B4B5B28A4A6}"/>
  <phoneticPr fontId="2" type="noConversion"/>
  <pageMargins left="0.7" right="0.7" top="0.75" bottom="0.75" header="0.3" footer="0.3"/>
  <ignoredErrors>
    <ignoredError sqref="AL5 AL6:AL78 AM5:AM78 AN5:AN78 AO6:AO78 AQ6:AQ10 AS6:AS10 AQ11:AQ78 AS11:AS78 AO5:AQ5 AP6:AP78 AR5:AR78 AS5:AT5 AT6:AT78 AU5:AU78 AW5:AW78 AX5 AX6:AX78 AY5:AZ78 BA5:BA78 AV5:AV7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6849-4426-466C-90F7-A1C86A8A7E38}">
  <dimension ref="A1:AG23"/>
  <sheetViews>
    <sheetView topLeftCell="O1" zoomScale="80" zoomScaleNormal="80" workbookViewId="0">
      <selection activeCell="Q1" sqref="Q1"/>
    </sheetView>
  </sheetViews>
  <sheetFormatPr baseColWidth="10" defaultRowHeight="15" x14ac:dyDescent="0.25"/>
  <cols>
    <col min="1" max="1" width="28.28515625" bestFit="1" customWidth="1"/>
    <col min="2" max="2" width="33.7109375" bestFit="1" customWidth="1"/>
    <col min="3" max="14" width="13" customWidth="1"/>
    <col min="17" max="18" width="32.140625" bestFit="1" customWidth="1"/>
    <col min="26" max="26" width="30.85546875" bestFit="1" customWidth="1"/>
  </cols>
  <sheetData>
    <row r="1" spans="1:33" x14ac:dyDescent="0.25">
      <c r="A1" s="33" t="s">
        <v>124</v>
      </c>
      <c r="B1" t="s">
        <v>134</v>
      </c>
      <c r="Q1" s="33" t="s">
        <v>237</v>
      </c>
      <c r="R1" t="s">
        <v>134</v>
      </c>
      <c r="Z1" s="33" t="s">
        <v>237</v>
      </c>
      <c r="AA1" t="s">
        <v>134</v>
      </c>
    </row>
    <row r="2" spans="1:33" x14ac:dyDescent="0.25">
      <c r="A2" s="33" t="s">
        <v>237</v>
      </c>
      <c r="B2" t="s">
        <v>134</v>
      </c>
      <c r="Q2" s="33" t="s">
        <v>124</v>
      </c>
      <c r="R2" t="s">
        <v>134</v>
      </c>
      <c r="Z2" s="33" t="s">
        <v>124</v>
      </c>
      <c r="AA2" t="s">
        <v>134</v>
      </c>
    </row>
    <row r="3" spans="1:33" x14ac:dyDescent="0.25">
      <c r="Q3" s="33" t="s">
        <v>155</v>
      </c>
      <c r="R3" t="s">
        <v>134</v>
      </c>
      <c r="Z3" s="33" t="s">
        <v>155</v>
      </c>
      <c r="AA3" t="s">
        <v>134</v>
      </c>
    </row>
    <row r="4" spans="1:33" x14ac:dyDescent="0.25">
      <c r="C4" s="33" t="s">
        <v>184</v>
      </c>
      <c r="D4" s="33" t="s">
        <v>211</v>
      </c>
    </row>
    <row r="5" spans="1:33" ht="60" x14ac:dyDescent="0.25">
      <c r="C5" s="32" t="s">
        <v>231</v>
      </c>
      <c r="D5" s="32" t="s">
        <v>231</v>
      </c>
      <c r="E5" s="32" t="s">
        <v>233</v>
      </c>
      <c r="F5" s="32" t="s">
        <v>233</v>
      </c>
      <c r="G5" s="32" t="s">
        <v>232</v>
      </c>
      <c r="H5" s="32" t="s">
        <v>232</v>
      </c>
      <c r="I5" s="32" t="s">
        <v>235</v>
      </c>
      <c r="J5" s="32" t="s">
        <v>235</v>
      </c>
      <c r="K5" s="32" t="s">
        <v>234</v>
      </c>
      <c r="L5" s="32" t="s">
        <v>234</v>
      </c>
      <c r="M5" s="32" t="s">
        <v>213</v>
      </c>
      <c r="N5" s="32" t="s">
        <v>212</v>
      </c>
      <c r="Q5" s="33" t="s">
        <v>214</v>
      </c>
      <c r="R5" s="33" t="s">
        <v>184</v>
      </c>
      <c r="Z5" s="33" t="s">
        <v>214</v>
      </c>
      <c r="AA5" s="33" t="s">
        <v>176</v>
      </c>
    </row>
    <row r="6" spans="1:33" ht="75" x14ac:dyDescent="0.25">
      <c r="A6" s="33" t="s">
        <v>155</v>
      </c>
      <c r="B6" s="33" t="s">
        <v>176</v>
      </c>
      <c r="C6" t="s">
        <v>214</v>
      </c>
      <c r="D6" t="s">
        <v>210</v>
      </c>
      <c r="E6" t="s">
        <v>214</v>
      </c>
      <c r="F6" t="s">
        <v>210</v>
      </c>
      <c r="G6" t="s">
        <v>214</v>
      </c>
      <c r="H6" t="s">
        <v>210</v>
      </c>
      <c r="I6" t="s">
        <v>214</v>
      </c>
      <c r="J6" t="s">
        <v>210</v>
      </c>
      <c r="K6" t="s">
        <v>214</v>
      </c>
      <c r="L6" t="s">
        <v>210</v>
      </c>
      <c r="M6" s="32"/>
      <c r="N6" s="32"/>
      <c r="Q6" s="33" t="s">
        <v>176</v>
      </c>
      <c r="R6" s="32" t="s">
        <v>231</v>
      </c>
      <c r="S6" s="32" t="s">
        <v>233</v>
      </c>
      <c r="T6" s="32" t="s">
        <v>232</v>
      </c>
      <c r="U6" s="32" t="s">
        <v>235</v>
      </c>
      <c r="V6" s="32" t="s">
        <v>234</v>
      </c>
      <c r="W6" s="32" t="s">
        <v>126</v>
      </c>
      <c r="Z6" s="33" t="s">
        <v>209</v>
      </c>
      <c r="AA6" s="32" t="s">
        <v>224</v>
      </c>
      <c r="AB6" s="32" t="s">
        <v>223</v>
      </c>
      <c r="AC6" s="32" t="s">
        <v>218</v>
      </c>
      <c r="AD6" s="32" t="s">
        <v>219</v>
      </c>
      <c r="AE6" s="32" t="s">
        <v>220</v>
      </c>
      <c r="AF6" s="32" t="s">
        <v>222</v>
      </c>
      <c r="AG6" s="32" t="s">
        <v>126</v>
      </c>
    </row>
    <row r="7" spans="1:33" x14ac:dyDescent="0.25">
      <c r="A7" t="s">
        <v>108</v>
      </c>
      <c r="B7" t="s">
        <v>224</v>
      </c>
      <c r="C7" s="81"/>
      <c r="D7" s="81"/>
      <c r="E7" s="81">
        <v>1</v>
      </c>
      <c r="F7" s="81">
        <v>34</v>
      </c>
      <c r="G7" s="81"/>
      <c r="H7" s="81"/>
      <c r="I7" s="81"/>
      <c r="J7" s="81"/>
      <c r="K7" s="81"/>
      <c r="L7" s="81"/>
      <c r="M7" s="81">
        <v>1</v>
      </c>
      <c r="N7" s="81">
        <v>34</v>
      </c>
      <c r="Q7" t="s">
        <v>224</v>
      </c>
      <c r="R7" s="37">
        <v>0</v>
      </c>
      <c r="S7" s="37">
        <v>2.0833333333333332E-2</v>
      </c>
      <c r="T7" s="37">
        <v>0</v>
      </c>
      <c r="U7" s="37">
        <v>0</v>
      </c>
      <c r="V7" s="37">
        <v>0</v>
      </c>
      <c r="W7" s="37">
        <v>2.0833333333333332E-2</v>
      </c>
      <c r="Z7" t="s">
        <v>245</v>
      </c>
      <c r="AA7" s="37">
        <v>2.0833333333333332E-2</v>
      </c>
      <c r="AB7" s="37">
        <v>0.3125</v>
      </c>
      <c r="AC7" s="37">
        <v>0.10416666666666667</v>
      </c>
      <c r="AD7" s="37">
        <v>2.0833333333333332E-2</v>
      </c>
      <c r="AE7" s="37">
        <v>2.0833333333333332E-2</v>
      </c>
      <c r="AF7" s="37">
        <v>8.3333333333333329E-2</v>
      </c>
      <c r="AG7" s="37">
        <v>0.5625</v>
      </c>
    </row>
    <row r="8" spans="1:33" x14ac:dyDescent="0.25">
      <c r="A8" t="s">
        <v>108</v>
      </c>
      <c r="B8" t="s">
        <v>223</v>
      </c>
      <c r="C8" s="81">
        <v>2</v>
      </c>
      <c r="D8" s="81">
        <v>64</v>
      </c>
      <c r="E8" s="81">
        <v>2</v>
      </c>
      <c r="F8" s="81">
        <v>51</v>
      </c>
      <c r="G8" s="81">
        <v>5</v>
      </c>
      <c r="H8" s="81">
        <v>59</v>
      </c>
      <c r="I8" s="81"/>
      <c r="J8" s="81"/>
      <c r="K8" s="81"/>
      <c r="L8" s="81"/>
      <c r="M8" s="81">
        <v>9</v>
      </c>
      <c r="N8" s="81">
        <v>58.333333333333336</v>
      </c>
      <c r="Q8" t="s">
        <v>223</v>
      </c>
      <c r="R8" s="37">
        <v>0.125</v>
      </c>
      <c r="S8" s="37">
        <v>6.25E-2</v>
      </c>
      <c r="T8" s="37">
        <v>0.1875</v>
      </c>
      <c r="U8" s="37">
        <v>2.0833333333333332E-2</v>
      </c>
      <c r="V8" s="37">
        <v>0</v>
      </c>
      <c r="W8" s="37">
        <v>0.39583333333333331</v>
      </c>
      <c r="Z8" t="s">
        <v>246</v>
      </c>
      <c r="AA8" s="37">
        <v>0</v>
      </c>
      <c r="AB8" s="37">
        <v>6.25E-2</v>
      </c>
      <c r="AC8" s="37">
        <v>8.3333333333333329E-2</v>
      </c>
      <c r="AD8" s="37">
        <v>4.1666666666666664E-2</v>
      </c>
      <c r="AE8" s="37">
        <v>0</v>
      </c>
      <c r="AF8" s="37">
        <v>0.125</v>
      </c>
      <c r="AG8" s="37">
        <v>0.3125</v>
      </c>
    </row>
    <row r="9" spans="1:33" x14ac:dyDescent="0.25">
      <c r="A9" t="s">
        <v>108</v>
      </c>
      <c r="B9" t="s">
        <v>218</v>
      </c>
      <c r="C9" s="81">
        <v>1</v>
      </c>
      <c r="D9" s="81">
        <v>86</v>
      </c>
      <c r="E9" s="81">
        <v>3</v>
      </c>
      <c r="F9" s="81">
        <v>56.666666666666664</v>
      </c>
      <c r="G9" s="81"/>
      <c r="H9" s="81"/>
      <c r="I9" s="81"/>
      <c r="J9" s="81"/>
      <c r="K9" s="81"/>
      <c r="L9" s="81"/>
      <c r="M9" s="81">
        <v>4</v>
      </c>
      <c r="N9" s="81">
        <v>64</v>
      </c>
      <c r="Q9" t="s">
        <v>218</v>
      </c>
      <c r="R9" s="37">
        <v>2.0833333333333332E-2</v>
      </c>
      <c r="S9" s="37">
        <v>0.125</v>
      </c>
      <c r="T9" s="37">
        <v>0</v>
      </c>
      <c r="U9" s="37">
        <v>2.0833333333333332E-2</v>
      </c>
      <c r="V9" s="37">
        <v>4.1666666666666664E-2</v>
      </c>
      <c r="W9" s="37">
        <v>0.20833333333333334</v>
      </c>
      <c r="Z9" t="s">
        <v>247</v>
      </c>
      <c r="AA9" s="37">
        <v>0</v>
      </c>
      <c r="AB9" s="37">
        <v>2.0833333333333332E-2</v>
      </c>
      <c r="AC9" s="37">
        <v>2.0833333333333332E-2</v>
      </c>
      <c r="AD9" s="37">
        <v>2.0833333333333332E-2</v>
      </c>
      <c r="AE9" s="37">
        <v>0</v>
      </c>
      <c r="AF9" s="37">
        <v>0</v>
      </c>
      <c r="AG9" s="37">
        <v>6.25E-2</v>
      </c>
    </row>
    <row r="10" spans="1:33" x14ac:dyDescent="0.25">
      <c r="A10" t="s">
        <v>108</v>
      </c>
      <c r="B10" t="s">
        <v>220</v>
      </c>
      <c r="C10" s="81"/>
      <c r="D10" s="81"/>
      <c r="E10" s="81">
        <v>1</v>
      </c>
      <c r="F10" s="81">
        <v>54</v>
      </c>
      <c r="G10" s="81">
        <v>1</v>
      </c>
      <c r="H10" s="81">
        <v>101</v>
      </c>
      <c r="I10" s="81"/>
      <c r="J10" s="81"/>
      <c r="K10" s="81"/>
      <c r="L10" s="81"/>
      <c r="M10" s="81">
        <v>2</v>
      </c>
      <c r="N10" s="81">
        <v>77.5</v>
      </c>
      <c r="Q10" t="s">
        <v>219</v>
      </c>
      <c r="R10" s="37">
        <v>0</v>
      </c>
      <c r="S10" s="37">
        <v>2.0833333333333332E-2</v>
      </c>
      <c r="T10" s="37">
        <v>4.1666666666666664E-2</v>
      </c>
      <c r="U10" s="37">
        <v>2.0833333333333332E-2</v>
      </c>
      <c r="V10" s="37">
        <v>0</v>
      </c>
      <c r="W10" s="37">
        <v>8.3333333333333329E-2</v>
      </c>
      <c r="Z10" t="s">
        <v>248</v>
      </c>
      <c r="AA10" s="37">
        <v>0</v>
      </c>
      <c r="AB10" s="37">
        <v>0</v>
      </c>
      <c r="AC10" s="37">
        <v>0</v>
      </c>
      <c r="AD10" s="37">
        <v>0</v>
      </c>
      <c r="AE10" s="37">
        <v>2.0833333333333332E-2</v>
      </c>
      <c r="AF10" s="37">
        <v>4.1666666666666664E-2</v>
      </c>
      <c r="AG10" s="37">
        <v>6.25E-2</v>
      </c>
    </row>
    <row r="11" spans="1:33" x14ac:dyDescent="0.25">
      <c r="A11" t="s">
        <v>108</v>
      </c>
      <c r="B11" t="s">
        <v>222</v>
      </c>
      <c r="C11" s="81">
        <v>6</v>
      </c>
      <c r="D11" s="81">
        <v>81.5</v>
      </c>
      <c r="E11" s="81"/>
      <c r="F11" s="81"/>
      <c r="G11" s="81"/>
      <c r="H11" s="81"/>
      <c r="I11" s="81"/>
      <c r="J11" s="81"/>
      <c r="K11" s="81"/>
      <c r="L11" s="81"/>
      <c r="M11" s="81">
        <v>6</v>
      </c>
      <c r="N11" s="81">
        <v>81.5</v>
      </c>
      <c r="Q11" t="s">
        <v>220</v>
      </c>
      <c r="R11" s="37">
        <v>0</v>
      </c>
      <c r="S11" s="37">
        <v>2.0833333333333332E-2</v>
      </c>
      <c r="T11" s="37">
        <v>2.0833333333333332E-2</v>
      </c>
      <c r="U11" s="37">
        <v>0</v>
      </c>
      <c r="V11" s="37">
        <v>0</v>
      </c>
      <c r="W11" s="37">
        <v>4.1666666666666664E-2</v>
      </c>
      <c r="Z11" t="s">
        <v>126</v>
      </c>
      <c r="AA11" s="37">
        <v>2.0833333333333332E-2</v>
      </c>
      <c r="AB11" s="37">
        <v>0.39583333333333331</v>
      </c>
      <c r="AC11" s="37">
        <v>0.20833333333333334</v>
      </c>
      <c r="AD11" s="37">
        <v>8.3333333333333329E-2</v>
      </c>
      <c r="AE11" s="37">
        <v>4.1666666666666664E-2</v>
      </c>
      <c r="AF11" s="37">
        <v>0.25</v>
      </c>
      <c r="AG11" s="37">
        <v>1</v>
      </c>
    </row>
    <row r="12" spans="1:33" x14ac:dyDescent="0.25">
      <c r="A12" t="s">
        <v>108</v>
      </c>
      <c r="B12" t="s">
        <v>185</v>
      </c>
      <c r="C12" s="81">
        <v>7</v>
      </c>
      <c r="D12" s="81">
        <v>64.285714285714292</v>
      </c>
      <c r="E12" s="81">
        <v>6</v>
      </c>
      <c r="F12" s="81">
        <v>67.333333333333329</v>
      </c>
      <c r="G12" s="81">
        <v>2</v>
      </c>
      <c r="H12" s="81">
        <v>53</v>
      </c>
      <c r="I12" s="81"/>
      <c r="J12" s="81"/>
      <c r="K12" s="81"/>
      <c r="L12" s="81"/>
      <c r="M12" s="81">
        <v>15</v>
      </c>
      <c r="N12" s="81">
        <v>64</v>
      </c>
      <c r="Q12" t="s">
        <v>222</v>
      </c>
      <c r="R12" s="37">
        <v>0.20833333333333334</v>
      </c>
      <c r="S12" s="37">
        <v>2.0833333333333332E-2</v>
      </c>
      <c r="T12" s="37">
        <v>2.0833333333333332E-2</v>
      </c>
      <c r="U12" s="37">
        <v>0</v>
      </c>
      <c r="V12" s="37">
        <v>0</v>
      </c>
      <c r="W12" s="37">
        <v>0.25</v>
      </c>
    </row>
    <row r="13" spans="1:33" x14ac:dyDescent="0.25">
      <c r="A13" t="s">
        <v>135</v>
      </c>
      <c r="C13" s="81">
        <v>16</v>
      </c>
      <c r="D13" s="81">
        <v>72.0625</v>
      </c>
      <c r="E13" s="81">
        <v>13</v>
      </c>
      <c r="F13" s="81">
        <v>58.769230769230766</v>
      </c>
      <c r="G13" s="81">
        <v>8</v>
      </c>
      <c r="H13" s="81">
        <v>62.75</v>
      </c>
      <c r="I13" s="81"/>
      <c r="J13" s="81"/>
      <c r="K13" s="81"/>
      <c r="L13" s="81"/>
      <c r="M13" s="81">
        <v>37</v>
      </c>
      <c r="N13" s="81">
        <v>65.378378378378372</v>
      </c>
      <c r="Q13" t="s">
        <v>126</v>
      </c>
      <c r="R13" s="37">
        <v>0.35416666666666669</v>
      </c>
      <c r="S13" s="37">
        <v>0.27083333333333331</v>
      </c>
      <c r="T13" s="37">
        <v>0.27083333333333331</v>
      </c>
      <c r="U13" s="37">
        <v>6.25E-2</v>
      </c>
      <c r="V13" s="37">
        <v>4.1666666666666664E-2</v>
      </c>
      <c r="W13" s="37">
        <v>1</v>
      </c>
    </row>
    <row r="14" spans="1:33" x14ac:dyDescent="0.25">
      <c r="A14" t="s">
        <v>109</v>
      </c>
      <c r="B14" t="s">
        <v>223</v>
      </c>
      <c r="C14" s="81">
        <v>4</v>
      </c>
      <c r="D14" s="81">
        <v>62.25</v>
      </c>
      <c r="E14" s="81">
        <v>1</v>
      </c>
      <c r="F14" s="81">
        <v>64</v>
      </c>
      <c r="G14" s="81">
        <v>3</v>
      </c>
      <c r="H14" s="81">
        <v>61.333333333333336</v>
      </c>
      <c r="I14" s="81">
        <v>1</v>
      </c>
      <c r="J14" s="81">
        <v>86</v>
      </c>
      <c r="K14" s="81"/>
      <c r="L14" s="81"/>
      <c r="M14" s="81">
        <v>9</v>
      </c>
      <c r="N14" s="81">
        <v>64.777777777777771</v>
      </c>
    </row>
    <row r="15" spans="1:33" x14ac:dyDescent="0.25">
      <c r="A15" t="s">
        <v>109</v>
      </c>
      <c r="B15" t="s">
        <v>218</v>
      </c>
      <c r="C15" s="81"/>
      <c r="D15" s="81"/>
      <c r="E15" s="81">
        <v>3</v>
      </c>
      <c r="F15" s="81">
        <v>62.333333333333336</v>
      </c>
      <c r="G15" s="81"/>
      <c r="H15" s="81"/>
      <c r="I15" s="81">
        <v>1</v>
      </c>
      <c r="J15" s="81">
        <v>62</v>
      </c>
      <c r="K15" s="81">
        <v>2</v>
      </c>
      <c r="L15" s="81">
        <v>74</v>
      </c>
      <c r="M15" s="81">
        <v>6</v>
      </c>
      <c r="N15" s="81">
        <v>66.166666666666671</v>
      </c>
    </row>
    <row r="16" spans="1:33" x14ac:dyDescent="0.25">
      <c r="A16" t="s">
        <v>109</v>
      </c>
      <c r="B16" t="s">
        <v>219</v>
      </c>
      <c r="C16" s="81"/>
      <c r="D16" s="81"/>
      <c r="E16" s="81">
        <v>1</v>
      </c>
      <c r="F16" s="81">
        <v>66</v>
      </c>
      <c r="G16" s="81">
        <v>2</v>
      </c>
      <c r="H16" s="81">
        <v>78</v>
      </c>
      <c r="I16" s="81">
        <v>1</v>
      </c>
      <c r="J16" s="81">
        <v>62</v>
      </c>
      <c r="K16" s="81"/>
      <c r="L16" s="81"/>
      <c r="M16" s="81">
        <v>4</v>
      </c>
      <c r="N16" s="81">
        <v>71</v>
      </c>
    </row>
    <row r="17" spans="1:14" x14ac:dyDescent="0.25">
      <c r="A17" t="s">
        <v>109</v>
      </c>
      <c r="B17" t="s">
        <v>222</v>
      </c>
      <c r="C17" s="81">
        <v>4</v>
      </c>
      <c r="D17" s="81">
        <v>78</v>
      </c>
      <c r="E17" s="81">
        <v>1</v>
      </c>
      <c r="F17" s="81">
        <v>60</v>
      </c>
      <c r="G17" s="81">
        <v>1</v>
      </c>
      <c r="H17" s="81">
        <v>62</v>
      </c>
      <c r="I17" s="81"/>
      <c r="J17" s="81"/>
      <c r="K17" s="81"/>
      <c r="L17" s="81"/>
      <c r="M17" s="81">
        <v>6</v>
      </c>
      <c r="N17" s="81">
        <v>72.333333333333329</v>
      </c>
    </row>
    <row r="18" spans="1:14" x14ac:dyDescent="0.25">
      <c r="A18" t="s">
        <v>109</v>
      </c>
      <c r="B18" t="s">
        <v>185</v>
      </c>
      <c r="C18" s="81">
        <v>7</v>
      </c>
      <c r="D18" s="81">
        <v>70.285714285714292</v>
      </c>
      <c r="E18" s="81"/>
      <c r="F18" s="81"/>
      <c r="G18" s="81">
        <v>1</v>
      </c>
      <c r="H18" s="81">
        <v>52</v>
      </c>
      <c r="I18" s="81"/>
      <c r="J18" s="81"/>
      <c r="K18" s="81"/>
      <c r="L18" s="81"/>
      <c r="M18" s="81">
        <v>8</v>
      </c>
      <c r="N18" s="81">
        <v>68</v>
      </c>
    </row>
    <row r="19" spans="1:14" x14ac:dyDescent="0.25">
      <c r="A19" t="s">
        <v>136</v>
      </c>
      <c r="C19" s="81">
        <v>15</v>
      </c>
      <c r="D19" s="81">
        <v>70.2</v>
      </c>
      <c r="E19" s="81">
        <v>6</v>
      </c>
      <c r="F19" s="81">
        <v>62.833333333333336</v>
      </c>
      <c r="G19" s="81">
        <v>7</v>
      </c>
      <c r="H19" s="81">
        <v>64.857142857142861</v>
      </c>
      <c r="I19" s="81">
        <v>3</v>
      </c>
      <c r="J19" s="81">
        <v>70</v>
      </c>
      <c r="K19" s="81">
        <v>2</v>
      </c>
      <c r="L19" s="81">
        <v>74</v>
      </c>
      <c r="M19" s="81">
        <v>33</v>
      </c>
      <c r="N19" s="81">
        <v>67.939393939393938</v>
      </c>
    </row>
    <row r="20" spans="1:14" x14ac:dyDescent="0.25">
      <c r="A20" t="s">
        <v>63</v>
      </c>
      <c r="B20" t="s">
        <v>223</v>
      </c>
      <c r="C20" s="81"/>
      <c r="D20" s="81"/>
      <c r="E20" s="81"/>
      <c r="F20" s="81"/>
      <c r="G20" s="81">
        <v>1</v>
      </c>
      <c r="H20" s="81">
        <v>38</v>
      </c>
      <c r="I20" s="81"/>
      <c r="J20" s="81"/>
      <c r="K20" s="81"/>
      <c r="L20" s="81"/>
      <c r="M20" s="81">
        <v>1</v>
      </c>
      <c r="N20" s="81">
        <v>38</v>
      </c>
    </row>
    <row r="21" spans="1:14" x14ac:dyDescent="0.25">
      <c r="A21" t="s">
        <v>63</v>
      </c>
      <c r="B21" t="s">
        <v>185</v>
      </c>
      <c r="C21" s="81">
        <v>3</v>
      </c>
      <c r="D21" s="81">
        <v>57.666666666666664</v>
      </c>
      <c r="E21" s="81"/>
      <c r="F21" s="81"/>
      <c r="G21" s="81"/>
      <c r="H21" s="81"/>
      <c r="I21" s="81"/>
      <c r="J21" s="81"/>
      <c r="K21" s="81"/>
      <c r="L21" s="81"/>
      <c r="M21" s="81">
        <v>3</v>
      </c>
      <c r="N21" s="81">
        <v>57.666666666666664</v>
      </c>
    </row>
    <row r="22" spans="1:14" x14ac:dyDescent="0.25">
      <c r="A22" t="s">
        <v>137</v>
      </c>
      <c r="C22" s="81">
        <v>3</v>
      </c>
      <c r="D22" s="81">
        <v>57.666666666666664</v>
      </c>
      <c r="E22" s="81"/>
      <c r="F22" s="81"/>
      <c r="G22" s="81">
        <v>1</v>
      </c>
      <c r="H22" s="81">
        <v>38</v>
      </c>
      <c r="I22" s="81"/>
      <c r="J22" s="81"/>
      <c r="K22" s="81"/>
      <c r="L22" s="81"/>
      <c r="M22" s="81">
        <v>4</v>
      </c>
      <c r="N22" s="81">
        <v>52.75</v>
      </c>
    </row>
    <row r="23" spans="1:14" x14ac:dyDescent="0.25">
      <c r="A23" t="s">
        <v>126</v>
      </c>
      <c r="C23" s="81">
        <v>34</v>
      </c>
      <c r="D23" s="81">
        <v>69.970588235294116</v>
      </c>
      <c r="E23" s="81">
        <v>19</v>
      </c>
      <c r="F23" s="81">
        <v>60.05263157894737</v>
      </c>
      <c r="G23" s="81">
        <v>16</v>
      </c>
      <c r="H23" s="81">
        <v>62.125</v>
      </c>
      <c r="I23" s="81">
        <v>3</v>
      </c>
      <c r="J23" s="81">
        <v>70</v>
      </c>
      <c r="K23" s="81">
        <v>2</v>
      </c>
      <c r="L23" s="81">
        <v>74</v>
      </c>
      <c r="M23" s="81">
        <v>74</v>
      </c>
      <c r="N23" s="81">
        <v>65.837837837837839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412-A8F1-43F9-A193-75F7FC592A30}">
  <dimension ref="A1:K27"/>
  <sheetViews>
    <sheetView showGridLines="0" zoomScale="80" zoomScaleNormal="80" workbookViewId="0">
      <selection activeCell="A26" sqref="A26"/>
    </sheetView>
  </sheetViews>
  <sheetFormatPr baseColWidth="10" defaultRowHeight="12.75" x14ac:dyDescent="0.2"/>
  <cols>
    <col min="1" max="1" width="22.5703125" style="46" bestFit="1" customWidth="1"/>
    <col min="2" max="2" width="18.85546875" style="46" bestFit="1" customWidth="1"/>
    <col min="3" max="10" width="16.42578125" style="46" customWidth="1"/>
    <col min="11" max="16384" width="11.42578125" style="46"/>
  </cols>
  <sheetData>
    <row r="1" spans="1:11" x14ac:dyDescent="0.2">
      <c r="A1" s="82" t="s">
        <v>237</v>
      </c>
      <c r="B1" s="46" t="s">
        <v>134</v>
      </c>
    </row>
    <row r="2" spans="1:11" x14ac:dyDescent="0.2">
      <c r="A2" s="82" t="s">
        <v>124</v>
      </c>
      <c r="B2" s="46" t="s">
        <v>134</v>
      </c>
    </row>
    <row r="3" spans="1:11" s="83" customFormat="1" ht="15" x14ac:dyDescent="0.25">
      <c r="A3" s="82" t="s">
        <v>184</v>
      </c>
      <c r="B3" s="46" t="s">
        <v>134</v>
      </c>
      <c r="C3"/>
      <c r="D3"/>
      <c r="E3"/>
      <c r="F3"/>
      <c r="G3"/>
      <c r="H3"/>
      <c r="I3"/>
      <c r="J3"/>
    </row>
    <row r="4" spans="1:11" ht="15" x14ac:dyDescent="0.25">
      <c r="A4" s="82" t="s">
        <v>176</v>
      </c>
      <c r="B4" s="46" t="s">
        <v>134</v>
      </c>
      <c r="C4"/>
      <c r="D4"/>
      <c r="E4"/>
      <c r="F4"/>
      <c r="G4"/>
      <c r="H4"/>
      <c r="I4"/>
      <c r="J4"/>
    </row>
    <row r="5" spans="1:11" ht="15" x14ac:dyDescent="0.25">
      <c r="A5"/>
      <c r="B5"/>
      <c r="C5"/>
      <c r="D5"/>
      <c r="E5"/>
      <c r="F5"/>
      <c r="G5"/>
      <c r="H5"/>
      <c r="I5"/>
      <c r="J5"/>
    </row>
    <row r="6" spans="1:11" ht="51" x14ac:dyDescent="0.2">
      <c r="A6" s="84" t="s">
        <v>155</v>
      </c>
      <c r="B6" s="84" t="s">
        <v>154</v>
      </c>
      <c r="C6" s="83" t="s">
        <v>214</v>
      </c>
      <c r="D6" s="83" t="s">
        <v>260</v>
      </c>
      <c r="E6" s="83" t="s">
        <v>254</v>
      </c>
      <c r="F6" s="83" t="s">
        <v>255</v>
      </c>
      <c r="G6" s="83" t="s">
        <v>256</v>
      </c>
      <c r="H6" s="83" t="s">
        <v>257</v>
      </c>
      <c r="I6" s="83" t="s">
        <v>258</v>
      </c>
      <c r="J6" s="83" t="s">
        <v>259</v>
      </c>
      <c r="K6" s="83" t="s">
        <v>210</v>
      </c>
    </row>
    <row r="7" spans="1:11" x14ac:dyDescent="0.2">
      <c r="A7" s="46" t="s">
        <v>108</v>
      </c>
      <c r="B7" s="46" t="s">
        <v>9</v>
      </c>
      <c r="C7" s="85">
        <v>5</v>
      </c>
      <c r="D7" s="86">
        <v>770462.28760000004</v>
      </c>
      <c r="E7" s="85">
        <v>46</v>
      </c>
      <c r="F7" s="85">
        <v>42</v>
      </c>
      <c r="G7" s="85">
        <v>98</v>
      </c>
      <c r="H7" s="85">
        <v>66</v>
      </c>
      <c r="I7" s="85">
        <v>92</v>
      </c>
      <c r="J7" s="85">
        <v>60</v>
      </c>
      <c r="K7" s="85">
        <v>75.8</v>
      </c>
    </row>
    <row r="8" spans="1:11" x14ac:dyDescent="0.2">
      <c r="A8" s="46" t="s">
        <v>108</v>
      </c>
      <c r="B8" s="46" t="s">
        <v>30</v>
      </c>
      <c r="C8" s="85">
        <v>6</v>
      </c>
      <c r="D8" s="86">
        <v>691020.02997222228</v>
      </c>
      <c r="E8" s="85">
        <v>58.333333333333336</v>
      </c>
      <c r="F8" s="85">
        <v>58.333333333333336</v>
      </c>
      <c r="G8" s="85">
        <v>68.333333333333329</v>
      </c>
      <c r="H8" s="85">
        <v>62.333333333333336</v>
      </c>
      <c r="I8" s="85">
        <v>95</v>
      </c>
      <c r="J8" s="85">
        <v>56.666666666666664</v>
      </c>
      <c r="K8" s="85">
        <v>74.833333333333329</v>
      </c>
    </row>
    <row r="9" spans="1:11" x14ac:dyDescent="0.2">
      <c r="A9" s="46" t="s">
        <v>108</v>
      </c>
      <c r="B9" s="46" t="s">
        <v>13</v>
      </c>
      <c r="C9" s="85">
        <v>10</v>
      </c>
      <c r="D9" s="86">
        <v>758773.80483333336</v>
      </c>
      <c r="E9" s="85">
        <v>38</v>
      </c>
      <c r="F9" s="85">
        <v>42</v>
      </c>
      <c r="G9" s="85">
        <v>77</v>
      </c>
      <c r="H9" s="85">
        <v>54.4</v>
      </c>
      <c r="I9" s="85">
        <v>89</v>
      </c>
      <c r="J9" s="85">
        <v>63</v>
      </c>
      <c r="K9" s="85">
        <v>69.099999999999994</v>
      </c>
    </row>
    <row r="10" spans="1:11" x14ac:dyDescent="0.2">
      <c r="A10" s="46" t="s">
        <v>108</v>
      </c>
      <c r="B10" s="46" t="s">
        <v>22</v>
      </c>
      <c r="C10" s="85">
        <v>6</v>
      </c>
      <c r="D10" s="86">
        <v>318970.94150000002</v>
      </c>
      <c r="E10" s="85">
        <v>45</v>
      </c>
      <c r="F10" s="85">
        <v>33.333333333333336</v>
      </c>
      <c r="G10" s="85">
        <v>43.333333333333336</v>
      </c>
      <c r="H10" s="85">
        <v>42</v>
      </c>
      <c r="I10" s="85">
        <v>85</v>
      </c>
      <c r="J10" s="85">
        <v>48.333333333333336</v>
      </c>
      <c r="K10" s="85">
        <v>59.833333333333336</v>
      </c>
    </row>
    <row r="11" spans="1:11" x14ac:dyDescent="0.2">
      <c r="A11" s="46" t="s">
        <v>108</v>
      </c>
      <c r="B11" s="46" t="s">
        <v>58</v>
      </c>
      <c r="C11" s="85">
        <v>4</v>
      </c>
      <c r="D11" s="86">
        <v>715981.9157916666</v>
      </c>
      <c r="E11" s="85">
        <v>60</v>
      </c>
      <c r="F11" s="85">
        <v>45</v>
      </c>
      <c r="G11" s="85">
        <v>42.5</v>
      </c>
      <c r="H11" s="85">
        <v>50</v>
      </c>
      <c r="I11" s="85">
        <v>65</v>
      </c>
      <c r="J11" s="85">
        <v>52.5</v>
      </c>
      <c r="K11" s="85">
        <v>56.25</v>
      </c>
    </row>
    <row r="12" spans="1:11" x14ac:dyDescent="0.2">
      <c r="A12" s="46" t="s">
        <v>108</v>
      </c>
      <c r="B12" s="46" t="s">
        <v>64</v>
      </c>
      <c r="C12" s="85">
        <v>4</v>
      </c>
      <c r="D12" s="86">
        <v>527009.72862500011</v>
      </c>
      <c r="E12" s="85">
        <v>35</v>
      </c>
      <c r="F12" s="85">
        <v>55</v>
      </c>
      <c r="G12" s="85">
        <v>55</v>
      </c>
      <c r="H12" s="85">
        <v>47</v>
      </c>
      <c r="I12" s="85">
        <v>67.5</v>
      </c>
      <c r="J12" s="85">
        <v>35</v>
      </c>
      <c r="K12" s="85">
        <v>54</v>
      </c>
    </row>
    <row r="13" spans="1:11" x14ac:dyDescent="0.2">
      <c r="A13" s="46" t="s">
        <v>108</v>
      </c>
      <c r="B13" s="46" t="s">
        <v>46</v>
      </c>
      <c r="C13" s="85">
        <v>2</v>
      </c>
      <c r="D13" s="86">
        <v>730161.94424999994</v>
      </c>
      <c r="E13" s="85">
        <v>70</v>
      </c>
      <c r="F13" s="85">
        <v>30</v>
      </c>
      <c r="G13" s="85">
        <v>50</v>
      </c>
      <c r="H13" s="85">
        <v>54</v>
      </c>
      <c r="I13" s="85">
        <v>50</v>
      </c>
      <c r="J13" s="85">
        <v>30</v>
      </c>
      <c r="K13" s="85">
        <v>50</v>
      </c>
    </row>
    <row r="14" spans="1:11" x14ac:dyDescent="0.2">
      <c r="A14" s="46" t="s">
        <v>135</v>
      </c>
      <c r="C14" s="85">
        <v>37</v>
      </c>
      <c r="D14" s="86">
        <v>646818.53463063086</v>
      </c>
      <c r="E14" s="85">
        <v>47.297297297297298</v>
      </c>
      <c r="F14" s="85">
        <v>44.324324324324323</v>
      </c>
      <c r="G14" s="85">
        <v>65.405405405405403</v>
      </c>
      <c r="H14" s="85">
        <v>53.945945945945944</v>
      </c>
      <c r="I14" s="85">
        <v>82.702702702702709</v>
      </c>
      <c r="J14" s="85">
        <v>53.243243243243242</v>
      </c>
      <c r="K14" s="85">
        <v>65.378378378378372</v>
      </c>
    </row>
    <row r="15" spans="1:11" x14ac:dyDescent="0.2">
      <c r="A15" s="46" t="s">
        <v>109</v>
      </c>
      <c r="B15" s="46" t="s">
        <v>37</v>
      </c>
      <c r="C15" s="85">
        <v>2</v>
      </c>
      <c r="D15" s="86">
        <v>2142803.4049999998</v>
      </c>
      <c r="E15" s="85">
        <v>90</v>
      </c>
      <c r="F15" s="85">
        <v>30</v>
      </c>
      <c r="G15" s="85">
        <v>110</v>
      </c>
      <c r="H15" s="85">
        <v>86</v>
      </c>
      <c r="I15" s="85">
        <v>95</v>
      </c>
      <c r="J15" s="85">
        <v>80</v>
      </c>
      <c r="K15" s="85">
        <v>89</v>
      </c>
    </row>
    <row r="16" spans="1:11" x14ac:dyDescent="0.2">
      <c r="A16" s="46" t="s">
        <v>109</v>
      </c>
      <c r="B16" s="46" t="s">
        <v>49</v>
      </c>
      <c r="C16" s="85">
        <v>4</v>
      </c>
      <c r="D16" s="86">
        <v>394333.97299999994</v>
      </c>
      <c r="E16" s="85">
        <v>40</v>
      </c>
      <c r="F16" s="85">
        <v>40</v>
      </c>
      <c r="G16" s="85">
        <v>82.5</v>
      </c>
      <c r="H16" s="85">
        <v>57</v>
      </c>
      <c r="I16" s="85">
        <v>95</v>
      </c>
      <c r="J16" s="85">
        <v>57.5</v>
      </c>
      <c r="K16" s="85">
        <v>72.25</v>
      </c>
    </row>
    <row r="17" spans="1:11" x14ac:dyDescent="0.2">
      <c r="A17" s="46" t="s">
        <v>109</v>
      </c>
      <c r="B17" s="46" t="s">
        <v>17</v>
      </c>
      <c r="C17" s="85">
        <v>6</v>
      </c>
      <c r="D17" s="86">
        <v>606565.53044444451</v>
      </c>
      <c r="E17" s="85">
        <v>50</v>
      </c>
      <c r="F17" s="85">
        <v>40</v>
      </c>
      <c r="G17" s="85">
        <v>83.333333333333329</v>
      </c>
      <c r="H17" s="85">
        <v>61.333333333333336</v>
      </c>
      <c r="I17" s="85">
        <v>88.333333333333329</v>
      </c>
      <c r="J17" s="85">
        <v>43.333333333333336</v>
      </c>
      <c r="K17" s="85">
        <v>70.333333333333329</v>
      </c>
    </row>
    <row r="18" spans="1:11" x14ac:dyDescent="0.2">
      <c r="A18" s="46" t="s">
        <v>109</v>
      </c>
      <c r="B18" s="46" t="s">
        <v>34</v>
      </c>
      <c r="C18" s="85">
        <v>2</v>
      </c>
      <c r="D18" s="86">
        <v>766089.95900000003</v>
      </c>
      <c r="E18" s="85">
        <v>50</v>
      </c>
      <c r="F18" s="85">
        <v>50</v>
      </c>
      <c r="G18" s="85">
        <v>50</v>
      </c>
      <c r="H18" s="85">
        <v>50</v>
      </c>
      <c r="I18" s="85">
        <v>100</v>
      </c>
      <c r="J18" s="85">
        <v>40</v>
      </c>
      <c r="K18" s="85">
        <v>69</v>
      </c>
    </row>
    <row r="19" spans="1:11" x14ac:dyDescent="0.2">
      <c r="A19" s="46" t="s">
        <v>109</v>
      </c>
      <c r="B19" s="46" t="s">
        <v>25</v>
      </c>
      <c r="C19" s="85">
        <v>5</v>
      </c>
      <c r="D19" s="86">
        <v>764532.5075999999</v>
      </c>
      <c r="E19" s="85">
        <v>50</v>
      </c>
      <c r="F19" s="85">
        <v>38</v>
      </c>
      <c r="G19" s="85">
        <v>90</v>
      </c>
      <c r="H19" s="85">
        <v>63.6</v>
      </c>
      <c r="I19" s="85">
        <v>80</v>
      </c>
      <c r="J19" s="85">
        <v>46</v>
      </c>
      <c r="K19" s="85">
        <v>68.400000000000006</v>
      </c>
    </row>
    <row r="20" spans="1:11" x14ac:dyDescent="0.2">
      <c r="A20" s="46" t="s">
        <v>109</v>
      </c>
      <c r="B20" s="46" t="s">
        <v>51</v>
      </c>
      <c r="C20" s="85">
        <v>3</v>
      </c>
      <c r="D20" s="86">
        <v>636035.78633333335</v>
      </c>
      <c r="E20" s="85">
        <v>43.333333333333336</v>
      </c>
      <c r="F20" s="85">
        <v>50</v>
      </c>
      <c r="G20" s="85">
        <v>56.666666666666664</v>
      </c>
      <c r="H20" s="85">
        <v>50</v>
      </c>
      <c r="I20" s="85">
        <v>90</v>
      </c>
      <c r="J20" s="85">
        <v>43.333333333333336</v>
      </c>
      <c r="K20" s="85">
        <v>65.333333333333329</v>
      </c>
    </row>
    <row r="21" spans="1:11" x14ac:dyDescent="0.2">
      <c r="A21" s="46" t="s">
        <v>109</v>
      </c>
      <c r="B21" s="46" t="s">
        <v>54</v>
      </c>
      <c r="C21" s="85">
        <v>5</v>
      </c>
      <c r="D21" s="86">
        <v>758087.4617000001</v>
      </c>
      <c r="E21" s="85">
        <v>52</v>
      </c>
      <c r="F21" s="85">
        <v>44</v>
      </c>
      <c r="G21" s="85">
        <v>72</v>
      </c>
      <c r="H21" s="85">
        <v>58.4</v>
      </c>
      <c r="I21" s="85">
        <v>78</v>
      </c>
      <c r="J21" s="85">
        <v>38</v>
      </c>
      <c r="K21" s="85">
        <v>64.2</v>
      </c>
    </row>
    <row r="22" spans="1:11" x14ac:dyDescent="0.2">
      <c r="A22" s="46" t="s">
        <v>109</v>
      </c>
      <c r="B22" s="46" t="s">
        <v>40</v>
      </c>
      <c r="C22" s="85">
        <v>6</v>
      </c>
      <c r="D22" s="86">
        <v>832782.72308333358</v>
      </c>
      <c r="E22" s="85">
        <v>46.666666666666664</v>
      </c>
      <c r="F22" s="85">
        <v>33.333333333333336</v>
      </c>
      <c r="G22" s="85">
        <v>70</v>
      </c>
      <c r="H22" s="85">
        <v>53.333333333333336</v>
      </c>
      <c r="I22" s="85">
        <v>73.333333333333329</v>
      </c>
      <c r="J22" s="85">
        <v>33.333333333333336</v>
      </c>
      <c r="K22" s="85">
        <v>59.333333333333336</v>
      </c>
    </row>
    <row r="23" spans="1:11" x14ac:dyDescent="0.2">
      <c r="A23" s="46" t="s">
        <v>136</v>
      </c>
      <c r="C23" s="85">
        <v>33</v>
      </c>
      <c r="D23" s="86">
        <v>774315.73777777795</v>
      </c>
      <c r="E23" s="85">
        <v>50.303030303030305</v>
      </c>
      <c r="F23" s="85">
        <v>40</v>
      </c>
      <c r="G23" s="85">
        <v>77.272727272727266</v>
      </c>
      <c r="H23" s="85">
        <v>59.030303030303031</v>
      </c>
      <c r="I23" s="85">
        <v>84.848484848484844</v>
      </c>
      <c r="J23" s="85">
        <v>44.848484848484851</v>
      </c>
      <c r="K23" s="85">
        <v>67.939393939393938</v>
      </c>
    </row>
    <row r="24" spans="1:11" x14ac:dyDescent="0.2">
      <c r="A24" s="46" t="s">
        <v>63</v>
      </c>
      <c r="B24" s="46" t="s">
        <v>90</v>
      </c>
      <c r="C24" s="85">
        <v>1</v>
      </c>
      <c r="D24" s="86">
        <v>147782.72</v>
      </c>
      <c r="E24" s="85">
        <v>30</v>
      </c>
      <c r="F24" s="85">
        <v>30</v>
      </c>
      <c r="G24" s="85">
        <v>0</v>
      </c>
      <c r="H24" s="85">
        <v>18</v>
      </c>
      <c r="I24" s="85">
        <v>110</v>
      </c>
      <c r="J24" s="85">
        <v>90</v>
      </c>
      <c r="K24" s="85">
        <v>62</v>
      </c>
    </row>
    <row r="25" spans="1:11" x14ac:dyDescent="0.2">
      <c r="A25" s="46" t="s">
        <v>63</v>
      </c>
      <c r="B25" s="46" t="s">
        <v>68</v>
      </c>
      <c r="C25" s="85">
        <v>3</v>
      </c>
      <c r="D25" s="86">
        <v>710759.56444444449</v>
      </c>
      <c r="E25" s="85">
        <v>43.333333333333336</v>
      </c>
      <c r="F25" s="85">
        <v>30</v>
      </c>
      <c r="G25" s="85">
        <v>46.666666666666664</v>
      </c>
      <c r="H25" s="85">
        <v>42</v>
      </c>
      <c r="I25" s="85">
        <v>56.666666666666664</v>
      </c>
      <c r="J25" s="85">
        <v>60</v>
      </c>
      <c r="K25" s="85">
        <v>49.666666666666664</v>
      </c>
    </row>
    <row r="26" spans="1:11" x14ac:dyDescent="0.2">
      <c r="A26" s="46" t="s">
        <v>137</v>
      </c>
      <c r="C26" s="85">
        <v>4</v>
      </c>
      <c r="D26" s="86">
        <v>570015.35333333327</v>
      </c>
      <c r="E26" s="85">
        <v>40</v>
      </c>
      <c r="F26" s="85">
        <v>30</v>
      </c>
      <c r="G26" s="85">
        <v>35</v>
      </c>
      <c r="H26" s="85">
        <v>36</v>
      </c>
      <c r="I26" s="85">
        <v>70</v>
      </c>
      <c r="J26" s="85">
        <v>67.5</v>
      </c>
      <c r="K26" s="85">
        <v>52.75</v>
      </c>
    </row>
    <row r="27" spans="1:11" x14ac:dyDescent="0.2">
      <c r="A27" s="46" t="s">
        <v>126</v>
      </c>
      <c r="C27" s="85">
        <v>74</v>
      </c>
      <c r="D27" s="86">
        <v>699523.87218018039</v>
      </c>
      <c r="E27" s="85">
        <v>48.243243243243242</v>
      </c>
      <c r="F27" s="85">
        <v>41.621621621621621</v>
      </c>
      <c r="G27" s="85">
        <v>69.054054054054049</v>
      </c>
      <c r="H27" s="85">
        <v>55.243243243243242</v>
      </c>
      <c r="I27" s="85">
        <v>82.972972972972968</v>
      </c>
      <c r="J27" s="85">
        <v>50.270270270270274</v>
      </c>
      <c r="K27" s="85">
        <v>65.837837837837839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6948-8EDD-49D4-97A7-D16CFD163DFF}">
  <dimension ref="A1:O26"/>
  <sheetViews>
    <sheetView showGridLines="0" zoomScale="80" zoomScaleNormal="80" workbookViewId="0">
      <selection activeCell="A15" sqref="A15"/>
    </sheetView>
  </sheetViews>
  <sheetFormatPr baseColWidth="10" defaultRowHeight="15" x14ac:dyDescent="0.25"/>
  <cols>
    <col min="1" max="1" width="32.85546875" bestFit="1" customWidth="1"/>
    <col min="2" max="7" width="8.5703125" style="30" customWidth="1"/>
    <col min="8" max="8" width="10.7109375" bestFit="1" customWidth="1"/>
    <col min="9" max="9" width="32.85546875" bestFit="1" customWidth="1"/>
    <col min="10" max="15" width="8.5703125" style="30" customWidth="1"/>
    <col min="16" max="16" width="9.140625" bestFit="1" customWidth="1"/>
    <col min="17" max="17" width="12.5703125" bestFit="1" customWidth="1"/>
  </cols>
  <sheetData>
    <row r="1" spans="1:15" x14ac:dyDescent="0.25">
      <c r="B1"/>
      <c r="J1"/>
    </row>
    <row r="3" spans="1:15" x14ac:dyDescent="0.25">
      <c r="A3" s="33" t="s">
        <v>133</v>
      </c>
      <c r="B3" s="36" t="s">
        <v>127</v>
      </c>
      <c r="I3" s="33" t="s">
        <v>133</v>
      </c>
      <c r="J3" s="36" t="s">
        <v>127</v>
      </c>
    </row>
    <row r="4" spans="1:15" s="31" customFormat="1" ht="30" x14ac:dyDescent="0.25">
      <c r="A4" s="38" t="s">
        <v>125</v>
      </c>
      <c r="B4" s="31" t="s">
        <v>128</v>
      </c>
      <c r="C4" s="31" t="s">
        <v>129</v>
      </c>
      <c r="D4" s="31" t="s">
        <v>130</v>
      </c>
      <c r="E4" s="31" t="s">
        <v>131</v>
      </c>
      <c r="F4" s="31" t="s">
        <v>132</v>
      </c>
      <c r="G4" s="32" t="s">
        <v>126</v>
      </c>
      <c r="I4" s="38" t="s">
        <v>125</v>
      </c>
      <c r="J4" s="31" t="s">
        <v>128</v>
      </c>
      <c r="K4" s="31" t="s">
        <v>129</v>
      </c>
      <c r="L4" s="31" t="s">
        <v>130</v>
      </c>
      <c r="M4" s="31" t="s">
        <v>131</v>
      </c>
      <c r="N4" s="31" t="s">
        <v>132</v>
      </c>
      <c r="O4" s="32" t="s">
        <v>126</v>
      </c>
    </row>
    <row r="5" spans="1:15" x14ac:dyDescent="0.25">
      <c r="A5" s="34" t="s">
        <v>108</v>
      </c>
      <c r="B5" s="30">
        <v>17</v>
      </c>
      <c r="C5" s="30">
        <v>20</v>
      </c>
      <c r="D5" s="30">
        <v>25</v>
      </c>
      <c r="E5" s="30">
        <v>21</v>
      </c>
      <c r="F5" s="30">
        <v>21</v>
      </c>
      <c r="G5" s="30">
        <v>104</v>
      </c>
      <c r="I5" s="34" t="s">
        <v>108</v>
      </c>
      <c r="J5" s="37"/>
      <c r="K5" s="37"/>
      <c r="L5" s="37"/>
      <c r="M5" s="37"/>
      <c r="N5" s="37"/>
      <c r="O5" s="37"/>
    </row>
    <row r="6" spans="1:15" x14ac:dyDescent="0.25">
      <c r="A6" s="35" t="s">
        <v>117</v>
      </c>
      <c r="B6" s="30">
        <v>6</v>
      </c>
      <c r="C6" s="30">
        <v>10</v>
      </c>
      <c r="D6" s="30">
        <v>14</v>
      </c>
      <c r="E6" s="30">
        <v>10</v>
      </c>
      <c r="F6" s="30">
        <v>8</v>
      </c>
      <c r="G6" s="30">
        <v>48</v>
      </c>
      <c r="I6" s="35" t="s">
        <v>117</v>
      </c>
      <c r="J6" s="37">
        <v>0.35294117647058826</v>
      </c>
      <c r="K6" s="37">
        <v>0.5</v>
      </c>
      <c r="L6" s="37">
        <v>0.56000000000000005</v>
      </c>
      <c r="M6" s="37">
        <v>0.47619047619047616</v>
      </c>
      <c r="N6" s="37">
        <v>0.38095238095238093</v>
      </c>
      <c r="O6" s="37">
        <v>0.46153846153846156</v>
      </c>
    </row>
    <row r="7" spans="1:15" x14ac:dyDescent="0.25">
      <c r="A7" s="35" t="s">
        <v>116</v>
      </c>
      <c r="B7" s="30">
        <v>4</v>
      </c>
      <c r="C7" s="30">
        <v>2</v>
      </c>
      <c r="D7" s="30">
        <v>3</v>
      </c>
      <c r="E7" s="30">
        <v>2</v>
      </c>
      <c r="F7" s="30">
        <v>3</v>
      </c>
      <c r="G7" s="30">
        <v>14</v>
      </c>
      <c r="I7" s="35" t="s">
        <v>116</v>
      </c>
      <c r="J7" s="37">
        <v>0.23529411764705882</v>
      </c>
      <c r="K7" s="37">
        <v>0.1</v>
      </c>
      <c r="L7" s="37">
        <v>0.12</v>
      </c>
      <c r="M7" s="37">
        <v>9.5238095238095233E-2</v>
      </c>
      <c r="N7" s="37">
        <v>0.14285714285714285</v>
      </c>
      <c r="O7" s="37">
        <v>0.13461538461538461</v>
      </c>
    </row>
    <row r="8" spans="1:15" x14ac:dyDescent="0.25">
      <c r="A8" s="35" t="s">
        <v>118</v>
      </c>
      <c r="B8" s="30">
        <v>5</v>
      </c>
      <c r="C8" s="30">
        <v>6</v>
      </c>
      <c r="D8" s="30">
        <v>5</v>
      </c>
      <c r="E8" s="30">
        <v>7</v>
      </c>
      <c r="F8" s="30">
        <v>5</v>
      </c>
      <c r="G8" s="30">
        <v>28</v>
      </c>
      <c r="I8" s="35" t="s">
        <v>118</v>
      </c>
      <c r="J8" s="37">
        <v>0.29411764705882354</v>
      </c>
      <c r="K8" s="37">
        <v>0.3</v>
      </c>
      <c r="L8" s="37">
        <v>0.2</v>
      </c>
      <c r="M8" s="37">
        <v>0.33333333333333331</v>
      </c>
      <c r="N8" s="37">
        <v>0.23809523809523808</v>
      </c>
      <c r="O8" s="37">
        <v>0.26923076923076922</v>
      </c>
    </row>
    <row r="9" spans="1:15" x14ac:dyDescent="0.25">
      <c r="A9" s="35" t="s">
        <v>119</v>
      </c>
      <c r="D9" s="30">
        <v>1</v>
      </c>
      <c r="E9" s="30">
        <v>1</v>
      </c>
      <c r="F9" s="30">
        <v>3</v>
      </c>
      <c r="G9" s="30">
        <v>5</v>
      </c>
      <c r="I9" s="35" t="s">
        <v>119</v>
      </c>
      <c r="J9" s="37">
        <v>0</v>
      </c>
      <c r="K9" s="37">
        <v>0</v>
      </c>
      <c r="L9" s="37">
        <v>0.04</v>
      </c>
      <c r="M9" s="37">
        <v>4.7619047619047616E-2</v>
      </c>
      <c r="N9" s="37">
        <v>0.14285714285714285</v>
      </c>
      <c r="O9" s="37">
        <v>4.807692307692308E-2</v>
      </c>
    </row>
    <row r="10" spans="1:15" x14ac:dyDescent="0.25">
      <c r="A10" s="35" t="s">
        <v>120</v>
      </c>
      <c r="B10" s="30">
        <v>1</v>
      </c>
      <c r="C10" s="30">
        <v>1</v>
      </c>
      <c r="D10" s="30">
        <v>1</v>
      </c>
      <c r="G10" s="30">
        <v>3</v>
      </c>
      <c r="I10" s="35" t="s">
        <v>120</v>
      </c>
      <c r="J10" s="37">
        <v>5.8823529411764705E-2</v>
      </c>
      <c r="K10" s="37">
        <v>0.05</v>
      </c>
      <c r="L10" s="37">
        <v>0.04</v>
      </c>
      <c r="M10" s="37">
        <v>0</v>
      </c>
      <c r="N10" s="37">
        <v>0</v>
      </c>
      <c r="O10" s="37">
        <v>2.8846153846153848E-2</v>
      </c>
    </row>
    <row r="11" spans="1:15" x14ac:dyDescent="0.25">
      <c r="A11" s="35" t="s">
        <v>121</v>
      </c>
      <c r="B11" s="30">
        <v>1</v>
      </c>
      <c r="C11" s="30">
        <v>1</v>
      </c>
      <c r="D11" s="30">
        <v>1</v>
      </c>
      <c r="E11" s="30">
        <v>1</v>
      </c>
      <c r="F11" s="30">
        <v>2</v>
      </c>
      <c r="G11" s="30">
        <v>6</v>
      </c>
      <c r="I11" s="35" t="s">
        <v>121</v>
      </c>
      <c r="J11" s="37">
        <v>5.8823529411764705E-2</v>
      </c>
      <c r="K11" s="37">
        <v>0.05</v>
      </c>
      <c r="L11" s="37">
        <v>0.04</v>
      </c>
      <c r="M11" s="37">
        <v>4.7619047619047616E-2</v>
      </c>
      <c r="N11" s="37">
        <v>9.5238095238095233E-2</v>
      </c>
      <c r="O11" s="37">
        <v>5.7692307692307696E-2</v>
      </c>
    </row>
    <row r="12" spans="1:15" x14ac:dyDescent="0.25">
      <c r="A12" s="34" t="s">
        <v>109</v>
      </c>
      <c r="B12" s="30">
        <v>17</v>
      </c>
      <c r="C12" s="30">
        <v>25</v>
      </c>
      <c r="D12" s="30">
        <v>25</v>
      </c>
      <c r="E12" s="30">
        <v>22</v>
      </c>
      <c r="F12" s="30">
        <v>24</v>
      </c>
      <c r="G12" s="30">
        <v>113</v>
      </c>
      <c r="I12" s="34" t="s">
        <v>109</v>
      </c>
      <c r="J12" s="37"/>
      <c r="K12" s="37"/>
      <c r="L12" s="37"/>
      <c r="M12" s="37"/>
      <c r="N12" s="37"/>
      <c r="O12" s="37"/>
    </row>
    <row r="13" spans="1:15" x14ac:dyDescent="0.25">
      <c r="A13" s="35" t="s">
        <v>117</v>
      </c>
      <c r="B13" s="30">
        <v>2</v>
      </c>
      <c r="C13" s="30">
        <v>8</v>
      </c>
      <c r="D13" s="30">
        <v>9</v>
      </c>
      <c r="E13" s="30">
        <v>8</v>
      </c>
      <c r="F13" s="30">
        <v>8</v>
      </c>
      <c r="G13" s="30">
        <v>35</v>
      </c>
      <c r="I13" s="35" t="s">
        <v>117</v>
      </c>
      <c r="J13" s="37">
        <v>0.11764705882352941</v>
      </c>
      <c r="K13" s="37">
        <v>0.32</v>
      </c>
      <c r="L13" s="37">
        <v>0.36</v>
      </c>
      <c r="M13" s="37">
        <v>0.36363636363636365</v>
      </c>
      <c r="N13" s="37">
        <v>0.33333333333333331</v>
      </c>
      <c r="O13" s="37">
        <v>0.30973451327433627</v>
      </c>
    </row>
    <row r="14" spans="1:15" x14ac:dyDescent="0.25">
      <c r="A14" s="35" t="s">
        <v>116</v>
      </c>
      <c r="B14" s="30">
        <v>5</v>
      </c>
      <c r="C14" s="30">
        <v>5</v>
      </c>
      <c r="D14" s="30">
        <v>5</v>
      </c>
      <c r="E14" s="30">
        <v>3</v>
      </c>
      <c r="F14" s="30">
        <v>4</v>
      </c>
      <c r="G14" s="30">
        <v>22</v>
      </c>
      <c r="I14" s="35" t="s">
        <v>116</v>
      </c>
      <c r="J14" s="37">
        <v>0.29411764705882354</v>
      </c>
      <c r="K14" s="37">
        <v>0.2</v>
      </c>
      <c r="L14" s="37">
        <v>0.2</v>
      </c>
      <c r="M14" s="37">
        <v>0.13636363636363635</v>
      </c>
      <c r="N14" s="37">
        <v>0.16666666666666666</v>
      </c>
      <c r="O14" s="37">
        <v>0.19469026548672566</v>
      </c>
    </row>
    <row r="15" spans="1:15" x14ac:dyDescent="0.25">
      <c r="A15" s="35" t="s">
        <v>118</v>
      </c>
      <c r="B15" s="30">
        <v>4</v>
      </c>
      <c r="C15" s="30">
        <v>5</v>
      </c>
      <c r="D15" s="30">
        <v>4</v>
      </c>
      <c r="E15" s="30">
        <v>6</v>
      </c>
      <c r="F15" s="30">
        <v>7</v>
      </c>
      <c r="G15" s="30">
        <v>26</v>
      </c>
      <c r="I15" s="35" t="s">
        <v>118</v>
      </c>
      <c r="J15" s="37">
        <v>0.23529411764705882</v>
      </c>
      <c r="K15" s="37">
        <v>0.2</v>
      </c>
      <c r="L15" s="37">
        <v>0.16</v>
      </c>
      <c r="M15" s="37">
        <v>0.27272727272727271</v>
      </c>
      <c r="N15" s="37">
        <v>0.29166666666666669</v>
      </c>
      <c r="O15" s="37">
        <v>0.23008849557522124</v>
      </c>
    </row>
    <row r="16" spans="1:15" x14ac:dyDescent="0.25">
      <c r="A16" s="35" t="s">
        <v>119</v>
      </c>
      <c r="B16" s="30">
        <v>5</v>
      </c>
      <c r="C16" s="30">
        <v>4</v>
      </c>
      <c r="D16" s="30">
        <v>2</v>
      </c>
      <c r="E16" s="30">
        <v>1</v>
      </c>
      <c r="F16" s="30">
        <v>1</v>
      </c>
      <c r="G16" s="30">
        <v>13</v>
      </c>
      <c r="I16" s="35" t="s">
        <v>119</v>
      </c>
      <c r="J16" s="37">
        <v>0.29411764705882354</v>
      </c>
      <c r="K16" s="37">
        <v>0.16</v>
      </c>
      <c r="L16" s="37">
        <v>0.08</v>
      </c>
      <c r="M16" s="37">
        <v>4.5454545454545456E-2</v>
      </c>
      <c r="N16" s="37">
        <v>4.1666666666666664E-2</v>
      </c>
      <c r="O16" s="37">
        <v>0.11504424778761062</v>
      </c>
    </row>
    <row r="17" spans="1:15" x14ac:dyDescent="0.25">
      <c r="A17" s="35" t="s">
        <v>120</v>
      </c>
      <c r="C17" s="30">
        <v>1</v>
      </c>
      <c r="D17" s="30">
        <v>4</v>
      </c>
      <c r="E17" s="30">
        <v>3</v>
      </c>
      <c r="F17" s="30">
        <v>3</v>
      </c>
      <c r="G17" s="30">
        <v>11</v>
      </c>
      <c r="I17" s="35" t="s">
        <v>120</v>
      </c>
      <c r="J17" s="37">
        <v>0</v>
      </c>
      <c r="K17" s="37">
        <v>0.04</v>
      </c>
      <c r="L17" s="37">
        <v>0.16</v>
      </c>
      <c r="M17" s="37">
        <v>0.13636363636363635</v>
      </c>
      <c r="N17" s="37">
        <v>0.125</v>
      </c>
      <c r="O17" s="37">
        <v>9.7345132743362831E-2</v>
      </c>
    </row>
    <row r="18" spans="1:15" x14ac:dyDescent="0.25">
      <c r="A18" s="35" t="s">
        <v>123</v>
      </c>
      <c r="B18" s="30">
        <v>1</v>
      </c>
      <c r="C18" s="30">
        <v>2</v>
      </c>
      <c r="D18" s="30">
        <v>1</v>
      </c>
      <c r="E18" s="30">
        <v>1</v>
      </c>
      <c r="F18" s="30">
        <v>1</v>
      </c>
      <c r="G18" s="30">
        <v>6</v>
      </c>
      <c r="I18" s="35" t="s">
        <v>123</v>
      </c>
      <c r="J18" s="37">
        <v>5.8823529411764705E-2</v>
      </c>
      <c r="K18" s="37">
        <v>0.08</v>
      </c>
      <c r="L18" s="37">
        <v>0.04</v>
      </c>
      <c r="M18" s="37">
        <v>4.5454545454545456E-2</v>
      </c>
      <c r="N18" s="37">
        <v>4.1666666666666664E-2</v>
      </c>
      <c r="O18" s="37">
        <v>5.3097345132743362E-2</v>
      </c>
    </row>
    <row r="19" spans="1:15" x14ac:dyDescent="0.25">
      <c r="A19" s="34" t="s">
        <v>63</v>
      </c>
      <c r="B19" s="30">
        <v>3</v>
      </c>
      <c r="C19" s="30">
        <v>1</v>
      </c>
      <c r="D19" s="30">
        <v>1</v>
      </c>
      <c r="E19" s="30">
        <v>1</v>
      </c>
      <c r="F19" s="30">
        <v>1</v>
      </c>
      <c r="G19" s="30">
        <v>7</v>
      </c>
      <c r="I19" s="34" t="s">
        <v>63</v>
      </c>
      <c r="J19" s="37"/>
      <c r="K19" s="37"/>
      <c r="L19" s="37"/>
      <c r="M19" s="37"/>
      <c r="N19" s="37"/>
      <c r="O19" s="37"/>
    </row>
    <row r="20" spans="1:15" x14ac:dyDescent="0.25">
      <c r="A20" s="35" t="s">
        <v>117</v>
      </c>
      <c r="B20" s="30">
        <v>2</v>
      </c>
      <c r="E20" s="30">
        <v>1</v>
      </c>
      <c r="F20" s="30">
        <v>1</v>
      </c>
      <c r="G20" s="30">
        <v>4</v>
      </c>
      <c r="I20" s="35" t="s">
        <v>117</v>
      </c>
      <c r="J20" s="37">
        <v>0.66666666666666663</v>
      </c>
      <c r="K20" s="37">
        <v>0</v>
      </c>
      <c r="L20" s="37">
        <v>0</v>
      </c>
      <c r="M20" s="37">
        <v>1</v>
      </c>
      <c r="N20" s="37">
        <v>1</v>
      </c>
      <c r="O20" s="37">
        <v>0.5714285714285714</v>
      </c>
    </row>
    <row r="21" spans="1:15" x14ac:dyDescent="0.25">
      <c r="A21" s="35" t="s">
        <v>116</v>
      </c>
      <c r="B21" s="30">
        <v>1</v>
      </c>
      <c r="C21" s="30">
        <v>1</v>
      </c>
      <c r="D21" s="30">
        <v>1</v>
      </c>
      <c r="G21" s="30">
        <v>3</v>
      </c>
      <c r="I21" s="35" t="s">
        <v>116</v>
      </c>
      <c r="J21" s="37">
        <v>0.33333333333333331</v>
      </c>
      <c r="K21" s="37">
        <v>1</v>
      </c>
      <c r="L21" s="37">
        <v>1</v>
      </c>
      <c r="M21" s="37">
        <v>0</v>
      </c>
      <c r="N21" s="37">
        <v>0</v>
      </c>
      <c r="O21" s="37">
        <v>0.42857142857142855</v>
      </c>
    </row>
    <row r="22" spans="1:15" x14ac:dyDescent="0.25">
      <c r="A22" s="34" t="s">
        <v>126</v>
      </c>
      <c r="B22" s="30">
        <v>37</v>
      </c>
      <c r="C22" s="30">
        <v>46</v>
      </c>
      <c r="D22" s="30">
        <v>51</v>
      </c>
      <c r="E22" s="30">
        <v>44</v>
      </c>
      <c r="F22" s="30">
        <v>46</v>
      </c>
      <c r="G22" s="30">
        <v>224</v>
      </c>
      <c r="I22" s="34" t="s">
        <v>126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</row>
    <row r="23" spans="1:15" x14ac:dyDescent="0.25">
      <c r="B23"/>
      <c r="C23"/>
      <c r="D23"/>
      <c r="E23"/>
      <c r="F23"/>
      <c r="G23"/>
      <c r="J23"/>
      <c r="K23"/>
      <c r="L23"/>
      <c r="M23"/>
      <c r="N23"/>
      <c r="O23"/>
    </row>
    <row r="24" spans="1:15" x14ac:dyDescent="0.25">
      <c r="B24"/>
      <c r="C24"/>
      <c r="D24"/>
      <c r="E24"/>
      <c r="F24"/>
      <c r="G24"/>
      <c r="J24"/>
      <c r="K24"/>
      <c r="L24"/>
      <c r="M24"/>
      <c r="N24"/>
      <c r="O24"/>
    </row>
    <row r="25" spans="1:15" x14ac:dyDescent="0.25">
      <c r="B25"/>
      <c r="C25"/>
      <c r="D25"/>
      <c r="E25"/>
      <c r="F25"/>
      <c r="G25"/>
      <c r="J25"/>
      <c r="K25"/>
      <c r="L25"/>
      <c r="M25"/>
      <c r="N25"/>
      <c r="O25"/>
    </row>
    <row r="26" spans="1:15" x14ac:dyDescent="0.25">
      <c r="B26"/>
      <c r="C26"/>
      <c r="D26"/>
      <c r="E26"/>
      <c r="F26"/>
      <c r="G26"/>
      <c r="J26"/>
      <c r="K26"/>
      <c r="L26"/>
      <c r="M26"/>
      <c r="N26"/>
      <c r="O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 Original</vt:lpstr>
      <vt:lpstr>Etiquetas</vt:lpstr>
      <vt:lpstr>BD Análisis</vt:lpstr>
      <vt:lpstr>Análisis Fuerza Comercial</vt:lpstr>
      <vt:lpstr>Calificaciones Promotores Sucur</vt:lpstr>
      <vt:lpstr>Impacto Rotación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 Pasquel</cp:lastModifiedBy>
  <dcterms:created xsi:type="dcterms:W3CDTF">2023-12-16T00:17:09Z</dcterms:created>
  <dcterms:modified xsi:type="dcterms:W3CDTF">2024-01-05T18:53:37Z</dcterms:modified>
</cp:coreProperties>
</file>