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VINICIUS\DISCIPLINAS\ANALISE_EXPERIMENTOS\aula_delineamentos_basicos\DBC\analises\excel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N14" i="1"/>
  <c r="I15" i="1" l="1"/>
  <c r="J14" i="1"/>
  <c r="K14" i="1"/>
  <c r="R14" i="1" s="1"/>
  <c r="R5" i="1" l="1"/>
  <c r="K2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O4" i="1"/>
  <c r="P4" i="1"/>
  <c r="N4" i="1"/>
  <c r="K23" i="1"/>
  <c r="K21" i="1"/>
  <c r="K20" i="1"/>
  <c r="K5" i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4" i="1"/>
  <c r="R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4" i="1"/>
  <c r="J4" i="1" s="1"/>
  <c r="G14" i="1"/>
  <c r="G15" i="1" s="1"/>
  <c r="H14" i="1"/>
  <c r="H15" i="1" s="1"/>
  <c r="F14" i="1"/>
  <c r="F15" i="1" s="1"/>
  <c r="K22" i="1" l="1"/>
  <c r="I14" i="1"/>
  <c r="F22" i="1" s="1"/>
  <c r="F21" i="1" l="1"/>
  <c r="L23" i="1" l="1"/>
  <c r="L21" i="1"/>
  <c r="M21" i="1" s="1"/>
  <c r="L20" i="1"/>
  <c r="M20" i="1" s="1"/>
  <c r="L22" i="1" l="1"/>
  <c r="M22" i="1" s="1"/>
  <c r="K25" i="1" l="1"/>
  <c r="K26" i="1"/>
  <c r="N20" i="1"/>
  <c r="K27" i="1"/>
  <c r="K28" i="1" s="1"/>
  <c r="L28" i="1" s="1"/>
  <c r="N21" i="1"/>
  <c r="S9" i="1" l="1"/>
  <c r="S10" i="1"/>
  <c r="S11" i="1"/>
  <c r="S6" i="1"/>
  <c r="S12" i="1"/>
  <c r="S4" i="1"/>
  <c r="S7" i="1"/>
  <c r="S5" i="1"/>
  <c r="S13" i="1"/>
  <c r="S8" i="1"/>
  <c r="T8" i="1" l="1"/>
  <c r="U8" i="1"/>
  <c r="U10" i="1"/>
  <c r="T10" i="1"/>
  <c r="U13" i="1"/>
  <c r="T13" i="1"/>
  <c r="T9" i="1"/>
  <c r="U9" i="1"/>
  <c r="T5" i="1"/>
  <c r="U5" i="1"/>
  <c r="T7" i="1"/>
  <c r="U7" i="1"/>
  <c r="U4" i="1"/>
  <c r="T4" i="1"/>
  <c r="T12" i="1"/>
  <c r="U12" i="1"/>
  <c r="U6" i="1"/>
  <c r="T6" i="1"/>
  <c r="U11" i="1"/>
  <c r="T11" i="1"/>
</calcChain>
</file>

<file path=xl/sharedStrings.xml><?xml version="1.0" encoding="utf-8"?>
<sst xmlns="http://schemas.openxmlformats.org/spreadsheetml/2006/main" count="58" uniqueCount="43">
  <si>
    <t>Cultivares</t>
  </si>
  <si>
    <t>Y.j</t>
  </si>
  <si>
    <t>Repetições</t>
  </si>
  <si>
    <t>Yi.</t>
  </si>
  <si>
    <t>Média i</t>
  </si>
  <si>
    <t>Cultivar</t>
  </si>
  <si>
    <t>Bloco</t>
  </si>
  <si>
    <t>Produtividade</t>
  </si>
  <si>
    <t>Correcao</t>
  </si>
  <si>
    <t>t</t>
  </si>
  <si>
    <t>r</t>
  </si>
  <si>
    <t>ANOVA</t>
  </si>
  <si>
    <t>FV</t>
  </si>
  <si>
    <t>GL</t>
  </si>
  <si>
    <t>Tratamento</t>
  </si>
  <si>
    <t>Resíduo</t>
  </si>
  <si>
    <t>Total</t>
  </si>
  <si>
    <t>SQB</t>
  </si>
  <si>
    <t>Y.j²</t>
  </si>
  <si>
    <t>Yi.²</t>
  </si>
  <si>
    <t>QM</t>
  </si>
  <si>
    <t>F</t>
  </si>
  <si>
    <t>Média</t>
  </si>
  <si>
    <t>CV(%)</t>
  </si>
  <si>
    <t>QMR(DIC)</t>
  </si>
  <si>
    <t>Eficiência Relativa (DBC/DIC)</t>
  </si>
  <si>
    <t>F(Calc)</t>
  </si>
  <si>
    <t>F(5%)</t>
  </si>
  <si>
    <t>F(1%)</t>
  </si>
  <si>
    <t>p-valor</t>
  </si>
  <si>
    <t>IC (5%) Sup</t>
  </si>
  <si>
    <t>Significancia</t>
  </si>
  <si>
    <t>ns</t>
  </si>
  <si>
    <t>**</t>
  </si>
  <si>
    <t>Yij²</t>
  </si>
  <si>
    <t>Y..</t>
  </si>
  <si>
    <t>Tabela de Dupla Entrada</t>
  </si>
  <si>
    <t>Planilha de Dados</t>
  </si>
  <si>
    <t>Intervalo de Confiança</t>
  </si>
  <si>
    <t>t(5%)</t>
  </si>
  <si>
    <t>t(5%)*EPM</t>
  </si>
  <si>
    <t>Erro Padrão Média (EPM)</t>
  </si>
  <si>
    <t>IC (5%)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</si>
</sst>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2" fontId="0" fillId="0" borderId="1" xfId="0" applyNumberForma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13</xdr:row>
      <xdr:rowOff>156210</xdr:rowOff>
    </xdr:from>
    <xdr:ext cx="65" cy="172227"/>
    <xdr:sp macro="" textlink="">
      <xdr:nvSpPr>
        <xdr:cNvPr id="2" name="CaixaDeTexto 1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D16" zoomScale="95" workbookViewId="0">
      <selection activeCell="R4" sqref="R4:U13"/>
    </sheetView>
  </sheetViews>
  <sheetFormatPr defaultRowHeight="14.4" x14ac:dyDescent="0.3"/>
  <cols>
    <col min="3" max="3" width="12.21875" bestFit="1" customWidth="1"/>
    <col min="5" max="5" width="8.88671875" style="5"/>
    <col min="6" max="6" width="12" bestFit="1" customWidth="1"/>
    <col min="7" max="7" width="12.6640625" bestFit="1" customWidth="1"/>
    <col min="8" max="9" width="11.5546875" bestFit="1" customWidth="1"/>
    <col min="10" max="10" width="24.77734375" bestFit="1" customWidth="1"/>
    <col min="12" max="12" width="11.5546875" style="11" bestFit="1" customWidth="1"/>
    <col min="13" max="13" width="12.44140625" style="11" customWidth="1"/>
    <col min="14" max="14" width="10.5546875" bestFit="1" customWidth="1"/>
    <col min="15" max="17" width="9.44140625" bestFit="1" customWidth="1"/>
    <col min="18" max="18" width="11" bestFit="1" customWidth="1"/>
    <col min="19" max="19" width="12.6640625" bestFit="1" customWidth="1"/>
    <col min="20" max="20" width="9.33203125" bestFit="1" customWidth="1"/>
    <col min="21" max="21" width="12.6640625" bestFit="1" customWidth="1"/>
    <col min="22" max="22" width="12.6640625" customWidth="1"/>
    <col min="23" max="23" width="11.21875" customWidth="1"/>
    <col min="24" max="24" width="10.21875" bestFit="1" customWidth="1"/>
  </cols>
  <sheetData>
    <row r="1" spans="1:21" x14ac:dyDescent="0.3">
      <c r="A1" s="35" t="s">
        <v>37</v>
      </c>
      <c r="B1" s="35"/>
      <c r="C1" s="35"/>
      <c r="E1" s="34" t="s">
        <v>36</v>
      </c>
      <c r="F1" s="34"/>
      <c r="G1" s="34"/>
      <c r="H1" s="34"/>
      <c r="I1" s="34"/>
      <c r="J1" s="34"/>
      <c r="K1" s="34"/>
      <c r="M1" s="36" t="s">
        <v>34</v>
      </c>
      <c r="N1" s="36"/>
      <c r="O1" s="36"/>
      <c r="P1" s="36"/>
      <c r="R1" s="31" t="s">
        <v>38</v>
      </c>
      <c r="S1" s="31"/>
      <c r="T1" s="31"/>
      <c r="U1" s="31"/>
    </row>
    <row r="2" spans="1:21" x14ac:dyDescent="0.3">
      <c r="A2" t="s">
        <v>5</v>
      </c>
      <c r="B2" t="s">
        <v>6</v>
      </c>
      <c r="C2" t="s">
        <v>7</v>
      </c>
      <c r="E2" s="3"/>
      <c r="F2" s="32" t="s">
        <v>2</v>
      </c>
      <c r="G2" s="32"/>
      <c r="H2" s="32"/>
      <c r="I2" s="6"/>
      <c r="J2" s="6"/>
      <c r="K2" s="6"/>
      <c r="L2" s="10"/>
      <c r="M2" s="25"/>
      <c r="N2" s="33" t="s">
        <v>2</v>
      </c>
      <c r="O2" s="33"/>
      <c r="P2" s="33"/>
      <c r="R2" s="26" t="s">
        <v>39</v>
      </c>
      <c r="S2" s="13">
        <v>2.1040000000000001</v>
      </c>
      <c r="T2" s="13"/>
      <c r="U2" s="13"/>
    </row>
    <row r="3" spans="1:21" x14ac:dyDescent="0.3">
      <c r="A3">
        <v>1</v>
      </c>
      <c r="B3">
        <v>1</v>
      </c>
      <c r="C3">
        <v>5427</v>
      </c>
      <c r="E3" s="3" t="s">
        <v>0</v>
      </c>
      <c r="F3" s="6">
        <v>1</v>
      </c>
      <c r="G3" s="6">
        <v>2</v>
      </c>
      <c r="H3" s="6">
        <v>3</v>
      </c>
      <c r="I3" s="15" t="s">
        <v>3</v>
      </c>
      <c r="J3" s="15" t="s">
        <v>19</v>
      </c>
      <c r="K3" s="7" t="s">
        <v>4</v>
      </c>
      <c r="L3" s="10"/>
      <c r="M3" s="25" t="s">
        <v>0</v>
      </c>
      <c r="N3" s="14">
        <v>1</v>
      </c>
      <c r="O3" s="14">
        <v>2</v>
      </c>
      <c r="P3" s="14">
        <v>3</v>
      </c>
      <c r="R3" s="26" t="s">
        <v>4</v>
      </c>
      <c r="S3" s="13" t="s">
        <v>40</v>
      </c>
      <c r="T3" s="13" t="s">
        <v>42</v>
      </c>
      <c r="U3" s="13" t="s">
        <v>30</v>
      </c>
    </row>
    <row r="4" spans="1:21" x14ac:dyDescent="0.3">
      <c r="A4">
        <v>1</v>
      </c>
      <c r="B4">
        <v>2</v>
      </c>
      <c r="C4">
        <v>5979</v>
      </c>
      <c r="E4" s="3">
        <v>1</v>
      </c>
      <c r="F4" s="6">
        <v>5427</v>
      </c>
      <c r="G4" s="6">
        <v>5979</v>
      </c>
      <c r="H4" s="6">
        <v>5396</v>
      </c>
      <c r="I4" s="15">
        <f>SUM(F4:H4)</f>
        <v>16802</v>
      </c>
      <c r="J4" s="15">
        <f>I4^2</f>
        <v>282307204</v>
      </c>
      <c r="K4" s="7">
        <f>AVERAGE(F4:H4)</f>
        <v>5600.666666666667</v>
      </c>
      <c r="L4" s="10"/>
      <c r="M4" s="25">
        <v>1</v>
      </c>
      <c r="N4" s="14">
        <f>F4^2</f>
        <v>29452329</v>
      </c>
      <c r="O4" s="14">
        <f t="shared" ref="O4:P4" si="0">G4^2</f>
        <v>35748441</v>
      </c>
      <c r="P4" s="14">
        <f t="shared" si="0"/>
        <v>29116816</v>
      </c>
      <c r="R4" s="27">
        <f>K4</f>
        <v>5600.666666666667</v>
      </c>
      <c r="S4" s="28">
        <f t="shared" ref="S4:S13" si="1">$S$2*$K$26</f>
        <v>536.08617446818835</v>
      </c>
      <c r="T4" s="29">
        <f>R4-S4</f>
        <v>5064.5804921984782</v>
      </c>
      <c r="U4" s="28">
        <f>R4+S4</f>
        <v>6136.7528411348558</v>
      </c>
    </row>
    <row r="5" spans="1:21" x14ac:dyDescent="0.3">
      <c r="A5">
        <v>1</v>
      </c>
      <c r="B5">
        <v>3</v>
      </c>
      <c r="C5">
        <v>5396</v>
      </c>
      <c r="E5" s="3">
        <v>2</v>
      </c>
      <c r="F5" s="6">
        <v>3719</v>
      </c>
      <c r="G5" s="6">
        <v>3583</v>
      </c>
      <c r="H5" s="6">
        <v>4771</v>
      </c>
      <c r="I5" s="15">
        <f t="shared" ref="I5:I13" si="2">SUM(F5:H5)</f>
        <v>12073</v>
      </c>
      <c r="J5" s="15">
        <f t="shared" ref="J5:J13" si="3">I5^2</f>
        <v>145757329</v>
      </c>
      <c r="K5" s="7">
        <f t="shared" ref="K5:K13" si="4">AVERAGE(F5:H5)</f>
        <v>4024.3333333333335</v>
      </c>
      <c r="L5" s="10"/>
      <c r="M5" s="25">
        <v>2</v>
      </c>
      <c r="N5" s="14">
        <f t="shared" ref="N5:N13" si="5">F5^2</f>
        <v>13830961</v>
      </c>
      <c r="O5" s="14">
        <f t="shared" ref="O5:O13" si="6">G5^2</f>
        <v>12837889</v>
      </c>
      <c r="P5" s="14">
        <f t="shared" ref="P5:P13" si="7">H5^2</f>
        <v>22762441</v>
      </c>
      <c r="R5" s="27">
        <f t="shared" ref="R5:R14" si="8">K5</f>
        <v>4024.3333333333335</v>
      </c>
      <c r="S5" s="28">
        <f t="shared" si="1"/>
        <v>536.08617446818835</v>
      </c>
      <c r="T5" s="29">
        <f t="shared" ref="T5:T13" si="9">R5-S5</f>
        <v>3488.2471588651451</v>
      </c>
      <c r="U5" s="28">
        <f t="shared" ref="U5:U13" si="10">R5+S5</f>
        <v>4560.4195078015218</v>
      </c>
    </row>
    <row r="6" spans="1:21" x14ac:dyDescent="0.3">
      <c r="A6">
        <v>2</v>
      </c>
      <c r="B6">
        <v>1</v>
      </c>
      <c r="C6">
        <v>3719</v>
      </c>
      <c r="E6" s="3">
        <v>3</v>
      </c>
      <c r="F6" s="6">
        <v>4375</v>
      </c>
      <c r="G6" s="6">
        <v>3792</v>
      </c>
      <c r="H6" s="6">
        <v>3750</v>
      </c>
      <c r="I6" s="15">
        <f t="shared" si="2"/>
        <v>11917</v>
      </c>
      <c r="J6" s="15">
        <f t="shared" si="3"/>
        <v>142014889</v>
      </c>
      <c r="K6" s="7">
        <f t="shared" si="4"/>
        <v>3972.3333333333335</v>
      </c>
      <c r="L6" s="10"/>
      <c r="M6" s="25">
        <v>3</v>
      </c>
      <c r="N6" s="14">
        <f t="shared" si="5"/>
        <v>19140625</v>
      </c>
      <c r="O6" s="14">
        <f t="shared" si="6"/>
        <v>14379264</v>
      </c>
      <c r="P6" s="14">
        <f t="shared" si="7"/>
        <v>14062500</v>
      </c>
      <c r="R6" s="27">
        <f t="shared" si="8"/>
        <v>3972.3333333333335</v>
      </c>
      <c r="S6" s="28">
        <f t="shared" si="1"/>
        <v>536.08617446818835</v>
      </c>
      <c r="T6" s="29">
        <f t="shared" si="9"/>
        <v>3436.2471588651451</v>
      </c>
      <c r="U6" s="28">
        <f t="shared" si="10"/>
        <v>4508.4195078015218</v>
      </c>
    </row>
    <row r="7" spans="1:21" x14ac:dyDescent="0.3">
      <c r="A7">
        <v>2</v>
      </c>
      <c r="B7">
        <v>2</v>
      </c>
      <c r="C7">
        <v>3583</v>
      </c>
      <c r="E7" s="3">
        <v>4</v>
      </c>
      <c r="F7" s="6">
        <v>4594</v>
      </c>
      <c r="G7" s="6">
        <v>5313</v>
      </c>
      <c r="H7" s="6">
        <v>5760</v>
      </c>
      <c r="I7" s="15">
        <f t="shared" si="2"/>
        <v>15667</v>
      </c>
      <c r="J7" s="15">
        <f t="shared" si="3"/>
        <v>245454889</v>
      </c>
      <c r="K7" s="7">
        <f t="shared" si="4"/>
        <v>5222.333333333333</v>
      </c>
      <c r="L7" s="10"/>
      <c r="M7" s="25">
        <v>4</v>
      </c>
      <c r="N7" s="14">
        <f t="shared" si="5"/>
        <v>21104836</v>
      </c>
      <c r="O7" s="14">
        <f t="shared" si="6"/>
        <v>28227969</v>
      </c>
      <c r="P7" s="14">
        <f t="shared" si="7"/>
        <v>33177600</v>
      </c>
      <c r="R7" s="27">
        <f t="shared" si="8"/>
        <v>5222.333333333333</v>
      </c>
      <c r="S7" s="28">
        <f t="shared" si="1"/>
        <v>536.08617446818835</v>
      </c>
      <c r="T7" s="29">
        <f t="shared" si="9"/>
        <v>4686.2471588651442</v>
      </c>
      <c r="U7" s="28">
        <f t="shared" si="10"/>
        <v>5758.4195078015218</v>
      </c>
    </row>
    <row r="8" spans="1:21" x14ac:dyDescent="0.3">
      <c r="A8">
        <v>2</v>
      </c>
      <c r="B8">
        <v>3</v>
      </c>
      <c r="C8">
        <v>4771</v>
      </c>
      <c r="E8" s="3">
        <v>5</v>
      </c>
      <c r="F8" s="6">
        <v>4740</v>
      </c>
      <c r="G8" s="6">
        <v>4000</v>
      </c>
      <c r="H8" s="6">
        <v>4813</v>
      </c>
      <c r="I8" s="15">
        <f t="shared" si="2"/>
        <v>13553</v>
      </c>
      <c r="J8" s="15">
        <f t="shared" si="3"/>
        <v>183683809</v>
      </c>
      <c r="K8" s="7">
        <f t="shared" si="4"/>
        <v>4517.666666666667</v>
      </c>
      <c r="L8" s="10"/>
      <c r="M8" s="25">
        <v>5</v>
      </c>
      <c r="N8" s="14">
        <f t="shared" si="5"/>
        <v>22467600</v>
      </c>
      <c r="O8" s="14">
        <f t="shared" si="6"/>
        <v>16000000</v>
      </c>
      <c r="P8" s="14">
        <f t="shared" si="7"/>
        <v>23164969</v>
      </c>
      <c r="R8" s="27">
        <f t="shared" si="8"/>
        <v>4517.666666666667</v>
      </c>
      <c r="S8" s="28">
        <f t="shared" si="1"/>
        <v>536.08617446818835</v>
      </c>
      <c r="T8" s="29">
        <f t="shared" si="9"/>
        <v>3981.5804921984786</v>
      </c>
      <c r="U8" s="28">
        <f t="shared" si="10"/>
        <v>5053.7528411348558</v>
      </c>
    </row>
    <row r="9" spans="1:21" x14ac:dyDescent="0.3">
      <c r="A9">
        <v>3</v>
      </c>
      <c r="B9">
        <v>1</v>
      </c>
      <c r="C9">
        <v>4375</v>
      </c>
      <c r="E9" s="3">
        <v>6</v>
      </c>
      <c r="F9" s="6">
        <v>3229</v>
      </c>
      <c r="G9" s="6">
        <v>2927</v>
      </c>
      <c r="H9" s="6">
        <v>3000</v>
      </c>
      <c r="I9" s="15">
        <f t="shared" si="2"/>
        <v>9156</v>
      </c>
      <c r="J9" s="15">
        <f t="shared" si="3"/>
        <v>83832336</v>
      </c>
      <c r="K9" s="7">
        <f t="shared" si="4"/>
        <v>3052</v>
      </c>
      <c r="L9" s="10"/>
      <c r="M9" s="25">
        <v>6</v>
      </c>
      <c r="N9" s="14">
        <f t="shared" si="5"/>
        <v>10426441</v>
      </c>
      <c r="O9" s="14">
        <f t="shared" si="6"/>
        <v>8567329</v>
      </c>
      <c r="P9" s="14">
        <f t="shared" si="7"/>
        <v>9000000</v>
      </c>
      <c r="R9" s="27">
        <f t="shared" si="8"/>
        <v>3052</v>
      </c>
      <c r="S9" s="28">
        <f t="shared" si="1"/>
        <v>536.08617446818835</v>
      </c>
      <c r="T9" s="29">
        <f t="shared" si="9"/>
        <v>2515.9138255318117</v>
      </c>
      <c r="U9" s="28">
        <f t="shared" si="10"/>
        <v>3588.0861744681883</v>
      </c>
    </row>
    <row r="10" spans="1:21" x14ac:dyDescent="0.3">
      <c r="A10">
        <v>3</v>
      </c>
      <c r="B10">
        <v>2</v>
      </c>
      <c r="C10">
        <v>3792</v>
      </c>
      <c r="E10" s="3">
        <v>7</v>
      </c>
      <c r="F10" s="6">
        <v>4323</v>
      </c>
      <c r="G10" s="6">
        <v>4167</v>
      </c>
      <c r="H10" s="6">
        <v>4792</v>
      </c>
      <c r="I10" s="15">
        <f t="shared" si="2"/>
        <v>13282</v>
      </c>
      <c r="J10" s="15">
        <f t="shared" si="3"/>
        <v>176411524</v>
      </c>
      <c r="K10" s="7">
        <f t="shared" si="4"/>
        <v>4427.333333333333</v>
      </c>
      <c r="L10" s="10"/>
      <c r="M10" s="25">
        <v>7</v>
      </c>
      <c r="N10" s="14">
        <f t="shared" si="5"/>
        <v>18688329</v>
      </c>
      <c r="O10" s="14">
        <f t="shared" si="6"/>
        <v>17363889</v>
      </c>
      <c r="P10" s="14">
        <f t="shared" si="7"/>
        <v>22963264</v>
      </c>
      <c r="R10" s="27">
        <f t="shared" si="8"/>
        <v>4427.333333333333</v>
      </c>
      <c r="S10" s="28">
        <f t="shared" si="1"/>
        <v>536.08617446818835</v>
      </c>
      <c r="T10" s="29">
        <f t="shared" si="9"/>
        <v>3891.2471588651447</v>
      </c>
      <c r="U10" s="28">
        <f t="shared" si="10"/>
        <v>4963.4195078015218</v>
      </c>
    </row>
    <row r="11" spans="1:21" x14ac:dyDescent="0.3">
      <c r="A11">
        <v>3</v>
      </c>
      <c r="B11">
        <v>3</v>
      </c>
      <c r="C11">
        <v>3750</v>
      </c>
      <c r="E11" s="3">
        <v>8</v>
      </c>
      <c r="F11" s="6">
        <v>4385</v>
      </c>
      <c r="G11" s="6">
        <v>3740</v>
      </c>
      <c r="H11" s="6">
        <v>3646</v>
      </c>
      <c r="I11" s="15">
        <f t="shared" si="2"/>
        <v>11771</v>
      </c>
      <c r="J11" s="15">
        <f t="shared" si="3"/>
        <v>138556441</v>
      </c>
      <c r="K11" s="7">
        <f t="shared" si="4"/>
        <v>3923.6666666666665</v>
      </c>
      <c r="L11" s="10"/>
      <c r="M11" s="25">
        <v>8</v>
      </c>
      <c r="N11" s="14">
        <f t="shared" si="5"/>
        <v>19228225</v>
      </c>
      <c r="O11" s="14">
        <f t="shared" si="6"/>
        <v>13987600</v>
      </c>
      <c r="P11" s="14">
        <f t="shared" si="7"/>
        <v>13293316</v>
      </c>
      <c r="R11" s="27">
        <f t="shared" si="8"/>
        <v>3923.6666666666665</v>
      </c>
      <c r="S11" s="28">
        <f t="shared" si="1"/>
        <v>536.08617446818835</v>
      </c>
      <c r="T11" s="29">
        <f t="shared" si="9"/>
        <v>3387.5804921984782</v>
      </c>
      <c r="U11" s="28">
        <f t="shared" si="10"/>
        <v>4459.7528411348549</v>
      </c>
    </row>
    <row r="12" spans="1:21" x14ac:dyDescent="0.3">
      <c r="A12">
        <v>4</v>
      </c>
      <c r="B12">
        <v>1</v>
      </c>
      <c r="C12">
        <v>4594</v>
      </c>
      <c r="E12" s="3">
        <v>9</v>
      </c>
      <c r="F12" s="6">
        <v>6375</v>
      </c>
      <c r="G12" s="6">
        <v>5083</v>
      </c>
      <c r="H12" s="6">
        <v>5292</v>
      </c>
      <c r="I12" s="15">
        <f t="shared" si="2"/>
        <v>16750</v>
      </c>
      <c r="J12" s="15">
        <f t="shared" si="3"/>
        <v>280562500</v>
      </c>
      <c r="K12" s="7">
        <f t="shared" si="4"/>
        <v>5583.333333333333</v>
      </c>
      <c r="L12" s="10"/>
      <c r="M12" s="25">
        <v>9</v>
      </c>
      <c r="N12" s="14">
        <f t="shared" si="5"/>
        <v>40640625</v>
      </c>
      <c r="O12" s="14">
        <f t="shared" si="6"/>
        <v>25836889</v>
      </c>
      <c r="P12" s="14">
        <f t="shared" si="7"/>
        <v>28005264</v>
      </c>
      <c r="R12" s="27">
        <f t="shared" si="8"/>
        <v>5583.333333333333</v>
      </c>
      <c r="S12" s="28">
        <f t="shared" si="1"/>
        <v>536.08617446818835</v>
      </c>
      <c r="T12" s="29">
        <f t="shared" si="9"/>
        <v>5047.2471588651442</v>
      </c>
      <c r="U12" s="28">
        <f t="shared" si="10"/>
        <v>6119.4195078015218</v>
      </c>
    </row>
    <row r="13" spans="1:21" x14ac:dyDescent="0.3">
      <c r="A13">
        <v>4</v>
      </c>
      <c r="B13">
        <v>2</v>
      </c>
      <c r="C13">
        <v>5313</v>
      </c>
      <c r="E13" s="3">
        <v>10</v>
      </c>
      <c r="F13" s="6">
        <v>4844</v>
      </c>
      <c r="G13" s="6">
        <v>4198</v>
      </c>
      <c r="H13" s="6">
        <v>4750</v>
      </c>
      <c r="I13" s="15">
        <f t="shared" si="2"/>
        <v>13792</v>
      </c>
      <c r="J13" s="15">
        <f t="shared" si="3"/>
        <v>190219264</v>
      </c>
      <c r="K13" s="7">
        <f t="shared" si="4"/>
        <v>4597.333333333333</v>
      </c>
      <c r="L13" s="10"/>
      <c r="M13" s="25">
        <v>10</v>
      </c>
      <c r="N13" s="14">
        <f t="shared" si="5"/>
        <v>23464336</v>
      </c>
      <c r="O13" s="14">
        <f t="shared" si="6"/>
        <v>17623204</v>
      </c>
      <c r="P13" s="14">
        <f t="shared" si="7"/>
        <v>22562500</v>
      </c>
      <c r="R13" s="27">
        <f t="shared" si="8"/>
        <v>4597.333333333333</v>
      </c>
      <c r="S13" s="28">
        <f t="shared" si="1"/>
        <v>536.08617446818835</v>
      </c>
      <c r="T13" s="29">
        <f t="shared" si="9"/>
        <v>4061.2471588651447</v>
      </c>
      <c r="U13" s="28">
        <f t="shared" si="10"/>
        <v>5133.4195078015218</v>
      </c>
    </row>
    <row r="14" spans="1:21" x14ac:dyDescent="0.3">
      <c r="A14">
        <v>4</v>
      </c>
      <c r="B14">
        <v>3</v>
      </c>
      <c r="C14">
        <v>5760</v>
      </c>
      <c r="E14" s="4" t="s">
        <v>1</v>
      </c>
      <c r="F14" s="8">
        <f>SUM(F4:F13)</f>
        <v>46011</v>
      </c>
      <c r="G14" s="8">
        <f t="shared" ref="G14:H14" si="11">SUM(G4:G13)</f>
        <v>42782</v>
      </c>
      <c r="H14" s="8">
        <f t="shared" si="11"/>
        <v>45970</v>
      </c>
      <c r="I14" s="9">
        <f>SUM(F14:H14)</f>
        <v>134763</v>
      </c>
      <c r="J14" s="12">
        <f>SUM(J4:J13)</f>
        <v>1868800185</v>
      </c>
      <c r="K14" s="6">
        <f>AVERAGE(K4:K13)</f>
        <v>4492.1000000000004</v>
      </c>
      <c r="L14" s="10"/>
      <c r="M14"/>
      <c r="N14" s="37">
        <f>SUM(N4:P13)</f>
        <v>627125451</v>
      </c>
      <c r="R14" s="30">
        <f t="shared" si="8"/>
        <v>4492.1000000000004</v>
      </c>
    </row>
    <row r="15" spans="1:21" x14ac:dyDescent="0.3">
      <c r="A15">
        <v>5</v>
      </c>
      <c r="B15">
        <v>1</v>
      </c>
      <c r="C15">
        <v>4740</v>
      </c>
      <c r="E15" s="4" t="s">
        <v>18</v>
      </c>
      <c r="F15" s="2">
        <f>F14^2</f>
        <v>2117012121</v>
      </c>
      <c r="G15" s="2">
        <f t="shared" ref="G15:H15" si="12">G14^2</f>
        <v>1830299524</v>
      </c>
      <c r="H15" s="2">
        <f t="shared" si="12"/>
        <v>2113240900</v>
      </c>
      <c r="I15" s="1">
        <f>SUM(F15:H15)</f>
        <v>6060552545</v>
      </c>
      <c r="J15" s="12"/>
      <c r="K15" s="1"/>
      <c r="M15"/>
    </row>
    <row r="16" spans="1:21" x14ac:dyDescent="0.3">
      <c r="A16">
        <v>5</v>
      </c>
      <c r="B16">
        <v>2</v>
      </c>
      <c r="C16">
        <v>4000</v>
      </c>
    </row>
    <row r="17" spans="1:19" x14ac:dyDescent="0.3">
      <c r="A17">
        <v>5</v>
      </c>
      <c r="B17">
        <v>3</v>
      </c>
      <c r="C17">
        <v>4813</v>
      </c>
      <c r="L17"/>
    </row>
    <row r="18" spans="1:19" x14ac:dyDescent="0.3">
      <c r="A18">
        <v>6</v>
      </c>
      <c r="B18">
        <v>1</v>
      </c>
      <c r="C18">
        <v>3229</v>
      </c>
      <c r="J18" s="1" t="s">
        <v>11</v>
      </c>
      <c r="K18" s="1"/>
      <c r="L18" s="1"/>
      <c r="M18" s="16"/>
      <c r="N18" s="1"/>
      <c r="O18" s="1"/>
      <c r="P18" s="1"/>
      <c r="Q18" s="1"/>
      <c r="R18" s="1"/>
      <c r="S18" s="17"/>
    </row>
    <row r="19" spans="1:19" x14ac:dyDescent="0.3">
      <c r="A19">
        <v>6</v>
      </c>
      <c r="B19">
        <v>2</v>
      </c>
      <c r="C19">
        <v>2927</v>
      </c>
      <c r="E19" s="5" t="s">
        <v>9</v>
      </c>
      <c r="F19" s="10">
        <v>10</v>
      </c>
      <c r="J19" s="1" t="s">
        <v>12</v>
      </c>
      <c r="K19" s="1" t="s">
        <v>13</v>
      </c>
      <c r="L19" s="1" t="s">
        <v>17</v>
      </c>
      <c r="M19" s="16" t="s">
        <v>20</v>
      </c>
      <c r="N19" s="16" t="s">
        <v>26</v>
      </c>
      <c r="O19" s="16" t="s">
        <v>27</v>
      </c>
      <c r="P19" s="16" t="s">
        <v>28</v>
      </c>
      <c r="Q19" s="16" t="s">
        <v>29</v>
      </c>
      <c r="R19" s="16" t="s">
        <v>31</v>
      </c>
      <c r="S19" s="18"/>
    </row>
    <row r="20" spans="1:19" x14ac:dyDescent="0.3">
      <c r="A20">
        <v>6</v>
      </c>
      <c r="B20">
        <v>3</v>
      </c>
      <c r="C20">
        <v>3000</v>
      </c>
      <c r="E20" s="5" t="s">
        <v>10</v>
      </c>
      <c r="F20" s="10">
        <v>3</v>
      </c>
      <c r="J20" s="1" t="s">
        <v>6</v>
      </c>
      <c r="K20" s="1">
        <f>F20-1</f>
        <v>2</v>
      </c>
      <c r="L20" s="1">
        <f>((SUM(F15:H15))/F19)-F21</f>
        <v>686382.20000004768</v>
      </c>
      <c r="M20" s="24">
        <f>L20/K20</f>
        <v>343191.10000002384</v>
      </c>
      <c r="N20" s="1">
        <f>M20/M22</f>
        <v>1.7621262423219504</v>
      </c>
      <c r="O20" s="1">
        <v>3.56</v>
      </c>
      <c r="P20" s="1">
        <v>6.01</v>
      </c>
      <c r="Q20" s="1">
        <v>0.20039999999999999</v>
      </c>
      <c r="R20" s="1" t="s">
        <v>32</v>
      </c>
      <c r="S20" s="17"/>
    </row>
    <row r="21" spans="1:19" x14ac:dyDescent="0.3">
      <c r="A21">
        <v>7</v>
      </c>
      <c r="B21">
        <v>1</v>
      </c>
      <c r="C21">
        <v>4323</v>
      </c>
      <c r="E21" s="5" t="s">
        <v>8</v>
      </c>
      <c r="F21">
        <f>(I14^2)/(F19*F20)</f>
        <v>605368872.29999995</v>
      </c>
      <c r="J21" s="1" t="s">
        <v>14</v>
      </c>
      <c r="K21" s="1">
        <f>F19-1</f>
        <v>9</v>
      </c>
      <c r="L21" s="1">
        <f>((SUM(J4:J13))/F20) -F21</f>
        <v>17564522.700000048</v>
      </c>
      <c r="M21" s="24">
        <f>L21/K21</f>
        <v>1951613.6333333387</v>
      </c>
      <c r="N21" s="1">
        <f>M21/M22</f>
        <v>10.020625820919383</v>
      </c>
      <c r="O21" s="1">
        <v>2.46</v>
      </c>
      <c r="P21" s="1">
        <v>3.6</v>
      </c>
      <c r="Q21" s="1">
        <v>2.3E-5</v>
      </c>
      <c r="R21" s="1" t="s">
        <v>33</v>
      </c>
      <c r="S21" s="17"/>
    </row>
    <row r="22" spans="1:19" x14ac:dyDescent="0.3">
      <c r="A22">
        <v>7</v>
      </c>
      <c r="B22">
        <v>2</v>
      </c>
      <c r="C22">
        <v>4167</v>
      </c>
      <c r="E22" s="5" t="s">
        <v>35</v>
      </c>
      <c r="F22">
        <f>I14</f>
        <v>134763</v>
      </c>
      <c r="J22" s="1" t="s">
        <v>15</v>
      </c>
      <c r="K22" s="1">
        <f>K20*K21</f>
        <v>18</v>
      </c>
      <c r="L22" s="1">
        <f>L23-L20-L21</f>
        <v>3505673.7999999523</v>
      </c>
      <c r="M22" s="24">
        <f>L22/K22</f>
        <v>194759.65555555292</v>
      </c>
      <c r="N22" s="1"/>
      <c r="O22" s="1"/>
      <c r="P22" s="1"/>
      <c r="Q22" s="1"/>
      <c r="R22" s="1"/>
      <c r="S22" s="17"/>
    </row>
    <row r="23" spans="1:19" x14ac:dyDescent="0.3">
      <c r="A23">
        <v>7</v>
      </c>
      <c r="B23">
        <v>3</v>
      </c>
      <c r="C23">
        <v>4792</v>
      </c>
      <c r="J23" s="1" t="s">
        <v>16</v>
      </c>
      <c r="K23" s="1">
        <f>F19*F20-1</f>
        <v>29</v>
      </c>
      <c r="L23" s="1">
        <f>(SUM(N4:P13))-F21</f>
        <v>21756578.700000048</v>
      </c>
      <c r="M23" s="16"/>
      <c r="N23" s="1"/>
      <c r="O23" s="1"/>
      <c r="P23" s="1"/>
      <c r="Q23" s="1"/>
      <c r="R23" s="1"/>
      <c r="S23" s="17"/>
    </row>
    <row r="24" spans="1:19" x14ac:dyDescent="0.3">
      <c r="A24">
        <v>8</v>
      </c>
      <c r="B24">
        <v>1</v>
      </c>
      <c r="C24">
        <v>4385</v>
      </c>
      <c r="J24" s="20" t="s">
        <v>22</v>
      </c>
      <c r="K24" s="17">
        <f>AVERAGE(F4:H13)</f>
        <v>4492.1000000000004</v>
      </c>
      <c r="L24" s="22"/>
    </row>
    <row r="25" spans="1:19" x14ac:dyDescent="0.3">
      <c r="A25">
        <v>8</v>
      </c>
      <c r="B25">
        <v>2</v>
      </c>
      <c r="C25">
        <v>3740</v>
      </c>
      <c r="J25" s="20" t="s">
        <v>23</v>
      </c>
      <c r="K25" s="17">
        <f>100*(SQRT(M22))/K24</f>
        <v>9.8242653305906735</v>
      </c>
      <c r="L25" s="22"/>
    </row>
    <row r="26" spans="1:19" x14ac:dyDescent="0.3">
      <c r="A26">
        <v>8</v>
      </c>
      <c r="B26">
        <v>3</v>
      </c>
      <c r="C26">
        <v>3646</v>
      </c>
      <c r="G26">
        <f>I14^2</f>
        <v>18161066169</v>
      </c>
      <c r="J26" s="20" t="s">
        <v>41</v>
      </c>
      <c r="K26" s="17">
        <f>SQRT(M22/F20)</f>
        <v>254.7938091578842</v>
      </c>
      <c r="L26" s="22"/>
    </row>
    <row r="27" spans="1:19" x14ac:dyDescent="0.3">
      <c r="A27">
        <v>9</v>
      </c>
      <c r="B27">
        <v>1</v>
      </c>
      <c r="C27">
        <v>6375</v>
      </c>
      <c r="J27" s="20" t="s">
        <v>24</v>
      </c>
      <c r="K27" s="17">
        <f>((F20-1)*M20 + (F20*(F19-1))*M22)/(F20*F19-1)</f>
        <v>204996.3068965509</v>
      </c>
      <c r="L27" s="22"/>
    </row>
    <row r="28" spans="1:19" x14ac:dyDescent="0.3">
      <c r="A28">
        <v>9</v>
      </c>
      <c r="B28">
        <v>2</v>
      </c>
      <c r="C28">
        <v>5083</v>
      </c>
      <c r="J28" s="21" t="s">
        <v>25</v>
      </c>
      <c r="K28" s="19">
        <f>K27/M22</f>
        <v>1.0525604305049621</v>
      </c>
      <c r="L28" s="23">
        <f>100*(K28-1)</f>
        <v>5.2560430504962063</v>
      </c>
    </row>
    <row r="29" spans="1:19" x14ac:dyDescent="0.3">
      <c r="A29">
        <v>9</v>
      </c>
      <c r="B29">
        <v>3</v>
      </c>
      <c r="C29">
        <v>5292</v>
      </c>
    </row>
    <row r="30" spans="1:19" x14ac:dyDescent="0.3">
      <c r="A30">
        <v>10</v>
      </c>
      <c r="B30">
        <v>1</v>
      </c>
      <c r="C30">
        <v>4844</v>
      </c>
    </row>
    <row r="31" spans="1:19" x14ac:dyDescent="0.3">
      <c r="A31">
        <v>10</v>
      </c>
      <c r="B31">
        <v>2</v>
      </c>
      <c r="C31">
        <v>4198</v>
      </c>
      <c r="J31" s="1" t="s">
        <v>11</v>
      </c>
      <c r="K31" s="1"/>
      <c r="L31" s="16"/>
      <c r="M31" s="16"/>
      <c r="N31" s="1"/>
      <c r="O31" s="1"/>
    </row>
    <row r="32" spans="1:19" x14ac:dyDescent="0.3">
      <c r="A32">
        <v>10</v>
      </c>
      <c r="B32">
        <v>3</v>
      </c>
      <c r="C32">
        <v>4750</v>
      </c>
      <c r="J32" s="1" t="s">
        <v>12</v>
      </c>
      <c r="K32" s="1" t="s">
        <v>13</v>
      </c>
      <c r="L32" s="16" t="s">
        <v>17</v>
      </c>
      <c r="M32" s="16" t="s">
        <v>20</v>
      </c>
      <c r="N32" s="1" t="s">
        <v>21</v>
      </c>
      <c r="O32" s="1"/>
    </row>
    <row r="33" spans="10:15" x14ac:dyDescent="0.3">
      <c r="J33" s="1" t="s">
        <v>6</v>
      </c>
      <c r="K33" s="1">
        <v>2</v>
      </c>
      <c r="L33" s="16">
        <v>686382.20000004768</v>
      </c>
      <c r="M33" s="16">
        <v>343191.10000002384</v>
      </c>
      <c r="N33" s="1">
        <v>1.7621262423219504</v>
      </c>
      <c r="O33" s="1" t="s">
        <v>32</v>
      </c>
    </row>
    <row r="34" spans="10:15" x14ac:dyDescent="0.3">
      <c r="J34" s="1" t="s">
        <v>14</v>
      </c>
      <c r="K34" s="1">
        <v>9</v>
      </c>
      <c r="L34" s="16">
        <v>17564522.700000048</v>
      </c>
      <c r="M34" s="16">
        <v>1951613.6333333387</v>
      </c>
      <c r="N34" s="1">
        <v>10.020625820919383</v>
      </c>
      <c r="O34" s="1" t="s">
        <v>33</v>
      </c>
    </row>
    <row r="35" spans="10:15" x14ac:dyDescent="0.3">
      <c r="J35" s="1" t="s">
        <v>15</v>
      </c>
      <c r="K35" s="1">
        <v>18</v>
      </c>
      <c r="L35" s="16">
        <v>3505673.7999999523</v>
      </c>
      <c r="M35" s="16">
        <v>194759.65555555292</v>
      </c>
      <c r="N35" s="1"/>
      <c r="O35" s="1"/>
    </row>
    <row r="36" spans="10:15" x14ac:dyDescent="0.3">
      <c r="J36" s="1" t="s">
        <v>16</v>
      </c>
      <c r="K36" s="1">
        <v>29</v>
      </c>
      <c r="L36" s="16">
        <v>21756578.700000048</v>
      </c>
      <c r="M36" s="16"/>
      <c r="N36" s="1"/>
      <c r="O36" s="1"/>
    </row>
  </sheetData>
  <mergeCells count="6">
    <mergeCell ref="R1:U1"/>
    <mergeCell ref="F2:H2"/>
    <mergeCell ref="N2:P2"/>
    <mergeCell ref="E1:K1"/>
    <mergeCell ref="A1:C1"/>
    <mergeCell ref="M1:P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2019-07-03T11:03:55Z</dcterms:created>
  <dcterms:modified xsi:type="dcterms:W3CDTF">2019-07-17T20:02:33Z</dcterms:modified>
</cp:coreProperties>
</file>