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xWindow="0" yWindow="0" windowWidth="20490" windowHeight="7755"/>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1" l="1"/>
  <c r="F65" i="1" l="1"/>
  <c r="F41" i="1" l="1"/>
  <c r="F63" i="1" l="1"/>
  <c r="F62" i="1"/>
  <c r="F60" i="1"/>
  <c r="K79" i="6" l="1"/>
  <c r="K78" i="6"/>
  <c r="S90" i="6" l="1"/>
  <c r="S91" i="6" s="1"/>
  <c r="T88" i="6"/>
  <c r="S88" i="6"/>
  <c r="N99" i="6"/>
  <c r="F38" i="6"/>
  <c r="K84" i="6"/>
  <c r="F48" i="6" l="1"/>
  <c r="F49" i="6"/>
  <c r="F50" i="6"/>
  <c r="F51" i="6"/>
  <c r="F52" i="6"/>
  <c r="F53" i="6"/>
  <c r="F54" i="6"/>
  <c r="F55" i="6"/>
  <c r="F47" i="6"/>
  <c r="B54" i="6"/>
  <c r="G54" i="6" s="1"/>
  <c r="H54" i="6" s="1"/>
  <c r="J48" i="6" s="1"/>
  <c r="B55" i="6"/>
  <c r="G55" i="6" s="1"/>
  <c r="H55" i="6" s="1"/>
  <c r="J47" i="6" s="1"/>
  <c r="B48" i="6"/>
  <c r="G48" i="6" s="1"/>
  <c r="H48" i="6" s="1"/>
  <c r="J54" i="6" s="1"/>
  <c r="B49" i="6"/>
  <c r="G49" i="6" s="1"/>
  <c r="H49" i="6" s="1"/>
  <c r="J53" i="6" s="1"/>
  <c r="B50" i="6"/>
  <c r="G50" i="6" s="1"/>
  <c r="H50" i="6" s="1"/>
  <c r="J52" i="6" s="1"/>
  <c r="B51" i="6"/>
  <c r="G51" i="6" s="1"/>
  <c r="H51" i="6" s="1"/>
  <c r="J51" i="6" s="1"/>
  <c r="B52" i="6"/>
  <c r="G52" i="6" s="1"/>
  <c r="H52" i="6" s="1"/>
  <c r="J50" i="6" s="1"/>
  <c r="B53" i="6"/>
  <c r="G53" i="6" s="1"/>
  <c r="H53" i="6" s="1"/>
  <c r="J49" i="6" s="1"/>
  <c r="B47" i="6"/>
  <c r="G47" i="6" s="1"/>
  <c r="H47" i="6" s="1"/>
  <c r="J55" i="6" s="1"/>
  <c r="I52" i="6" l="1"/>
  <c r="K50" i="6" s="1"/>
  <c r="I53" i="6"/>
  <c r="K49" i="6" s="1"/>
  <c r="I48" i="6"/>
  <c r="K54" i="6" s="1"/>
  <c r="I54" i="6"/>
  <c r="K48" i="6" s="1"/>
  <c r="I55" i="6"/>
  <c r="K47" i="6" s="1"/>
  <c r="I47" i="6"/>
  <c r="I50" i="6"/>
  <c r="K52" i="6" s="1"/>
  <c r="I49" i="6"/>
  <c r="K53" i="6" s="1"/>
  <c r="I51" i="6"/>
  <c r="K51" i="6" s="1"/>
  <c r="K88" i="6"/>
  <c r="K92" i="6" l="1"/>
  <c r="M89" i="6"/>
  <c r="N89" i="6" s="1"/>
  <c r="O89" i="6" s="1"/>
  <c r="F63" i="6"/>
  <c r="G63" i="6" s="1"/>
  <c r="F70" i="6"/>
  <c r="G70" i="6" s="1"/>
  <c r="F62" i="6"/>
  <c r="F69" i="6"/>
  <c r="K55" i="6"/>
  <c r="E30" i="6"/>
  <c r="H30" i="6" s="1"/>
  <c r="E31" i="6"/>
  <c r="H31" i="6" s="1"/>
  <c r="E32" i="6"/>
  <c r="H32" i="6" s="1"/>
  <c r="E33" i="6"/>
  <c r="H33" i="6" s="1"/>
  <c r="E34" i="6"/>
  <c r="H34" i="6" s="1"/>
  <c r="E35" i="6"/>
  <c r="H35" i="6" s="1"/>
  <c r="E36" i="6"/>
  <c r="H36" i="6" s="1"/>
  <c r="E37" i="6"/>
  <c r="H37" i="6" s="1"/>
  <c r="D30" i="6"/>
  <c r="G30" i="6" s="1"/>
  <c r="D31" i="6"/>
  <c r="G31" i="6" s="1"/>
  <c r="D32" i="6"/>
  <c r="G32" i="6" s="1"/>
  <c r="D33" i="6"/>
  <c r="G33" i="6" s="1"/>
  <c r="D34" i="6"/>
  <c r="G34" i="6" s="1"/>
  <c r="D35" i="6"/>
  <c r="G35" i="6" s="1"/>
  <c r="D36" i="6"/>
  <c r="G36" i="6" s="1"/>
  <c r="D37" i="6"/>
  <c r="G37" i="6" s="1"/>
  <c r="D29" i="6"/>
  <c r="G29" i="6" s="1"/>
  <c r="E29" i="6"/>
  <c r="H29" i="6" s="1"/>
  <c r="AA84" i="6"/>
  <c r="G69" i="6" l="1"/>
  <c r="K69" i="6" s="1"/>
  <c r="G62" i="6"/>
  <c r="H62" i="6" s="1"/>
  <c r="I30" i="6"/>
  <c r="I37" i="6"/>
  <c r="I31" i="6"/>
  <c r="I34" i="6"/>
  <c r="I36" i="6"/>
  <c r="I33" i="6"/>
  <c r="I35" i="6"/>
  <c r="I32" i="6"/>
  <c r="I29" i="6"/>
  <c r="N35" i="6" l="1"/>
  <c r="O35" i="6" s="1"/>
  <c r="Q35" i="6" s="1"/>
  <c r="S35" i="6"/>
  <c r="N32" i="6"/>
  <c r="S32" i="6"/>
  <c r="S33" i="6"/>
  <c r="T33" i="6" s="1"/>
  <c r="U33" i="6" s="1"/>
  <c r="N33" i="6"/>
  <c r="S36" i="6"/>
  <c r="N36" i="6"/>
  <c r="O36" i="6" s="1"/>
  <c r="S34" i="6"/>
  <c r="N34" i="6"/>
  <c r="O34" i="6" s="1"/>
  <c r="S31" i="6"/>
  <c r="N31" i="6"/>
  <c r="N37" i="6"/>
  <c r="S37" i="6"/>
  <c r="N29" i="6"/>
  <c r="S29" i="6"/>
  <c r="S30" i="6"/>
  <c r="T30" i="6" s="1"/>
  <c r="U30" i="6" s="1"/>
  <c r="N30" i="6"/>
  <c r="O30" i="6" s="1"/>
  <c r="H69" i="6"/>
  <c r="K62" i="6"/>
  <c r="J84" i="6" s="1"/>
  <c r="O29" i="6"/>
  <c r="T32" i="6"/>
  <c r="U32" i="6" s="1"/>
  <c r="O32" i="6"/>
  <c r="T35" i="6"/>
  <c r="U35" i="6" s="1"/>
  <c r="O33" i="6"/>
  <c r="J36" i="6"/>
  <c r="T36" i="6"/>
  <c r="U36" i="6" s="1"/>
  <c r="T34" i="6"/>
  <c r="U34" i="6" s="1"/>
  <c r="T31" i="6"/>
  <c r="U31" i="6" s="1"/>
  <c r="O31" i="6"/>
  <c r="O37" i="6"/>
  <c r="T37" i="6"/>
  <c r="U37" i="6" s="1"/>
  <c r="J31" i="6"/>
  <c r="J33" i="6"/>
  <c r="J35" i="6"/>
  <c r="J30" i="6"/>
  <c r="J37" i="6"/>
  <c r="J32" i="6"/>
  <c r="J34" i="6"/>
  <c r="J29" i="6"/>
  <c r="Q36" i="6" l="1"/>
  <c r="Q37" i="6"/>
  <c r="J38" i="6"/>
  <c r="K29" i="6" s="1"/>
  <c r="Q34" i="6" l="1"/>
  <c r="Q31" i="6"/>
  <c r="Q33" i="6"/>
  <c r="Q32" i="6" l="1"/>
  <c r="Q30" i="6"/>
  <c r="T29" i="6"/>
  <c r="U29" i="6" s="1"/>
  <c r="Q29" i="6"/>
  <c r="Q38" i="6" l="1"/>
  <c r="U38" i="6"/>
  <c r="R29" i="6" l="1"/>
  <c r="R41" i="6" s="1"/>
  <c r="V29" i="6"/>
  <c r="V40" i="6" s="1"/>
  <c r="F44" i="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J9" i="1" l="1"/>
  <c r="F17" i="1"/>
  <c r="V13" i="1"/>
  <c r="F42" i="1" l="1"/>
  <c r="K9" i="1"/>
  <c r="L9" i="1" s="1"/>
  <c r="J10" i="1" s="1"/>
  <c r="K10" i="1" s="1"/>
  <c r="L10" i="1" s="1"/>
  <c r="M10" i="1" s="1"/>
  <c r="F37" i="1"/>
  <c r="F58" i="1" l="1"/>
  <c r="F45" i="1"/>
  <c r="F46" i="1" s="1"/>
  <c r="F71" i="1"/>
  <c r="F51" i="1"/>
  <c r="F31" i="2"/>
  <c r="F66" i="2" s="1"/>
  <c r="F72" i="2" s="1"/>
  <c r="F48" i="1"/>
  <c r="F49" i="1" s="1"/>
  <c r="F50" i="1"/>
  <c r="F53" i="1"/>
  <c r="J11" i="1"/>
  <c r="M9" i="1"/>
  <c r="F69" i="1" l="1"/>
  <c r="F61" i="1"/>
  <c r="K11" i="1"/>
  <c r="L11" i="1" s="1"/>
  <c r="J12" i="1" s="1"/>
  <c r="K12" i="1" s="1"/>
  <c r="L12" i="1" s="1"/>
  <c r="F40" i="2"/>
  <c r="F42" i="2" s="1"/>
  <c r="F41" i="2"/>
  <c r="F36" i="2"/>
  <c r="M11" i="1" l="1"/>
  <c r="M12" i="1"/>
  <c r="J13" i="1"/>
  <c r="F73" i="2"/>
  <c r="F58" i="2"/>
  <c r="F47" i="2"/>
  <c r="F48" i="2" s="1"/>
  <c r="F52" i="2" s="1"/>
  <c r="F62" i="2"/>
  <c r="K13" i="1" l="1"/>
  <c r="L13" i="1" s="1"/>
  <c r="J14" i="1" s="1"/>
  <c r="K14" i="1" s="1"/>
  <c r="L14" i="1" s="1"/>
  <c r="M14" i="1" s="1"/>
  <c r="J15" i="1" l="1"/>
  <c r="K15" i="1" s="1"/>
  <c r="L15" i="1" s="1"/>
  <c r="M13" i="1"/>
  <c r="M15" i="1" l="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F64" i="1"/>
  <c r="F66" i="1" s="1"/>
  <c r="F67" i="1" l="1"/>
  <c r="F70" i="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<sst xmlns="http://schemas.openxmlformats.org/spreadsheetml/2006/main" count="497" uniqueCount="282">
  <si>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</si>
  <si>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</si>
  <si>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</si>
  <si>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</si>
  <si>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</si>
  <si>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</si>
  <si>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</si>
  <si>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</si>
  <si>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</si>
  <si>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</si>
  <si>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</si>
  <si>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</si>
  <si>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</si>
  <si>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</si>
  <si>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</si>
  <si>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</si>
  <si>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</si>
  <si>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</si>
  <si>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</si>
  <si>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</si>
  <si>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</si>
  <si>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</si>
  <si>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</si>
  <si>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</si>
  <si>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</si>
  <si>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</si>
  <si>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</si>
  <si>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</si>
  <si>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</si>
  <si>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</si>
  <si>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</si>
  <si>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</si>
  <si>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</si>
  <si>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</si>
  <si>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</si>
  <si>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</si>
  <si>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</si>
  <si>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</si>
  <si>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</si>
  <si>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</si>
  <si>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</si>
  <si>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</si>
  <si>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</si>
  <si>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</si>
  <si>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</si>
  <si>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</si>
  <si>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</si>
  <si>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</si>
  <si>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</si>
  <si>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</si>
  <si>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</si>
  <si>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</si>
  <si>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</si>
  <si>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</si>
  <si>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</si>
  <si>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</si>
  <si>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</si>
  <si>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</si>
  <si>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</si>
  <si>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</si>
  <si>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</si>
  <si>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</si>
  <si>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</si>
  <si>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</si>
  <si>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</si>
  <si>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</si>
  <si>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</si>
  <si>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</si>
  <si>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</si>
  <si>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</si>
  <si>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</si>
  <si>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</si>
  <si>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</si>
  <si>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</si>
  <si>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</si>
  <si>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</si>
  <si>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</si>
  <si>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</si>
  <si>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</si>
  <si>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</si>
  <si>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</si>
  <si>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</si>
  <si>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</si>
  <si>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</si>
  <si>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</si>
  <si>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</si>
  <si>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</si>
  <si>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</si>
  <si>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</si>
  <si>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</si>
  <si>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</si>
  <si>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</si>
  <si>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</si>
  <si>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</si>
  <si>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</si>
  <si>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</si>
  <si>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</si>
  <si>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</si>
  <si>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</si>
  <si>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</si>
  <si>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</si>
  <si>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</si>
  <si>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</si>
  <si>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</si>
  <si>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</si>
  <si>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</si>
  <si>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</si>
  <si>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</si>
  <si>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r>
      <rPr>
        <sz val="11"/>
        <color theme="1"/>
        <rFont val="Cambria"/>
        <family val="1"/>
      </rPr>
      <t>v</t>
    </r>
    <r>
      <rPr>
        <vertAlign val="subscript"/>
        <sz val="11"/>
        <color theme="1"/>
        <rFont val="Cambria"/>
        <family val="1"/>
      </rPr>
      <t>0</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</si>
  <si>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</si>
  <si>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</si>
  <si>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</si>
  <si>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</si>
  <si>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</si>
  <si>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</si>
  <si>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</si>
  <si>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</si>
  <si>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</si>
  <si>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</si>
  <si>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</si>
  <si>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</si>
  <si>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</si>
  <si>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</si>
  <si>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</si>
  <si>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</si>
  <si>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</si>
  <si>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</si>
  <si>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</si>
  <si>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</si>
  <si>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</si>
  <si>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</si>
  <si>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</si>
  <si>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</si>
  <si>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</si>
  <si>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</si>
  <si>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</si>
  <si>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</si>
  <si>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</si>
  <si>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</si>
  <si>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</si>
  <si>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</si>
  <si>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</si>
  <si>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h</t>
    </r>
    <r>
      <rPr>
        <i/>
        <vertAlign val="subscript"/>
        <sz val="11"/>
        <rFont val="Cambria"/>
        <family val="1"/>
      </rPr>
      <t>t</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</si>
  <si>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</si>
  <si>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</si>
  <si>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</si>
  <si>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</si>
  <si>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</si>
  <si>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</si>
  <si>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</si>
  <si>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</si>
  <si>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</si>
  <si>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</si>
  <si>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</si>
  <si>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r>
      <t>L</t>
    </r>
    <r>
      <rPr>
        <i/>
        <vertAlign val="subscript"/>
        <sz val="11"/>
        <rFont val="Cambria"/>
        <family val="1"/>
      </rPr>
      <t>T</t>
    </r>
  </si>
  <si>
    <r>
      <t>A</t>
    </r>
    <r>
      <rPr>
        <i/>
        <vertAlign val="subscript"/>
        <sz val="11"/>
        <rFont val="Cambria"/>
        <family val="1"/>
      </rPr>
      <t>T</t>
    </r>
  </si>
  <si>
    <r>
      <t>H</t>
    </r>
    <r>
      <rPr>
        <i/>
        <vertAlign val="subscript"/>
        <sz val="11"/>
        <rFont val="Cambria"/>
        <family val="1"/>
      </rPr>
      <t>T</t>
    </r>
  </si>
  <si>
    <r>
      <t>L</t>
    </r>
    <r>
      <rPr>
        <i/>
        <vertAlign val="subscript"/>
        <sz val="11"/>
        <rFont val="Cambria"/>
        <family val="1"/>
      </rPr>
      <t>m</t>
    </r>
  </si>
  <si>
    <r>
      <t>D</t>
    </r>
    <r>
      <rPr>
        <i/>
        <vertAlign val="subscript"/>
        <sz val="11"/>
        <rFont val="Cambria"/>
        <family val="1"/>
      </rPr>
      <t>m</t>
    </r>
  </si>
  <si>
    <r>
      <t>DN</t>
    </r>
    <r>
      <rPr>
        <i/>
        <vertAlign val="subscript"/>
        <sz val="11"/>
        <rFont val="Cambria"/>
        <family val="1"/>
      </rPr>
      <t>m</t>
    </r>
  </si>
  <si>
    <t>Diámetro nominal del múltiple de descarga</t>
  </si>
  <si>
    <t>Longitud del múltiple de descarga</t>
  </si>
  <si>
    <r>
      <t>D</t>
    </r>
    <r>
      <rPr>
        <i/>
        <vertAlign val="subscript"/>
        <sz val="11"/>
        <color theme="1"/>
        <rFont val="Cambria"/>
        <family val="1"/>
      </rPr>
      <t>o</t>
    </r>
  </si>
  <si>
    <r>
      <t>DN</t>
    </r>
    <r>
      <rPr>
        <i/>
        <vertAlign val="subscript"/>
        <sz val="11"/>
        <color theme="1"/>
        <rFont val="Cambria"/>
        <family val="1"/>
      </rPr>
      <t>o</t>
    </r>
  </si>
  <si>
    <r>
      <t>h</t>
    </r>
    <r>
      <rPr>
        <i/>
        <vertAlign val="subscript"/>
        <sz val="11"/>
        <color theme="1"/>
        <rFont val="Cambria"/>
        <family val="1"/>
      </rPr>
      <t>e</t>
    </r>
  </si>
  <si>
    <t>Relación longitud del múltiple y número de orificios</t>
  </si>
  <si>
    <r>
      <t>L</t>
    </r>
    <r>
      <rPr>
        <i/>
        <vertAlign val="subscript"/>
        <sz val="11"/>
        <rFont val="Cambria"/>
        <family val="1"/>
      </rPr>
      <t>m</t>
    </r>
    <r>
      <rPr>
        <sz val="11"/>
        <rFont val="Cambria"/>
        <family val="1"/>
      </rPr>
      <t>/</t>
    </r>
    <r>
      <rPr>
        <i/>
        <sz val="11"/>
        <rFont val="Cambria"/>
        <family val="1"/>
      </rPr>
      <t>n</t>
    </r>
    <r>
      <rPr>
        <i/>
        <vertAlign val="subscript"/>
        <sz val="11"/>
        <rFont val="Cambria"/>
        <family val="1"/>
      </rPr>
      <t>o</t>
    </r>
  </si>
  <si>
    <t>Tirante sobre el orificio</t>
  </si>
  <si>
    <t>Diámetro interno de los orificios del múltiple de descarga</t>
  </si>
  <si>
    <t>Número de orificios del múltiple de descarga por módulo</t>
  </si>
  <si>
    <t>Diámetro nominal más cercano de los orificios del múltiple de descarga</t>
  </si>
  <si>
    <t>Velocidad mínima de arrastre asignada</t>
  </si>
  <si>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</si>
  <si>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</si>
  <si>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</si>
  <si>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r>
      <t>T</t>
    </r>
    <r>
      <rPr>
        <i/>
        <vertAlign val="subscript"/>
        <sz val="11"/>
        <rFont val="Cambria"/>
        <family val="1"/>
      </rPr>
      <t>o</t>
    </r>
  </si>
  <si>
    <t>Separación entre orificios del múltiple</t>
  </si>
  <si>
    <r>
      <t>X</t>
    </r>
    <r>
      <rPr>
        <i/>
        <vertAlign val="subscript"/>
        <sz val="11"/>
        <rFont val="Cambria"/>
        <family val="1"/>
      </rPr>
      <t>o</t>
    </r>
  </si>
  <si>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</si>
  <si>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</si>
  <si>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</si>
  <si>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</si>
  <si>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</si>
  <si>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</si>
  <si>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</si>
  <si>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r>
      <t>x</t>
    </r>
    <r>
      <rPr>
        <i/>
        <vertAlign val="subscript"/>
        <sz val="11"/>
        <rFont val="Cambria"/>
        <family val="1"/>
      </rPr>
      <t>c</t>
    </r>
  </si>
  <si>
    <r>
      <t>n</t>
    </r>
    <r>
      <rPr>
        <i/>
        <vertAlign val="subscript"/>
        <sz val="11"/>
        <rFont val="Cambria"/>
        <family val="1"/>
      </rPr>
      <t>c</t>
    </r>
  </si>
  <si>
    <t>Diametro interno del múltiple de descarga en PVC Presión</t>
  </si>
  <si>
    <t>Distancia entre canaletas de recolección (ajustado)</t>
  </si>
  <si>
    <t>Tasa de filtración</t>
  </si>
  <si>
    <t>Número de unidades</t>
  </si>
  <si>
    <r>
      <t>m</t>
    </r>
    <r>
      <rPr>
        <vertAlign val="superscript"/>
        <sz val="11"/>
        <color theme="4" tint="-0.249977111117893"/>
        <rFont val="Calibri"/>
        <family val="2"/>
        <scheme val="minor"/>
      </rPr>
      <t>3</t>
    </r>
    <r>
      <rPr>
        <sz val="11"/>
        <color theme="4" tint="-0.249977111117893"/>
        <rFont val="Calibri"/>
        <family val="2"/>
        <scheme val="minor"/>
      </rPr>
      <t>/s</t>
    </r>
  </si>
  <si>
    <r>
      <t>v</t>
    </r>
    <r>
      <rPr>
        <vertAlign val="subscript"/>
        <sz val="11"/>
        <color theme="4" tint="-0.249977111117893"/>
        <rFont val="Cambria"/>
        <family val="1"/>
      </rPr>
      <t>f</t>
    </r>
  </si>
  <si>
    <r>
      <t>m</t>
    </r>
    <r>
      <rPr>
        <vertAlign val="superscript"/>
        <sz val="11"/>
        <color theme="4" tint="-0.249977111117893"/>
        <rFont val="Calibri"/>
        <family val="2"/>
        <scheme val="minor"/>
      </rPr>
      <t>3</t>
    </r>
    <r>
      <rPr>
        <sz val="11"/>
        <color theme="4" tint="-0.249977111117893"/>
        <rFont val="Calibri"/>
        <family val="2"/>
        <scheme val="minor"/>
      </rPr>
      <t>/d</t>
    </r>
  </si>
  <si>
    <t>Porosidad</t>
  </si>
  <si>
    <t>ε</t>
  </si>
  <si>
    <t>g</t>
  </si>
  <si>
    <r>
      <t>v</t>
    </r>
    <r>
      <rPr>
        <vertAlign val="subscript"/>
        <sz val="11"/>
        <rFont val="Cambria"/>
        <family val="1"/>
      </rPr>
      <t>a</t>
    </r>
  </si>
  <si>
    <t>Parámetro</t>
  </si>
  <si>
    <t>Símbolo</t>
  </si>
  <si>
    <t>Valor</t>
  </si>
  <si>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</si>
  <si>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</si>
  <si>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</si>
  <si>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</si>
  <si>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</si>
  <si>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</si>
  <si>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</si>
  <si>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Factor de forma (Fair-Hatch y Carmen - Kozeny)</t>
  </si>
  <si>
    <t>φ</t>
  </si>
  <si>
    <t>Velocidad superficial de filtración, m/h</t>
  </si>
  <si>
    <r>
      <t>Gravedad, m/s</t>
    </r>
    <r>
      <rPr>
        <vertAlign val="superscript"/>
        <sz val="11"/>
        <rFont val="Calibri"/>
        <family val="2"/>
        <scheme val="minor"/>
      </rPr>
      <t>2</t>
    </r>
  </si>
  <si>
    <t>Profundidad,m</t>
  </si>
  <si>
    <t>Constante de filtración (Fair-Hatch)</t>
  </si>
  <si>
    <t>k</t>
  </si>
  <si>
    <t>Factor de esfericidad (Rose)</t>
  </si>
  <si>
    <t>ψ</t>
  </si>
  <si>
    <t>DISEÑO DE FILTRO RÁPIDO EN ARENA</t>
  </si>
  <si>
    <t>ESTIMACIÓN DE LAS PÉRDIDAS DE ENERGÍA A TRAVÉS DEL LECHO FILTRANTE LIMPIO</t>
  </si>
  <si>
    <t>Número de tamiz</t>
  </si>
  <si>
    <t>14-20</t>
  </si>
  <si>
    <t>20-25</t>
  </si>
  <si>
    <t>25-30</t>
  </si>
  <si>
    <t>35-40</t>
  </si>
  <si>
    <t>40-50</t>
  </si>
  <si>
    <t>50-60</t>
  </si>
  <si>
    <t>60-70</t>
  </si>
  <si>
    <t>70-100</t>
  </si>
  <si>
    <t>30-35</t>
  </si>
  <si>
    <t>CARACTERÍSTICAS DEL LECHO FILTRANTE</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</si>
  <si>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</si>
  <si>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0,9771 m</t>
  </si>
  <si>
    <t>Profundidad de la capa</t>
  </si>
  <si>
    <t>Tamaño de grava</t>
  </si>
  <si>
    <t>pulgadas</t>
  </si>
  <si>
    <t>1 - 3/4</t>
  </si>
  <si>
    <t>3/4 - 1/2</t>
  </si>
  <si>
    <t>1/2 - 1/4</t>
  </si>
  <si>
    <t>1/4 - 1/8</t>
  </si>
  <si>
    <t>1/8 - 1/16</t>
  </si>
  <si>
    <t>Número de la capa</t>
  </si>
  <si>
    <t>CARÁCTERÍSTICAS DEL LECHO DE GRAVA</t>
  </si>
  <si>
    <t>CALCULO DE COEEFICIENTE DE UNIFORMIDAD</t>
  </si>
  <si>
    <t>Número de tamiz que retiene</t>
  </si>
  <si>
    <t>0,4529 m</t>
  </si>
  <si>
    <t>0,61 m</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</si>
  <si>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</si>
  <si>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</si>
  <si>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</si>
  <si>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</si>
  <si>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</si>
  <si>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r>
      <t>(x</t>
    </r>
    <r>
      <rPr>
        <vertAlign val="subscript"/>
        <sz val="11"/>
        <color theme="1"/>
        <rFont val="Calibri"/>
        <family val="2"/>
        <scheme val="minor"/>
      </rPr>
      <t>1</t>
    </r>
    <r>
      <rPr>
        <sz val="11"/>
        <color theme="1"/>
        <rFont val="Calibri"/>
        <family val="2"/>
        <scheme val="minor"/>
      </rPr>
      <t>, y</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</si>
  <si>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2</t>
    </r>
    <r>
      <rPr>
        <sz val="11"/>
        <color theme="1"/>
        <rFont val="Calibri"/>
        <family val="2"/>
        <scheme val="minor"/>
      </rPr>
      <t>, y</t>
    </r>
    <r>
      <rPr>
        <vertAlign val="subscript"/>
        <sz val="11"/>
        <color theme="1"/>
        <rFont val="Calibri"/>
        <family val="2"/>
        <scheme val="minor"/>
      </rPr>
      <t>2</t>
    </r>
    <r>
      <rPr>
        <sz val="11"/>
        <color theme="1"/>
        <rFont val="Calibri"/>
        <family val="2"/>
        <scheme val="minor"/>
      </rPr>
      <t>)</t>
    </r>
  </si>
  <si>
    <r>
      <t>Tamaño efectivo, d</t>
    </r>
    <r>
      <rPr>
        <b/>
        <vertAlign val="subscript"/>
        <sz val="11"/>
        <color theme="1"/>
        <rFont val="Calibri"/>
        <family val="2"/>
        <scheme val="minor"/>
      </rPr>
      <t xml:space="preserve">10 </t>
    </r>
    <r>
      <rPr>
        <b/>
        <sz val="11"/>
        <color theme="1"/>
        <rFont val="Calibri"/>
        <family val="2"/>
        <scheme val="minor"/>
      </rPr>
      <t>(mm)</t>
    </r>
  </si>
  <si>
    <r>
      <t>Tamaño d</t>
    </r>
    <r>
      <rPr>
        <b/>
        <vertAlign val="subscript"/>
        <sz val="11"/>
        <color theme="1"/>
        <rFont val="Calibri"/>
        <family val="2"/>
        <scheme val="minor"/>
      </rPr>
      <t xml:space="preserve">10 </t>
    </r>
    <r>
      <rPr>
        <b/>
        <sz val="11"/>
        <color theme="1"/>
        <rFont val="Calibri"/>
        <family val="2"/>
        <scheme val="minor"/>
      </rPr>
      <t>(mm)</t>
    </r>
  </si>
  <si>
    <r>
      <t>CALCULO DE TAMAÑO d</t>
    </r>
    <r>
      <rPr>
        <b/>
        <vertAlign val="subscript"/>
        <sz val="11"/>
        <rFont val="Calibri"/>
        <family val="2"/>
        <scheme val="minor"/>
      </rPr>
      <t>60</t>
    </r>
    <r>
      <rPr>
        <b/>
        <sz val="11"/>
        <rFont val="Calibri"/>
        <family val="2"/>
        <scheme val="minor"/>
      </rPr>
      <t xml:space="preserve"> DEL MEDIO FILTRANTE</t>
    </r>
  </si>
  <si>
    <r>
      <t>CÁLCULO DE TAMAÑO EFECTIVO d</t>
    </r>
    <r>
      <rPr>
        <b/>
        <vertAlign val="subscript"/>
        <sz val="11"/>
        <rFont val="Calibri"/>
        <family val="2"/>
        <scheme val="minor"/>
      </rPr>
      <t>10</t>
    </r>
    <r>
      <rPr>
        <b/>
        <sz val="11"/>
        <rFont val="Calibri"/>
        <family val="2"/>
        <scheme val="minor"/>
      </rPr>
      <t xml:space="preserve"> DEL MEDIO FILTRANTE</t>
    </r>
  </si>
  <si>
    <t>Orden ascendente</t>
  </si>
  <si>
    <t>Orden descendente</t>
  </si>
  <si>
    <t>Coeficiente de uniformidad</t>
  </si>
  <si>
    <t>CU</t>
  </si>
  <si>
    <t>LAVADO DE FILTROS</t>
  </si>
  <si>
    <r>
      <t>m</t>
    </r>
    <r>
      <rPr>
        <vertAlign val="superscript"/>
        <sz val="11"/>
        <rFont val="Calibri"/>
        <family val="2"/>
        <scheme val="minor"/>
      </rPr>
      <t>3</t>
    </r>
    <r>
      <rPr>
        <sz val="11"/>
        <rFont val="Calibri"/>
        <family val="2"/>
        <scheme val="minor"/>
      </rPr>
      <t>/s</t>
    </r>
  </si>
  <si>
    <r>
      <t>v</t>
    </r>
    <r>
      <rPr>
        <vertAlign val="subscript"/>
        <sz val="11"/>
        <rFont val="Cambria"/>
        <family val="1"/>
      </rPr>
      <t>f</t>
    </r>
  </si>
  <si>
    <r>
      <t>m</t>
    </r>
    <r>
      <rPr>
        <vertAlign val="superscript"/>
        <sz val="11"/>
        <rFont val="Calibri"/>
        <family val="2"/>
        <scheme val="minor"/>
      </rPr>
      <t>2</t>
    </r>
    <r>
      <rPr>
        <sz val="11"/>
        <rFont val="Calibri"/>
        <family val="2"/>
        <scheme val="minor"/>
      </rPr>
      <t>/s</t>
    </r>
  </si>
  <si>
    <t>0,4722 m</t>
  </si>
  <si>
    <t>Viscocidad cinemática del agua 15°C</t>
  </si>
  <si>
    <t>Viscocidad dinámica del agua 15°C</t>
  </si>
  <si>
    <t>Pa-s</t>
  </si>
  <si>
    <t>µ</t>
  </si>
  <si>
    <t>cP (centipois)</t>
  </si>
  <si>
    <t>Septiembre de 2021</t>
  </si>
  <si>
    <t>Temperatura</t>
  </si>
  <si>
    <t>Rango</t>
  </si>
  <si>
    <t>Datos iniciales</t>
  </si>
  <si>
    <r>
      <t>n</t>
    </r>
    <r>
      <rPr>
        <i/>
        <vertAlign val="subscript"/>
        <sz val="26"/>
        <color theme="1"/>
        <rFont val="Cambria"/>
        <family val="1"/>
      </rPr>
      <t>o</t>
    </r>
  </si>
  <si>
    <r>
      <rPr>
        <sz val="26"/>
        <color theme="1"/>
        <rFont val="Cambria"/>
        <family val="1"/>
      </rPr>
      <t>v</t>
    </r>
    <r>
      <rPr>
        <i/>
        <vertAlign val="subscript"/>
        <sz val="26"/>
        <color theme="1"/>
        <rFont val="Cambria"/>
        <family val="1"/>
      </rPr>
      <t>a</t>
    </r>
  </si>
  <si>
    <t>Cuadrado de la relación entre el diámetro de orificios  y el del múltiple por el número de orificios (AJUSTADO?)</t>
  </si>
  <si>
    <t>Me dan un valor de referencia y en esta casilla me dicen si es mayor</t>
  </si>
  <si>
    <t>(5) Fórmula ajustada para cálculo de longitud de zona de placas que corresponde a la forma de un poliedro rectangular inclinado</t>
  </si>
  <si>
    <t>(9) Para un cálculo más exacto se descuenta el volumen ocupado por la placas</t>
  </si>
  <si>
    <t>(20) ¿Esas desigualdades están bien? No entiendo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</si>
</sst>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0000"/>
    <numFmt numFmtId="165" formatCode="0.000000000"/>
    <numFmt numFmtId="166" formatCode="0.00000000"/>
    <numFmt numFmtId="167" formatCode="0.00000"/>
    <numFmt numFmtId="168" formatCode="0.000000"/>
    <numFmt numFmtId="169" formatCode="0.0000000000"/>
    <numFmt numFmtId="170" formatCode="0.00000000000"/>
    <numFmt numFmtId="171" formatCode="0.0"/>
    <numFmt numFmtId="172" formatCode="0.0000"/>
    <numFmt numFmtId="173" formatCode="0.000"/>
  </numFmts>
  <fonts count="38"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vertAlign val="superscript"/>
      <sz val="11"/>
      <color theme="4" tint="-0.249977111117893"/>
      <name val="Calibri"/>
      <family val="2"/>
      <scheme val="minor"/>
    </font>
    <font>
      <sz val="11"/>
      <color theme="4" tint="-0.249977111117893"/>
      <name val="Cambria"/>
      <family val="1"/>
    </font>
    <font>
      <vertAlign val="subscrip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vertAlign val="subscript"/>
      <sz val="11"/>
      <color theme="1"/>
      <name val="Calibri"/>
      <family val="2"/>
      <scheme val="minor"/>
    </font>
    <font>
      <i/>
      <sz val="26"/>
      <color theme="1"/>
      <name val="Cambria"/>
      <family val="1"/>
    </font>
    <font>
      <i/>
      <vertAlign val="subscript"/>
      <sz val="26"/>
      <color theme="1"/>
      <name val="Cambria"/>
      <family val="1"/>
    </font>
    <font>
      <sz val="26"/>
      <color theme="1"/>
      <name val="Cambria"/>
      <family val="1"/>
    </font>
    <font>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14">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165" fontId="12" fillId="2" borderId="1" xfId="0" applyNumberFormat="1" applyFont="1" applyFill="1" applyBorder="1" applyAlignment="1">
      <alignment vertical="center"/>
    </xf>
    <xf numFmtId="169" fontId="12" fillId="2" borderId="1" xfId="0" applyNumberFormat="1" applyFont="1" applyFill="1" applyBorder="1" applyAlignment="1">
      <alignment vertical="center"/>
    </xf>
    <xf numFmtId="171" fontId="12"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 xfId="0" applyFont="1" applyFill="1" applyBorder="1" applyAlignment="1">
      <alignment horizontal="right" vertical="center"/>
    </xf>
    <xf numFmtId="0" fontId="28" fillId="2" borderId="1" xfId="0" applyFont="1" applyFill="1" applyBorder="1" applyAlignment="1">
      <alignment horizontal="center" vertical="center"/>
    </xf>
    <xf numFmtId="1" fontId="25" fillId="2" borderId="1" xfId="0" applyNumberFormat="1" applyFont="1" applyFill="1" applyBorder="1" applyAlignment="1">
      <alignment horizontal="right" vertical="center"/>
    </xf>
    <xf numFmtId="172" fontId="0" fillId="2" borderId="1" xfId="0" applyNumberFormat="1" applyFill="1" applyBorder="1" applyAlignment="1">
      <alignment horizontal="right" vertical="center"/>
    </xf>
    <xf numFmtId="0" fontId="28" fillId="2" borderId="4" xfId="0" applyFont="1" applyFill="1" applyBorder="1" applyAlignment="1">
      <alignment horizontal="center" vertical="center"/>
    </xf>
    <xf numFmtId="0" fontId="25" fillId="2" borderId="0" xfId="0" applyFont="1" applyFill="1" applyBorder="1" applyAlignment="1">
      <alignment horizontal="left" vertical="center"/>
    </xf>
    <xf numFmtId="0" fontId="28"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30"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3" fontId="12" fillId="2" borderId="1" xfId="0" applyNumberFormat="1" applyFont="1" applyFill="1" applyBorder="1" applyAlignment="1">
      <alignment horizontal="center" vertical="center"/>
    </xf>
    <xf numFmtId="172" fontId="0" fillId="2" borderId="3" xfId="0" applyNumberFormat="1" applyFill="1" applyBorder="1" applyAlignment="1">
      <alignment horizontal="right" vertical="center"/>
    </xf>
    <xf numFmtId="0" fontId="0" fillId="2" borderId="1" xfId="0" applyFill="1" applyBorder="1"/>
    <xf numFmtId="172" fontId="0" fillId="2" borderId="1" xfId="0" applyNumberFormat="1" applyFill="1" applyBorder="1"/>
    <xf numFmtId="172" fontId="0" fillId="2" borderId="1" xfId="0" applyNumberFormat="1" applyFill="1" applyBorder="1" applyAlignment="1">
      <alignment horizontal="center" vertical="center"/>
    </xf>
    <xf numFmtId="173" fontId="0" fillId="2" borderId="0" xfId="0" applyNumberFormat="1" applyFill="1" applyBorder="1" applyAlignment="1">
      <alignment horizontal="center" vertical="center"/>
    </xf>
    <xf numFmtId="173"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26"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0" fillId="2" borderId="0" xfId="0" applyFont="1" applyFill="1" applyBorder="1"/>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1"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3" fontId="12" fillId="2" borderId="6" xfId="0" applyNumberFormat="1" applyFont="1" applyFill="1" applyBorder="1" applyAlignment="1">
      <alignment horizontal="center" vertical="center"/>
    </xf>
    <xf numFmtId="0" fontId="1" fillId="2" borderId="0" xfId="0" applyFont="1" applyFill="1" applyBorder="1" applyAlignment="1">
      <alignment vertical="center"/>
    </xf>
    <xf numFmtId="0" fontId="25" fillId="2" borderId="1" xfId="0" applyFont="1" applyFill="1" applyBorder="1" applyAlignment="1">
      <alignment vertical="center"/>
    </xf>
    <xf numFmtId="0" fontId="25" fillId="2" borderId="6" xfId="0" applyFont="1" applyFill="1" applyBorder="1" applyAlignment="1">
      <alignment vertical="center"/>
    </xf>
    <xf numFmtId="0" fontId="25" fillId="2" borderId="4" xfId="0" applyFont="1" applyFill="1" applyBorder="1" applyAlignment="1">
      <alignment vertical="center"/>
    </xf>
    <xf numFmtId="0" fontId="25" fillId="2" borderId="7" xfId="0" applyFont="1" applyFill="1" applyBorder="1" applyAlignment="1">
      <alignment vertical="center"/>
    </xf>
    <xf numFmtId="0" fontId="1" fillId="2" borderId="1"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3"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3"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1" xfId="0" applyFont="1" applyFill="1" applyBorder="1" applyAlignment="1">
      <alignment horizontal="center" vertical="center"/>
    </xf>
    <xf numFmtId="173" fontId="0"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7" xfId="0"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173" fontId="0" fillId="2" borderId="0" xfId="0" applyNumberFormat="1" applyFont="1" applyFill="1" applyBorder="1" applyAlignment="1">
      <alignment vertical="center"/>
    </xf>
    <xf numFmtId="2" fontId="0" fillId="2" borderId="1" xfId="0" applyNumberFormat="1" applyFont="1" applyFill="1" applyBorder="1" applyAlignment="1">
      <alignment horizontal="right" vertical="center" indent="2"/>
    </xf>
    <xf numFmtId="0" fontId="12" fillId="2" borderId="1" xfId="0" applyFont="1" applyFill="1" applyBorder="1" applyAlignment="1">
      <alignment horizontal="center" vertical="center"/>
    </xf>
    <xf numFmtId="173" fontId="0" fillId="2" borderId="0" xfId="0" applyNumberFormat="1" applyFont="1" applyFill="1" applyBorder="1" applyAlignment="1">
      <alignment horizontal="right"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1" fontId="12" fillId="2" borderId="1" xfId="0" applyNumberFormat="1" applyFont="1" applyFill="1" applyBorder="1" applyAlignment="1">
      <alignment horizontal="right" vertical="center"/>
    </xf>
    <xf numFmtId="11" fontId="12" fillId="2" borderId="1" xfId="0" applyNumberFormat="1" applyFont="1" applyFill="1" applyBorder="1" applyAlignment="1">
      <alignment horizontal="center" vertical="center"/>
    </xf>
    <xf numFmtId="168" fontId="0" fillId="2" borderId="1" xfId="0" applyNumberFormat="1" applyFont="1" applyFill="1" applyBorder="1" applyAlignment="1">
      <alignment horizontal="right" vertical="center"/>
    </xf>
    <xf numFmtId="0" fontId="22" fillId="2" borderId="1" xfId="0" applyFont="1" applyFill="1" applyBorder="1"/>
    <xf numFmtId="0" fontId="12" fillId="8" borderId="1" xfId="0" applyFont="1" applyFill="1" applyBorder="1" applyAlignment="1">
      <alignment horizontal="right" vertical="center"/>
    </xf>
    <xf numFmtId="0" fontId="0" fillId="8" borderId="0" xfId="0" applyFill="1"/>
    <xf numFmtId="0" fontId="12" fillId="8" borderId="1" xfId="0" applyFont="1" applyFill="1" applyBorder="1" applyAlignment="1">
      <alignment horizontal="center" vertical="center"/>
    </xf>
    <xf numFmtId="0" fontId="13"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26" fillId="8" borderId="1" xfId="0" applyFont="1" applyFill="1" applyBorder="1" applyAlignment="1">
      <alignment horizontal="center" vertical="center"/>
    </xf>
    <xf numFmtId="171" fontId="12" fillId="8" borderId="1" xfId="0" applyNumberFormat="1" applyFont="1" applyFill="1" applyBorder="1" applyAlignment="1">
      <alignment horizontal="center" vertical="center"/>
    </xf>
    <xf numFmtId="2" fontId="12" fillId="8" borderId="1" xfId="0" applyNumberFormat="1" applyFont="1" applyFill="1" applyBorder="1" applyAlignment="1">
      <alignment horizontal="center" vertical="center"/>
    </xf>
    <xf numFmtId="0" fontId="22" fillId="2" borderId="0" xfId="0" applyFont="1" applyFill="1"/>
    <xf numFmtId="9" fontId="34" fillId="2" borderId="1" xfId="0" applyNumberFormat="1" applyFont="1" applyFill="1" applyBorder="1" applyAlignment="1">
      <alignment horizontal="center"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22" fillId="2" borderId="6" xfId="0" applyFont="1" applyFill="1" applyBorder="1" applyAlignment="1">
      <alignment horizontal="left" vertical="center"/>
    </xf>
    <xf numFmtId="0" fontId="0" fillId="0" borderId="7" xfId="0" applyFill="1" applyBorder="1" applyAlignment="1">
      <alignment horizontal="left" vertical="center"/>
    </xf>
    <xf numFmtId="0" fontId="12" fillId="11" borderId="1" xfId="0" applyFont="1" applyFill="1" applyBorder="1" applyAlignment="1">
      <alignment horizontal="left" vertical="center" wrapText="1"/>
    </xf>
    <xf numFmtId="0" fontId="12" fillId="10" borderId="6" xfId="0" applyFont="1" applyFill="1" applyBorder="1" applyAlignment="1">
      <alignment horizontal="left" vertical="center" wrapText="1"/>
    </xf>
    <xf numFmtId="0" fontId="12" fillId="10" borderId="4" xfId="0" applyFont="1" applyFill="1" applyBorder="1" applyAlignment="1">
      <alignment horizontal="left" vertical="center" wrapText="1"/>
    </xf>
    <xf numFmtId="0" fontId="12" fillId="11" borderId="6" xfId="0" applyFont="1" applyFill="1" applyBorder="1" applyAlignment="1">
      <alignment horizontal="left" vertical="center"/>
    </xf>
    <xf numFmtId="0" fontId="12" fillId="11" borderId="4" xfId="0" applyFont="1" applyFill="1" applyBorder="1" applyAlignment="1">
      <alignment horizontal="left" vertical="center"/>
    </xf>
    <xf numFmtId="0" fontId="12" fillId="11" borderId="6"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12" fillId="2" borderId="1" xfId="0" applyFont="1" applyFill="1" applyBorder="1" applyAlignment="1">
      <alignment horizontal="left"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1"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0" fontId="0" fillId="2" borderId="0" xfId="0" applyNumberForma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 fillId="10" borderId="6" xfId="0" applyFont="1" applyFill="1" applyBorder="1" applyAlignment="1">
      <alignment horizontal="left" vertical="center"/>
    </xf>
    <xf numFmtId="0" fontId="1" fillId="10" borderId="7" xfId="0" applyFont="1" applyFill="1" applyBorder="1" applyAlignment="1">
      <alignment horizontal="left" vertical="center"/>
    </xf>
    <xf numFmtId="0" fontId="1" fillId="10" borderId="4" xfId="0" applyFont="1" applyFill="1" applyBorder="1" applyAlignment="1">
      <alignment horizontal="left"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9" borderId="1" xfId="0" applyFont="1" applyFill="1" applyBorder="1" applyAlignment="1">
      <alignment horizontal="left" vertical="center"/>
    </xf>
    <xf numFmtId="0" fontId="7" fillId="2" borderId="6" xfId="0" applyFont="1" applyFill="1" applyBorder="1" applyAlignment="1">
      <alignment horizontal="left" vertical="top"/>
    </xf>
    <xf numFmtId="0" fontId="7" fillId="2" borderId="7" xfId="0" applyFont="1" applyFill="1" applyBorder="1" applyAlignment="1">
      <alignment horizontal="left" vertical="top"/>
    </xf>
    <xf numFmtId="0" fontId="7" fillId="2" borderId="4" xfId="0" applyFont="1" applyFill="1" applyBorder="1" applyAlignment="1">
      <alignment horizontal="left" vertical="top"/>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12" fillId="11" borderId="1" xfId="0" applyFont="1" applyFill="1" applyBorder="1" applyAlignment="1">
      <alignment horizontal="left" vertical="center"/>
    </xf>
    <xf numFmtId="0" fontId="1" fillId="2" borderId="0" xfId="0" applyFont="1" applyFill="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4" xfId="0" applyFill="1" applyBorder="1" applyAlignment="1">
      <alignment horizontal="left"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ill="1" applyBorder="1" applyAlignment="1">
      <alignment horizontal="right" vertical="center"/>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0" fillId="2" borderId="0" xfId="0" applyFill="1" applyBorder="1" applyAlignment="1">
      <alignment horizontal="center"/>
    </xf>
    <xf numFmtId="0" fontId="12" fillId="12" borderId="6" xfId="0" applyFont="1" applyFill="1" applyBorder="1" applyAlignment="1">
      <alignment horizontal="left"/>
    </xf>
    <xf numFmtId="0" fontId="12" fillId="12" borderId="7" xfId="0" applyFont="1" applyFill="1" applyBorder="1" applyAlignment="1">
      <alignment horizontal="left"/>
    </xf>
    <xf numFmtId="0" fontId="12" fillId="12" borderId="4" xfId="0" applyFont="1" applyFill="1" applyBorder="1" applyAlignment="1">
      <alignment horizontal="left"/>
    </xf>
    <xf numFmtId="172"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8" borderId="6" xfId="0" applyFont="1" applyFill="1" applyBorder="1" applyAlignment="1">
      <alignment horizontal="center" vertical="center"/>
    </xf>
    <xf numFmtId="0" fontId="12" fillId="8" borderId="4" xfId="0" applyFont="1" applyFill="1" applyBorder="1" applyAlignment="1">
      <alignment horizontal="center" vertical="center"/>
    </xf>
    <xf numFmtId="0" fontId="12" fillId="2" borderId="1" xfId="0" applyFont="1" applyFill="1" applyBorder="1" applyAlignment="1">
      <alignment horizontal="left"/>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ill="1" applyAlignment="1">
      <alignment horizontal="justify"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37" fillId="2" borderId="6" xfId="0" applyFont="1" applyFill="1" applyBorder="1" applyAlignment="1">
      <alignment horizontal="left"/>
    </xf>
    <xf numFmtId="0" fontId="37" fillId="2" borderId="7" xfId="0" applyFont="1" applyFill="1" applyBorder="1" applyAlignment="1">
      <alignment horizontal="left"/>
    </xf>
    <xf numFmtId="0" fontId="37" fillId="2" borderId="4"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23" fillId="2" borderId="8"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2" fillId="2" borderId="1" xfId="0" applyFont="1" applyFill="1" applyBorder="1" applyAlignment="1">
      <alignment horizontal="center" vertical="center"/>
    </xf>
    <xf numFmtId="0" fontId="23" fillId="2" borderId="1" xfId="0" applyFont="1" applyFill="1" applyBorder="1" applyAlignment="1">
      <alignment horizontal="center" vertical="top"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373856</xdr:colOff>
      <xdr:row>40</xdr:row>
      <xdr:rowOff>133350</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973138</xdr:colOff>
      <xdr:row>38</xdr:row>
      <xdr:rowOff>173037</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5</xdr:col>
      <xdr:colOff>990598</xdr:colOff>
      <xdr:row>43</xdr:row>
      <xdr:rowOff>100013</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9</xdr:col>
      <xdr:colOff>533399</xdr:colOff>
      <xdr:row>60</xdr:row>
      <xdr:rowOff>133350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Cambria Math" panose="02040503050406030204" pitchFamily="18" charset="0"/>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5</xdr:col>
      <xdr:colOff>988218</xdr:colOff>
      <xdr:row>70</xdr:row>
      <xdr:rowOff>95250</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102</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26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25</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37</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25</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25</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37</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25</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25</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25</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25</xdr:row>
      <xdr:rowOff>85725</xdr:rowOff>
    </xdr:from>
    <xdr:ext cx="793935" cy="328808"/>
    <mc:AlternateContent xmlns:mc="http://schemas.openxmlformats.org/markup-compatibility/2006" xmlns:a14="http://schemas.microsoft.com/office/drawing/2010/main">
      <mc:Choice Requires="a14">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𝝍</m:t>
                        </m:r>
                        <m:r>
                          <a:rPr lang="es-MX" sz="1100" b="1" i="1">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=(𝝍 𝐝_𝐠  𝐯_𝐚  )/𝒗</a:t>
              </a:r>
              <a:endParaRPr lang="es-CO" sz="1100" b="1"/>
            </a:p>
          </xdr:txBody>
        </xdr:sp>
      </mc:Fallback>
    </mc:AlternateContent>
    <xdr:clientData/>
  </xdr:oneCellAnchor>
  <xdr:oneCellAnchor>
    <xdr:from>
      <xdr:col>19</xdr:col>
      <xdr:colOff>47625</xdr:colOff>
      <xdr:row>25</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25</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37</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26</xdr:col>
      <xdr:colOff>0</xdr:colOff>
      <xdr:row>25</xdr:row>
      <xdr:rowOff>0</xdr:rowOff>
    </xdr:from>
    <xdr:ext cx="1570943" cy="424090"/>
    <mc:AlternateContent xmlns:mc="http://schemas.openxmlformats.org/markup-compatibility/2006" xmlns:a14="http://schemas.microsoft.com/office/drawing/2010/main">
      <mc:Choice Requires="a14">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solidFill>
                              <a:schemeClr val="bg1"/>
                            </a:solidFill>
                            <a:latin typeface="Cambria Math" panose="02040503050406030204" pitchFamily="18" charset="0"/>
                          </a:rPr>
                        </m:ctrlPr>
                      </m:sSubPr>
                      <m:e>
                        <m:r>
                          <a:rPr lang="es-MX" sz="1100" b="0" i="1">
                            <a:solidFill>
                              <a:schemeClr val="bg1"/>
                            </a:solidFill>
                            <a:latin typeface="Cambria Math" panose="02040503050406030204" pitchFamily="18" charset="0"/>
                          </a:rPr>
                          <m:t>h</m:t>
                        </m:r>
                      </m:e>
                      <m:sub>
                        <m:r>
                          <a:rPr lang="es-MX" sz="1100" b="0" i="1">
                            <a:solidFill>
                              <a:schemeClr val="bg1"/>
                            </a:solidFill>
                            <a:latin typeface="Cambria Math" panose="02040503050406030204" pitchFamily="18" charset="0"/>
                          </a:rPr>
                          <m:t>𝐿</m:t>
                        </m:r>
                      </m:sub>
                    </m:sSub>
                    <m:r>
                      <a:rPr lang="es-CO" sz="1100" i="1">
                        <a:solidFill>
                          <a:schemeClr val="bg1"/>
                        </a:solidFill>
                        <a:latin typeface="Cambria Math" panose="02040503050406030204" pitchFamily="18" charset="0"/>
                        <a:ea typeface="Cambria Math" panose="02040503050406030204" pitchFamily="18" charset="0"/>
                      </a:rPr>
                      <m:t>=</m:t>
                    </m:r>
                    <m:r>
                      <a:rPr lang="es-MX" sz="1100" b="0" i="1">
                        <a:solidFill>
                          <a:schemeClr val="bg1"/>
                        </a:solidFill>
                        <a:latin typeface="Cambria Math" panose="02040503050406030204" pitchFamily="18" charset="0"/>
                        <a:ea typeface="Cambria Math" panose="02040503050406030204" pitchFamily="18" charset="0"/>
                      </a:rPr>
                      <m:t>1,067</m:t>
                    </m:r>
                    <m:f>
                      <m:fPr>
                        <m:ctrlPr>
                          <a:rPr lang="es-MX" sz="1100" b="0" i="1">
                            <a:solidFill>
                              <a:schemeClr val="bg1"/>
                            </a:solidFill>
                            <a:latin typeface="Cambria Math" panose="02040503050406030204" pitchFamily="18" charset="0"/>
                            <a:ea typeface="Cambria Math" panose="02040503050406030204" pitchFamily="18" charset="0"/>
                          </a:rPr>
                        </m:ctrlPr>
                      </m:fPr>
                      <m:num>
                        <m:sSubSup>
                          <m:sSubSupPr>
                            <m:ctrlPr>
                              <a:rPr lang="es-MX" sz="1100" b="0" i="1">
                                <a:solidFill>
                                  <a:schemeClr val="bg1"/>
                                </a:solidFill>
                                <a:latin typeface="Cambria Math" panose="02040503050406030204" pitchFamily="18" charset="0"/>
                                <a:ea typeface="Cambria Math" panose="02040503050406030204" pitchFamily="18" charset="0"/>
                              </a:rPr>
                            </m:ctrlPr>
                          </m:sSubSupPr>
                          <m:e>
                            <m:r>
                              <m:rPr>
                                <m:sty m:val="p"/>
                              </m:rPr>
                              <a:rPr lang="es-MX" sz="1100" b="0" i="0">
                                <a:solidFill>
                                  <a:schemeClr val="bg1"/>
                                </a:solidFill>
                                <a:latin typeface="Cambria Math" panose="02040503050406030204" pitchFamily="18" charset="0"/>
                                <a:ea typeface="Cambria Math" panose="02040503050406030204" pitchFamily="18" charset="0"/>
                              </a:rPr>
                              <m:t>v</m:t>
                            </m:r>
                          </m:e>
                          <m:sub>
                            <m:r>
                              <m:rPr>
                                <m:sty m:val="p"/>
                              </m:rPr>
                              <a:rPr lang="es-MX" sz="1100" b="0" i="0">
                                <a:solidFill>
                                  <a:schemeClr val="bg1"/>
                                </a:solidFill>
                                <a:latin typeface="Cambria Math" panose="02040503050406030204" pitchFamily="18" charset="0"/>
                                <a:ea typeface="Cambria Math" panose="02040503050406030204" pitchFamily="18" charset="0"/>
                              </a:rPr>
                              <m:t>a</m:t>
                            </m:r>
                          </m:sub>
                          <m:sup>
                            <m:r>
                              <a:rPr lang="es-MX" sz="1100" b="0" i="0">
                                <a:solidFill>
                                  <a:schemeClr val="bg1"/>
                                </a:solidFill>
                                <a:latin typeface="Cambria Math" panose="02040503050406030204" pitchFamily="18" charset="0"/>
                                <a:ea typeface="Cambria Math" panose="02040503050406030204" pitchFamily="18" charset="0"/>
                              </a:rPr>
                              <m:t>2</m:t>
                            </m:r>
                          </m:sup>
                        </m:sSubSup>
                        <m:r>
                          <a:rPr lang="es-MX" sz="1100" b="0" i="1">
                            <a:solidFill>
                              <a:schemeClr val="bg1"/>
                            </a:solidFill>
                            <a:latin typeface="Cambria Math" panose="02040503050406030204" pitchFamily="18" charset="0"/>
                            <a:ea typeface="Cambria Math" panose="02040503050406030204" pitchFamily="18" charset="0"/>
                          </a:rPr>
                          <m:t> </m:t>
                        </m:r>
                        <m:r>
                          <a:rPr lang="es-MX" sz="1100" b="0" i="1">
                            <a:solidFill>
                              <a:schemeClr val="bg1"/>
                            </a:solidFill>
                            <a:latin typeface="Cambria Math" panose="02040503050406030204" pitchFamily="18" charset="0"/>
                            <a:ea typeface="Cambria Math" panose="02040503050406030204" pitchFamily="18" charset="0"/>
                          </a:rPr>
                          <m:t>𝐷</m:t>
                        </m:r>
                      </m:num>
                      <m:den>
                        <m:r>
                          <a:rPr lang="es-MX" sz="1100" b="0" i="1">
                            <a:solidFill>
                              <a:schemeClr val="bg1"/>
                            </a:solidFill>
                            <a:effectLst/>
                            <a:latin typeface="Cambria Math" panose="02040503050406030204" pitchFamily="18" charset="0"/>
                            <a:ea typeface="+mn-ea"/>
                            <a:cs typeface="+mn-cs"/>
                          </a:rPr>
                          <m:t>𝜓</m:t>
                        </m:r>
                        <m:r>
                          <a:rPr lang="es-MX" sz="1100" b="0" i="1">
                            <a:solidFill>
                              <a:schemeClr val="bg1"/>
                            </a:solidFill>
                            <a:latin typeface="Cambria Math" panose="02040503050406030204" pitchFamily="18" charset="0"/>
                            <a:ea typeface="Cambria Math" panose="02040503050406030204" pitchFamily="18" charset="0"/>
                          </a:rPr>
                          <m:t> </m:t>
                        </m:r>
                        <m:r>
                          <m:rPr>
                            <m:sty m:val="p"/>
                          </m:rPr>
                          <a:rPr lang="es-MX" sz="1100" b="0" i="0">
                            <a:solidFill>
                              <a:schemeClr val="bg1"/>
                            </a:solidFill>
                            <a:latin typeface="Cambria Math" panose="02040503050406030204" pitchFamily="18" charset="0"/>
                            <a:ea typeface="Cambria Math" panose="02040503050406030204" pitchFamily="18" charset="0"/>
                          </a:rPr>
                          <m:t>g</m:t>
                        </m:r>
                        <m:r>
                          <a:rPr lang="es-MX" sz="1100" b="0" i="1">
                            <a:solidFill>
                              <a:schemeClr val="bg1"/>
                            </a:solidFill>
                            <a:latin typeface="Cambria Math" panose="02040503050406030204" pitchFamily="18" charset="0"/>
                            <a:ea typeface="Cambria Math" panose="02040503050406030204" pitchFamily="18" charset="0"/>
                          </a:rPr>
                          <m:t> </m:t>
                        </m:r>
                        <m:sSup>
                          <m:sSupPr>
                            <m:ctrlPr>
                              <a:rPr lang="es-MX" sz="1100" b="0" i="1">
                                <a:solidFill>
                                  <a:schemeClr val="bg1"/>
                                </a:solidFill>
                                <a:latin typeface="Cambria Math" panose="02040503050406030204" pitchFamily="18" charset="0"/>
                                <a:ea typeface="Cambria Math" panose="02040503050406030204" pitchFamily="18" charset="0"/>
                              </a:rPr>
                            </m:ctrlPr>
                          </m:sSupPr>
                          <m:e>
                            <m:r>
                              <a:rPr lang="es-MX" sz="1100" b="0" i="1">
                                <a:solidFill>
                                  <a:schemeClr val="bg1"/>
                                </a:solidFill>
                                <a:latin typeface="Cambria Math" panose="02040503050406030204" pitchFamily="18" charset="0"/>
                                <a:ea typeface="Cambria Math" panose="02040503050406030204" pitchFamily="18" charset="0"/>
                              </a:rPr>
                              <m:t>𝜀</m:t>
                            </m:r>
                          </m:e>
                          <m:sup>
                            <m:r>
                              <a:rPr lang="es-MX" sz="1100" b="0" i="1">
                                <a:solidFill>
                                  <a:schemeClr val="bg1"/>
                                </a:solidFill>
                                <a:latin typeface="Cambria Math" panose="02040503050406030204" pitchFamily="18" charset="0"/>
                                <a:ea typeface="Cambria Math" panose="02040503050406030204" pitchFamily="18" charset="0"/>
                              </a:rPr>
                              <m:t>4</m:t>
                            </m:r>
                          </m:sup>
                        </m:sSup>
                      </m:den>
                    </m:f>
                    <m:nary>
                      <m:naryPr>
                        <m:chr m:val="∑"/>
                        <m:subHide m:val="on"/>
                        <m:supHide m:val="on"/>
                        <m:ctrlPr>
                          <a:rPr lang="es-MX" sz="1100" b="0" i="1">
                            <a:solidFill>
                              <a:schemeClr val="bg1"/>
                            </a:solidFill>
                            <a:latin typeface="Cambria Math" panose="02040503050406030204" pitchFamily="18" charset="0"/>
                            <a:ea typeface="Cambria Math" panose="02040503050406030204" pitchFamily="18" charset="0"/>
                          </a:rPr>
                        </m:ctrlPr>
                      </m:naryPr>
                      <m:sub/>
                      <m:sup/>
                      <m:e>
                        <m:f>
                          <m:fPr>
                            <m:ctrlPr>
                              <a:rPr lang="es-CO" sz="1100" i="1">
                                <a:solidFill>
                                  <a:schemeClr val="bg1"/>
                                </a:solidFill>
                                <a:effectLst/>
                                <a:latin typeface="Cambria Math" panose="02040503050406030204" pitchFamily="18" charset="0"/>
                                <a:ea typeface="+mn-ea"/>
                                <a:cs typeface="+mn-cs"/>
                              </a:rPr>
                            </m:ctrlPr>
                          </m:fPr>
                          <m:num>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C</m:t>
                                </m:r>
                              </m:e>
                              <m:sub>
                                <m:r>
                                  <m:rPr>
                                    <m:sty m:val="p"/>
                                  </m:rPr>
                                  <a:rPr lang="es-MX" sz="1100" b="0" i="0">
                                    <a:solidFill>
                                      <a:schemeClr val="bg1"/>
                                    </a:solidFill>
                                    <a:effectLst/>
                                    <a:latin typeface="Cambria Math" panose="02040503050406030204" pitchFamily="18" charset="0"/>
                                    <a:ea typeface="+mn-ea"/>
                                    <a:cs typeface="+mn-cs"/>
                                  </a:rPr>
                                  <m:t>D</m:t>
                                </m:r>
                                <m:r>
                                  <a:rPr lang="es-MX" sz="1100" b="0" i="0">
                                    <a:solidFill>
                                      <a:schemeClr val="bg1"/>
                                    </a:solidFill>
                                    <a:effectLst/>
                                    <a:latin typeface="Cambria Math" panose="02040503050406030204" pitchFamily="18" charset="0"/>
                                    <a:ea typeface="+mn-ea"/>
                                    <a:cs typeface="+mn-cs"/>
                                  </a:rPr>
                                  <m:t> </m:t>
                                </m:r>
                              </m:sub>
                            </m:sSub>
                            <m:r>
                              <m:rPr>
                                <m:sty m:val="p"/>
                              </m:rPr>
                              <a:rPr lang="es-MX" sz="1100" b="0" i="0">
                                <a:solidFill>
                                  <a:schemeClr val="bg1"/>
                                </a:solidFill>
                                <a:effectLst/>
                                <a:latin typeface="Cambria Math" panose="02040503050406030204" pitchFamily="18" charset="0"/>
                                <a:ea typeface="+mn-ea"/>
                                <a:cs typeface="+mn-cs"/>
                              </a:rPr>
                              <m:t>f</m:t>
                            </m:r>
                          </m:num>
                          <m:den>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d</m:t>
                                </m:r>
                              </m:e>
                              <m:sub>
                                <m:r>
                                  <m:rPr>
                                    <m:sty m:val="p"/>
                                  </m:rPr>
                                  <a:rPr lang="es-MX" sz="1100" b="0" i="0">
                                    <a:solidFill>
                                      <a:schemeClr val="bg1"/>
                                    </a:solidFill>
                                    <a:effectLst/>
                                    <a:latin typeface="Cambria Math" panose="02040503050406030204" pitchFamily="18" charset="0"/>
                                    <a:ea typeface="+mn-ea"/>
                                    <a:cs typeface="+mn-cs"/>
                                  </a:rPr>
                                  <m:t>g</m:t>
                                </m:r>
                              </m:sub>
                            </m:sSub>
                          </m:den>
                        </m:f>
                      </m:e>
                    </m:nary>
                  </m:oMath>
                </m:oMathPara>
              </a14:m>
              <a:endParaRPr lang="es-CO" sz="1100"/>
            </a:p>
          </xdr:txBody>
        </xdr:sp>
      </mc:Choice>
      <mc:Fallback xmlns="">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ℎ</a:t>
              </a:r>
              <a:r>
                <a:rPr lang="es-CO" sz="1100" b="0" i="0">
                  <a:solidFill>
                    <a:schemeClr val="bg1"/>
                  </a:solidFill>
                  <a:latin typeface="Cambria Math" panose="02040503050406030204" pitchFamily="18" charset="0"/>
                </a:rPr>
                <a:t>_</a:t>
              </a:r>
              <a:r>
                <a:rPr lang="es-MX" sz="1100" b="0" i="0">
                  <a:solidFill>
                    <a:schemeClr val="bg1"/>
                  </a:solidFill>
                  <a:latin typeface="Cambria Math" panose="02040503050406030204" pitchFamily="18" charset="0"/>
                </a:rPr>
                <a:t>𝐿</a:t>
              </a:r>
              <a:r>
                <a:rPr lang="es-CO" sz="1100" i="0">
                  <a:solidFill>
                    <a:schemeClr val="bg1"/>
                  </a:solidFill>
                  <a:latin typeface="Cambria Math" panose="02040503050406030204" pitchFamily="18" charset="0"/>
                  <a:ea typeface="Cambria Math" panose="02040503050406030204" pitchFamily="18" charset="0"/>
                </a:rPr>
                <a:t>=</a:t>
              </a:r>
              <a:r>
                <a:rPr lang="es-MX" sz="1100" b="0" i="0">
                  <a:solidFill>
                    <a:schemeClr val="bg1"/>
                  </a:solidFill>
                  <a:latin typeface="Cambria Math" panose="02040503050406030204" pitchFamily="18" charset="0"/>
                  <a:ea typeface="Cambria Math" panose="02040503050406030204" pitchFamily="18" charset="0"/>
                </a:rPr>
                <a:t>1,067 (v_a^2  𝐷)/(</a:t>
              </a:r>
              <a:r>
                <a:rPr lang="es-MX" sz="1100" b="0" i="0">
                  <a:solidFill>
                    <a:schemeClr val="bg1"/>
                  </a:solidFill>
                  <a:effectLst/>
                  <a:latin typeface="Cambria Math" panose="02040503050406030204" pitchFamily="18" charset="0"/>
                  <a:ea typeface="+mn-ea"/>
                  <a:cs typeface="+mn-cs"/>
                </a:rPr>
                <a:t>𝜓</a:t>
              </a:r>
              <a:r>
                <a:rPr lang="es-MX" sz="1100" b="0" i="0">
                  <a:solidFill>
                    <a:schemeClr val="bg1"/>
                  </a:solidFill>
                  <a:latin typeface="Cambria Math" panose="02040503050406030204" pitchFamily="18" charset="0"/>
                  <a:ea typeface="Cambria Math" panose="02040503050406030204" pitchFamily="18" charset="0"/>
                </a:rPr>
                <a:t> g 𝜀^4 ) ∑</a:t>
              </a:r>
              <a:r>
                <a:rPr lang="es-MX" sz="1100" b="0" i="0">
                  <a:solidFill>
                    <a:schemeClr val="bg1"/>
                  </a:solidFill>
                  <a:effectLst/>
                  <a:latin typeface="Cambria Math" panose="02040503050406030204" pitchFamily="18" charset="0"/>
                  <a:ea typeface="+mn-ea"/>
                  <a:cs typeface="+mn-cs"/>
                </a:rPr>
                <a:t>▒</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C</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D </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 f</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d</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g </a:t>
              </a:r>
              <a:endParaRPr lang="es-CO" sz="1100"/>
            </a:p>
          </xdr:txBody>
        </xdr:sp>
      </mc:Fallback>
    </mc:AlternateContent>
    <xdr:clientData/>
  </xdr:oneCellAnchor>
  <xdr:oneCellAnchor>
    <xdr:from>
      <xdr:col>21</xdr:col>
      <xdr:colOff>104775</xdr:colOff>
      <xdr:row>25</xdr:row>
      <xdr:rowOff>85725</xdr:rowOff>
    </xdr:from>
    <xdr:ext cx="1648721" cy="428387"/>
    <mc:AlternateContent xmlns:mc="http://schemas.openxmlformats.org/markup-compatibility/2006" xmlns:a14="http://schemas.microsoft.com/office/drawing/2010/main">
      <mc:Choice Requires="a14">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1">
                            <a:solidFill>
                              <a:sysClr val="windowText" lastClr="000000"/>
                            </a:solidFill>
                            <a:effectLst/>
                            <a:latin typeface="Cambria Math" panose="02040503050406030204" pitchFamily="18" charset="0"/>
                            <a:ea typeface="+mn-ea"/>
                            <a:cs typeface="+mn-cs"/>
                          </a:rPr>
                          <m:t>𝝍</m:t>
                        </m:r>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𝜺</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𝑳)/(</a:t>
              </a:r>
              <a:r>
                <a:rPr lang="es-MX" sz="1100" b="1" i="0">
                  <a:solidFill>
                    <a:sysClr val="windowText" lastClr="000000"/>
                  </a:solidFill>
                  <a:effectLst/>
                  <a:latin typeface="Cambria Math" panose="02040503050406030204" pitchFamily="18" charset="0"/>
                  <a:ea typeface="+mn-ea"/>
                  <a:cs typeface="+mn-cs"/>
                </a:rPr>
                <a:t>𝝍</a:t>
              </a:r>
              <a:r>
                <a:rPr lang="es-MX" sz="1100" b="1" i="0">
                  <a:solidFill>
                    <a:sysClr val="windowText" lastClr="000000"/>
                  </a:solidFill>
                  <a:latin typeface="Cambria Math" panose="02040503050406030204" pitchFamily="18" charset="0"/>
                  <a:ea typeface="Cambria Math" panose="02040503050406030204" pitchFamily="18" charset="0"/>
                </a:rPr>
                <a:t> 𝐠 𝜺^𝟒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28575</xdr:colOff>
      <xdr:row>91</xdr:row>
      <xdr:rowOff>66675</xdr:rowOff>
    </xdr:from>
    <xdr:ext cx="867995" cy="204993"/>
    <mc:AlternateContent xmlns:mc="http://schemas.openxmlformats.org/markup-compatibility/2006" xmlns:a14="http://schemas.microsoft.com/office/drawing/2010/main">
      <mc:Choice Requires="a14">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7</xdr:col>
      <xdr:colOff>228601</xdr:colOff>
      <xdr:row>57</xdr:row>
      <xdr:rowOff>85725</xdr:rowOff>
    </xdr:from>
    <xdr:ext cx="2562224" cy="380361"/>
    <mc:AlternateContent xmlns:mc="http://schemas.openxmlformats.org/markup-compatibility/2006" xmlns:a14="http://schemas.microsoft.com/office/drawing/2010/main">
      <mc:Choice Requires="a14">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352425</xdr:colOff>
      <xdr:row>68</xdr:row>
      <xdr:rowOff>38100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60</xdr:row>
      <xdr:rowOff>0</xdr:rowOff>
    </xdr:from>
    <xdr:ext cx="820033" cy="183384"/>
    <mc:AlternateContent xmlns:mc="http://schemas.openxmlformats.org/markup-compatibility/2006" xmlns:a14="http://schemas.microsoft.com/office/drawing/2010/main">
      <mc:Choice Requires="a14">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65</xdr:row>
      <xdr:rowOff>85725</xdr:rowOff>
    </xdr:from>
    <xdr:ext cx="2562224" cy="380361"/>
    <mc:AlternateContent xmlns:mc="http://schemas.openxmlformats.org/markup-compatibility/2006" xmlns:a14="http://schemas.microsoft.com/office/drawing/2010/main">
      <mc:Choice Requires="a14">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95250</xdr:colOff>
      <xdr:row>67</xdr:row>
      <xdr:rowOff>0</xdr:rowOff>
    </xdr:from>
    <xdr:ext cx="819776" cy="183384"/>
    <mc:AlternateContent xmlns:mc="http://schemas.openxmlformats.org/markup-compatibility/2006" xmlns:a14="http://schemas.microsoft.com/office/drawing/2010/main">
      <mc:Choice Requires="a14">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12</xdr:col>
      <xdr:colOff>28575</xdr:colOff>
      <xdr:row>83</xdr:row>
      <xdr:rowOff>66675</xdr:rowOff>
    </xdr:from>
    <xdr:ext cx="867995" cy="204993"/>
    <mc:AlternateContent xmlns:mc="http://schemas.openxmlformats.org/markup-compatibility/2006" xmlns:a14="http://schemas.microsoft.com/office/drawing/2010/main">
      <mc:Choice Requires="a14">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11</xdr:col>
      <xdr:colOff>190500</xdr:colOff>
      <xdr:row>77</xdr:row>
      <xdr:rowOff>57150</xdr:rowOff>
    </xdr:from>
    <xdr:ext cx="479618" cy="172227"/>
    <mc:AlternateContent xmlns:mc="http://schemas.openxmlformats.org/markup-compatibility/2006" xmlns:a14="http://schemas.microsoft.com/office/drawing/2010/main">
      <mc:Choice Requires="a14">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𝑣</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ρ</m:t>
                    </m:r>
                  </m:oMath>
                </m:oMathPara>
              </a14:m>
              <a:endParaRPr lang="es-CO" sz="1100" i="0"/>
            </a:p>
          </xdr:txBody>
        </xdr:sp>
      </mc:Choice>
      <mc:Fallback xmlns="">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𝑣 ρ</a:t>
              </a:r>
              <a:endParaRPr lang="es-CO" sz="1100" i="0"/>
            </a:p>
          </xdr:txBody>
        </xdr:sp>
      </mc:Fallback>
    </mc:AlternateContent>
    <xdr:clientData/>
  </xdr:oneCellAnchor>
  <xdr:oneCellAnchor>
    <xdr:from>
      <xdr:col>11</xdr:col>
      <xdr:colOff>190500</xdr:colOff>
      <xdr:row>78</xdr:row>
      <xdr:rowOff>57150</xdr:rowOff>
    </xdr:from>
    <xdr:ext cx="1604542" cy="172227"/>
    <mc:AlternateContent xmlns:mc="http://schemas.openxmlformats.org/markup-compatibility/2006" xmlns:a14="http://schemas.microsoft.com/office/drawing/2010/main">
      <mc:Choice Requires="a14">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d>
                      <m:dPr>
                        <m:begChr m:val="["/>
                        <m:endChr m:val="]"/>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r>
                      <a:rPr lang="es-CO" sz="1100" i="0">
                        <a:latin typeface="Cambria Math" panose="02040503050406030204" pitchFamily="18" charset="0"/>
                        <a:ea typeface="Cambria Math" panose="02040503050406030204" pitchFamily="18" charset="0"/>
                      </a:rPr>
                      <m:t>=</m:t>
                    </m:r>
                    <m:r>
                      <m:rPr>
                        <m:sty m:val="p"/>
                      </m:rPr>
                      <a:rPr lang="es-CO" sz="1100" i="0">
                        <a:solidFill>
                          <a:schemeClr val="tx1"/>
                        </a:solidFill>
                        <a:effectLst/>
                        <a:latin typeface="Cambria Math" panose="02040503050406030204" pitchFamily="18" charset="0"/>
                        <a:ea typeface="+mn-ea"/>
                        <a:cs typeface="+mn-cs"/>
                      </a:rPr>
                      <m:t>μ</m:t>
                    </m:r>
                    <m:d>
                      <m:dPr>
                        <m:begChr m:val="["/>
                        <m:endChr m:val="]"/>
                        <m:ctrlPr>
                          <a:rPr lang="es-CO" sz="110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Pa</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s</m:t>
                        </m:r>
                      </m:e>
                    </m:d>
                    <m:r>
                      <a:rPr lang="es-MX" sz="1100" b="0" i="0">
                        <a:solidFill>
                          <a:schemeClr val="tx1"/>
                        </a:solidFill>
                        <a:effectLst/>
                        <a:latin typeface="Cambria Math" panose="02040503050406030204" pitchFamily="18" charset="0"/>
                        <a:ea typeface="Cambria Math" panose="02040503050406030204" pitchFamily="18" charset="0"/>
                        <a:cs typeface="+mn-cs"/>
                      </a:rPr>
                      <m:t>×</m:t>
                    </m:r>
                    <m:r>
                      <a:rPr lang="es-MX" sz="1100" b="0" i="1">
                        <a:solidFill>
                          <a:schemeClr val="tx1"/>
                        </a:solidFill>
                        <a:effectLst/>
                        <a:latin typeface="Cambria Math" panose="02040503050406030204" pitchFamily="18" charset="0"/>
                        <a:ea typeface="Cambria Math" panose="02040503050406030204" pitchFamily="18" charset="0"/>
                        <a:cs typeface="+mn-cs"/>
                      </a:rPr>
                      <m:t>1000</m:t>
                    </m:r>
                  </m:oMath>
                </m:oMathPara>
              </a14:m>
              <a:endParaRPr lang="es-CO" sz="1100" i="0"/>
            </a:p>
          </xdr:txBody>
        </xdr:sp>
      </mc:Choice>
      <mc:Fallback xmlns="">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μ[</a:t>
              </a:r>
              <a:r>
                <a:rPr lang="es-MX" sz="1100" b="0" i="0">
                  <a:solidFill>
                    <a:schemeClr val="tx1"/>
                  </a:solidFill>
                  <a:effectLst/>
                  <a:latin typeface="Cambria Math" panose="02040503050406030204" pitchFamily="18" charset="0"/>
                  <a:ea typeface="+mn-ea"/>
                  <a:cs typeface="+mn-cs"/>
                </a:rPr>
                <a:t>Pa−s</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Cambria Math" panose="02040503050406030204" pitchFamily="18" charset="0"/>
                  <a:cs typeface="+mn-cs"/>
                </a:rPr>
                <a:t>×1000</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W316"/>
  <sheetViews>
    <sheetView tabSelected="1" topLeftCell="E69" zoomScale="200" zoomScaleNormal="200" workbookViewId="0">
      <selection activeCell="G73" sqref="G73"/>
    </sheetView>
  </sheetViews>
  <sheetFormatPr baseColWidth="10" defaultRowHeight="15" x14ac:dyDescent="0.25"/>
  <cols>
    <col min="1" max="1" width="5.42578125" style="12" customWidth="1"/>
    <col min="2" max="2" width="4" style="12" customWidth="1"/>
    <col min="3" max="3" width="54.85546875" style="12" customWidth="1"/>
    <col min="4" max="4" width="10.5703125" style="12" customWidth="1"/>
    <col min="5" max="5" width="7.7109375" style="12" customWidth="1"/>
    <col min="6" max="6" width="8.7109375" style="12" customWidth="1"/>
    <col min="7" max="7" width="43.5703125" style="12" customWidth="1"/>
    <col min="8" max="8" width="12.42578125" style="12" customWidth="1"/>
    <col min="9" max="9" width="11.42578125" style="12" customWidth="1"/>
    <col min="10" max="10" width="13.5703125" style="12" bestFit="1" customWidth="1"/>
    <col min="11" max="12" width="11.42578125" style="12"/>
    <col min="13" max="13" width="12.85546875" style="12" customWidth="1"/>
    <col min="14" max="14" width="11.85546875" style="12" bestFit="1" customWidth="1"/>
    <col min="15" max="15" width="27.5703125" style="12" customWidth="1"/>
    <col min="16" max="16384" width="11.42578125" style="12"/>
  </cols>
  <sheetData>
    <row r="2" spans="1:23" x14ac:dyDescent="0.2">
      <c r="B2" s="43"/>
      <c r="C2" s="208"/>
      <c r="D2" s="41" t="s">
        <v>119</v>
      </c>
      <c r="P2" s="62">
        <v>7850</v>
      </c>
      <c r="Q2" s="12">
        <f>P2*1.2*1.2*F19</f>
        <v>45.216000000000001</v>
      </c>
    </row>
    <row r="3" spans="1:23" x14ac:dyDescent="0.25">
      <c r="B3" s="43"/>
      <c r="C3" s="208"/>
      <c r="D3" s="41" t="s">
        <v>120</v>
      </c>
    </row>
    <row r="4" spans="1:23" x14ac:dyDescent="0.25">
      <c r="B4" s="43"/>
      <c r="C4" s="208"/>
      <c r="D4" s="41" t="s">
        <v>121</v>
      </c>
      <c r="G4"/>
      <c r="H4"/>
    </row>
    <row r="5" spans="1:23" x14ac:dyDescent="0.25">
      <c r="B5" s="43"/>
      <c r="C5" s="208"/>
      <c r="D5" s="41" t="s">
        <v>127</v>
      </c>
    </row>
    <row r="6" spans="1:23" x14ac:dyDescent="0.25">
      <c r="R6" s="12">
        <v>0.105</v>
      </c>
      <c r="S6" s="12">
        <v>0.12</v>
      </c>
      <c r="T6" s="12">
        <v>0.13500000000000001</v>
      </c>
      <c r="V6" s="12">
        <f>48*0.0254</f>
        <v>1.2191999999999998</v>
      </c>
    </row>
    <row r="7" spans="1:23" ht="18" x14ac:dyDescent="0.25">
      <c r="B7" s="203" t="s">
        <v>149</v>
      </c>
      <c r="C7" s="203"/>
      <c r="D7" s="203"/>
      <c r="E7" s="203"/>
      <c r="F7" s="203"/>
      <c r="G7" s="203"/>
      <c r="H7" s="40"/>
      <c r="J7" s="202" t="s">
        <v>41</v>
      </c>
      <c r="K7" s="202"/>
      <c r="L7" s="202"/>
      <c r="M7" s="202"/>
    </row>
    <row r="8" spans="1:23" ht="17.25" x14ac:dyDescent="0.25">
      <c r="A8" s="12">
        <v>0</v>
      </c>
      <c r="B8" s="190" t="s">
        <v>33</v>
      </c>
      <c r="C8" s="190"/>
      <c r="D8" s="9" t="s">
        <v>0</v>
      </c>
      <c r="E8" s="1" t="s">
        <v>20</v>
      </c>
      <c r="F8" s="3">
        <v>5.7259999999999998E-2</v>
      </c>
      <c r="G8" s="13"/>
      <c r="H8" s="23"/>
      <c r="J8" s="14" t="s">
        <v>71</v>
      </c>
      <c r="K8" s="15" t="s">
        <v>1</v>
      </c>
      <c r="L8" s="14" t="s">
        <v>71</v>
      </c>
      <c r="M8" s="15" t="s">
        <v>25</v>
      </c>
      <c r="R8" s="12">
        <f>1/R6</f>
        <v>9.5238095238095237</v>
      </c>
      <c r="S8" s="12">
        <f t="shared" ref="S8:T8" si="0">1/S6</f>
        <v>8.3333333333333339</v>
      </c>
      <c r="T8" s="12">
        <f t="shared" si="0"/>
        <v>7.4074074074074066</v>
      </c>
      <c r="V8" s="12">
        <f>1.22/0.0254</f>
        <v>48.031496062992126</v>
      </c>
    </row>
    <row r="9" spans="1:23" x14ac:dyDescent="0.25">
      <c r="A9" s="12">
        <v>1</v>
      </c>
      <c r="B9" s="190" t="s">
        <v>31</v>
      </c>
      <c r="C9" s="190"/>
      <c r="D9" s="9" t="s">
        <v>3</v>
      </c>
      <c r="E9" s="1" t="s">
        <v>28</v>
      </c>
      <c r="F9" s="3">
        <v>4</v>
      </c>
      <c r="G9" s="13"/>
      <c r="H9" s="23"/>
      <c r="J9" s="16">
        <f>($F$16/$F$13)*(SIN($F$21*PI()/180)+($F$18/$F$14)*COS($F$21*PI()/180))</f>
        <v>3.4760947255444699E-3</v>
      </c>
      <c r="K9" s="13">
        <f>ROUND(J9*$F$14/$F$11,0)</f>
        <v>173</v>
      </c>
      <c r="L9" s="13">
        <f t="shared" ref="L9:L30" si="1">($F$16/$F$13)*((SIN($F$21*PI()/180))+(($F$18/$F$14-0.058*K9))*COS($F$21*PI()/180))</f>
        <v>2.1405507440629876E-3</v>
      </c>
      <c r="M9" s="17">
        <f>L9-J9</f>
        <v>-1.3355439814814823E-3</v>
      </c>
    </row>
    <row r="10" spans="1:23" ht="17.25" x14ac:dyDescent="0.25">
      <c r="A10" s="12">
        <v>2</v>
      </c>
      <c r="B10" s="190" t="s">
        <v>32</v>
      </c>
      <c r="C10" s="190"/>
      <c r="D10" s="9" t="s">
        <v>91</v>
      </c>
      <c r="E10" s="1" t="s">
        <v>20</v>
      </c>
      <c r="F10" s="18">
        <f>F8/F9</f>
        <v>1.4315E-2</v>
      </c>
      <c r="G10" s="13"/>
      <c r="H10" s="23"/>
      <c r="J10" s="16">
        <f>L9</f>
        <v>2.1405507440629876E-3</v>
      </c>
      <c r="K10" s="13">
        <f>ROUND(J10*$F$14/$F$11,0)</f>
        <v>106</v>
      </c>
      <c r="L10" s="13">
        <f t="shared" si="1"/>
        <v>2.6577845403592845E-3</v>
      </c>
      <c r="M10" s="17">
        <f>L10-J10</f>
        <v>5.1723379629629689E-4</v>
      </c>
      <c r="R10" s="12">
        <f>1/R8</f>
        <v>0.105</v>
      </c>
    </row>
    <row r="11" spans="1:23" ht="17.25" x14ac:dyDescent="0.25">
      <c r="A11" s="12">
        <v>3</v>
      </c>
      <c r="B11" s="190" t="s">
        <v>10</v>
      </c>
      <c r="C11" s="190"/>
      <c r="D11" s="9" t="s">
        <v>2</v>
      </c>
      <c r="E11" s="1" t="s">
        <v>21</v>
      </c>
      <c r="F11" s="60">
        <v>1.0070000000000001E-6</v>
      </c>
      <c r="G11" s="13"/>
      <c r="H11" s="23"/>
      <c r="J11" s="16">
        <f>L10</f>
        <v>2.6577845403592845E-3</v>
      </c>
      <c r="K11" s="13">
        <f>ROUND(J11*$F$14/$F$11,0)</f>
        <v>132</v>
      </c>
      <c r="L11" s="13">
        <f t="shared" si="1"/>
        <v>2.4570669477666919E-3</v>
      </c>
      <c r="M11" s="17">
        <f>L11-J11</f>
        <v>-2.0071759259259261E-4</v>
      </c>
    </row>
    <row r="12" spans="1:23" x14ac:dyDescent="0.25">
      <c r="A12" s="12">
        <v>4</v>
      </c>
      <c r="B12" s="204" t="s">
        <v>105</v>
      </c>
      <c r="C12" s="204"/>
      <c r="D12" s="9"/>
      <c r="E12" s="1"/>
      <c r="F12" s="3" t="s">
        <v>106</v>
      </c>
      <c r="G12" s="13"/>
      <c r="H12" s="23"/>
      <c r="J12" s="16">
        <f t="shared" ref="J12:J15" si="2">L11</f>
        <v>2.4570669477666919E-3</v>
      </c>
      <c r="K12" s="13">
        <f t="shared" ref="K12:K15" si="3">ROUND(J12*$F$14/$F$11,0)</f>
        <v>122</v>
      </c>
      <c r="L12" s="13">
        <f t="shared" si="1"/>
        <v>2.5342660218407656E-3</v>
      </c>
      <c r="M12" s="17">
        <f t="shared" ref="M12:M15" si="4">L12-J12</f>
        <v>7.7199074074073715E-5</v>
      </c>
    </row>
    <row r="13" spans="1:23" ht="17.25" x14ac:dyDescent="0.25">
      <c r="B13" s="204" t="str">
        <f>"Eficiencia crítica para sedimentador de "&amp;F12</f>
        <v>Eficiencia crítica para sedimentador de Placas paralelas</v>
      </c>
      <c r="C13" s="204"/>
      <c r="D13" s="8" t="s">
        <v>107</v>
      </c>
      <c r="E13" s="2"/>
      <c r="F13" s="4">
        <v>1</v>
      </c>
      <c r="G13" s="13"/>
      <c r="H13" s="23"/>
      <c r="J13" s="16">
        <f t="shared" si="2"/>
        <v>2.5342660218407656E-3</v>
      </c>
      <c r="K13" s="13">
        <f t="shared" si="3"/>
        <v>126</v>
      </c>
      <c r="L13" s="13">
        <f t="shared" si="1"/>
        <v>2.5033863922111362E-3</v>
      </c>
      <c r="M13" s="17">
        <f t="shared" si="4"/>
        <v>-3.0879629629629399E-5</v>
      </c>
      <c r="V13" s="12" t="e">
        <f>P13*R13/T14</f>
        <v>#DIV/0!</v>
      </c>
      <c r="W13" s="12" t="s">
        <v>8</v>
      </c>
    </row>
    <row r="14" spans="1:23" ht="15" customHeight="1" x14ac:dyDescent="0.25">
      <c r="A14" s="12">
        <v>5</v>
      </c>
      <c r="B14" s="190" t="s">
        <v>22</v>
      </c>
      <c r="C14" s="190"/>
      <c r="D14" s="9" t="s">
        <v>11</v>
      </c>
      <c r="E14" s="1" t="s">
        <v>3</v>
      </c>
      <c r="F14" s="32">
        <v>0.05</v>
      </c>
      <c r="G14" s="20" t="s">
        <v>36</v>
      </c>
      <c r="H14" s="85"/>
      <c r="J14" s="16">
        <f t="shared" si="2"/>
        <v>2.5033863922111362E-3</v>
      </c>
      <c r="K14" s="13">
        <f t="shared" si="3"/>
        <v>124</v>
      </c>
      <c r="L14" s="13">
        <f t="shared" si="1"/>
        <v>2.5188262070259511E-3</v>
      </c>
      <c r="M14" s="17">
        <f t="shared" si="4"/>
        <v>1.5439814814814917E-5</v>
      </c>
      <c r="W14" s="12" t="s">
        <v>9</v>
      </c>
    </row>
    <row r="15" spans="1:23" ht="17.25" x14ac:dyDescent="0.25">
      <c r="A15" s="12">
        <v>6</v>
      </c>
      <c r="B15" s="204" t="s">
        <v>15</v>
      </c>
      <c r="C15" s="204"/>
      <c r="D15" s="9" t="s">
        <v>104</v>
      </c>
      <c r="E15" s="1" t="s">
        <v>4</v>
      </c>
      <c r="F15" s="3">
        <v>23</v>
      </c>
      <c r="G15" s="20" t="s">
        <v>38</v>
      </c>
      <c r="H15" s="85"/>
      <c r="J15" s="16">
        <f t="shared" si="2"/>
        <v>2.5188262070259511E-3</v>
      </c>
      <c r="K15" s="13">
        <f t="shared" si="3"/>
        <v>125</v>
      </c>
      <c r="L15" s="13">
        <f t="shared" si="1"/>
        <v>2.5111062996185434E-3</v>
      </c>
      <c r="M15" s="17">
        <f t="shared" si="4"/>
        <v>-7.7199074074076751E-6</v>
      </c>
    </row>
    <row r="16" spans="1:23" ht="17.25" x14ac:dyDescent="0.25">
      <c r="B16" s="204" t="s">
        <v>15</v>
      </c>
      <c r="C16" s="204"/>
      <c r="D16" s="9" t="s">
        <v>104</v>
      </c>
      <c r="E16" s="1" t="s">
        <v>5</v>
      </c>
      <c r="F16" s="21">
        <f>F15/86400</f>
        <v>2.6620370370370372E-4</v>
      </c>
      <c r="G16" s="13"/>
      <c r="H16" s="23"/>
      <c r="J16" s="16">
        <f t="shared" ref="J16:J19" si="5">L15</f>
        <v>2.5111062996185434E-3</v>
      </c>
      <c r="K16" s="13">
        <f t="shared" ref="K16:K19" si="6">ROUND(J16*$F$14/$F$11,0)</f>
        <v>125</v>
      </c>
      <c r="L16" s="13">
        <f t="shared" si="1"/>
        <v>2.5111062996185434E-3</v>
      </c>
      <c r="M16" s="17">
        <f t="shared" ref="M16:M19" si="7">L16-J16</f>
        <v>0</v>
      </c>
    </row>
    <row r="17" spans="1:13" ht="17.25" x14ac:dyDescent="0.25">
      <c r="B17" s="204" t="s">
        <v>15</v>
      </c>
      <c r="C17" s="204"/>
      <c r="D17" s="9" t="s">
        <v>104</v>
      </c>
      <c r="E17" s="1" t="s">
        <v>6</v>
      </c>
      <c r="F17" s="21">
        <f>F16*100</f>
        <v>2.6620370370370371E-2</v>
      </c>
      <c r="G17" s="13" t="s">
        <v>7</v>
      </c>
      <c r="H17" s="23"/>
      <c r="J17" s="16">
        <f t="shared" si="5"/>
        <v>2.5111062996185434E-3</v>
      </c>
      <c r="K17" s="13">
        <f t="shared" si="6"/>
        <v>125</v>
      </c>
      <c r="L17" s="13">
        <f t="shared" si="1"/>
        <v>2.5111062996185434E-3</v>
      </c>
      <c r="M17" s="17">
        <f t="shared" si="7"/>
        <v>0</v>
      </c>
    </row>
    <row r="18" spans="1:13" x14ac:dyDescent="0.25">
      <c r="A18" s="12">
        <v>7</v>
      </c>
      <c r="B18" s="190" t="s">
        <v>16</v>
      </c>
      <c r="C18" s="190"/>
      <c r="D18" s="9" t="s">
        <v>12</v>
      </c>
      <c r="E18" s="1" t="s">
        <v>3</v>
      </c>
      <c r="F18" s="32">
        <v>1.2192000000000001</v>
      </c>
      <c r="G18" s="13"/>
      <c r="H18" s="23"/>
      <c r="J18" s="16">
        <f t="shared" si="5"/>
        <v>2.5111062996185434E-3</v>
      </c>
      <c r="K18" s="13">
        <f t="shared" si="6"/>
        <v>125</v>
      </c>
      <c r="L18" s="13">
        <f t="shared" si="1"/>
        <v>2.5111062996185434E-3</v>
      </c>
      <c r="M18" s="17">
        <f t="shared" si="7"/>
        <v>0</v>
      </c>
    </row>
    <row r="19" spans="1:13" x14ac:dyDescent="0.25">
      <c r="A19" s="12">
        <v>8</v>
      </c>
      <c r="B19" s="190" t="s">
        <v>17</v>
      </c>
      <c r="C19" s="190"/>
      <c r="D19" s="25" t="s">
        <v>13</v>
      </c>
      <c r="E19" s="26" t="s">
        <v>3</v>
      </c>
      <c r="F19" s="33">
        <v>4.0000000000000001E-3</v>
      </c>
      <c r="G19" s="13"/>
      <c r="H19" s="23"/>
      <c r="J19" s="16">
        <f t="shared" si="5"/>
        <v>2.5111062996185434E-3</v>
      </c>
      <c r="K19" s="13">
        <f t="shared" si="6"/>
        <v>125</v>
      </c>
      <c r="L19" s="13">
        <f t="shared" si="1"/>
        <v>2.5111062996185434E-3</v>
      </c>
      <c r="M19" s="17">
        <f t="shared" si="7"/>
        <v>0</v>
      </c>
    </row>
    <row r="20" spans="1:13" x14ac:dyDescent="0.25">
      <c r="A20" s="12">
        <v>9</v>
      </c>
      <c r="B20" s="190" t="s">
        <v>18</v>
      </c>
      <c r="C20" s="190"/>
      <c r="D20" s="9" t="s">
        <v>14</v>
      </c>
      <c r="E20" s="1" t="s">
        <v>3</v>
      </c>
      <c r="F20" s="32">
        <v>1.2192000000000001</v>
      </c>
      <c r="G20" s="13"/>
      <c r="H20" s="23"/>
      <c r="J20" s="16">
        <f t="shared" ref="J20:J30" si="8">L19</f>
        <v>2.5111062996185434E-3</v>
      </c>
      <c r="K20" s="13">
        <f t="shared" ref="K20:K30" si="9">ROUND(J20*$F$14/$F$11,0)</f>
        <v>125</v>
      </c>
      <c r="L20" s="13">
        <f t="shared" si="1"/>
        <v>2.5111062996185434E-3</v>
      </c>
      <c r="M20" s="17">
        <f t="shared" ref="M20:M30" si="10">L20-J20</f>
        <v>0</v>
      </c>
    </row>
    <row r="21" spans="1:13" x14ac:dyDescent="0.25">
      <c r="A21" s="12">
        <v>10</v>
      </c>
      <c r="B21" s="190" t="s">
        <v>19</v>
      </c>
      <c r="C21" s="190"/>
      <c r="D21" s="7" t="s">
        <v>24</v>
      </c>
      <c r="E21" s="1" t="s">
        <v>23</v>
      </c>
      <c r="F21" s="83">
        <v>60</v>
      </c>
      <c r="G21" s="13"/>
      <c r="H21" s="23"/>
      <c r="J21" s="16">
        <f t="shared" si="8"/>
        <v>2.5111062996185434E-3</v>
      </c>
      <c r="K21" s="13">
        <f t="shared" si="9"/>
        <v>125</v>
      </c>
      <c r="L21" s="13">
        <f t="shared" si="1"/>
        <v>2.5111062996185434E-3</v>
      </c>
      <c r="M21" s="17">
        <f t="shared" si="10"/>
        <v>0</v>
      </c>
    </row>
    <row r="22" spans="1:13" x14ac:dyDescent="0.25">
      <c r="B22" s="34"/>
      <c r="C22" s="34"/>
      <c r="D22" s="39"/>
      <c r="E22" s="5"/>
      <c r="F22" s="37"/>
      <c r="G22" s="23"/>
      <c r="H22" s="23"/>
      <c r="J22" s="16">
        <f t="shared" si="8"/>
        <v>2.5111062996185434E-3</v>
      </c>
      <c r="K22" s="13">
        <f t="shared" si="9"/>
        <v>125</v>
      </c>
      <c r="L22" s="13">
        <f t="shared" si="1"/>
        <v>2.5111062996185434E-3</v>
      </c>
      <c r="M22" s="17">
        <f t="shared" si="10"/>
        <v>0</v>
      </c>
    </row>
    <row r="23" spans="1:13" x14ac:dyDescent="0.25">
      <c r="B23" s="40" t="s">
        <v>150</v>
      </c>
      <c r="C23" s="34"/>
      <c r="D23" s="39"/>
      <c r="E23" s="5"/>
      <c r="F23" s="37"/>
      <c r="G23" s="23"/>
      <c r="H23" s="23"/>
      <c r="J23" s="16">
        <f t="shared" si="8"/>
        <v>2.5111062996185434E-3</v>
      </c>
      <c r="K23" s="13">
        <f t="shared" si="9"/>
        <v>125</v>
      </c>
      <c r="L23" s="13">
        <f t="shared" si="1"/>
        <v>2.5111062996185434E-3</v>
      </c>
      <c r="M23" s="17">
        <f t="shared" si="10"/>
        <v>0</v>
      </c>
    </row>
    <row r="24" spans="1:13" ht="17.25" x14ac:dyDescent="0.25">
      <c r="A24" s="12">
        <v>11</v>
      </c>
      <c r="B24" s="190" t="s">
        <v>52</v>
      </c>
      <c r="C24" s="190"/>
      <c r="D24" s="9" t="s">
        <v>46</v>
      </c>
      <c r="E24" s="1" t="s">
        <v>3</v>
      </c>
      <c r="F24" s="27">
        <v>0.6</v>
      </c>
      <c r="G24" s="20" t="s">
        <v>49</v>
      </c>
      <c r="H24" s="85"/>
      <c r="J24" s="16">
        <f t="shared" si="8"/>
        <v>2.5111062996185434E-3</v>
      </c>
      <c r="K24" s="13">
        <f t="shared" si="9"/>
        <v>125</v>
      </c>
      <c r="L24" s="13">
        <f t="shared" si="1"/>
        <v>2.5111062996185434E-3</v>
      </c>
      <c r="M24" s="17">
        <f t="shared" si="10"/>
        <v>0</v>
      </c>
    </row>
    <row r="25" spans="1:13" ht="17.25" x14ac:dyDescent="0.25">
      <c r="A25" s="12">
        <v>12</v>
      </c>
      <c r="B25" s="209" t="s">
        <v>58</v>
      </c>
      <c r="C25" s="210"/>
      <c r="D25" s="28" t="s">
        <v>164</v>
      </c>
      <c r="E25" s="1" t="s">
        <v>3</v>
      </c>
      <c r="F25" s="27">
        <v>0.6</v>
      </c>
      <c r="G25" s="20" t="s">
        <v>55</v>
      </c>
      <c r="H25" s="85"/>
      <c r="J25" s="16">
        <f t="shared" si="8"/>
        <v>2.5111062996185434E-3</v>
      </c>
      <c r="K25" s="13">
        <f t="shared" si="9"/>
        <v>125</v>
      </c>
      <c r="L25" s="13">
        <f t="shared" si="1"/>
        <v>2.5111062996185434E-3</v>
      </c>
      <c r="M25" s="17">
        <f t="shared" si="10"/>
        <v>0</v>
      </c>
    </row>
    <row r="26" spans="1:13" x14ac:dyDescent="0.25">
      <c r="A26" s="12">
        <v>13</v>
      </c>
      <c r="B26" s="190" t="s">
        <v>53</v>
      </c>
      <c r="C26" s="190"/>
      <c r="D26" s="9" t="s">
        <v>54</v>
      </c>
      <c r="E26" s="1" t="s">
        <v>3</v>
      </c>
      <c r="F26" s="27">
        <v>0.3</v>
      </c>
      <c r="G26" s="20" t="s">
        <v>59</v>
      </c>
      <c r="H26" s="85"/>
      <c r="J26" s="16">
        <f t="shared" si="8"/>
        <v>2.5111062996185434E-3</v>
      </c>
      <c r="K26" s="13">
        <f t="shared" si="9"/>
        <v>125</v>
      </c>
      <c r="L26" s="13">
        <f t="shared" si="1"/>
        <v>2.5111062996185434E-3</v>
      </c>
      <c r="M26" s="17">
        <f t="shared" si="10"/>
        <v>0</v>
      </c>
    </row>
    <row r="27" spans="1:13" ht="17.25" x14ac:dyDescent="0.25">
      <c r="A27" s="12">
        <v>14</v>
      </c>
      <c r="B27" s="209" t="s">
        <v>67</v>
      </c>
      <c r="C27" s="210"/>
      <c r="D27" s="9" t="s">
        <v>63</v>
      </c>
      <c r="E27" s="1" t="s">
        <v>3</v>
      </c>
      <c r="F27" s="27">
        <v>0.2</v>
      </c>
      <c r="G27" s="20"/>
      <c r="H27" s="85"/>
      <c r="J27" s="16">
        <f t="shared" si="8"/>
        <v>2.5111062996185434E-3</v>
      </c>
      <c r="K27" s="13">
        <f t="shared" si="9"/>
        <v>125</v>
      </c>
      <c r="L27" s="13">
        <f t="shared" si="1"/>
        <v>2.5111062996185434E-3</v>
      </c>
      <c r="M27" s="17">
        <f t="shared" si="10"/>
        <v>0</v>
      </c>
    </row>
    <row r="28" spans="1:13" ht="17.25" x14ac:dyDescent="0.25">
      <c r="A28" s="12">
        <v>15</v>
      </c>
      <c r="B28" s="209" t="s">
        <v>73</v>
      </c>
      <c r="C28" s="210"/>
      <c r="D28" s="9" t="s">
        <v>74</v>
      </c>
      <c r="E28" s="1" t="s">
        <v>3</v>
      </c>
      <c r="F28" s="27">
        <v>0.3</v>
      </c>
      <c r="G28" s="20"/>
      <c r="H28" s="85"/>
      <c r="J28" s="16">
        <f t="shared" si="8"/>
        <v>2.5111062996185434E-3</v>
      </c>
      <c r="K28" s="13">
        <f t="shared" si="9"/>
        <v>125</v>
      </c>
      <c r="L28" s="13">
        <f t="shared" si="1"/>
        <v>2.5111062996185434E-3</v>
      </c>
      <c r="M28" s="17">
        <f t="shared" si="10"/>
        <v>0</v>
      </c>
    </row>
    <row r="29" spans="1:13" x14ac:dyDescent="0.25">
      <c r="A29" s="12">
        <v>16</v>
      </c>
      <c r="B29" s="10" t="s">
        <v>75</v>
      </c>
      <c r="C29" s="10"/>
      <c r="D29" s="9" t="s">
        <v>84</v>
      </c>
      <c r="E29" s="1" t="s">
        <v>23</v>
      </c>
      <c r="F29" s="29">
        <v>55</v>
      </c>
      <c r="G29" s="20" t="s">
        <v>76</v>
      </c>
      <c r="H29" s="85"/>
      <c r="J29" s="16">
        <f t="shared" si="8"/>
        <v>2.5111062996185434E-3</v>
      </c>
      <c r="K29" s="13">
        <f t="shared" si="9"/>
        <v>125</v>
      </c>
      <c r="L29" s="13">
        <f t="shared" si="1"/>
        <v>2.5111062996185434E-3</v>
      </c>
      <c r="M29" s="17">
        <f t="shared" si="10"/>
        <v>0</v>
      </c>
    </row>
    <row r="30" spans="1:13" ht="17.25" x14ac:dyDescent="0.25">
      <c r="A30" s="12">
        <v>17</v>
      </c>
      <c r="B30" s="190" t="s">
        <v>80</v>
      </c>
      <c r="C30" s="190"/>
      <c r="D30" s="9" t="s">
        <v>83</v>
      </c>
      <c r="E30" s="1" t="s">
        <v>3</v>
      </c>
      <c r="F30" s="27">
        <v>0.1</v>
      </c>
      <c r="G30" s="20" t="s">
        <v>81</v>
      </c>
      <c r="H30" s="85"/>
      <c r="J30" s="16">
        <f t="shared" si="8"/>
        <v>2.5111062996185434E-3</v>
      </c>
      <c r="K30" s="13">
        <f t="shared" si="9"/>
        <v>125</v>
      </c>
      <c r="L30" s="13">
        <f t="shared" si="1"/>
        <v>2.5111062996185434E-3</v>
      </c>
      <c r="M30" s="17">
        <f t="shared" si="10"/>
        <v>0</v>
      </c>
    </row>
    <row r="31" spans="1:13" x14ac:dyDescent="0.25">
      <c r="B31" s="208"/>
      <c r="C31" s="208"/>
      <c r="D31" s="11"/>
      <c r="E31" s="5"/>
      <c r="F31" s="6"/>
      <c r="J31" s="22"/>
      <c r="K31" s="23"/>
      <c r="L31" s="23"/>
      <c r="M31" s="24"/>
    </row>
    <row r="32" spans="1:13" x14ac:dyDescent="0.25">
      <c r="B32" s="213" t="s">
        <v>151</v>
      </c>
      <c r="C32" s="213"/>
      <c r="D32" s="213"/>
      <c r="E32" s="213"/>
      <c r="F32" s="213"/>
      <c r="G32" s="213"/>
      <c r="H32" s="66"/>
      <c r="J32" s="22"/>
      <c r="K32" s="23"/>
      <c r="L32" s="23"/>
      <c r="M32" s="24"/>
    </row>
    <row r="33" spans="1:17" ht="39" x14ac:dyDescent="0.25">
      <c r="A33" s="12">
        <v>18</v>
      </c>
      <c r="B33" s="212" t="s">
        <v>169</v>
      </c>
      <c r="C33" s="212"/>
      <c r="D33" s="171" t="s">
        <v>275</v>
      </c>
      <c r="E33" s="1" t="s">
        <v>28</v>
      </c>
      <c r="F33" s="82">
        <v>10</v>
      </c>
      <c r="G33" s="13"/>
      <c r="H33" s="23"/>
      <c r="J33" s="22"/>
      <c r="K33" s="23"/>
      <c r="L33" s="23"/>
      <c r="M33" s="24"/>
    </row>
    <row r="34" spans="1:17" ht="39" x14ac:dyDescent="0.25">
      <c r="A34" s="12">
        <v>19</v>
      </c>
      <c r="B34" s="183" t="s">
        <v>171</v>
      </c>
      <c r="C34" s="184"/>
      <c r="D34" s="171" t="s">
        <v>276</v>
      </c>
      <c r="E34" s="1" t="s">
        <v>5</v>
      </c>
      <c r="F34" s="82">
        <v>0.01</v>
      </c>
      <c r="G34" s="20" t="s">
        <v>172</v>
      </c>
      <c r="H34" s="23"/>
      <c r="J34" s="22"/>
      <c r="K34" s="23"/>
      <c r="L34" s="23"/>
      <c r="M34" s="24"/>
    </row>
    <row r="35" spans="1:17" x14ac:dyDescent="0.25">
      <c r="B35" s="63"/>
      <c r="C35" s="63"/>
      <c r="D35" s="11"/>
      <c r="E35" s="5"/>
      <c r="F35" s="6"/>
      <c r="J35" s="22"/>
      <c r="K35" s="23"/>
      <c r="L35" s="23"/>
      <c r="M35" s="24"/>
    </row>
    <row r="36" spans="1:17" x14ac:dyDescent="0.25">
      <c r="B36" s="30" t="s">
        <v>47</v>
      </c>
      <c r="C36" s="30"/>
      <c r="D36" s="11"/>
      <c r="E36" s="5"/>
      <c r="F36" s="6"/>
      <c r="G36" s="12">
        <v>250</v>
      </c>
      <c r="J36" s="22"/>
      <c r="K36" s="23"/>
      <c r="L36" s="23"/>
      <c r="M36" s="24"/>
    </row>
    <row r="37" spans="1:17" ht="39.950000000000003" customHeight="1" x14ac:dyDescent="0.25">
      <c r="B37" s="190" t="s">
        <v>128</v>
      </c>
      <c r="C37" s="190"/>
      <c r="D37" s="38" t="s">
        <v>108</v>
      </c>
      <c r="E37" s="1" t="s">
        <v>5</v>
      </c>
      <c r="F37" s="31">
        <f>J9</f>
        <v>3.4760947255444699E-3</v>
      </c>
      <c r="G37" s="195"/>
      <c r="H37" s="196"/>
      <c r="I37" s="205">
        <v>1</v>
      </c>
      <c r="J37" s="206"/>
      <c r="K37" s="206"/>
      <c r="L37" s="206"/>
      <c r="M37" s="206"/>
      <c r="N37" s="207"/>
      <c r="O37" s="190" t="s">
        <v>128</v>
      </c>
      <c r="P37" s="190"/>
    </row>
    <row r="38" spans="1:17" ht="75" customHeight="1" x14ac:dyDescent="0.25">
      <c r="B38" s="187" t="s">
        <v>42</v>
      </c>
      <c r="C38" s="187"/>
      <c r="D38" s="45" t="s">
        <v>133</v>
      </c>
      <c r="E38" s="46" t="s">
        <v>5</v>
      </c>
      <c r="F38" s="47">
        <f>ROUND(MIN(J16:J30),5)</f>
        <v>2.5100000000000001E-3</v>
      </c>
      <c r="G38" s="195"/>
      <c r="H38" s="196"/>
      <c r="I38" s="191">
        <v>2</v>
      </c>
      <c r="J38" s="192"/>
      <c r="K38" s="192"/>
      <c r="L38" s="192"/>
      <c r="M38" s="192"/>
      <c r="N38" s="193"/>
      <c r="O38" s="187" t="s">
        <v>42</v>
      </c>
      <c r="P38" s="187"/>
    </row>
    <row r="39" spans="1:17" ht="69.95" customHeight="1" x14ac:dyDescent="0.25">
      <c r="B39" s="187" t="s">
        <v>43</v>
      </c>
      <c r="C39" s="187"/>
      <c r="D39" s="45" t="s">
        <v>133</v>
      </c>
      <c r="E39" s="46" t="s">
        <v>5</v>
      </c>
      <c r="F39" s="58">
        <f>ROUND((F16/F13*(SIN(F21*PI()/180)+(F18/F14)*COS(F21*PI()/180)))/(1+0.058*(F16/F13)*(F14/F11)*COS(F21*PI()/180)),5)</f>
        <v>2.5100000000000001E-3</v>
      </c>
      <c r="G39" s="195"/>
      <c r="H39" s="196"/>
      <c r="I39" s="191"/>
      <c r="J39" s="192"/>
      <c r="K39" s="192"/>
      <c r="L39" s="192"/>
      <c r="M39" s="192"/>
      <c r="N39" s="193"/>
      <c r="O39" s="187" t="s">
        <v>43</v>
      </c>
      <c r="P39" s="187"/>
    </row>
    <row r="40" spans="1:17" ht="39.950000000000003" customHeight="1" x14ac:dyDescent="0.25">
      <c r="B40" s="187" t="s">
        <v>26</v>
      </c>
      <c r="C40" s="187"/>
      <c r="D40" s="48" t="s">
        <v>134</v>
      </c>
      <c r="E40" s="46" t="s">
        <v>70</v>
      </c>
      <c r="F40" s="44">
        <f>(F18/F39)/60</f>
        <v>8.095617529880478</v>
      </c>
      <c r="G40" s="195"/>
      <c r="H40" s="196"/>
      <c r="I40" s="191">
        <v>3</v>
      </c>
      <c r="J40" s="192"/>
      <c r="K40" s="192"/>
      <c r="L40" s="192"/>
      <c r="M40" s="192"/>
      <c r="N40" s="193"/>
      <c r="O40" s="187" t="s">
        <v>26</v>
      </c>
      <c r="P40" s="187"/>
    </row>
    <row r="41" spans="1:17" ht="39.950000000000003" customHeight="1" x14ac:dyDescent="0.25">
      <c r="B41" s="187" t="s">
        <v>44</v>
      </c>
      <c r="C41" s="187"/>
      <c r="D41" s="48" t="s">
        <v>27</v>
      </c>
      <c r="E41" s="46" t="s">
        <v>28</v>
      </c>
      <c r="F41" s="49">
        <f>ROUND(F10/(F20*F14*F39),0)</f>
        <v>94</v>
      </c>
      <c r="G41" s="195"/>
      <c r="H41" s="196"/>
      <c r="I41" s="191">
        <v>4</v>
      </c>
      <c r="J41" s="192"/>
      <c r="K41" s="192"/>
      <c r="L41" s="192"/>
      <c r="M41" s="192"/>
      <c r="N41" s="193"/>
      <c r="O41" s="187" t="s">
        <v>44</v>
      </c>
      <c r="P41" s="187"/>
    </row>
    <row r="42" spans="1:17" ht="39.950000000000003" customHeight="1" x14ac:dyDescent="0.25">
      <c r="B42" s="187" t="s">
        <v>29</v>
      </c>
      <c r="C42" s="187"/>
      <c r="D42" s="48" t="s">
        <v>135</v>
      </c>
      <c r="E42" s="46" t="s">
        <v>3</v>
      </c>
      <c r="F42" s="70">
        <f>((F41*F14+(F41-1)*F19)/SIN(F21*PI()/180))</f>
        <v>5.8566411306595638</v>
      </c>
      <c r="G42" s="195"/>
      <c r="H42" s="196"/>
      <c r="I42" s="214" t="s">
        <v>279</v>
      </c>
      <c r="J42" s="215"/>
      <c r="K42" s="215"/>
      <c r="L42" s="215"/>
      <c r="M42" s="215"/>
      <c r="N42" s="216"/>
      <c r="O42" s="187" t="s">
        <v>29</v>
      </c>
      <c r="P42" s="187"/>
    </row>
    <row r="43" spans="1:17" ht="30" customHeight="1" x14ac:dyDescent="0.25">
      <c r="B43" s="187" t="s">
        <v>30</v>
      </c>
      <c r="C43" s="187"/>
      <c r="D43" s="48" t="s">
        <v>136</v>
      </c>
      <c r="E43" s="46" t="s">
        <v>3</v>
      </c>
      <c r="F43" s="70">
        <f>F18*SIN(F21*PI()/180)</f>
        <v>1.0558581722939875</v>
      </c>
      <c r="G43" s="195"/>
      <c r="H43" s="196"/>
      <c r="I43" s="191">
        <v>6</v>
      </c>
      <c r="J43" s="192"/>
      <c r="K43" s="192"/>
      <c r="L43" s="192"/>
      <c r="M43" s="192"/>
      <c r="N43" s="193"/>
      <c r="O43" s="187" t="s">
        <v>30</v>
      </c>
      <c r="P43" s="187"/>
    </row>
    <row r="44" spans="1:17" ht="39.950000000000003" customHeight="1" x14ac:dyDescent="0.25">
      <c r="B44" s="188" t="s">
        <v>48</v>
      </c>
      <c r="C44" s="189"/>
      <c r="D44" s="51" t="s">
        <v>185</v>
      </c>
      <c r="E44" s="46" t="s">
        <v>3</v>
      </c>
      <c r="F44" s="44">
        <f>1.5*F24</f>
        <v>0.89999999999999991</v>
      </c>
      <c r="G44" s="195"/>
      <c r="H44" s="196"/>
      <c r="I44" s="191">
        <v>7</v>
      </c>
      <c r="J44" s="192"/>
      <c r="K44" s="192"/>
      <c r="L44" s="192"/>
      <c r="M44" s="192"/>
      <c r="N44" s="193"/>
      <c r="O44" s="188" t="s">
        <v>48</v>
      </c>
      <c r="P44" s="189"/>
    </row>
    <row r="45" spans="1:17" ht="39.950000000000003" customHeight="1" x14ac:dyDescent="0.25">
      <c r="B45" s="183" t="s">
        <v>184</v>
      </c>
      <c r="C45" s="184"/>
      <c r="D45" s="51" t="s">
        <v>186</v>
      </c>
      <c r="E45" s="46" t="s">
        <v>28</v>
      </c>
      <c r="F45" s="44">
        <f>ROUNDDOWN(F42/F44,0)</f>
        <v>6</v>
      </c>
      <c r="G45" s="87"/>
      <c r="H45" s="88"/>
      <c r="I45" s="174">
        <v>17</v>
      </c>
      <c r="J45" s="175"/>
      <c r="K45" s="175"/>
      <c r="L45" s="175"/>
      <c r="M45" s="175"/>
      <c r="N45" s="176"/>
      <c r="O45" s="183" t="s">
        <v>184</v>
      </c>
      <c r="P45" s="184"/>
    </row>
    <row r="46" spans="1:17" ht="39.950000000000003" customHeight="1" x14ac:dyDescent="0.25">
      <c r="B46" s="183" t="s">
        <v>188</v>
      </c>
      <c r="C46" s="184"/>
      <c r="D46" s="51" t="s">
        <v>185</v>
      </c>
      <c r="E46" s="46" t="s">
        <v>3</v>
      </c>
      <c r="F46" s="80">
        <f>F42/F45</f>
        <v>0.97610685510992734</v>
      </c>
      <c r="G46" s="87"/>
      <c r="H46" s="88"/>
      <c r="I46" s="174">
        <v>18</v>
      </c>
      <c r="J46" s="175"/>
      <c r="K46" s="175"/>
      <c r="L46" s="175"/>
      <c r="M46" s="175"/>
      <c r="N46" s="176"/>
      <c r="O46" s="183" t="s">
        <v>188</v>
      </c>
      <c r="P46" s="184"/>
    </row>
    <row r="47" spans="1:17" ht="30" customHeight="1" x14ac:dyDescent="0.25">
      <c r="B47" s="187" t="s">
        <v>62</v>
      </c>
      <c r="C47" s="187"/>
      <c r="D47" s="51" t="s">
        <v>137</v>
      </c>
      <c r="E47" s="46" t="s">
        <v>3</v>
      </c>
      <c r="F47" s="69">
        <f>F25+F43+F24</f>
        <v>2.2558581722939874</v>
      </c>
      <c r="G47" s="195"/>
      <c r="H47" s="196"/>
      <c r="I47" s="191">
        <v>8</v>
      </c>
      <c r="J47" s="192"/>
      <c r="K47" s="192"/>
      <c r="L47" s="192"/>
      <c r="M47" s="192"/>
      <c r="N47" s="193"/>
      <c r="O47" s="187" t="s">
        <v>62</v>
      </c>
      <c r="P47" s="187"/>
      <c r="Q47" s="12">
        <f>6*0.0254</f>
        <v>0.15239999999999998</v>
      </c>
    </row>
    <row r="48" spans="1:17" ht="30" customHeight="1" x14ac:dyDescent="0.25">
      <c r="B48" s="188" t="s">
        <v>69</v>
      </c>
      <c r="C48" s="189"/>
      <c r="D48" s="51" t="s">
        <v>138</v>
      </c>
      <c r="E48" s="46" t="s">
        <v>139</v>
      </c>
      <c r="F48" s="44">
        <f>F47*F42*F20-(F41-1)*F18*F20*F19</f>
        <v>15.554808847800167</v>
      </c>
      <c r="G48" s="195"/>
      <c r="H48" s="196"/>
      <c r="I48" s="191" t="s">
        <v>280</v>
      </c>
      <c r="J48" s="192"/>
      <c r="K48" s="192"/>
      <c r="L48" s="192"/>
      <c r="M48" s="192"/>
      <c r="N48" s="193"/>
      <c r="O48" s="188" t="s">
        <v>69</v>
      </c>
      <c r="P48" s="189"/>
      <c r="Q48" s="71">
        <f>Q47/2</f>
        <v>7.619999999999999E-2</v>
      </c>
    </row>
    <row r="49" spans="2:19" ht="39.950000000000003" customHeight="1" x14ac:dyDescent="0.25">
      <c r="B49" s="187" t="s">
        <v>68</v>
      </c>
      <c r="C49" s="187"/>
      <c r="D49" s="51" t="s">
        <v>140</v>
      </c>
      <c r="E49" s="46" t="s">
        <v>70</v>
      </c>
      <c r="F49" s="57">
        <f>(F48/F10)/60</f>
        <v>18.110151179182871</v>
      </c>
      <c r="G49" s="195"/>
      <c r="H49" s="196"/>
      <c r="I49" s="191">
        <v>10</v>
      </c>
      <c r="J49" s="192"/>
      <c r="K49" s="192"/>
      <c r="L49" s="192"/>
      <c r="M49" s="192"/>
      <c r="N49" s="193"/>
      <c r="O49" s="187" t="s">
        <v>68</v>
      </c>
      <c r="P49" s="187"/>
      <c r="Q49" s="12">
        <f>Q48/3</f>
        <v>2.5399999999999995E-2</v>
      </c>
    </row>
    <row r="50" spans="2:19" ht="39.950000000000003" customHeight="1" x14ac:dyDescent="0.25">
      <c r="B50" s="188" t="s">
        <v>89</v>
      </c>
      <c r="C50" s="189"/>
      <c r="D50" s="51" t="s">
        <v>90</v>
      </c>
      <c r="E50" s="46" t="s">
        <v>141</v>
      </c>
      <c r="F50" s="57">
        <f>F10*86400/(F42*F20)</f>
        <v>173.21341640466753</v>
      </c>
      <c r="G50" s="195"/>
      <c r="H50" s="196"/>
      <c r="I50" s="191">
        <v>11</v>
      </c>
      <c r="J50" s="192"/>
      <c r="K50" s="192"/>
      <c r="L50" s="192"/>
      <c r="M50" s="192"/>
      <c r="N50" s="193"/>
      <c r="O50" s="188" t="s">
        <v>89</v>
      </c>
      <c r="P50" s="189"/>
      <c r="Q50" s="12">
        <f>Q49/2</f>
        <v>1.2699999999999998E-2</v>
      </c>
      <c r="S50" s="12">
        <f>36/8</f>
        <v>4.5</v>
      </c>
    </row>
    <row r="51" spans="2:19" ht="39.950000000000003" customHeight="1" x14ac:dyDescent="0.25">
      <c r="B51" s="187" t="s">
        <v>148</v>
      </c>
      <c r="C51" s="187"/>
      <c r="D51" s="51" t="s">
        <v>72</v>
      </c>
      <c r="E51" s="46"/>
      <c r="F51" s="61" t="str">
        <f>"1: "&amp;ROUND(F42/F20,1)</f>
        <v>1: 4.8</v>
      </c>
      <c r="G51" s="195"/>
      <c r="H51" s="196"/>
      <c r="I51" s="191">
        <v>12</v>
      </c>
      <c r="J51" s="192"/>
      <c r="K51" s="192"/>
      <c r="L51" s="192"/>
      <c r="M51" s="192"/>
      <c r="N51" s="193"/>
      <c r="O51" s="187" t="s">
        <v>148</v>
      </c>
      <c r="P51" s="187"/>
    </row>
    <row r="52" spans="2:19" ht="39.950000000000003" customHeight="1" x14ac:dyDescent="0.25">
      <c r="B52" s="188" t="s">
        <v>79</v>
      </c>
      <c r="C52" s="189"/>
      <c r="D52" s="51" t="s">
        <v>142</v>
      </c>
      <c r="E52" s="46" t="s">
        <v>3</v>
      </c>
      <c r="F52" s="68">
        <f>((F20-F30)/2)*TAN(F29*PI()/180)</f>
        <v>0.79919162457288717</v>
      </c>
      <c r="G52" s="195"/>
      <c r="H52" s="196"/>
      <c r="I52" s="191">
        <v>13</v>
      </c>
      <c r="J52" s="192"/>
      <c r="K52" s="192"/>
      <c r="L52" s="192"/>
      <c r="M52" s="192"/>
      <c r="N52" s="193"/>
      <c r="O52" s="188" t="s">
        <v>79</v>
      </c>
      <c r="P52" s="189"/>
    </row>
    <row r="53" spans="2:19" ht="30" customHeight="1" x14ac:dyDescent="0.25">
      <c r="B53" s="188" t="s">
        <v>86</v>
      </c>
      <c r="C53" s="189"/>
      <c r="D53" s="51" t="s">
        <v>154</v>
      </c>
      <c r="E53" s="46" t="s">
        <v>3</v>
      </c>
      <c r="F53" s="47">
        <f>2*F28+F42</f>
        <v>6.4566411306595635</v>
      </c>
      <c r="G53" s="195"/>
      <c r="H53" s="196"/>
      <c r="I53" s="191">
        <v>14</v>
      </c>
      <c r="J53" s="192"/>
      <c r="K53" s="192"/>
      <c r="L53" s="192"/>
      <c r="M53" s="192"/>
      <c r="N53" s="193"/>
      <c r="O53" s="188" t="s">
        <v>86</v>
      </c>
      <c r="P53" s="189"/>
    </row>
    <row r="54" spans="2:19" ht="30" customHeight="1" x14ac:dyDescent="0.25">
      <c r="B54" s="188" t="s">
        <v>88</v>
      </c>
      <c r="C54" s="189"/>
      <c r="D54" s="51" t="s">
        <v>155</v>
      </c>
      <c r="E54" s="46" t="s">
        <v>3</v>
      </c>
      <c r="F54" s="52">
        <f>(2*F28+F20)*F9+(F9-1)*F27</f>
        <v>7.8767999999999994</v>
      </c>
      <c r="G54" s="195"/>
      <c r="H54" s="196"/>
      <c r="I54" s="191">
        <v>15</v>
      </c>
      <c r="J54" s="192"/>
      <c r="K54" s="192"/>
      <c r="L54" s="192"/>
      <c r="M54" s="192"/>
      <c r="N54" s="193"/>
      <c r="O54" s="188" t="s">
        <v>88</v>
      </c>
      <c r="P54" s="189"/>
    </row>
    <row r="55" spans="2:19" ht="30" customHeight="1" x14ac:dyDescent="0.25">
      <c r="B55" s="187" t="s">
        <v>85</v>
      </c>
      <c r="C55" s="187"/>
      <c r="D55" s="51" t="s">
        <v>156</v>
      </c>
      <c r="E55" s="46" t="s">
        <v>3</v>
      </c>
      <c r="F55" s="67">
        <f>F28+F52+F25+F43+F24+F26</f>
        <v>3.6550497968668743</v>
      </c>
      <c r="G55" s="195"/>
      <c r="H55" s="196"/>
      <c r="I55" s="191">
        <v>16</v>
      </c>
      <c r="J55" s="192"/>
      <c r="K55" s="192"/>
      <c r="L55" s="192"/>
      <c r="M55" s="192"/>
      <c r="N55" s="193"/>
      <c r="O55" s="187" t="s">
        <v>85</v>
      </c>
      <c r="P55" s="187"/>
    </row>
    <row r="56" spans="2:19" ht="15" customHeight="1" x14ac:dyDescent="0.25">
      <c r="B56" s="75"/>
      <c r="C56" s="75"/>
      <c r="D56" s="76"/>
      <c r="E56" s="77"/>
      <c r="F56" s="79"/>
      <c r="G56" s="23"/>
      <c r="H56" s="23"/>
      <c r="I56" s="177"/>
      <c r="J56" s="177"/>
      <c r="K56" s="177"/>
      <c r="L56" s="177"/>
      <c r="M56" s="177"/>
      <c r="N56" s="177"/>
    </row>
    <row r="57" spans="2:19" ht="30" customHeight="1" x14ac:dyDescent="0.25">
      <c r="B57" s="81" t="s">
        <v>153</v>
      </c>
      <c r="C57" s="75"/>
      <c r="D57" s="76"/>
      <c r="E57" s="77"/>
      <c r="F57" s="79"/>
      <c r="G57" s="86"/>
      <c r="H57" s="23"/>
      <c r="I57" s="177"/>
      <c r="J57" s="177"/>
      <c r="K57" s="177"/>
      <c r="L57" s="177"/>
      <c r="M57" s="177"/>
      <c r="N57" s="177"/>
    </row>
    <row r="58" spans="2:19" ht="39.950000000000003" customHeight="1" x14ac:dyDescent="0.25">
      <c r="B58" s="183" t="s">
        <v>161</v>
      </c>
      <c r="C58" s="184"/>
      <c r="D58" s="51" t="s">
        <v>157</v>
      </c>
      <c r="E58" s="46" t="s">
        <v>3</v>
      </c>
      <c r="F58" s="80">
        <f>F42+F28</f>
        <v>6.1566411306595636</v>
      </c>
      <c r="G58" s="195"/>
      <c r="H58" s="196"/>
      <c r="I58" s="191">
        <v>19</v>
      </c>
      <c r="J58" s="192"/>
      <c r="K58" s="192"/>
      <c r="L58" s="192"/>
      <c r="M58" s="192"/>
      <c r="N58" s="193"/>
      <c r="O58" s="183" t="s">
        <v>161</v>
      </c>
      <c r="P58" s="184"/>
    </row>
    <row r="59" spans="2:19" ht="69.95" customHeight="1" x14ac:dyDescent="0.25">
      <c r="B59" s="183" t="s">
        <v>160</v>
      </c>
      <c r="C59" s="184"/>
      <c r="D59" s="51" t="s">
        <v>159</v>
      </c>
      <c r="E59" s="46" t="s">
        <v>152</v>
      </c>
      <c r="F59" s="89">
        <v>8</v>
      </c>
      <c r="G59" s="200"/>
      <c r="H59" s="201"/>
      <c r="I59" s="197" t="s">
        <v>281</v>
      </c>
      <c r="J59" s="198"/>
      <c r="K59" s="198"/>
      <c r="L59" s="198"/>
      <c r="M59" s="198"/>
      <c r="N59" s="199"/>
      <c r="O59" s="183" t="s">
        <v>160</v>
      </c>
      <c r="P59" s="184"/>
    </row>
    <row r="60" spans="2:19" ht="90" customHeight="1" x14ac:dyDescent="0.25">
      <c r="B60" s="183" t="s">
        <v>187</v>
      </c>
      <c r="C60" s="184"/>
      <c r="D60" s="51" t="s">
        <v>158</v>
      </c>
      <c r="E60" s="46" t="s">
        <v>3</v>
      </c>
      <c r="F60" s="50">
        <f>IF(F59=4,0.10342,IF(F59=6,0.15222,IF(F59=8,0.20942)))</f>
        <v>0.20942</v>
      </c>
      <c r="G60" s="195"/>
      <c r="H60" s="196"/>
      <c r="I60" s="174">
        <v>21</v>
      </c>
      <c r="J60" s="175"/>
      <c r="K60" s="175"/>
      <c r="L60" s="175"/>
      <c r="M60" s="175"/>
      <c r="N60" s="176"/>
      <c r="O60" s="183" t="s">
        <v>187</v>
      </c>
      <c r="P60" s="184"/>
    </row>
    <row r="61" spans="2:19" ht="50.1" customHeight="1" x14ac:dyDescent="0.25">
      <c r="B61" s="180" t="s">
        <v>168</v>
      </c>
      <c r="C61" s="180"/>
      <c r="D61" s="7" t="s">
        <v>162</v>
      </c>
      <c r="E61" s="46" t="s">
        <v>3</v>
      </c>
      <c r="F61" s="50">
        <f>F60*SQRT(0.4/F33)</f>
        <v>4.1884000000000005E-2</v>
      </c>
      <c r="G61" s="195"/>
      <c r="H61" s="196"/>
      <c r="I61" s="220">
        <v>22</v>
      </c>
      <c r="J61" s="221"/>
      <c r="K61" s="221"/>
      <c r="L61" s="221"/>
      <c r="M61" s="221"/>
      <c r="N61" s="222"/>
      <c r="O61" s="180" t="s">
        <v>168</v>
      </c>
      <c r="P61" s="180"/>
    </row>
    <row r="62" spans="2:19" ht="30" customHeight="1" x14ac:dyDescent="0.25">
      <c r="B62" s="180" t="s">
        <v>170</v>
      </c>
      <c r="C62" s="180"/>
      <c r="D62" s="7" t="s">
        <v>163</v>
      </c>
      <c r="E62" s="46" t="s">
        <v>152</v>
      </c>
      <c r="F62" s="94">
        <f>IF(AND(F61&gt;0.02363,F61&lt;0.0302),1,IF(AND(F61&gt;0.0302,F61&lt;0.03814),1.25,IF(AND(F61&gt;0.03814,F61&lt;0.04368),1.5,IF(AND(F61&gt;0.04368,F61&lt;0.05458),2,IF(AND(F61&gt;0.05458,F61&lt;0.06607),2.5,IF(AND(F61&gt;0.06607,F61&lt;0.08042),3,IF(AND(F61&gt;0.08042,F61&lt;0.10342),4)))))))</f>
        <v>1.5</v>
      </c>
      <c r="G62" s="218"/>
      <c r="H62" s="219"/>
      <c r="I62" s="174">
        <v>23</v>
      </c>
      <c r="J62" s="175"/>
      <c r="K62" s="175"/>
      <c r="L62" s="175"/>
      <c r="M62" s="175"/>
      <c r="N62" s="176"/>
      <c r="O62" s="180" t="s">
        <v>170</v>
      </c>
      <c r="P62" s="180"/>
    </row>
    <row r="63" spans="2:19" ht="52.5" customHeight="1" x14ac:dyDescent="0.25">
      <c r="B63" s="180" t="s">
        <v>179</v>
      </c>
      <c r="C63" s="180"/>
      <c r="D63" s="7" t="s">
        <v>162</v>
      </c>
      <c r="E63" s="46" t="s">
        <v>3</v>
      </c>
      <c r="F63" s="50">
        <f>IF(F62=1,0.0302,IF(F62=1.25,0.03814,IF(F62=1.5,0.04368,IF(F62=2,0.05458,IF(F62=2.5,0.06607,IF(F62=3,0.08042,IF(F62=4,0.10342,4)))))))</f>
        <v>4.3679999999999997E-2</v>
      </c>
      <c r="G63" s="195"/>
      <c r="H63" s="196"/>
      <c r="I63" s="178">
        <v>24</v>
      </c>
      <c r="J63" s="175"/>
      <c r="K63" s="175"/>
      <c r="L63" s="175"/>
      <c r="M63" s="175"/>
      <c r="N63" s="176"/>
      <c r="O63" s="180" t="s">
        <v>179</v>
      </c>
      <c r="P63" s="180"/>
    </row>
    <row r="64" spans="2:19" ht="47.25" customHeight="1" x14ac:dyDescent="0.25">
      <c r="B64" s="185" t="s">
        <v>180</v>
      </c>
      <c r="C64" s="186"/>
      <c r="D64" s="51"/>
      <c r="E64" s="46"/>
      <c r="F64" s="84">
        <f>(F63/F60)^2*F33</f>
        <v>0.4350397582251469</v>
      </c>
      <c r="G64" s="200"/>
      <c r="H64" s="201"/>
      <c r="I64" s="191">
        <v>25</v>
      </c>
      <c r="J64" s="192"/>
      <c r="K64" s="192"/>
      <c r="L64" s="192"/>
      <c r="M64" s="192"/>
      <c r="N64" s="193"/>
      <c r="O64" s="185" t="s">
        <v>180</v>
      </c>
      <c r="P64" s="186"/>
    </row>
    <row r="65" spans="2:16" ht="39.950000000000003" customHeight="1" x14ac:dyDescent="0.25">
      <c r="B65" s="180" t="s">
        <v>181</v>
      </c>
      <c r="C65" s="180"/>
      <c r="D65" s="7" t="s">
        <v>163</v>
      </c>
      <c r="E65" s="46" t="s">
        <v>152</v>
      </c>
      <c r="F65" s="84">
        <f>IF(AND(F64&gt;0.45,F62=1),1,IF(AND(F64&gt;0.45,F62=1.25),1,IF(AND(F64&gt;0.45,F62=2),1.5,IF(AND(F64&gt;0.45,F62=2.5),2,IF(AND(F64&gt;0.45,F62=3),2.5,IF(AND(F64&gt;0.45,F62=4),3,F62))))))</f>
        <v>1.5</v>
      </c>
      <c r="G65" s="172" t="s">
        <v>278</v>
      </c>
      <c r="H65" s="173"/>
      <c r="I65" s="174">
        <v>26</v>
      </c>
      <c r="J65" s="175"/>
      <c r="K65" s="175"/>
      <c r="L65" s="175"/>
      <c r="M65" s="175"/>
      <c r="N65" s="176"/>
      <c r="O65" s="180" t="s">
        <v>181</v>
      </c>
      <c r="P65" s="180"/>
    </row>
    <row r="66" spans="2:16" ht="39.950000000000003" customHeight="1" x14ac:dyDescent="0.25">
      <c r="B66" s="180" t="s">
        <v>182</v>
      </c>
      <c r="C66" s="180"/>
      <c r="D66" s="7" t="s">
        <v>162</v>
      </c>
      <c r="E66" s="46"/>
      <c r="F66" s="84">
        <f>IF(F65=1,0.0302,IF(F65=1.25,0.03814,IF(F65=1.5,0.04368,IF(F65=2,0.05458,IF(F65=2.5,0.06607,IF(F65=3,0.08042,IF(F65=4,0.10342,4)))))))</f>
        <v>4.3679999999999997E-2</v>
      </c>
      <c r="G66" s="195"/>
      <c r="H66" s="196"/>
      <c r="I66" s="174">
        <v>27</v>
      </c>
      <c r="J66" s="175"/>
      <c r="K66" s="175"/>
      <c r="L66" s="175"/>
      <c r="M66" s="175"/>
      <c r="N66" s="176"/>
      <c r="O66" s="180" t="s">
        <v>182</v>
      </c>
      <c r="P66" s="180"/>
    </row>
    <row r="67" spans="2:16" ht="39.950000000000003" customHeight="1" x14ac:dyDescent="0.25">
      <c r="B67" s="181" t="s">
        <v>277</v>
      </c>
      <c r="C67" s="182"/>
      <c r="D67" s="51"/>
      <c r="E67" s="46"/>
      <c r="F67" s="84">
        <f>(F66/F60)^2*F33</f>
        <v>0.4350397582251469</v>
      </c>
      <c r="G67" s="195"/>
      <c r="H67" s="196"/>
      <c r="I67" s="174"/>
      <c r="J67" s="179"/>
      <c r="K67" s="175"/>
      <c r="L67" s="175"/>
      <c r="M67" s="175"/>
      <c r="N67" s="176"/>
      <c r="O67" s="181" t="s">
        <v>277</v>
      </c>
      <c r="P67" s="182"/>
    </row>
    <row r="68" spans="2:16" ht="39.950000000000003" customHeight="1" x14ac:dyDescent="0.25">
      <c r="B68" s="183" t="s">
        <v>167</v>
      </c>
      <c r="C68" s="184"/>
      <c r="D68" s="51" t="s">
        <v>175</v>
      </c>
      <c r="E68" s="46" t="s">
        <v>3</v>
      </c>
      <c r="F68" s="80">
        <f>F52+F25+F43+F24</f>
        <v>3.0550497968668746</v>
      </c>
      <c r="G68" s="195"/>
      <c r="H68" s="196"/>
      <c r="I68" s="174">
        <v>28</v>
      </c>
      <c r="J68" s="175"/>
      <c r="K68" s="175"/>
      <c r="L68" s="175"/>
      <c r="M68" s="175"/>
      <c r="N68" s="176"/>
      <c r="O68" s="183" t="s">
        <v>167</v>
      </c>
      <c r="P68" s="184"/>
    </row>
    <row r="69" spans="2:16" ht="39.950000000000003" customHeight="1" x14ac:dyDescent="0.25">
      <c r="B69" s="183" t="s">
        <v>165</v>
      </c>
      <c r="C69" s="184"/>
      <c r="D69" s="51" t="s">
        <v>166</v>
      </c>
      <c r="E69" s="46"/>
      <c r="F69" s="92">
        <f>F58/F33</f>
        <v>0.61566411306595636</v>
      </c>
      <c r="G69" s="218"/>
      <c r="H69" s="219"/>
      <c r="I69" s="174">
        <v>29</v>
      </c>
      <c r="J69" s="175"/>
      <c r="K69" s="175"/>
      <c r="L69" s="175"/>
      <c r="M69" s="175"/>
      <c r="N69" s="176"/>
      <c r="O69" s="183" t="s">
        <v>165</v>
      </c>
      <c r="P69" s="184"/>
    </row>
    <row r="70" spans="2:16" ht="50.1" customHeight="1" x14ac:dyDescent="0.25">
      <c r="B70" s="185" t="s">
        <v>176</v>
      </c>
      <c r="C70" s="186"/>
      <c r="D70" s="51" t="s">
        <v>177</v>
      </c>
      <c r="E70" s="46" t="s">
        <v>3</v>
      </c>
      <c r="F70" s="84">
        <f>1.16*F66*((F68^0.5)/F34)^0.5</f>
        <v>0.66987719376829002</v>
      </c>
      <c r="G70" s="72"/>
      <c r="H70" s="73"/>
      <c r="I70" s="174">
        <v>30</v>
      </c>
      <c r="J70" s="175"/>
      <c r="K70" s="175"/>
      <c r="L70" s="175"/>
      <c r="M70" s="175"/>
      <c r="N70" s="176"/>
      <c r="O70" s="185" t="s">
        <v>176</v>
      </c>
      <c r="P70" s="186"/>
    </row>
    <row r="71" spans="2:16" ht="39.950000000000003" customHeight="1" x14ac:dyDescent="0.25">
      <c r="B71" s="185" t="s">
        <v>183</v>
      </c>
      <c r="C71" s="186"/>
      <c r="D71" s="51" t="s">
        <v>177</v>
      </c>
      <c r="E71" s="1"/>
      <c r="F71" s="93">
        <f>F42/F33</f>
        <v>0.58566411306595634</v>
      </c>
      <c r="G71" s="195"/>
      <c r="H71" s="196"/>
      <c r="I71" s="191" t="s">
        <v>178</v>
      </c>
      <c r="J71" s="192"/>
      <c r="K71" s="192"/>
      <c r="L71" s="192"/>
      <c r="M71" s="192"/>
      <c r="N71" s="193"/>
      <c r="O71" s="185" t="s">
        <v>183</v>
      </c>
      <c r="P71" s="186"/>
    </row>
    <row r="72" spans="2:16" x14ac:dyDescent="0.25">
      <c r="B72" s="208"/>
      <c r="C72" s="208"/>
      <c r="J72" s="22"/>
      <c r="K72" s="23"/>
      <c r="L72" s="23"/>
      <c r="M72" s="24"/>
    </row>
    <row r="73" spans="2:16" x14ac:dyDescent="0.25">
      <c r="B73" s="213" t="s">
        <v>34</v>
      </c>
      <c r="C73" s="213"/>
      <c r="J73" s="22"/>
      <c r="K73" s="23"/>
      <c r="L73" s="23"/>
      <c r="M73" s="24"/>
    </row>
    <row r="74" spans="2:16" x14ac:dyDescent="0.25">
      <c r="J74" s="22"/>
      <c r="K74" s="23"/>
      <c r="L74" s="23"/>
      <c r="M74" s="24"/>
    </row>
    <row r="75" spans="2:16" ht="30" customHeight="1" x14ac:dyDescent="0.25">
      <c r="B75" s="12" t="s">
        <v>35</v>
      </c>
      <c r="C75" s="217" t="s">
        <v>51</v>
      </c>
      <c r="D75" s="217"/>
      <c r="E75" s="217"/>
      <c r="F75" s="217"/>
      <c r="G75" s="217"/>
      <c r="H75" s="65"/>
      <c r="I75" s="90"/>
      <c r="J75" s="22"/>
      <c r="K75" s="23"/>
      <c r="L75" s="23"/>
      <c r="M75" s="24"/>
    </row>
    <row r="76" spans="2:16" ht="30" customHeight="1" x14ac:dyDescent="0.25">
      <c r="B76" s="12" t="s">
        <v>37</v>
      </c>
      <c r="C76" s="217" t="s">
        <v>64</v>
      </c>
      <c r="D76" s="217"/>
      <c r="E76" s="217"/>
      <c r="F76" s="217"/>
      <c r="G76" s="217"/>
      <c r="H76" s="65"/>
      <c r="J76" s="91"/>
      <c r="K76" s="23"/>
      <c r="L76" s="23"/>
      <c r="M76" s="24"/>
    </row>
    <row r="77" spans="2:16" x14ac:dyDescent="0.25">
      <c r="B77" s="12" t="s">
        <v>39</v>
      </c>
      <c r="C77" s="211" t="s">
        <v>40</v>
      </c>
      <c r="D77" s="211"/>
      <c r="E77" s="211"/>
      <c r="F77" s="211"/>
      <c r="G77" s="211"/>
      <c r="H77" s="64"/>
      <c r="J77" s="22"/>
      <c r="K77" s="23"/>
      <c r="L77" s="23"/>
      <c r="M77" s="24"/>
    </row>
    <row r="78" spans="2:16" ht="30" customHeight="1" x14ac:dyDescent="0.25">
      <c r="B78" s="12" t="s">
        <v>50</v>
      </c>
      <c r="C78" s="217" t="s">
        <v>65</v>
      </c>
      <c r="D78" s="217"/>
      <c r="E78" s="217"/>
      <c r="F78" s="217"/>
      <c r="G78" s="217"/>
      <c r="H78" s="65"/>
      <c r="J78" s="22"/>
      <c r="K78" s="23"/>
      <c r="L78" s="23"/>
      <c r="M78" s="24"/>
    </row>
    <row r="79" spans="2:16" ht="30" customHeight="1" x14ac:dyDescent="0.25">
      <c r="B79" s="12" t="s">
        <v>57</v>
      </c>
      <c r="C79" s="217" t="s">
        <v>66</v>
      </c>
      <c r="D79" s="217"/>
      <c r="E79" s="217"/>
      <c r="F79" s="217"/>
      <c r="G79" s="217"/>
      <c r="H79" s="65"/>
      <c r="J79" s="194"/>
      <c r="K79" s="194"/>
      <c r="L79" s="23"/>
      <c r="M79" s="24"/>
    </row>
    <row r="80" spans="2:16" x14ac:dyDescent="0.25">
      <c r="B80" s="12" t="s">
        <v>60</v>
      </c>
      <c r="C80" s="211" t="s">
        <v>56</v>
      </c>
      <c r="D80" s="211"/>
      <c r="E80" s="211"/>
      <c r="F80" s="211"/>
      <c r="G80" s="211"/>
      <c r="H80" s="64"/>
      <c r="J80" s="22"/>
      <c r="K80" s="23"/>
      <c r="L80" s="23"/>
      <c r="M80" s="24"/>
    </row>
    <row r="81" spans="2:13" x14ac:dyDescent="0.25">
      <c r="B81" s="12" t="s">
        <v>78</v>
      </c>
      <c r="C81" s="211" t="s">
        <v>77</v>
      </c>
      <c r="D81" s="211"/>
      <c r="E81" s="211"/>
      <c r="F81" s="211"/>
      <c r="G81" s="211"/>
      <c r="H81" s="64"/>
      <c r="J81" s="22"/>
      <c r="K81" s="23"/>
      <c r="L81" s="23"/>
      <c r="M81" s="24"/>
    </row>
    <row r="82" spans="2:13" ht="30" customHeight="1" x14ac:dyDescent="0.25">
      <c r="B82" s="12" t="s">
        <v>92</v>
      </c>
      <c r="C82" s="217" t="s">
        <v>82</v>
      </c>
      <c r="D82" s="217"/>
      <c r="E82" s="217"/>
      <c r="F82" s="217"/>
      <c r="G82" s="217"/>
      <c r="H82" s="65"/>
      <c r="J82" s="22"/>
      <c r="K82" s="23"/>
      <c r="L82" s="23"/>
      <c r="M82" s="24"/>
    </row>
    <row r="83" spans="2:13" ht="30" customHeight="1" x14ac:dyDescent="0.25">
      <c r="B83" s="12" t="s">
        <v>173</v>
      </c>
      <c r="C83" s="217" t="s">
        <v>174</v>
      </c>
      <c r="D83" s="217"/>
      <c r="E83" s="217"/>
      <c r="F83" s="217"/>
      <c r="G83" s="217"/>
      <c r="H83" s="74"/>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271</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56">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O37:P37"/>
    <mergeCell ref="O38:P38"/>
    <mergeCell ref="O39:P39"/>
    <mergeCell ref="O40:P40"/>
    <mergeCell ref="O41:P41"/>
    <mergeCell ref="O42:P42"/>
    <mergeCell ref="O43:P43"/>
    <mergeCell ref="O44:P44"/>
    <mergeCell ref="O45:P45"/>
    <mergeCell ref="O46:P46"/>
    <mergeCell ref="O47:P47"/>
    <mergeCell ref="O48:P48"/>
    <mergeCell ref="O49:P49"/>
    <mergeCell ref="O50:P50"/>
    <mergeCell ref="O51:P51"/>
    <mergeCell ref="O52:P52"/>
    <mergeCell ref="O53:P53"/>
    <mergeCell ref="O54:P54"/>
    <mergeCell ref="O66:P66"/>
    <mergeCell ref="O67:P67"/>
    <mergeCell ref="O68:P68"/>
    <mergeCell ref="O69:P69"/>
    <mergeCell ref="O70:P70"/>
    <mergeCell ref="O71:P71"/>
    <mergeCell ref="O55:P55"/>
    <mergeCell ref="O58:P58"/>
    <mergeCell ref="O59:P59"/>
    <mergeCell ref="O60:P60"/>
    <mergeCell ref="O61:P61"/>
    <mergeCell ref="O62:P62"/>
    <mergeCell ref="O63:P63"/>
    <mergeCell ref="O64:P64"/>
    <mergeCell ref="O65:P6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79" zoomScale="90" zoomScaleNormal="90" workbookViewId="0">
      <selection activeCell="B82" sqref="B82:B87"/>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227" t="s">
        <v>125</v>
      </c>
      <c r="C7" s="227"/>
      <c r="D7" s="227"/>
      <c r="E7" s="227"/>
      <c r="F7" s="227"/>
    </row>
    <row r="9" spans="2:6" x14ac:dyDescent="0.25">
      <c r="B9" s="41" t="s">
        <v>45</v>
      </c>
      <c r="C9" s="41"/>
    </row>
    <row r="10" spans="2:6" ht="17.25" x14ac:dyDescent="0.25">
      <c r="B10" s="209" t="s">
        <v>33</v>
      </c>
      <c r="C10" s="210"/>
      <c r="D10" s="9" t="s">
        <v>0</v>
      </c>
      <c r="E10" s="1" t="s">
        <v>20</v>
      </c>
      <c r="F10" s="3">
        <v>5.7259999999999998E-2</v>
      </c>
    </row>
    <row r="11" spans="2:6" x14ac:dyDescent="0.25">
      <c r="B11" s="209" t="s">
        <v>31</v>
      </c>
      <c r="C11" s="210"/>
      <c r="D11" s="9" t="s">
        <v>3</v>
      </c>
      <c r="E11" s="1" t="s">
        <v>28</v>
      </c>
      <c r="F11" s="3">
        <v>4</v>
      </c>
    </row>
    <row r="12" spans="2:6" ht="17.25" x14ac:dyDescent="0.25">
      <c r="B12" s="209" t="s">
        <v>32</v>
      </c>
      <c r="C12" s="210"/>
      <c r="D12" s="9" t="s">
        <v>91</v>
      </c>
      <c r="E12" s="1" t="s">
        <v>20</v>
      </c>
      <c r="F12" s="18">
        <f>F10/F11</f>
        <v>1.4315E-2</v>
      </c>
    </row>
    <row r="13" spans="2:6" ht="17.25" x14ac:dyDescent="0.25">
      <c r="B13" s="209" t="s">
        <v>10</v>
      </c>
      <c r="C13" s="210"/>
      <c r="D13" s="9" t="s">
        <v>2</v>
      </c>
      <c r="E13" s="1" t="s">
        <v>21</v>
      </c>
      <c r="F13" s="19">
        <v>1.0070000000000001E-6</v>
      </c>
    </row>
    <row r="14" spans="2:6" x14ac:dyDescent="0.25">
      <c r="B14" s="209" t="s">
        <v>105</v>
      </c>
      <c r="C14" s="210"/>
      <c r="D14" s="36"/>
      <c r="E14" s="1"/>
      <c r="F14" s="3" t="s">
        <v>106</v>
      </c>
    </row>
    <row r="15" spans="2:6" ht="17.25" x14ac:dyDescent="0.25">
      <c r="B15" s="209" t="str">
        <f>"Eficiencia crítica para sedimentador de "&amp;F14</f>
        <v>Eficiencia crítica para sedimentador de Placas paralelas</v>
      </c>
      <c r="C15" s="210"/>
      <c r="D15" s="8" t="s">
        <v>107</v>
      </c>
      <c r="E15" s="2"/>
      <c r="F15" s="4">
        <v>1</v>
      </c>
    </row>
    <row r="16" spans="2:6" x14ac:dyDescent="0.25">
      <c r="B16" s="209" t="s">
        <v>22</v>
      </c>
      <c r="C16" s="210"/>
      <c r="D16" s="9" t="s">
        <v>11</v>
      </c>
      <c r="E16" s="1" t="s">
        <v>3</v>
      </c>
      <c r="F16" s="59">
        <f>'Sedimentador alta tasa'!F14</f>
        <v>0.05</v>
      </c>
    </row>
    <row r="17" spans="2:7" x14ac:dyDescent="0.25">
      <c r="B17" s="209" t="s">
        <v>94</v>
      </c>
      <c r="C17" s="210"/>
      <c r="D17" s="9" t="s">
        <v>12</v>
      </c>
      <c r="E17" s="1" t="s">
        <v>3</v>
      </c>
      <c r="F17" s="59">
        <f>'Sedimentador alta tasa'!F18</f>
        <v>1.2192000000000001</v>
      </c>
    </row>
    <row r="18" spans="2:7" x14ac:dyDescent="0.25">
      <c r="B18" s="209" t="s">
        <v>17</v>
      </c>
      <c r="C18" s="210"/>
      <c r="D18" s="25" t="s">
        <v>13</v>
      </c>
      <c r="E18" s="26" t="s">
        <v>3</v>
      </c>
      <c r="F18" s="59">
        <f>'Sedimentador alta tasa'!F19</f>
        <v>4.0000000000000001E-3</v>
      </c>
      <c r="G18" s="6"/>
    </row>
    <row r="19" spans="2:7" x14ac:dyDescent="0.25">
      <c r="B19" s="209" t="s">
        <v>95</v>
      </c>
      <c r="C19" s="210"/>
      <c r="D19" s="9" t="s">
        <v>14</v>
      </c>
      <c r="E19" s="1" t="s">
        <v>3</v>
      </c>
      <c r="F19" s="59">
        <f>'Sedimentador alta tasa'!F20</f>
        <v>1.2192000000000001</v>
      </c>
    </row>
    <row r="20" spans="2:7" x14ac:dyDescent="0.25">
      <c r="B20" s="209" t="s">
        <v>19</v>
      </c>
      <c r="C20" s="210"/>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209" t="s">
        <v>52</v>
      </c>
      <c r="C23" s="210"/>
      <c r="D23" s="9" t="s">
        <v>46</v>
      </c>
      <c r="E23" s="1" t="s">
        <v>3</v>
      </c>
      <c r="F23" s="27">
        <v>0.6</v>
      </c>
    </row>
    <row r="24" spans="2:7" ht="17.25" x14ac:dyDescent="0.25">
      <c r="B24" s="225" t="s">
        <v>58</v>
      </c>
      <c r="C24" s="226"/>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224" t="s">
        <v>112</v>
      </c>
      <c r="C28" s="224"/>
      <c r="D28" s="224"/>
      <c r="E28" s="224"/>
      <c r="F28" s="224"/>
      <c r="G28" s="224"/>
    </row>
    <row r="29" spans="2:7" x14ac:dyDescent="0.25">
      <c r="B29" s="224"/>
      <c r="C29" s="224"/>
      <c r="D29" s="224"/>
      <c r="E29" s="224"/>
      <c r="F29" s="224"/>
      <c r="G29" s="224"/>
    </row>
    <row r="30" spans="2:7" x14ac:dyDescent="0.25">
      <c r="B30" s="53"/>
      <c r="C30" s="53"/>
      <c r="D30" s="53"/>
      <c r="E30" s="53"/>
      <c r="F30" s="53"/>
      <c r="G30" s="53"/>
    </row>
    <row r="31" spans="2:7" ht="17.25" x14ac:dyDescent="0.25">
      <c r="B31" s="188" t="s">
        <v>132</v>
      </c>
      <c r="C31" s="189"/>
      <c r="D31" s="51" t="s">
        <v>135</v>
      </c>
      <c r="E31" s="54" t="s">
        <v>3</v>
      </c>
      <c r="F31" s="44">
        <f>'Sedimentador alta tasa'!F42</f>
        <v>5.8566411306595638</v>
      </c>
      <c r="G31" s="53"/>
    </row>
    <row r="32" spans="2:7" x14ac:dyDescent="0.25">
      <c r="B32" s="188" t="s">
        <v>18</v>
      </c>
      <c r="C32" s="189"/>
      <c r="D32" s="51" t="s">
        <v>14</v>
      </c>
      <c r="E32" s="46" t="s">
        <v>3</v>
      </c>
      <c r="F32" s="49">
        <f>'Sedimentador alta tasa'!F20</f>
        <v>1.2192000000000001</v>
      </c>
      <c r="G32" s="53"/>
    </row>
    <row r="33" spans="2:8" x14ac:dyDescent="0.25">
      <c r="B33" s="53"/>
      <c r="C33" s="53"/>
      <c r="D33" s="53"/>
      <c r="E33" s="53"/>
      <c r="F33" s="53"/>
      <c r="G33" s="53"/>
    </row>
    <row r="34" spans="2:8" x14ac:dyDescent="0.25">
      <c r="B34" s="53" t="s">
        <v>102</v>
      </c>
      <c r="C34" s="53"/>
      <c r="D34" s="53"/>
      <c r="E34" s="53"/>
      <c r="F34" s="53"/>
      <c r="G34" s="53"/>
    </row>
    <row r="35" spans="2:8" x14ac:dyDescent="0.25">
      <c r="B35" s="53"/>
      <c r="C35" s="53"/>
      <c r="D35" s="53"/>
      <c r="E35" s="53"/>
      <c r="F35" s="53"/>
      <c r="G35" s="53"/>
    </row>
    <row r="36" spans="2:8" ht="39.950000000000003" customHeight="1" x14ac:dyDescent="0.25">
      <c r="B36" s="188" t="s">
        <v>89</v>
      </c>
      <c r="C36" s="189"/>
      <c r="D36" s="55" t="s">
        <v>90</v>
      </c>
      <c r="E36" s="46" t="s">
        <v>141</v>
      </c>
      <c r="F36" s="44">
        <f>(F12*86400)/(F31*F32)</f>
        <v>173.21341640466753</v>
      </c>
      <c r="G36" s="49"/>
    </row>
    <row r="37" spans="2:8" x14ac:dyDescent="0.25">
      <c r="B37" s="53"/>
      <c r="C37" s="53"/>
      <c r="D37" s="53"/>
      <c r="E37" s="53"/>
      <c r="F37" s="53"/>
      <c r="G37" s="53"/>
    </row>
    <row r="38" spans="2:8" ht="74.25" customHeight="1" x14ac:dyDescent="0.25">
      <c r="B38" s="224" t="s">
        <v>130</v>
      </c>
      <c r="C38" s="224"/>
      <c r="D38" s="224"/>
      <c r="E38" s="224"/>
      <c r="F38" s="224"/>
      <c r="G38" s="224"/>
    </row>
    <row r="39" spans="2:8" x14ac:dyDescent="0.25">
      <c r="B39" s="53"/>
      <c r="C39" s="53"/>
      <c r="D39" s="53"/>
      <c r="E39" s="53"/>
      <c r="F39" s="53"/>
      <c r="G39" s="53"/>
    </row>
    <row r="40" spans="2:8" ht="75" customHeight="1" x14ac:dyDescent="0.25">
      <c r="B40" s="188" t="s">
        <v>97</v>
      </c>
      <c r="C40" s="189"/>
      <c r="D40" s="51" t="s">
        <v>129</v>
      </c>
      <c r="E40" s="46" t="s">
        <v>28</v>
      </c>
      <c r="F40" s="49">
        <f>ROUND(((F31*SIN(F20*PI()/180)+F18)/(F16+F18)-1),0)</f>
        <v>93</v>
      </c>
      <c r="G40" s="49"/>
    </row>
    <row r="41" spans="2:8" ht="30" customHeight="1" x14ac:dyDescent="0.25">
      <c r="B41" s="188" t="s">
        <v>96</v>
      </c>
      <c r="C41" s="189"/>
      <c r="D41" s="48" t="s">
        <v>143</v>
      </c>
      <c r="E41" s="46" t="s">
        <v>3</v>
      </c>
      <c r="F41" s="52">
        <f>F31</f>
        <v>5.8566411306595638</v>
      </c>
      <c r="G41" s="44"/>
      <c r="H41" s="23"/>
    </row>
    <row r="42" spans="2:8" ht="42" customHeight="1" x14ac:dyDescent="0.25">
      <c r="B42" s="188" t="s">
        <v>93</v>
      </c>
      <c r="C42" s="189"/>
      <c r="D42" s="45" t="s">
        <v>133</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188" t="s">
        <v>98</v>
      </c>
      <c r="C46" s="189"/>
      <c r="D46" s="51" t="s">
        <v>87</v>
      </c>
      <c r="E46" s="49"/>
      <c r="F46" s="49">
        <f>F17/F16</f>
        <v>24.384</v>
      </c>
      <c r="G46" s="49"/>
    </row>
    <row r="47" spans="2:8" ht="39.950000000000003" customHeight="1" x14ac:dyDescent="0.25">
      <c r="B47" s="188" t="s">
        <v>99</v>
      </c>
      <c r="C47" s="189"/>
      <c r="D47" s="51" t="s">
        <v>100</v>
      </c>
      <c r="E47" s="49"/>
      <c r="F47" s="44">
        <f>(0.058*F42*F16)/F13</f>
        <v>7.1996027805362459</v>
      </c>
      <c r="G47" s="49"/>
    </row>
    <row r="48" spans="2:8" ht="30" customHeight="1" x14ac:dyDescent="0.25">
      <c r="B48" s="188" t="s">
        <v>101</v>
      </c>
      <c r="C48" s="189"/>
      <c r="D48" s="51" t="s">
        <v>144</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188" t="s">
        <v>103</v>
      </c>
      <c r="C52" s="189"/>
      <c r="D52" s="51" t="s">
        <v>145</v>
      </c>
      <c r="E52" s="46" t="s">
        <v>4</v>
      </c>
      <c r="F52" s="44">
        <f>ROUND((1*F42*86400)/(SIN(F20*PI()/180)+F48*COS(F20*PI()/180)),2)</f>
        <v>22.84</v>
      </c>
      <c r="G52" s="49"/>
    </row>
    <row r="53" spans="2:7" x14ac:dyDescent="0.25">
      <c r="B53" s="53"/>
      <c r="C53" s="53"/>
      <c r="D53" s="53"/>
      <c r="E53" s="53"/>
      <c r="F53" s="53"/>
      <c r="G53" s="53"/>
    </row>
    <row r="54" spans="2:7" ht="17.25" x14ac:dyDescent="0.25">
      <c r="B54" s="53" t="s">
        <v>146</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188" t="s">
        <v>109</v>
      </c>
      <c r="C58" s="189"/>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188" t="s">
        <v>26</v>
      </c>
      <c r="C62" s="189"/>
      <c r="D62" s="48" t="s">
        <v>134</v>
      </c>
      <c r="E62" s="46" t="s">
        <v>70</v>
      </c>
      <c r="F62" s="44">
        <f>(F17/F42)/60</f>
        <v>8.1280000000000001</v>
      </c>
      <c r="G62" s="49"/>
    </row>
    <row r="63" spans="2:7" x14ac:dyDescent="0.25">
      <c r="B63" s="53"/>
      <c r="C63" s="53"/>
      <c r="D63" s="53"/>
      <c r="E63" s="53"/>
      <c r="F63" s="53"/>
      <c r="G63" s="53"/>
    </row>
    <row r="64" spans="2:7" ht="60" customHeight="1" x14ac:dyDescent="0.25">
      <c r="B64" s="224" t="s">
        <v>131</v>
      </c>
      <c r="C64" s="224"/>
      <c r="D64" s="224"/>
      <c r="E64" s="224"/>
      <c r="F64" s="224"/>
      <c r="G64" s="224"/>
    </row>
    <row r="65" spans="2:7" x14ac:dyDescent="0.25">
      <c r="B65" s="53"/>
      <c r="C65" s="53"/>
      <c r="D65" s="53"/>
      <c r="E65" s="53"/>
      <c r="F65" s="53"/>
      <c r="G65" s="53"/>
    </row>
    <row r="66" spans="2:7" ht="39.950000000000003" customHeight="1" x14ac:dyDescent="0.25">
      <c r="B66" s="188" t="s">
        <v>44</v>
      </c>
      <c r="C66" s="189"/>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188" t="s">
        <v>30</v>
      </c>
      <c r="C70" s="189"/>
      <c r="D70" s="48" t="s">
        <v>136</v>
      </c>
      <c r="E70" s="46" t="s">
        <v>3</v>
      </c>
      <c r="F70" s="44">
        <f>F17*SIN(F20*PI()/180)</f>
        <v>1.0558581722939875</v>
      </c>
      <c r="G70" s="49"/>
    </row>
    <row r="71" spans="2:7" ht="30" customHeight="1" x14ac:dyDescent="0.25">
      <c r="B71" s="188" t="s">
        <v>62</v>
      </c>
      <c r="C71" s="189"/>
      <c r="D71" s="51" t="s">
        <v>137</v>
      </c>
      <c r="E71" s="46" t="s">
        <v>3</v>
      </c>
      <c r="F71" s="44">
        <f>F24+F70+F23</f>
        <v>2.2558581722939874</v>
      </c>
      <c r="G71" s="49"/>
    </row>
    <row r="72" spans="2:7" ht="30" customHeight="1" x14ac:dyDescent="0.25">
      <c r="B72" s="188" t="s">
        <v>69</v>
      </c>
      <c r="C72" s="189"/>
      <c r="D72" s="51" t="s">
        <v>138</v>
      </c>
      <c r="E72" s="46" t="s">
        <v>139</v>
      </c>
      <c r="F72" s="44">
        <f>F71*F31*F19-(F66-1)*F17*F19*F18</f>
        <v>15.554808847800167</v>
      </c>
      <c r="G72" s="49"/>
    </row>
    <row r="73" spans="2:7" ht="39.950000000000003" customHeight="1" x14ac:dyDescent="0.25">
      <c r="B73" s="188" t="s">
        <v>68</v>
      </c>
      <c r="C73" s="189"/>
      <c r="D73" s="51" t="s">
        <v>140</v>
      </c>
      <c r="E73" s="46" t="s">
        <v>70</v>
      </c>
      <c r="F73" s="44">
        <f>(F72/F12)/60</f>
        <v>18.110151179182871</v>
      </c>
      <c r="G73" s="49"/>
    </row>
    <row r="75" spans="2:7" x14ac:dyDescent="0.25">
      <c r="B75" s="41" t="s">
        <v>113</v>
      </c>
      <c r="C75" s="41"/>
    </row>
    <row r="76" spans="2:7" ht="15" customHeight="1" x14ac:dyDescent="0.25">
      <c r="B76" s="223" t="s">
        <v>147</v>
      </c>
      <c r="C76" s="223"/>
      <c r="D76" s="223"/>
      <c r="E76" s="223"/>
      <c r="F76" s="223"/>
      <c r="G76" s="223"/>
    </row>
    <row r="77" spans="2:7" x14ac:dyDescent="0.25">
      <c r="B77" s="223"/>
      <c r="C77" s="223"/>
      <c r="D77" s="223"/>
      <c r="E77" s="223"/>
      <c r="F77" s="223"/>
      <c r="G77" s="223"/>
    </row>
    <row r="78" spans="2:7" x14ac:dyDescent="0.25">
      <c r="B78" s="223"/>
      <c r="C78" s="223"/>
      <c r="D78" s="223"/>
      <c r="E78" s="223"/>
      <c r="F78" s="223"/>
      <c r="G78" s="223"/>
    </row>
    <row r="79" spans="2:7" x14ac:dyDescent="0.25">
      <c r="B79" s="223"/>
      <c r="C79" s="223"/>
      <c r="D79" s="223"/>
      <c r="E79" s="223"/>
      <c r="F79" s="223"/>
      <c r="G79" s="223"/>
    </row>
    <row r="80" spans="2:7" ht="24.75" customHeight="1" x14ac:dyDescent="0.25">
      <c r="B80" s="223"/>
      <c r="C80" s="223"/>
      <c r="D80" s="223"/>
      <c r="E80" s="223"/>
      <c r="F80" s="223"/>
      <c r="G80" s="223"/>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271</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0"/>
  <sheetViews>
    <sheetView topLeftCell="A4" zoomScaleNormal="100" workbookViewId="0">
      <selection activeCell="B13" sqref="B13:H14"/>
    </sheetView>
  </sheetViews>
  <sheetFormatPr baseColWidth="10" defaultRowHeight="17.100000000000001" customHeight="1" x14ac:dyDescent="0.25"/>
  <cols>
    <col min="1" max="1" width="5.42578125" style="107" customWidth="1"/>
    <col min="2" max="2" width="5.5703125" style="107" customWidth="1"/>
    <col min="3" max="3" width="7.85546875" style="107" customWidth="1"/>
    <col min="4" max="4" width="18.85546875" style="107" customWidth="1"/>
    <col min="5" max="5" width="24.140625" style="107" customWidth="1"/>
    <col min="6" max="6" width="14.5703125" style="107" customWidth="1"/>
    <col min="7" max="7" width="14.85546875" style="107" customWidth="1"/>
    <col min="8" max="8" width="15.140625" style="107" customWidth="1"/>
    <col min="9" max="9" width="14.5703125" style="107" customWidth="1"/>
    <col min="10" max="10" width="15" style="107" customWidth="1"/>
    <col min="11" max="16" width="13.85546875" style="107" customWidth="1"/>
    <col min="17" max="17" width="13.5703125" style="107" customWidth="1"/>
    <col min="18" max="18" width="27.5703125" style="107" customWidth="1"/>
    <col min="19" max="19" width="17.42578125" style="107" customWidth="1"/>
    <col min="20" max="20" width="24.140625" style="107" customWidth="1"/>
    <col min="21" max="21" width="11.42578125" style="107" customWidth="1"/>
    <col min="22" max="22" width="28.85546875" style="107" customWidth="1"/>
    <col min="23" max="23" width="11.42578125" style="107" customWidth="1"/>
    <col min="24" max="24" width="11.42578125" style="107"/>
    <col min="25" max="25" width="11.140625" style="107" customWidth="1"/>
    <col min="26" max="16384" width="11.42578125" style="107"/>
  </cols>
  <sheetData>
    <row r="1" spans="1:12" ht="17.100000000000001" customHeight="1" x14ac:dyDescent="0.25">
      <c r="A1" s="12"/>
    </row>
    <row r="2" spans="1:12" ht="17.100000000000001" customHeight="1" x14ac:dyDescent="0.25">
      <c r="A2" s="12"/>
      <c r="B2" s="246"/>
      <c r="C2" s="246"/>
      <c r="D2" s="246"/>
      <c r="E2" s="246"/>
      <c r="F2" s="246"/>
      <c r="G2" s="41" t="s">
        <v>119</v>
      </c>
    </row>
    <row r="3" spans="1:12" ht="17.100000000000001" customHeight="1" x14ac:dyDescent="0.25">
      <c r="A3" s="12"/>
      <c r="B3" s="246"/>
      <c r="C3" s="246"/>
      <c r="D3" s="246"/>
      <c r="E3" s="246"/>
      <c r="F3" s="246"/>
      <c r="G3" s="41" t="s">
        <v>120</v>
      </c>
    </row>
    <row r="4" spans="1:12" ht="17.100000000000001" customHeight="1" x14ac:dyDescent="0.25">
      <c r="A4" s="12"/>
      <c r="B4" s="246"/>
      <c r="C4" s="246"/>
      <c r="D4" s="246"/>
      <c r="E4" s="246"/>
      <c r="F4" s="246"/>
      <c r="G4" s="41" t="s">
        <v>121</v>
      </c>
    </row>
    <row r="5" spans="1:12" ht="17.100000000000001" customHeight="1" x14ac:dyDescent="0.25">
      <c r="A5" s="12"/>
      <c r="B5" s="246"/>
      <c r="C5" s="246"/>
      <c r="D5" s="246"/>
      <c r="E5" s="246"/>
      <c r="F5" s="246"/>
      <c r="G5" s="41" t="s">
        <v>217</v>
      </c>
    </row>
    <row r="7" spans="1:12" ht="17.100000000000001" customHeight="1" x14ac:dyDescent="0.25">
      <c r="B7" s="81" t="s">
        <v>45</v>
      </c>
      <c r="C7" s="81"/>
      <c r="D7" s="77"/>
      <c r="E7" s="77"/>
      <c r="F7" s="77"/>
      <c r="G7" s="77"/>
      <c r="H7" s="77"/>
      <c r="I7" s="157"/>
      <c r="J7" s="157"/>
      <c r="K7" s="157"/>
    </row>
    <row r="8" spans="1:12" ht="17.100000000000001" customHeight="1" x14ac:dyDescent="0.25">
      <c r="A8" s="107">
        <v>0</v>
      </c>
      <c r="B8" s="187" t="s">
        <v>33</v>
      </c>
      <c r="C8" s="187"/>
      <c r="D8" s="187"/>
      <c r="E8" s="187"/>
      <c r="F8" s="187"/>
      <c r="G8" s="187"/>
      <c r="H8" s="187"/>
      <c r="I8" s="56" t="s">
        <v>0</v>
      </c>
      <c r="J8" s="154" t="s">
        <v>262</v>
      </c>
      <c r="K8" s="162">
        <v>5.7259999999999998E-2</v>
      </c>
    </row>
    <row r="9" spans="1:12" ht="17.100000000000001" customHeight="1" x14ac:dyDescent="0.25">
      <c r="A9" s="107">
        <v>1</v>
      </c>
      <c r="B9" s="187" t="s">
        <v>189</v>
      </c>
      <c r="C9" s="187"/>
      <c r="D9" s="187"/>
      <c r="E9" s="187"/>
      <c r="F9" s="187"/>
      <c r="G9" s="187"/>
      <c r="H9" s="187"/>
      <c r="I9" s="56" t="s">
        <v>263</v>
      </c>
      <c r="J9" s="154" t="s">
        <v>4</v>
      </c>
      <c r="K9" s="158">
        <v>120</v>
      </c>
    </row>
    <row r="10" spans="1:12" ht="17.100000000000001" customHeight="1" x14ac:dyDescent="0.25">
      <c r="A10" s="107">
        <v>2</v>
      </c>
      <c r="B10" s="257" t="s">
        <v>266</v>
      </c>
      <c r="C10" s="257"/>
      <c r="D10" s="257"/>
      <c r="E10" s="257"/>
      <c r="F10" s="257"/>
      <c r="G10" s="257"/>
      <c r="H10" s="257"/>
      <c r="I10" s="51" t="s">
        <v>2</v>
      </c>
      <c r="J10" s="159" t="s">
        <v>264</v>
      </c>
      <c r="K10" s="115">
        <v>1.003E-6</v>
      </c>
      <c r="L10" s="163" t="s">
        <v>272</v>
      </c>
    </row>
    <row r="12" spans="1:12" ht="17.100000000000001" customHeight="1" x14ac:dyDescent="0.25">
      <c r="B12" s="109" t="s">
        <v>229</v>
      </c>
      <c r="C12" s="109"/>
    </row>
    <row r="13" spans="1:12" ht="17.100000000000001" customHeight="1" x14ac:dyDescent="0.25">
      <c r="B13" s="279" t="s">
        <v>198</v>
      </c>
      <c r="C13" s="280"/>
      <c r="D13" s="280"/>
      <c r="E13" s="280"/>
      <c r="F13" s="280"/>
      <c r="G13" s="280"/>
      <c r="H13" s="281"/>
      <c r="I13" s="252" t="s">
        <v>199</v>
      </c>
      <c r="J13" s="252" t="s">
        <v>200</v>
      </c>
    </row>
    <row r="14" spans="1:12" ht="17.100000000000001" customHeight="1" x14ac:dyDescent="0.25">
      <c r="B14" s="282"/>
      <c r="C14" s="283"/>
      <c r="D14" s="283"/>
      <c r="E14" s="283"/>
      <c r="F14" s="283"/>
      <c r="G14" s="283"/>
      <c r="H14" s="284"/>
      <c r="I14" s="252"/>
      <c r="J14" s="252"/>
    </row>
    <row r="15" spans="1:12" ht="17.100000000000001" customHeight="1" x14ac:dyDescent="0.25">
      <c r="A15" s="107">
        <v>3</v>
      </c>
      <c r="B15" s="243" t="s">
        <v>208</v>
      </c>
      <c r="C15" s="244"/>
      <c r="D15" s="244"/>
      <c r="E15" s="244"/>
      <c r="F15" s="244"/>
      <c r="G15" s="244"/>
      <c r="H15" s="245"/>
      <c r="I15" s="164" t="s">
        <v>209</v>
      </c>
      <c r="J15" s="110">
        <v>0.85</v>
      </c>
    </row>
    <row r="16" spans="1:12" ht="17.100000000000001" customHeight="1" x14ac:dyDescent="0.25">
      <c r="A16" s="107">
        <v>4</v>
      </c>
      <c r="B16" s="285" t="s">
        <v>210</v>
      </c>
      <c r="C16" s="286"/>
      <c r="D16" s="286"/>
      <c r="E16" s="286"/>
      <c r="F16" s="286"/>
      <c r="G16" s="286"/>
      <c r="H16" s="287"/>
      <c r="I16" s="165" t="s">
        <v>197</v>
      </c>
      <c r="J16" s="161">
        <v>5</v>
      </c>
      <c r="K16" s="107" t="s">
        <v>273</v>
      </c>
    </row>
    <row r="17" spans="1:26" ht="17.100000000000001" customHeight="1" x14ac:dyDescent="0.25">
      <c r="A17" s="107">
        <v>5</v>
      </c>
      <c r="B17" s="247" t="s">
        <v>211</v>
      </c>
      <c r="C17" s="248"/>
      <c r="D17" s="248"/>
      <c r="E17" s="248"/>
      <c r="F17" s="248"/>
      <c r="G17" s="248"/>
      <c r="H17" s="249"/>
      <c r="I17" s="56" t="s">
        <v>196</v>
      </c>
      <c r="J17" s="110">
        <v>9.8059999999999992</v>
      </c>
    </row>
    <row r="18" spans="1:26" ht="17.100000000000001" customHeight="1" x14ac:dyDescent="0.25">
      <c r="A18" s="107">
        <v>6</v>
      </c>
      <c r="B18" s="243" t="s">
        <v>212</v>
      </c>
      <c r="C18" s="244"/>
      <c r="D18" s="244"/>
      <c r="E18" s="244"/>
      <c r="F18" s="244"/>
      <c r="G18" s="244"/>
      <c r="H18" s="245"/>
      <c r="I18" s="165" t="s">
        <v>87</v>
      </c>
      <c r="J18" s="110">
        <v>0.6</v>
      </c>
    </row>
    <row r="19" spans="1:26" ht="17.100000000000001" customHeight="1" x14ac:dyDescent="0.25">
      <c r="A19" s="107">
        <v>7</v>
      </c>
      <c r="B19" s="243" t="s">
        <v>194</v>
      </c>
      <c r="C19" s="244"/>
      <c r="D19" s="244"/>
      <c r="E19" s="244"/>
      <c r="F19" s="244"/>
      <c r="G19" s="244"/>
      <c r="H19" s="245"/>
      <c r="I19" s="165" t="s">
        <v>195</v>
      </c>
      <c r="J19" s="110">
        <v>0.45</v>
      </c>
    </row>
    <row r="20" spans="1:26" ht="17.100000000000001" customHeight="1" x14ac:dyDescent="0.25">
      <c r="A20" s="107">
        <v>8</v>
      </c>
      <c r="B20" s="243" t="s">
        <v>213</v>
      </c>
      <c r="C20" s="244"/>
      <c r="D20" s="244"/>
      <c r="E20" s="244"/>
      <c r="F20" s="244"/>
      <c r="G20" s="244"/>
      <c r="H20" s="245"/>
      <c r="I20" s="166" t="s">
        <v>214</v>
      </c>
      <c r="J20" s="110">
        <v>5</v>
      </c>
    </row>
    <row r="21" spans="1:26" ht="17.100000000000001" customHeight="1" x14ac:dyDescent="0.25">
      <c r="A21" s="107">
        <v>9</v>
      </c>
      <c r="B21" s="243" t="s">
        <v>215</v>
      </c>
      <c r="C21" s="244"/>
      <c r="D21" s="244"/>
      <c r="E21" s="244"/>
      <c r="F21" s="244"/>
      <c r="G21" s="244"/>
      <c r="H21" s="245"/>
      <c r="I21" s="167" t="s">
        <v>216</v>
      </c>
      <c r="J21" s="110">
        <v>0.85</v>
      </c>
    </row>
    <row r="23" spans="1:26" ht="17.100000000000001" customHeight="1" x14ac:dyDescent="0.25">
      <c r="A23" s="108"/>
      <c r="B23" s="108"/>
      <c r="C23" s="108"/>
      <c r="D23" s="108"/>
      <c r="E23" s="108"/>
      <c r="F23" s="108"/>
      <c r="G23" s="108"/>
      <c r="H23" s="108"/>
      <c r="I23" s="111"/>
      <c r="J23" s="111"/>
      <c r="K23" s="111"/>
      <c r="L23" s="111"/>
      <c r="M23" s="111"/>
      <c r="N23" s="111"/>
      <c r="O23" s="111"/>
      <c r="P23" s="111"/>
      <c r="Q23" s="111"/>
      <c r="R23" s="111"/>
      <c r="S23" s="111"/>
      <c r="T23" s="111"/>
      <c r="U23" s="111"/>
      <c r="V23" s="111"/>
      <c r="W23" s="111"/>
      <c r="X23" s="108"/>
      <c r="Y23" s="108"/>
      <c r="Z23" s="108"/>
    </row>
    <row r="24" spans="1:26" ht="17.100000000000001" customHeight="1" x14ac:dyDescent="0.25">
      <c r="A24" s="108"/>
      <c r="B24" s="109" t="s">
        <v>218</v>
      </c>
      <c r="C24" s="109"/>
      <c r="D24" s="108"/>
      <c r="E24" s="108"/>
      <c r="F24" s="108"/>
      <c r="G24" s="108"/>
      <c r="H24" s="108"/>
      <c r="I24" s="111"/>
      <c r="J24" s="111"/>
      <c r="K24" s="111"/>
      <c r="L24" s="111"/>
      <c r="M24" s="111"/>
      <c r="N24" s="111"/>
      <c r="O24" s="111"/>
      <c r="P24" s="111"/>
      <c r="Q24" s="111"/>
      <c r="R24" s="111"/>
      <c r="S24" s="111"/>
      <c r="T24" s="111"/>
      <c r="U24" s="111"/>
      <c r="V24" s="111"/>
      <c r="W24" s="111"/>
      <c r="X24" s="108"/>
      <c r="Y24" s="108"/>
      <c r="Z24" s="108"/>
    </row>
    <row r="25" spans="1:26" ht="17.100000000000001" customHeight="1" x14ac:dyDescent="0.25">
      <c r="B25" s="279" t="s">
        <v>219</v>
      </c>
      <c r="C25" s="281"/>
      <c r="D25" s="252"/>
      <c r="E25" s="253"/>
      <c r="F25" s="253" t="s">
        <v>246</v>
      </c>
      <c r="G25" s="253" t="s">
        <v>247</v>
      </c>
      <c r="H25" s="253" t="s">
        <v>248</v>
      </c>
      <c r="I25" s="299" t="s">
        <v>250</v>
      </c>
      <c r="J25" s="288" t="s">
        <v>201</v>
      </c>
      <c r="K25" s="289"/>
      <c r="L25" s="289"/>
      <c r="M25" s="290"/>
      <c r="N25" s="303" t="s">
        <v>202</v>
      </c>
      <c r="O25" s="304"/>
      <c r="P25" s="304"/>
      <c r="Q25" s="304"/>
      <c r="R25" s="305"/>
      <c r="S25" s="302" t="s">
        <v>203</v>
      </c>
      <c r="T25" s="302"/>
      <c r="U25" s="302"/>
      <c r="V25" s="302"/>
      <c r="W25" s="111"/>
      <c r="X25" s="253" t="s">
        <v>204</v>
      </c>
      <c r="Y25" s="253" t="s">
        <v>205</v>
      </c>
      <c r="Z25" s="108"/>
    </row>
    <row r="26" spans="1:26" ht="17.100000000000001" customHeight="1" x14ac:dyDescent="0.25">
      <c r="B26" s="294"/>
      <c r="C26" s="295"/>
      <c r="D26" s="252"/>
      <c r="E26" s="254"/>
      <c r="F26" s="293"/>
      <c r="G26" s="293"/>
      <c r="H26" s="293"/>
      <c r="I26" s="300"/>
      <c r="J26" s="296" t="s">
        <v>206</v>
      </c>
      <c r="K26" s="258"/>
      <c r="L26" s="291"/>
      <c r="M26" s="259"/>
      <c r="N26" s="306"/>
      <c r="O26" s="258"/>
      <c r="P26" s="259"/>
      <c r="Q26" s="296" t="s">
        <v>207</v>
      </c>
      <c r="R26" s="307"/>
      <c r="S26" s="307"/>
      <c r="T26" s="307"/>
      <c r="U26" s="296" t="s">
        <v>207</v>
      </c>
      <c r="V26" s="307"/>
      <c r="X26" s="293"/>
      <c r="Y26" s="293"/>
      <c r="Z26" s="170" t="s">
        <v>274</v>
      </c>
    </row>
    <row r="27" spans="1:26" ht="17.100000000000001" customHeight="1" x14ac:dyDescent="0.25">
      <c r="B27" s="294"/>
      <c r="C27" s="295"/>
      <c r="D27" s="124"/>
      <c r="E27" s="125"/>
      <c r="F27" s="293"/>
      <c r="G27" s="293"/>
      <c r="H27" s="293"/>
      <c r="I27" s="300"/>
      <c r="J27" s="297"/>
      <c r="K27" s="260"/>
      <c r="L27" s="246"/>
      <c r="M27" s="261"/>
      <c r="N27" s="306"/>
      <c r="O27" s="260"/>
      <c r="P27" s="261"/>
      <c r="Q27" s="297"/>
      <c r="R27" s="308"/>
      <c r="S27" s="308"/>
      <c r="T27" s="308"/>
      <c r="U27" s="297"/>
      <c r="V27" s="308"/>
      <c r="X27" s="293"/>
      <c r="Y27" s="293"/>
    </row>
    <row r="28" spans="1:26" ht="17.100000000000001" customHeight="1" x14ac:dyDescent="0.25">
      <c r="B28" s="282"/>
      <c r="C28" s="284"/>
      <c r="D28" s="124"/>
      <c r="E28" s="125"/>
      <c r="F28" s="254"/>
      <c r="G28" s="254"/>
      <c r="H28" s="254"/>
      <c r="I28" s="301"/>
      <c r="J28" s="298"/>
      <c r="K28" s="262"/>
      <c r="L28" s="292"/>
      <c r="M28" s="263"/>
      <c r="N28" s="306"/>
      <c r="O28" s="262"/>
      <c r="P28" s="263"/>
      <c r="Q28" s="298"/>
      <c r="R28" s="309"/>
      <c r="S28" s="309"/>
      <c r="T28" s="309"/>
      <c r="U28" s="298"/>
      <c r="V28" s="309"/>
      <c r="X28" s="254"/>
      <c r="Y28" s="254"/>
    </row>
    <row r="29" spans="1:26" ht="17.100000000000001" customHeight="1" x14ac:dyDescent="0.25">
      <c r="B29" s="255" t="s">
        <v>220</v>
      </c>
      <c r="C29" s="256"/>
      <c r="D29" s="168">
        <f>LEFT(B29,2)+0</f>
        <v>14</v>
      </c>
      <c r="E29" s="169">
        <f>MID(B29,4,3)+0</f>
        <v>20</v>
      </c>
      <c r="F29" s="169">
        <v>0.8</v>
      </c>
      <c r="G29" s="113">
        <f t="shared" ref="G29:G37" si="0">VLOOKUP(D29,X$29:Y$47,2,FALSE)</f>
        <v>1.41</v>
      </c>
      <c r="H29" s="113">
        <f t="shared" ref="H29:H37" si="1">VLOOKUP(E29,X$29:Y$47,2,FALSE)</f>
        <v>0.84099999999999997</v>
      </c>
      <c r="I29" s="129">
        <f>(G29*H29)^(1/2)</f>
        <v>1.0889490346200781</v>
      </c>
      <c r="J29" s="114">
        <f t="shared" ref="J29:J37" si="2">(F29/100)/((I29/1000)^2)</f>
        <v>6746.44335939147</v>
      </c>
      <c r="K29" s="234" t="str">
        <f>ROUND((J20*K10*((1-J19)^2)/(J19^3)*(J18*(J16/3600))/J17*((6/J15)^2)*J38),4)&amp;" m"</f>
        <v>0,562 m</v>
      </c>
      <c r="L29" s="235"/>
      <c r="M29" s="236"/>
      <c r="N29" s="100">
        <f>$J$15*(I29/1000)*($J$16/3600)/$K$10</f>
        <v>1.2817196735170411</v>
      </c>
      <c r="O29" s="228">
        <f>150*(1-$J$19)/N29+1.75</f>
        <v>66.116648733431589</v>
      </c>
      <c r="P29" s="229"/>
      <c r="Q29" s="115">
        <f t="shared" ref="Q29:Q37" si="3">O29*(F29/100)/(I29/1000)</f>
        <v>485.72814066729165</v>
      </c>
      <c r="R29" s="233" t="str">
        <f>ROUND((1/J15*(1-J19)/(J19^3)*J18*((J16/3600)^2)/J17*Q38),4)&amp; " m"</f>
        <v>0,4722 m</v>
      </c>
      <c r="S29" s="116">
        <f t="shared" ref="S29:S37" si="4">$J$21*(I29/1000)*($J$16/3600)/$K$10</f>
        <v>1.2817196735170411</v>
      </c>
      <c r="T29" s="117">
        <f>24/S29+3/(S29^(1/2))+0.34</f>
        <v>21.714714250703565</v>
      </c>
      <c r="U29" s="115">
        <f t="shared" ref="U29:U37" si="5">T29*(F29/100)/(I29/1000)</f>
        <v>159.52786446634451</v>
      </c>
      <c r="V29" s="233" t="str">
        <f>ROUND((1.067*((J16/3600)^2)*J18/(J21*J17*(J19^4))*U38),4)&amp;" m"</f>
        <v>0,6356 m</v>
      </c>
      <c r="X29" s="46">
        <v>140</v>
      </c>
      <c r="Y29" s="113">
        <v>0.105</v>
      </c>
      <c r="Z29" s="118"/>
    </row>
    <row r="30" spans="1:26" ht="17.100000000000001" customHeight="1" x14ac:dyDescent="0.25">
      <c r="B30" s="255" t="s">
        <v>221</v>
      </c>
      <c r="C30" s="256"/>
      <c r="D30" s="168">
        <f t="shared" ref="D30:D37" si="6">LEFT(B30,2)+0</f>
        <v>20</v>
      </c>
      <c r="E30" s="169">
        <f t="shared" ref="E30:E37" si="7">MID(B30,4,3)+0</f>
        <v>25</v>
      </c>
      <c r="F30" s="169">
        <v>4.25</v>
      </c>
      <c r="G30" s="113">
        <f t="shared" si="0"/>
        <v>0.84099999999999997</v>
      </c>
      <c r="H30" s="113">
        <f t="shared" si="1"/>
        <v>0.70699999999999996</v>
      </c>
      <c r="I30" s="129">
        <f t="shared" ref="I30:I37" si="8">(G30*H30)^(1/2)</f>
        <v>0.77109467641788321</v>
      </c>
      <c r="J30" s="114">
        <f t="shared" si="2"/>
        <v>71478.185698644607</v>
      </c>
      <c r="K30" s="237"/>
      <c r="L30" s="238"/>
      <c r="M30" s="239"/>
      <c r="N30" s="100">
        <f t="shared" ref="N30:N37" si="9">$J$15*(I30/1000)*($J$16/3600)/$K$10</f>
        <v>0.90759731216794171</v>
      </c>
      <c r="O30" s="228">
        <f t="shared" ref="O30:O37" si="10">150*(1-$J$19)/N30+1.75</f>
        <v>92.649343678018965</v>
      </c>
      <c r="P30" s="229"/>
      <c r="Q30" s="115">
        <f t="shared" si="3"/>
        <v>5106.5027768158061</v>
      </c>
      <c r="R30" s="233"/>
      <c r="S30" s="116">
        <f t="shared" si="4"/>
        <v>0.90759731216794171</v>
      </c>
      <c r="T30" s="117">
        <f t="shared" ref="T30:T37" si="11">24/S30+3/(S30^(1/2))+0.34</f>
        <v>29.932459888574257</v>
      </c>
      <c r="U30" s="115">
        <f t="shared" si="5"/>
        <v>1649.7708830958061</v>
      </c>
      <c r="V30" s="233"/>
      <c r="X30" s="46">
        <v>100</v>
      </c>
      <c r="Y30" s="113">
        <v>0.14899999999999999</v>
      </c>
      <c r="Z30" s="119"/>
    </row>
    <row r="31" spans="1:26" ht="17.100000000000001" customHeight="1" x14ac:dyDescent="0.25">
      <c r="B31" s="255" t="s">
        <v>222</v>
      </c>
      <c r="C31" s="256"/>
      <c r="D31" s="168">
        <f t="shared" si="6"/>
        <v>25</v>
      </c>
      <c r="E31" s="169">
        <f t="shared" si="7"/>
        <v>30</v>
      </c>
      <c r="F31" s="169">
        <v>15.02</v>
      </c>
      <c r="G31" s="113">
        <f t="shared" si="0"/>
        <v>0.70699999999999996</v>
      </c>
      <c r="H31" s="113">
        <f t="shared" si="1"/>
        <v>0.59499999999999997</v>
      </c>
      <c r="I31" s="129">
        <f t="shared" si="8"/>
        <v>0.64858692555431607</v>
      </c>
      <c r="J31" s="114">
        <f t="shared" si="2"/>
        <v>357053.7125741386</v>
      </c>
      <c r="K31" s="237"/>
      <c r="L31" s="238"/>
      <c r="M31" s="239"/>
      <c r="N31" s="100">
        <f t="shared" si="9"/>
        <v>0.76340269015338524</v>
      </c>
      <c r="O31" s="228">
        <f t="shared" si="10"/>
        <v>109.81878344039349</v>
      </c>
      <c r="P31" s="229"/>
      <c r="Q31" s="115">
        <f t="shared" si="3"/>
        <v>25431.874468714897</v>
      </c>
      <c r="R31" s="233"/>
      <c r="S31" s="116">
        <f t="shared" si="4"/>
        <v>0.76340269015338524</v>
      </c>
      <c r="T31" s="117">
        <f t="shared" si="11"/>
        <v>35.211749734220462</v>
      </c>
      <c r="U31" s="115">
        <f t="shared" si="5"/>
        <v>8154.3500211013752</v>
      </c>
      <c r="V31" s="233"/>
      <c r="X31" s="46">
        <v>80</v>
      </c>
      <c r="Y31" s="113">
        <v>0.17699999999999999</v>
      </c>
      <c r="Z31" s="119"/>
    </row>
    <row r="32" spans="1:26" ht="17.100000000000001" customHeight="1" x14ac:dyDescent="0.25">
      <c r="B32" s="255" t="s">
        <v>228</v>
      </c>
      <c r="C32" s="256"/>
      <c r="D32" s="168">
        <f t="shared" si="6"/>
        <v>30</v>
      </c>
      <c r="E32" s="169">
        <f t="shared" si="7"/>
        <v>35</v>
      </c>
      <c r="F32" s="169">
        <v>16.649999999999999</v>
      </c>
      <c r="G32" s="113">
        <f t="shared" si="0"/>
        <v>0.59499999999999997</v>
      </c>
      <c r="H32" s="113">
        <f t="shared" si="1"/>
        <v>0.5</v>
      </c>
      <c r="I32" s="129">
        <f t="shared" si="8"/>
        <v>0.54543560573178573</v>
      </c>
      <c r="J32" s="114">
        <f t="shared" si="2"/>
        <v>559663.86554621835</v>
      </c>
      <c r="K32" s="237"/>
      <c r="L32" s="238"/>
      <c r="M32" s="239"/>
      <c r="N32" s="100">
        <f t="shared" si="9"/>
        <v>0.64199106136038808</v>
      </c>
      <c r="O32" s="228">
        <f t="shared" si="10"/>
        <v>130.25646210740277</v>
      </c>
      <c r="P32" s="229"/>
      <c r="Q32" s="115">
        <f t="shared" si="3"/>
        <v>39762.165713008726</v>
      </c>
      <c r="R32" s="233"/>
      <c r="S32" s="116">
        <f t="shared" si="4"/>
        <v>0.64199106136038808</v>
      </c>
      <c r="T32" s="117">
        <f t="shared" si="11"/>
        <v>41.467878455270117</v>
      </c>
      <c r="U32" s="115">
        <f t="shared" si="5"/>
        <v>12658.509437679921</v>
      </c>
      <c r="V32" s="233"/>
      <c r="X32" s="46">
        <v>70</v>
      </c>
      <c r="Y32" s="113">
        <v>0.21</v>
      </c>
      <c r="Z32" s="119"/>
    </row>
    <row r="33" spans="2:26" ht="17.100000000000001" customHeight="1" x14ac:dyDescent="0.25">
      <c r="B33" s="255" t="s">
        <v>223</v>
      </c>
      <c r="C33" s="256"/>
      <c r="D33" s="168">
        <f t="shared" si="6"/>
        <v>35</v>
      </c>
      <c r="E33" s="169">
        <f t="shared" si="7"/>
        <v>40</v>
      </c>
      <c r="F33" s="169">
        <v>18.010000000000002</v>
      </c>
      <c r="G33" s="113">
        <f t="shared" si="0"/>
        <v>0.5</v>
      </c>
      <c r="H33" s="113">
        <f t="shared" si="1"/>
        <v>0.4</v>
      </c>
      <c r="I33" s="129">
        <f t="shared" si="8"/>
        <v>0.44721359549995793</v>
      </c>
      <c r="J33" s="114">
        <f t="shared" si="2"/>
        <v>900500</v>
      </c>
      <c r="K33" s="237"/>
      <c r="L33" s="238"/>
      <c r="M33" s="239"/>
      <c r="N33" s="100">
        <f t="shared" si="9"/>
        <v>0.5263813506355437</v>
      </c>
      <c r="O33" s="228">
        <f t="shared" si="10"/>
        <v>158.48047667891527</v>
      </c>
      <c r="P33" s="229"/>
      <c r="Q33" s="115">
        <f t="shared" si="3"/>
        <v>63822.5987248085</v>
      </c>
      <c r="R33" s="233"/>
      <c r="S33" s="116">
        <f t="shared" si="4"/>
        <v>0.5263813506355437</v>
      </c>
      <c r="T33" s="117">
        <f t="shared" si="11"/>
        <v>50.069277584096554</v>
      </c>
      <c r="U33" s="115">
        <f t="shared" si="5"/>
        <v>20163.691318048575</v>
      </c>
      <c r="V33" s="233"/>
      <c r="X33" s="46">
        <v>60</v>
      </c>
      <c r="Y33" s="113">
        <v>0.25</v>
      </c>
      <c r="Z33" s="119"/>
    </row>
    <row r="34" spans="2:26" ht="17.100000000000001" customHeight="1" x14ac:dyDescent="0.25">
      <c r="B34" s="255" t="s">
        <v>224</v>
      </c>
      <c r="C34" s="256"/>
      <c r="D34" s="168">
        <f t="shared" si="6"/>
        <v>40</v>
      </c>
      <c r="E34" s="169">
        <f t="shared" si="7"/>
        <v>50</v>
      </c>
      <c r="F34" s="169">
        <v>18.25</v>
      </c>
      <c r="G34" s="113">
        <f t="shared" si="0"/>
        <v>0.4</v>
      </c>
      <c r="H34" s="113">
        <f t="shared" si="1"/>
        <v>0.29699999999999999</v>
      </c>
      <c r="I34" s="129">
        <f t="shared" si="8"/>
        <v>0.34467375879228174</v>
      </c>
      <c r="J34" s="114">
        <f t="shared" si="2"/>
        <v>1536195.2861952859</v>
      </c>
      <c r="K34" s="237"/>
      <c r="L34" s="238"/>
      <c r="M34" s="239"/>
      <c r="N34" s="100">
        <f t="shared" si="9"/>
        <v>0.40568945243912641</v>
      </c>
      <c r="O34" s="228">
        <f t="shared" si="10"/>
        <v>205.10751768744618</v>
      </c>
      <c r="P34" s="229"/>
      <c r="Q34" s="115">
        <f t="shared" si="3"/>
        <v>108601.60085618083</v>
      </c>
      <c r="R34" s="233"/>
      <c r="S34" s="116">
        <f t="shared" si="4"/>
        <v>0.40568945243912641</v>
      </c>
      <c r="T34" s="117">
        <f t="shared" si="11"/>
        <v>64.208588442188386</v>
      </c>
      <c r="U34" s="115">
        <f t="shared" si="5"/>
        <v>33997.561728397472</v>
      </c>
      <c r="V34" s="233"/>
      <c r="W34" s="120"/>
      <c r="X34" s="46">
        <v>50</v>
      </c>
      <c r="Y34" s="113">
        <v>0.29699999999999999</v>
      </c>
      <c r="Z34" s="119"/>
    </row>
    <row r="35" spans="2:26" ht="17.100000000000001" customHeight="1" x14ac:dyDescent="0.25">
      <c r="B35" s="255" t="s">
        <v>225</v>
      </c>
      <c r="C35" s="256"/>
      <c r="D35" s="168">
        <f t="shared" si="6"/>
        <v>50</v>
      </c>
      <c r="E35" s="169">
        <f t="shared" si="7"/>
        <v>60</v>
      </c>
      <c r="F35" s="169">
        <v>15.65</v>
      </c>
      <c r="G35" s="113">
        <f t="shared" si="0"/>
        <v>0.29699999999999999</v>
      </c>
      <c r="H35" s="113">
        <f t="shared" si="1"/>
        <v>0.25</v>
      </c>
      <c r="I35" s="129">
        <f t="shared" si="8"/>
        <v>0.27248853186877425</v>
      </c>
      <c r="J35" s="114">
        <f t="shared" si="2"/>
        <v>2107744.1077441075</v>
      </c>
      <c r="K35" s="237"/>
      <c r="L35" s="238"/>
      <c r="M35" s="239"/>
      <c r="N35" s="100">
        <f t="shared" si="9"/>
        <v>0.32072567310354783</v>
      </c>
      <c r="O35" s="228">
        <f t="shared" si="10"/>
        <v>258.97917408412292</v>
      </c>
      <c r="P35" s="229"/>
      <c r="Q35" s="115">
        <f t="shared" si="3"/>
        <v>148741.08817057993</v>
      </c>
      <c r="R35" s="233"/>
      <c r="S35" s="116">
        <f t="shared" si="4"/>
        <v>0.32072567310354783</v>
      </c>
      <c r="T35" s="117">
        <f t="shared" si="11"/>
        <v>80.467603031871917</v>
      </c>
      <c r="U35" s="115">
        <f t="shared" si="5"/>
        <v>46215.44909843256</v>
      </c>
      <c r="V35" s="233"/>
      <c r="W35" s="120"/>
      <c r="X35" s="46">
        <v>45</v>
      </c>
      <c r="Y35" s="113">
        <v>0.35399999999999998</v>
      </c>
      <c r="Z35" s="119"/>
    </row>
    <row r="36" spans="2:26" ht="17.100000000000001" customHeight="1" x14ac:dyDescent="0.25">
      <c r="B36" s="255" t="s">
        <v>226</v>
      </c>
      <c r="C36" s="256"/>
      <c r="D36" s="168">
        <f t="shared" si="6"/>
        <v>60</v>
      </c>
      <c r="E36" s="169">
        <f t="shared" si="7"/>
        <v>70</v>
      </c>
      <c r="F36" s="169">
        <v>9.3000000000000007</v>
      </c>
      <c r="G36" s="113">
        <f t="shared" si="0"/>
        <v>0.25</v>
      </c>
      <c r="H36" s="113">
        <f t="shared" si="1"/>
        <v>0.21</v>
      </c>
      <c r="I36" s="129">
        <f t="shared" si="8"/>
        <v>0.229128784747792</v>
      </c>
      <c r="J36" s="114">
        <f t="shared" si="2"/>
        <v>1771428.5714285716</v>
      </c>
      <c r="K36" s="237"/>
      <c r="L36" s="238"/>
      <c r="M36" s="239"/>
      <c r="N36" s="100">
        <f t="shared" si="9"/>
        <v>0.26969018920408666</v>
      </c>
      <c r="O36" s="228">
        <f t="shared" si="10"/>
        <v>307.65656724842353</v>
      </c>
      <c r="P36" s="229"/>
      <c r="Q36" s="115">
        <f t="shared" si="3"/>
        <v>124873.2706612896</v>
      </c>
      <c r="R36" s="233"/>
      <c r="S36" s="116">
        <f t="shared" si="4"/>
        <v>0.26969018920408666</v>
      </c>
      <c r="T36" s="117">
        <f t="shared" si="11"/>
        <v>95.107819321887888</v>
      </c>
      <c r="U36" s="115">
        <f t="shared" si="5"/>
        <v>38602.863479905092</v>
      </c>
      <c r="V36" s="233"/>
      <c r="W36" s="120"/>
      <c r="X36" s="46">
        <v>40</v>
      </c>
      <c r="Y36" s="113">
        <v>0.4</v>
      </c>
      <c r="Z36" s="119"/>
    </row>
    <row r="37" spans="2:26" ht="17.100000000000001" customHeight="1" x14ac:dyDescent="0.25">
      <c r="B37" s="255" t="s">
        <v>227</v>
      </c>
      <c r="C37" s="256"/>
      <c r="D37" s="168">
        <f t="shared" si="6"/>
        <v>70</v>
      </c>
      <c r="E37" s="169">
        <f t="shared" si="7"/>
        <v>100</v>
      </c>
      <c r="F37" s="169">
        <v>2.0699999999999998</v>
      </c>
      <c r="G37" s="113">
        <f t="shared" si="0"/>
        <v>0.21</v>
      </c>
      <c r="H37" s="113">
        <f t="shared" si="1"/>
        <v>0.14899999999999999</v>
      </c>
      <c r="I37" s="129">
        <f t="shared" si="8"/>
        <v>0.17688979620091147</v>
      </c>
      <c r="J37" s="114">
        <f t="shared" si="2"/>
        <v>661553.21188878256</v>
      </c>
      <c r="K37" s="240"/>
      <c r="L37" s="241"/>
      <c r="M37" s="242"/>
      <c r="N37" s="100">
        <f t="shared" si="9"/>
        <v>0.20820362076378471</v>
      </c>
      <c r="O37" s="228">
        <f t="shared" si="10"/>
        <v>397.99671125964488</v>
      </c>
      <c r="P37" s="229"/>
      <c r="Q37" s="115">
        <f t="shared" si="3"/>
        <v>46574.376250155903</v>
      </c>
      <c r="R37" s="233"/>
      <c r="S37" s="116">
        <f t="shared" si="4"/>
        <v>0.20820362076378471</v>
      </c>
      <c r="T37" s="117">
        <f t="shared" si="11"/>
        <v>122.18648833350386</v>
      </c>
      <c r="U37" s="115">
        <f t="shared" si="5"/>
        <v>14298.508805057332</v>
      </c>
      <c r="V37" s="233"/>
      <c r="W37" s="120"/>
      <c r="X37" s="46">
        <v>35</v>
      </c>
      <c r="Y37" s="113">
        <v>0.5</v>
      </c>
      <c r="Z37" s="119"/>
    </row>
    <row r="38" spans="2:26" ht="17.100000000000001" customHeight="1" x14ac:dyDescent="0.25">
      <c r="B38" s="5"/>
      <c r="C38" s="5"/>
      <c r="D38" s="127"/>
      <c r="E38" s="78"/>
      <c r="F38" s="128">
        <f>SUM(F29:F37)</f>
        <v>100</v>
      </c>
      <c r="G38" s="128"/>
      <c r="H38" s="5"/>
      <c r="I38" s="120"/>
      <c r="J38" s="250">
        <f>SUM(J29:J37)</f>
        <v>7972363.3844351405</v>
      </c>
      <c r="K38" s="120"/>
      <c r="L38" s="120"/>
      <c r="M38" s="120"/>
      <c r="N38" s="120"/>
      <c r="O38" s="120"/>
      <c r="P38" s="120"/>
      <c r="Q38" s="251">
        <f>SUM(Q29:Q37)</f>
        <v>563399.20576222148</v>
      </c>
      <c r="R38" s="120"/>
      <c r="S38" s="120"/>
      <c r="T38" s="120"/>
      <c r="U38" s="230">
        <f>SUM(U29:U37)</f>
        <v>175900.23263618446</v>
      </c>
      <c r="V38" s="120"/>
      <c r="W38" s="120"/>
      <c r="X38" s="46">
        <v>30</v>
      </c>
      <c r="Y38" s="113">
        <v>0.59499999999999997</v>
      </c>
      <c r="Z38" s="119"/>
    </row>
    <row r="39" spans="2:26" ht="17.100000000000001" customHeight="1" x14ac:dyDescent="0.25">
      <c r="B39" s="5"/>
      <c r="C39" s="5"/>
      <c r="D39" s="5"/>
      <c r="E39" s="5"/>
      <c r="F39" s="5"/>
      <c r="G39" s="5"/>
      <c r="H39" s="5"/>
      <c r="I39" s="120"/>
      <c r="J39" s="251"/>
      <c r="K39" s="120"/>
      <c r="L39" s="120"/>
      <c r="M39" s="120"/>
      <c r="N39" s="120"/>
      <c r="O39" s="120"/>
      <c r="P39" s="120"/>
      <c r="Q39" s="251"/>
      <c r="R39" s="120"/>
      <c r="S39" s="120"/>
      <c r="T39" s="120"/>
      <c r="U39" s="231"/>
      <c r="V39" s="120"/>
      <c r="W39" s="120"/>
      <c r="X39" s="46">
        <v>25</v>
      </c>
      <c r="Y39" s="113">
        <v>0.70699999999999996</v>
      </c>
      <c r="Z39" s="119"/>
    </row>
    <row r="40" spans="2:26" ht="17.100000000000001" customHeight="1" x14ac:dyDescent="0.25">
      <c r="B40" s="122"/>
      <c r="C40" s="122"/>
      <c r="D40" s="126"/>
      <c r="E40" s="122"/>
      <c r="F40" s="122"/>
      <c r="G40" s="122"/>
      <c r="H40" s="122"/>
      <c r="I40" s="120"/>
      <c r="J40" s="251"/>
      <c r="K40" s="6"/>
      <c r="L40" s="6"/>
      <c r="M40" s="6">
        <v>0.56200000000000006</v>
      </c>
      <c r="N40" s="120"/>
      <c r="O40" s="120"/>
      <c r="P40" s="120"/>
      <c r="Q40" s="251"/>
      <c r="R40" s="6"/>
      <c r="S40" s="120"/>
      <c r="T40" s="120"/>
      <c r="U40" s="232"/>
      <c r="V40" s="6" t="str">
        <f>V29</f>
        <v>0,6356 m</v>
      </c>
      <c r="W40" s="120"/>
      <c r="X40" s="46">
        <v>20</v>
      </c>
      <c r="Y40" s="113">
        <v>0.84099999999999997</v>
      </c>
      <c r="Z40" s="119"/>
    </row>
    <row r="41" spans="2:26" s="143" customFormat="1" ht="17.100000000000001" customHeight="1" x14ac:dyDescent="0.25">
      <c r="B41" s="5"/>
      <c r="C41" s="5"/>
      <c r="D41" s="139"/>
      <c r="E41" s="5"/>
      <c r="F41" s="5"/>
      <c r="G41" s="5"/>
      <c r="H41" s="5"/>
      <c r="I41" s="120"/>
      <c r="J41" s="5"/>
      <c r="K41" s="6"/>
      <c r="L41" s="6"/>
      <c r="M41" s="6"/>
      <c r="N41" s="120"/>
      <c r="O41" s="120"/>
      <c r="P41" s="120"/>
      <c r="Q41" s="5"/>
      <c r="R41" s="6" t="str">
        <f>R29</f>
        <v>0,4722 m</v>
      </c>
      <c r="S41" s="120"/>
      <c r="T41" s="120"/>
      <c r="U41" s="5"/>
      <c r="V41" s="6" t="s">
        <v>245</v>
      </c>
      <c r="W41" s="120"/>
      <c r="X41" s="46">
        <v>18</v>
      </c>
      <c r="Y41" s="113">
        <v>1</v>
      </c>
      <c r="Z41" s="119"/>
    </row>
    <row r="42" spans="2:26" s="143" customFormat="1" ht="17.100000000000001" customHeight="1" x14ac:dyDescent="0.25">
      <c r="B42" s="109" t="s">
        <v>242</v>
      </c>
      <c r="C42" s="5"/>
      <c r="D42" s="139"/>
      <c r="E42" s="5"/>
      <c r="F42" s="5"/>
      <c r="G42" s="5"/>
      <c r="H42" s="5"/>
      <c r="I42" s="120"/>
      <c r="J42" s="5"/>
      <c r="K42" s="6"/>
      <c r="L42" s="6"/>
      <c r="M42" s="6"/>
      <c r="N42" s="120"/>
      <c r="O42" s="120"/>
      <c r="P42" s="120"/>
      <c r="Q42" s="5"/>
      <c r="R42" s="6" t="s">
        <v>244</v>
      </c>
      <c r="S42" s="120"/>
      <c r="T42" s="120"/>
      <c r="U42" s="5"/>
      <c r="V42" s="6">
        <v>0.63560000000000005</v>
      </c>
      <c r="W42" s="120"/>
      <c r="X42" s="46">
        <v>14</v>
      </c>
      <c r="Y42" s="113">
        <v>1.41</v>
      </c>
      <c r="Z42" s="119"/>
    </row>
    <row r="43" spans="2:26" s="143" customFormat="1" ht="17.100000000000001" customHeight="1" x14ac:dyDescent="0.25">
      <c r="B43" s="279" t="s">
        <v>219</v>
      </c>
      <c r="C43" s="281"/>
      <c r="D43" s="136"/>
      <c r="E43" s="95"/>
      <c r="F43" s="253" t="s">
        <v>246</v>
      </c>
      <c r="G43" s="253" t="s">
        <v>243</v>
      </c>
      <c r="H43" s="312" t="s">
        <v>258</v>
      </c>
      <c r="I43" s="313"/>
      <c r="J43" s="312" t="s">
        <v>257</v>
      </c>
      <c r="K43" s="313"/>
      <c r="L43" s="6"/>
      <c r="M43" s="6"/>
      <c r="N43" s="120"/>
      <c r="O43" s="120"/>
      <c r="P43" s="120"/>
      <c r="Q43" s="5"/>
      <c r="R43" s="6" t="s">
        <v>265</v>
      </c>
      <c r="S43" s="120"/>
      <c r="T43" s="120"/>
      <c r="U43" s="5"/>
      <c r="V43" s="6"/>
      <c r="W43" s="120"/>
      <c r="X43" s="46">
        <v>12</v>
      </c>
      <c r="Y43" s="113">
        <v>1.68</v>
      </c>
      <c r="Z43" s="119"/>
    </row>
    <row r="44" spans="2:26" s="143" customFormat="1" ht="17.100000000000001" customHeight="1" x14ac:dyDescent="0.25">
      <c r="B44" s="294"/>
      <c r="C44" s="295"/>
      <c r="D44" s="136"/>
      <c r="E44" s="95"/>
      <c r="F44" s="293"/>
      <c r="G44" s="293"/>
      <c r="H44" s="253" t="s">
        <v>205</v>
      </c>
      <c r="I44" s="253" t="s">
        <v>249</v>
      </c>
      <c r="J44" s="253" t="s">
        <v>205</v>
      </c>
      <c r="K44" s="253" t="s">
        <v>249</v>
      </c>
      <c r="L44" s="6"/>
      <c r="M44" s="6"/>
      <c r="N44" s="120"/>
      <c r="O44" s="120"/>
      <c r="P44" s="120"/>
      <c r="Q44" s="5"/>
      <c r="R44" s="6"/>
      <c r="S44" s="120"/>
      <c r="T44" s="120"/>
      <c r="U44" s="5"/>
      <c r="V44" s="6"/>
      <c r="W44" s="120"/>
      <c r="X44" s="46">
        <v>8</v>
      </c>
      <c r="Y44" s="113">
        <v>2.38</v>
      </c>
      <c r="Z44" s="119"/>
    </row>
    <row r="45" spans="2:26" s="143" customFormat="1" ht="17.100000000000001" customHeight="1" x14ac:dyDescent="0.25">
      <c r="B45" s="294"/>
      <c r="C45" s="295"/>
      <c r="D45" s="136"/>
      <c r="E45" s="146"/>
      <c r="F45" s="293"/>
      <c r="G45" s="293"/>
      <c r="H45" s="293"/>
      <c r="I45" s="293"/>
      <c r="J45" s="293"/>
      <c r="K45" s="293"/>
      <c r="L45" s="6"/>
      <c r="M45" s="6"/>
      <c r="N45" s="120"/>
      <c r="O45" s="120"/>
      <c r="P45" s="120"/>
      <c r="Q45" s="145"/>
      <c r="R45" s="6"/>
      <c r="S45" s="120"/>
      <c r="T45" s="120"/>
      <c r="U45" s="145"/>
      <c r="V45" s="6"/>
      <c r="W45" s="120"/>
      <c r="X45" s="46"/>
      <c r="Y45" s="113"/>
      <c r="Z45" s="119"/>
    </row>
    <row r="46" spans="2:26" s="143" customFormat="1" ht="17.100000000000001" customHeight="1" x14ac:dyDescent="0.25">
      <c r="B46" s="282"/>
      <c r="C46" s="284"/>
      <c r="D46" s="136"/>
      <c r="E46" s="95"/>
      <c r="F46" s="254"/>
      <c r="G46" s="254"/>
      <c r="H46" s="254"/>
      <c r="I46" s="254"/>
      <c r="J46" s="254"/>
      <c r="K46" s="254"/>
      <c r="L46" s="6"/>
      <c r="M46" s="6"/>
      <c r="N46" s="120"/>
      <c r="O46" s="120"/>
      <c r="P46" s="120"/>
      <c r="Q46" s="5"/>
      <c r="R46" s="6"/>
      <c r="S46" s="120"/>
      <c r="T46" s="120"/>
      <c r="U46" s="5"/>
      <c r="V46" s="6"/>
      <c r="W46" s="120"/>
      <c r="X46" s="46">
        <v>6</v>
      </c>
      <c r="Y46" s="113">
        <v>3.35</v>
      </c>
      <c r="Z46" s="119"/>
    </row>
    <row r="47" spans="2:26" s="143" customFormat="1" ht="17.100000000000001" customHeight="1" x14ac:dyDescent="0.25">
      <c r="B47" s="270" t="str">
        <f t="shared" ref="B47:B55" si="12">B29</f>
        <v>14-20</v>
      </c>
      <c r="C47" s="271"/>
      <c r="D47" s="136"/>
      <c r="E47" s="95"/>
      <c r="F47" s="136">
        <f t="shared" ref="F47:F55" si="13">F29</f>
        <v>0.8</v>
      </c>
      <c r="G47" s="137">
        <f>MID(B47,4,3)+0</f>
        <v>20</v>
      </c>
      <c r="H47" s="147">
        <f t="shared" ref="H47:H55" si="14">VLOOKUP(G47,X$29:Y$46,2,FALSE)</f>
        <v>0.84099999999999997</v>
      </c>
      <c r="I47" s="153">
        <f>SUM(F$47:F$55)-SUM(F$47:F47)</f>
        <v>99.2</v>
      </c>
      <c r="J47" s="138">
        <f>H55</f>
        <v>0.14899999999999999</v>
      </c>
      <c r="K47" s="153">
        <f>I55</f>
        <v>0</v>
      </c>
      <c r="L47" s="6"/>
      <c r="M47" s="6"/>
      <c r="N47" s="120"/>
      <c r="O47" s="120"/>
      <c r="P47" s="120"/>
      <c r="Q47" s="5"/>
      <c r="R47" s="6"/>
      <c r="S47" s="120"/>
      <c r="T47" s="120"/>
      <c r="U47" s="5"/>
      <c r="V47" s="6"/>
      <c r="W47" s="120"/>
      <c r="X47" s="46">
        <v>4</v>
      </c>
      <c r="Y47" s="113">
        <v>4.76</v>
      </c>
      <c r="Z47" s="119"/>
    </row>
    <row r="48" spans="2:26" s="143" customFormat="1" ht="17.100000000000001" customHeight="1" x14ac:dyDescent="0.25">
      <c r="B48" s="270" t="str">
        <f t="shared" si="12"/>
        <v>20-25</v>
      </c>
      <c r="C48" s="271"/>
      <c r="D48" s="136"/>
      <c r="E48" s="95"/>
      <c r="F48" s="136">
        <f t="shared" si="13"/>
        <v>4.25</v>
      </c>
      <c r="G48" s="137">
        <f t="shared" ref="G48:G55" si="15">MID(B48,4,3)+0</f>
        <v>25</v>
      </c>
      <c r="H48" s="147">
        <f t="shared" si="14"/>
        <v>0.70699999999999996</v>
      </c>
      <c r="I48" s="153">
        <f>SUM(F$47:F$55)-SUM(F$47:F48)</f>
        <v>94.95</v>
      </c>
      <c r="J48" s="138">
        <f>H54</f>
        <v>0.21</v>
      </c>
      <c r="K48" s="153">
        <f>I54</f>
        <v>2.0699999999999932</v>
      </c>
      <c r="L48" s="6"/>
      <c r="M48" s="6"/>
      <c r="N48" s="120"/>
      <c r="O48" s="120"/>
      <c r="P48" s="120"/>
      <c r="Q48" s="5"/>
      <c r="R48" s="6"/>
      <c r="S48" s="120"/>
      <c r="T48" s="120"/>
      <c r="U48" s="5"/>
      <c r="V48" s="6"/>
      <c r="W48" s="120"/>
      <c r="X48" s="77"/>
      <c r="Y48" s="144"/>
      <c r="Z48" s="119"/>
    </row>
    <row r="49" spans="2:26" s="143" customFormat="1" ht="17.100000000000001" customHeight="1" x14ac:dyDescent="0.25">
      <c r="B49" s="270" t="str">
        <f t="shared" si="12"/>
        <v>25-30</v>
      </c>
      <c r="C49" s="271"/>
      <c r="D49" s="136"/>
      <c r="E49" s="95"/>
      <c r="F49" s="136">
        <f t="shared" si="13"/>
        <v>15.02</v>
      </c>
      <c r="G49" s="137">
        <f t="shared" si="15"/>
        <v>30</v>
      </c>
      <c r="H49" s="147">
        <f t="shared" si="14"/>
        <v>0.59499999999999997</v>
      </c>
      <c r="I49" s="153">
        <f>SUM(F$47:F$55)-SUM(F$47:F49)</f>
        <v>79.930000000000007</v>
      </c>
      <c r="J49" s="138">
        <f>H53</f>
        <v>0.25</v>
      </c>
      <c r="K49" s="153">
        <f>I53</f>
        <v>11.36999999999999</v>
      </c>
      <c r="L49" s="6"/>
      <c r="M49" s="6"/>
      <c r="N49" s="120"/>
      <c r="O49" s="120"/>
      <c r="P49" s="120"/>
      <c r="Q49" s="5"/>
      <c r="R49" s="6"/>
      <c r="S49" s="120"/>
      <c r="T49" s="120"/>
      <c r="U49" s="5"/>
      <c r="V49" s="6"/>
      <c r="W49" s="120"/>
      <c r="X49" s="77"/>
      <c r="Y49" s="144"/>
      <c r="Z49" s="119"/>
    </row>
    <row r="50" spans="2:26" s="143" customFormat="1" ht="17.100000000000001" customHeight="1" x14ac:dyDescent="0.25">
      <c r="B50" s="270" t="str">
        <f t="shared" si="12"/>
        <v>30-35</v>
      </c>
      <c r="C50" s="271"/>
      <c r="D50" s="136"/>
      <c r="E50" s="95"/>
      <c r="F50" s="136">
        <f t="shared" si="13"/>
        <v>16.649999999999999</v>
      </c>
      <c r="G50" s="137">
        <f t="shared" si="15"/>
        <v>35</v>
      </c>
      <c r="H50" s="147">
        <f t="shared" si="14"/>
        <v>0.5</v>
      </c>
      <c r="I50" s="153">
        <f>SUM(F$47:F$55)-SUM(F$47:F50)</f>
        <v>63.28</v>
      </c>
      <c r="J50" s="138">
        <f>H52</f>
        <v>0.29699999999999999</v>
      </c>
      <c r="K50" s="153">
        <f>I52</f>
        <v>27.019999999999996</v>
      </c>
      <c r="L50" s="6"/>
      <c r="M50" s="6"/>
      <c r="N50" s="120"/>
      <c r="O50" s="120"/>
      <c r="P50" s="120"/>
      <c r="Q50" s="5"/>
      <c r="R50" s="6"/>
      <c r="S50" s="120"/>
      <c r="T50" s="120"/>
      <c r="U50" s="5"/>
      <c r="V50" s="6"/>
      <c r="W50" s="120"/>
      <c r="X50" s="77"/>
      <c r="Y50" s="144"/>
      <c r="Z50" s="119"/>
    </row>
    <row r="51" spans="2:26" s="143" customFormat="1" ht="17.100000000000001" customHeight="1" x14ac:dyDescent="0.25">
      <c r="B51" s="270" t="str">
        <f t="shared" si="12"/>
        <v>35-40</v>
      </c>
      <c r="C51" s="271"/>
      <c r="D51" s="136"/>
      <c r="E51" s="95"/>
      <c r="F51" s="136">
        <f t="shared" si="13"/>
        <v>18.010000000000002</v>
      </c>
      <c r="G51" s="137">
        <f t="shared" si="15"/>
        <v>40</v>
      </c>
      <c r="H51" s="147">
        <f t="shared" si="14"/>
        <v>0.4</v>
      </c>
      <c r="I51" s="153">
        <f>SUM(F$47:F$55)-SUM(F$47:F51)</f>
        <v>45.269999999999996</v>
      </c>
      <c r="J51" s="138">
        <f>H51</f>
        <v>0.4</v>
      </c>
      <c r="K51" s="153">
        <f>I51</f>
        <v>45.269999999999996</v>
      </c>
      <c r="L51" s="6"/>
      <c r="M51" s="6"/>
      <c r="N51" s="120"/>
      <c r="O51" s="120"/>
      <c r="P51" s="120"/>
      <c r="Q51" s="5"/>
      <c r="R51" s="6"/>
      <c r="S51" s="120"/>
      <c r="T51" s="120"/>
      <c r="U51" s="5"/>
      <c r="V51" s="6"/>
      <c r="W51" s="120"/>
      <c r="X51" s="77"/>
      <c r="Y51" s="144"/>
      <c r="Z51" s="119"/>
    </row>
    <row r="52" spans="2:26" s="143" customFormat="1" ht="17.100000000000001" customHeight="1" x14ac:dyDescent="0.25">
      <c r="B52" s="270" t="str">
        <f t="shared" si="12"/>
        <v>40-50</v>
      </c>
      <c r="C52" s="271"/>
      <c r="D52" s="136"/>
      <c r="E52" s="95"/>
      <c r="F52" s="136">
        <f t="shared" si="13"/>
        <v>18.25</v>
      </c>
      <c r="G52" s="137">
        <f t="shared" si="15"/>
        <v>50</v>
      </c>
      <c r="H52" s="147">
        <f t="shared" si="14"/>
        <v>0.29699999999999999</v>
      </c>
      <c r="I52" s="153">
        <f>SUM(F$47:F$55)-SUM(F$47:F52)</f>
        <v>27.019999999999996</v>
      </c>
      <c r="J52" s="138">
        <f>H50</f>
        <v>0.5</v>
      </c>
      <c r="K52" s="153">
        <f>I50</f>
        <v>63.28</v>
      </c>
      <c r="L52" s="6"/>
      <c r="M52" s="6"/>
      <c r="N52" s="120"/>
      <c r="O52" s="120"/>
      <c r="P52" s="120"/>
      <c r="Q52" s="5"/>
      <c r="R52" s="6"/>
      <c r="S52" s="120"/>
      <c r="T52" s="120"/>
      <c r="U52" s="5"/>
      <c r="V52" s="6"/>
      <c r="W52" s="120"/>
      <c r="X52" s="77"/>
      <c r="Y52" s="144"/>
      <c r="Z52" s="119"/>
    </row>
    <row r="53" spans="2:26" s="143" customFormat="1" ht="17.100000000000001" customHeight="1" x14ac:dyDescent="0.25">
      <c r="B53" s="270" t="str">
        <f t="shared" si="12"/>
        <v>50-60</v>
      </c>
      <c r="C53" s="271"/>
      <c r="D53" s="136"/>
      <c r="E53" s="95"/>
      <c r="F53" s="136">
        <f t="shared" si="13"/>
        <v>15.65</v>
      </c>
      <c r="G53" s="137">
        <f t="shared" si="15"/>
        <v>60</v>
      </c>
      <c r="H53" s="147">
        <f t="shared" si="14"/>
        <v>0.25</v>
      </c>
      <c r="I53" s="153">
        <f>SUM(F$47:F$55)-SUM(F$47:F53)</f>
        <v>11.36999999999999</v>
      </c>
      <c r="J53" s="138">
        <f>H49</f>
        <v>0.59499999999999997</v>
      </c>
      <c r="K53" s="153">
        <f>I49</f>
        <v>79.930000000000007</v>
      </c>
      <c r="L53" s="6"/>
      <c r="M53" s="6"/>
      <c r="N53" s="120"/>
      <c r="O53" s="120"/>
      <c r="P53" s="120"/>
      <c r="Q53" s="5"/>
      <c r="R53" s="6"/>
      <c r="S53" s="120"/>
      <c r="T53" s="120"/>
      <c r="U53" s="5"/>
      <c r="V53" s="6"/>
      <c r="W53" s="120"/>
      <c r="X53" s="77"/>
      <c r="Y53" s="144"/>
      <c r="Z53" s="119"/>
    </row>
    <row r="54" spans="2:26" s="143" customFormat="1" ht="17.100000000000001" customHeight="1" x14ac:dyDescent="0.25">
      <c r="B54" s="270" t="str">
        <f t="shared" si="12"/>
        <v>60-70</v>
      </c>
      <c r="C54" s="271"/>
      <c r="D54" s="136"/>
      <c r="E54" s="95"/>
      <c r="F54" s="136">
        <f t="shared" si="13"/>
        <v>9.3000000000000007</v>
      </c>
      <c r="G54" s="137">
        <f t="shared" si="15"/>
        <v>70</v>
      </c>
      <c r="H54" s="147">
        <f t="shared" si="14"/>
        <v>0.21</v>
      </c>
      <c r="I54" s="153">
        <f>SUM(F$47:F$55)-SUM(F$47:F54)</f>
        <v>2.0699999999999932</v>
      </c>
      <c r="J54" s="138">
        <f>H48</f>
        <v>0.70699999999999996</v>
      </c>
      <c r="K54" s="153">
        <f>I48</f>
        <v>94.95</v>
      </c>
      <c r="L54" s="6"/>
      <c r="M54" s="6"/>
      <c r="N54" s="120"/>
      <c r="O54" s="120"/>
      <c r="P54" s="120"/>
      <c r="Q54" s="5"/>
      <c r="R54" s="6"/>
      <c r="S54" s="120"/>
      <c r="T54" s="120"/>
      <c r="U54" s="5"/>
      <c r="V54" s="6"/>
      <c r="W54" s="120"/>
      <c r="X54" s="77"/>
      <c r="Y54" s="144"/>
      <c r="Z54" s="119"/>
    </row>
    <row r="55" spans="2:26" s="143" customFormat="1" ht="17.100000000000001" customHeight="1" x14ac:dyDescent="0.25">
      <c r="B55" s="270" t="str">
        <f t="shared" si="12"/>
        <v>70-100</v>
      </c>
      <c r="C55" s="271"/>
      <c r="D55" s="136"/>
      <c r="E55" s="95"/>
      <c r="F55" s="136">
        <f t="shared" si="13"/>
        <v>2.0699999999999998</v>
      </c>
      <c r="G55" s="137">
        <f t="shared" si="15"/>
        <v>100</v>
      </c>
      <c r="H55" s="147">
        <f t="shared" si="14"/>
        <v>0.14899999999999999</v>
      </c>
      <c r="I55" s="153">
        <f>SUM(F$47:F$55)-SUM(F$47:F55)</f>
        <v>0</v>
      </c>
      <c r="J55" s="138">
        <f>H47</f>
        <v>0.84099999999999997</v>
      </c>
      <c r="K55" s="153">
        <f>I47</f>
        <v>99.2</v>
      </c>
      <c r="L55" s="6"/>
      <c r="M55" s="6"/>
      <c r="N55" s="120"/>
      <c r="O55" s="120"/>
      <c r="P55" s="120"/>
      <c r="Q55" s="5"/>
      <c r="R55" s="6"/>
      <c r="S55" s="120"/>
      <c r="T55" s="120"/>
      <c r="U55" s="5"/>
      <c r="V55" s="6"/>
      <c r="W55" s="120"/>
      <c r="X55" s="77"/>
      <c r="Y55" s="144"/>
      <c r="Z55" s="119"/>
    </row>
    <row r="56" spans="2:26" s="143" customFormat="1" ht="17.100000000000001" customHeight="1" x14ac:dyDescent="0.25">
      <c r="B56" s="77"/>
      <c r="C56" s="77"/>
      <c r="D56" s="139"/>
      <c r="E56" s="145"/>
      <c r="F56" s="139"/>
      <c r="G56" s="151"/>
      <c r="H56" s="152"/>
      <c r="I56" s="140"/>
      <c r="J56" s="140"/>
      <c r="K56" s="140"/>
      <c r="L56" s="6"/>
      <c r="M56" s="6"/>
      <c r="N56" s="120"/>
      <c r="O56" s="120"/>
      <c r="P56" s="120"/>
      <c r="Q56" s="145"/>
      <c r="R56" s="6"/>
      <c r="S56" s="120"/>
      <c r="T56" s="120"/>
      <c r="U56" s="145"/>
      <c r="V56" s="6"/>
      <c r="W56" s="120"/>
      <c r="X56" s="77"/>
      <c r="Y56" s="144"/>
      <c r="Z56" s="119"/>
    </row>
    <row r="57" spans="2:26" s="143" customFormat="1" ht="17.100000000000001" customHeight="1" x14ac:dyDescent="0.25">
      <c r="B57" s="81" t="s">
        <v>256</v>
      </c>
      <c r="C57" s="77"/>
      <c r="D57" s="139"/>
      <c r="E57" s="145"/>
      <c r="F57" s="139"/>
      <c r="G57" s="151"/>
      <c r="H57" s="152"/>
      <c r="I57" s="140"/>
      <c r="J57" s="140"/>
      <c r="K57" s="140"/>
      <c r="L57" s="6"/>
      <c r="M57" s="6"/>
      <c r="N57" s="120"/>
      <c r="O57" s="120"/>
      <c r="P57" s="120"/>
      <c r="Q57" s="145"/>
      <c r="R57" s="6"/>
      <c r="S57" s="120"/>
      <c r="T57" s="120"/>
      <c r="U57" s="145"/>
      <c r="V57" s="6"/>
      <c r="W57" s="120"/>
      <c r="X57" s="77"/>
      <c r="Y57" s="144"/>
      <c r="Z57" s="119"/>
    </row>
    <row r="58" spans="2:26" s="143" customFormat="1" ht="17.100000000000001" customHeight="1" x14ac:dyDescent="0.25">
      <c r="B58" s="310"/>
      <c r="C58" s="310"/>
      <c r="D58" s="136"/>
      <c r="E58" s="146"/>
      <c r="F58" s="252" t="s">
        <v>205</v>
      </c>
      <c r="G58" s="252" t="s">
        <v>249</v>
      </c>
      <c r="H58" s="277"/>
      <c r="I58" s="277"/>
      <c r="J58" s="277"/>
      <c r="K58" s="311" t="s">
        <v>253</v>
      </c>
      <c r="L58" s="6"/>
      <c r="M58" s="6"/>
      <c r="N58" s="120"/>
      <c r="O58" s="120"/>
      <c r="P58" s="120"/>
      <c r="Q58" s="145"/>
      <c r="R58" s="6"/>
      <c r="S58" s="120"/>
      <c r="T58" s="120"/>
      <c r="U58" s="145"/>
      <c r="V58" s="6"/>
      <c r="W58" s="120"/>
      <c r="X58" s="77"/>
      <c r="Y58" s="144"/>
      <c r="Z58" s="119"/>
    </row>
    <row r="59" spans="2:26" s="143" customFormat="1" ht="17.100000000000001" customHeight="1" x14ac:dyDescent="0.25">
      <c r="B59" s="310"/>
      <c r="C59" s="310"/>
      <c r="D59" s="136"/>
      <c r="E59" s="146"/>
      <c r="F59" s="252"/>
      <c r="G59" s="252"/>
      <c r="H59" s="277"/>
      <c r="I59" s="277"/>
      <c r="J59" s="277"/>
      <c r="K59" s="311"/>
      <c r="L59" s="6"/>
      <c r="M59" s="6"/>
      <c r="N59" s="120"/>
      <c r="O59" s="120"/>
      <c r="P59" s="120"/>
      <c r="Q59" s="145"/>
      <c r="R59" s="6"/>
      <c r="S59" s="120"/>
      <c r="T59" s="120"/>
      <c r="U59" s="145"/>
      <c r="V59" s="6"/>
      <c r="W59" s="120"/>
      <c r="X59" s="77"/>
      <c r="Y59" s="144"/>
      <c r="Z59" s="119"/>
    </row>
    <row r="60" spans="2:26" s="143" customFormat="1" ht="17.100000000000001" customHeight="1" x14ac:dyDescent="0.25">
      <c r="B60" s="310"/>
      <c r="C60" s="310"/>
      <c r="D60" s="136"/>
      <c r="E60" s="146"/>
      <c r="F60" s="252"/>
      <c r="G60" s="252"/>
      <c r="H60" s="277"/>
      <c r="I60" s="277"/>
      <c r="J60" s="277"/>
      <c r="K60" s="311"/>
      <c r="L60" s="6"/>
      <c r="M60" s="6"/>
      <c r="N60" s="120"/>
      <c r="O60" s="120"/>
      <c r="P60" s="120"/>
      <c r="Q60" s="145"/>
      <c r="R60" s="6"/>
      <c r="S60" s="120"/>
      <c r="T60" s="120"/>
      <c r="U60" s="145"/>
      <c r="V60" s="6"/>
      <c r="W60" s="120"/>
      <c r="X60" s="77"/>
      <c r="Y60" s="144"/>
      <c r="Z60" s="119"/>
    </row>
    <row r="61" spans="2:26" s="143" customFormat="1" ht="17.100000000000001" customHeight="1" x14ac:dyDescent="0.25">
      <c r="B61" s="310"/>
      <c r="C61" s="310"/>
      <c r="D61" s="136"/>
      <c r="E61" s="146"/>
      <c r="F61" s="252"/>
      <c r="G61" s="252"/>
      <c r="H61" s="277"/>
      <c r="I61" s="277"/>
      <c r="J61" s="277"/>
      <c r="K61" s="311"/>
      <c r="L61" s="6"/>
      <c r="M61" s="6"/>
      <c r="N61" s="120"/>
      <c r="O61" s="120"/>
      <c r="P61" s="120"/>
      <c r="Q61" s="145"/>
      <c r="R61" s="6"/>
      <c r="S61" s="120"/>
      <c r="T61" s="120"/>
      <c r="U61" s="145"/>
      <c r="V61" s="6"/>
      <c r="W61" s="120"/>
      <c r="X61" s="77"/>
      <c r="Y61" s="144"/>
      <c r="Z61" s="119"/>
    </row>
    <row r="62" spans="2:26" s="143" customFormat="1" ht="17.100000000000001" customHeight="1" x14ac:dyDescent="0.25">
      <c r="B62" s="277" t="s">
        <v>251</v>
      </c>
      <c r="C62" s="277"/>
      <c r="D62" s="136"/>
      <c r="E62" s="146"/>
      <c r="F62" s="138">
        <f>INDEX(J47:J55,MATCH(10,K47:K55,1),1)</f>
        <v>0.21</v>
      </c>
      <c r="G62" s="153">
        <f>VLOOKUP(F62,J$47:K$55,2,FALSE)</f>
        <v>2.0699999999999932</v>
      </c>
      <c r="H62" s="251">
        <f>(LOG(F62)+((10-G62)/(G63-G62))*LOG(F63/F62))</f>
        <v>-0.61321454811239473</v>
      </c>
      <c r="I62" s="251"/>
      <c r="J62" s="251"/>
      <c r="K62" s="277">
        <f>10^(LOG(F62)+((10-G62)/(G63-G62))*LOG(F63/F62))</f>
        <v>0.2436606799987964</v>
      </c>
      <c r="L62" s="6"/>
      <c r="M62" s="6"/>
      <c r="N62" s="120"/>
      <c r="O62" s="120"/>
      <c r="P62" s="120"/>
      <c r="Q62" s="5"/>
      <c r="R62" s="6"/>
      <c r="S62" s="120"/>
      <c r="T62" s="120"/>
      <c r="U62" s="5"/>
      <c r="V62" s="6"/>
      <c r="W62" s="120"/>
      <c r="X62" s="77"/>
      <c r="Y62" s="144"/>
      <c r="Z62" s="119"/>
    </row>
    <row r="63" spans="2:26" s="143" customFormat="1" ht="17.100000000000001" customHeight="1" x14ac:dyDescent="0.25">
      <c r="B63" s="277" t="s">
        <v>252</v>
      </c>
      <c r="C63" s="277"/>
      <c r="D63" s="136"/>
      <c r="E63" s="146"/>
      <c r="F63" s="138">
        <f>INDEX(H47:H55,MATCH(10,I47:I55,-1),1)</f>
        <v>0.25</v>
      </c>
      <c r="G63" s="153">
        <f>VLOOKUP(F63,J$47:K$55,2,FALSE)</f>
        <v>11.36999999999999</v>
      </c>
      <c r="H63" s="251"/>
      <c r="I63" s="251"/>
      <c r="J63" s="251"/>
      <c r="K63" s="277"/>
      <c r="L63" s="6"/>
      <c r="M63" s="6"/>
      <c r="N63" s="120"/>
      <c r="O63" s="120"/>
      <c r="P63" s="120"/>
      <c r="Q63" s="5"/>
      <c r="R63" s="6"/>
      <c r="S63" s="120"/>
      <c r="T63" s="120"/>
      <c r="U63" s="5"/>
      <c r="V63" s="6"/>
      <c r="W63" s="120"/>
      <c r="X63" s="77"/>
      <c r="Y63" s="144"/>
      <c r="Z63" s="119"/>
    </row>
    <row r="64" spans="2:26" s="143" customFormat="1" ht="17.100000000000001" customHeight="1" x14ac:dyDescent="0.25">
      <c r="B64" s="155"/>
      <c r="C64" s="155"/>
      <c r="D64" s="139"/>
      <c r="E64" s="145"/>
      <c r="F64" s="140"/>
      <c r="G64" s="156"/>
      <c r="H64" s="145"/>
      <c r="I64" s="145"/>
      <c r="J64" s="145"/>
      <c r="K64" s="140"/>
      <c r="L64" s="6"/>
      <c r="M64" s="6"/>
      <c r="N64" s="120"/>
      <c r="O64" s="120"/>
      <c r="P64" s="120"/>
      <c r="Q64" s="145"/>
      <c r="R64" s="6"/>
      <c r="S64" s="120"/>
      <c r="T64" s="120"/>
      <c r="U64" s="145"/>
      <c r="V64" s="6"/>
      <c r="W64" s="120"/>
      <c r="X64" s="77"/>
      <c r="Y64" s="144"/>
      <c r="Z64" s="119"/>
    </row>
    <row r="65" spans="2:26" s="143" customFormat="1" ht="17.100000000000001" customHeight="1" x14ac:dyDescent="0.25">
      <c r="B65" s="81" t="s">
        <v>255</v>
      </c>
      <c r="C65" s="155"/>
      <c r="D65" s="139"/>
      <c r="E65" s="145"/>
      <c r="F65" s="140"/>
      <c r="G65" s="156"/>
      <c r="H65" s="145"/>
      <c r="I65" s="145"/>
      <c r="J65" s="145"/>
      <c r="K65" s="140"/>
      <c r="L65" s="6"/>
      <c r="M65" s="6"/>
      <c r="N65" s="120"/>
      <c r="O65" s="120"/>
      <c r="P65" s="120"/>
      <c r="Q65" s="145"/>
      <c r="R65" s="6"/>
      <c r="S65" s="120"/>
      <c r="T65" s="120"/>
      <c r="U65" s="145"/>
      <c r="V65" s="6"/>
      <c r="W65" s="120"/>
      <c r="X65" s="77"/>
      <c r="Y65" s="144"/>
      <c r="Z65" s="119"/>
    </row>
    <row r="66" spans="2:26" s="143" customFormat="1" ht="17.100000000000001" customHeight="1" x14ac:dyDescent="0.25">
      <c r="B66" s="310"/>
      <c r="C66" s="310"/>
      <c r="D66" s="136"/>
      <c r="E66" s="146"/>
      <c r="F66" s="252" t="s">
        <v>205</v>
      </c>
      <c r="G66" s="252" t="s">
        <v>249</v>
      </c>
      <c r="H66" s="277"/>
      <c r="I66" s="277"/>
      <c r="J66" s="277"/>
      <c r="K66" s="311" t="s">
        <v>254</v>
      </c>
      <c r="L66" s="6"/>
      <c r="M66" s="6"/>
      <c r="N66" s="120"/>
      <c r="O66" s="120"/>
      <c r="P66" s="120"/>
      <c r="Q66" s="145"/>
      <c r="R66" s="6"/>
      <c r="S66" s="120"/>
      <c r="T66" s="120"/>
      <c r="U66" s="145"/>
      <c r="V66" s="6"/>
      <c r="W66" s="120"/>
      <c r="X66" s="77"/>
      <c r="Y66" s="144"/>
      <c r="Z66" s="119"/>
    </row>
    <row r="67" spans="2:26" s="143" customFormat="1" ht="17.100000000000001" customHeight="1" x14ac:dyDescent="0.25">
      <c r="B67" s="310"/>
      <c r="C67" s="310"/>
      <c r="D67" s="136"/>
      <c r="E67" s="146"/>
      <c r="F67" s="252"/>
      <c r="G67" s="252"/>
      <c r="H67" s="277"/>
      <c r="I67" s="277"/>
      <c r="J67" s="277"/>
      <c r="K67" s="311"/>
      <c r="L67" s="6"/>
      <c r="M67" s="6"/>
      <c r="N67" s="120"/>
      <c r="O67" s="120"/>
      <c r="P67" s="120"/>
      <c r="Q67" s="145"/>
      <c r="R67" s="6"/>
      <c r="S67" s="120"/>
      <c r="T67" s="120"/>
      <c r="U67" s="145"/>
      <c r="V67" s="6"/>
      <c r="W67" s="120"/>
      <c r="X67" s="77"/>
      <c r="Y67" s="144"/>
      <c r="Z67" s="119"/>
    </row>
    <row r="68" spans="2:26" s="143" customFormat="1" ht="17.100000000000001" customHeight="1" x14ac:dyDescent="0.25">
      <c r="B68" s="310"/>
      <c r="C68" s="310"/>
      <c r="D68" s="136"/>
      <c r="E68" s="146"/>
      <c r="F68" s="252"/>
      <c r="G68" s="252"/>
      <c r="H68" s="277"/>
      <c r="I68" s="277"/>
      <c r="J68" s="277"/>
      <c r="K68" s="311"/>
      <c r="L68" s="6"/>
      <c r="M68" s="6"/>
      <c r="N68" s="120"/>
      <c r="O68" s="120"/>
      <c r="P68" s="120"/>
      <c r="Q68" s="145"/>
      <c r="R68" s="6"/>
      <c r="S68" s="120"/>
      <c r="T68" s="120"/>
      <c r="U68" s="145"/>
      <c r="V68" s="6"/>
      <c r="W68" s="120"/>
      <c r="X68" s="77"/>
      <c r="Y68" s="144"/>
      <c r="Z68" s="119"/>
    </row>
    <row r="69" spans="2:26" s="143" customFormat="1" ht="17.100000000000001" customHeight="1" x14ac:dyDescent="0.25">
      <c r="B69" s="277" t="s">
        <v>251</v>
      </c>
      <c r="C69" s="277"/>
      <c r="D69" s="136"/>
      <c r="E69" s="146"/>
      <c r="F69" s="138">
        <f>INDEX(J47:J55,MATCH(60,K47:K55,1),1)</f>
        <v>0.4</v>
      </c>
      <c r="G69" s="153">
        <f>VLOOKUP(F69,J$47:K$55,2,FALSE)</f>
        <v>45.269999999999996</v>
      </c>
      <c r="H69" s="251">
        <f>(LOG(F69)+((60-G69)/(G70-G69))*LOG(F70/F69))</f>
        <v>-0.31867934839393264</v>
      </c>
      <c r="I69" s="251"/>
      <c r="J69" s="251"/>
      <c r="K69" s="277">
        <f>10^(LOG(F69)+((60-G69)/(G70-G69))*LOG(F70/F69))</f>
        <v>0.48008777987655482</v>
      </c>
      <c r="L69" s="6"/>
      <c r="M69" s="6"/>
      <c r="N69" s="120"/>
      <c r="O69" s="120"/>
      <c r="P69" s="120"/>
      <c r="Q69" s="5"/>
      <c r="R69" s="6"/>
      <c r="S69" s="120"/>
      <c r="T69" s="120"/>
      <c r="U69" s="5"/>
      <c r="V69" s="6"/>
      <c r="W69" s="120"/>
      <c r="X69" s="77"/>
      <c r="Y69" s="144"/>
      <c r="Z69" s="119"/>
    </row>
    <row r="70" spans="2:26" s="143" customFormat="1" ht="17.100000000000001" customHeight="1" x14ac:dyDescent="0.25">
      <c r="B70" s="277" t="s">
        <v>252</v>
      </c>
      <c r="C70" s="277"/>
      <c r="D70" s="136"/>
      <c r="E70" s="146"/>
      <c r="F70" s="138">
        <f>INDEX(H47:H55,MATCH(60,I47:I55,-1),1)</f>
        <v>0.5</v>
      </c>
      <c r="G70" s="153">
        <f>VLOOKUP(F70,J$47:K$55,2,FALSE)</f>
        <v>63.28</v>
      </c>
      <c r="H70" s="251"/>
      <c r="I70" s="251"/>
      <c r="J70" s="251"/>
      <c r="K70" s="277"/>
      <c r="L70" s="6"/>
      <c r="M70" s="6"/>
      <c r="N70" s="120"/>
      <c r="O70" s="120"/>
      <c r="P70" s="120"/>
      <c r="Q70" s="5"/>
      <c r="R70" s="6"/>
      <c r="S70" s="120"/>
      <c r="T70" s="120"/>
      <c r="U70" s="5"/>
      <c r="V70" s="6"/>
      <c r="W70" s="120"/>
      <c r="X70" s="77"/>
      <c r="Y70" s="144"/>
      <c r="Z70" s="119"/>
    </row>
    <row r="71" spans="2:26" s="143" customFormat="1" ht="17.100000000000001" customHeight="1" x14ac:dyDescent="0.25">
      <c r="B71" s="155"/>
      <c r="C71" s="155"/>
      <c r="D71" s="139"/>
      <c r="E71" s="145"/>
      <c r="F71" s="140"/>
      <c r="G71" s="156"/>
      <c r="H71" s="145"/>
      <c r="I71" s="145"/>
      <c r="J71" s="145"/>
      <c r="K71" s="140"/>
      <c r="L71" s="6"/>
      <c r="M71" s="6"/>
      <c r="N71" s="120"/>
      <c r="O71" s="120"/>
      <c r="P71" s="120"/>
      <c r="Q71" s="145"/>
      <c r="R71" s="6"/>
      <c r="S71" s="120"/>
      <c r="T71" s="120"/>
      <c r="U71" s="145"/>
      <c r="V71" s="6"/>
      <c r="W71" s="120"/>
      <c r="X71" s="77"/>
      <c r="Y71" s="144"/>
      <c r="Z71" s="119"/>
    </row>
    <row r="72" spans="2:26" s="143" customFormat="1" ht="17.100000000000001" customHeight="1" x14ac:dyDescent="0.25">
      <c r="B72" s="109" t="s">
        <v>241</v>
      </c>
      <c r="C72" s="5"/>
      <c r="D72" s="139"/>
      <c r="E72" s="5"/>
      <c r="F72" s="5"/>
      <c r="G72" s="5"/>
      <c r="H72" s="5"/>
      <c r="I72" s="120"/>
      <c r="J72" s="5"/>
      <c r="K72" s="6"/>
      <c r="L72" s="6"/>
      <c r="M72" s="6"/>
      <c r="N72" s="120"/>
      <c r="O72" s="120"/>
      <c r="P72" s="120"/>
      <c r="Q72" s="5"/>
      <c r="R72" s="6"/>
      <c r="S72" s="120"/>
      <c r="T72" s="120"/>
      <c r="U72" s="5"/>
      <c r="V72" s="6"/>
      <c r="W72" s="120"/>
      <c r="X72" s="77"/>
      <c r="Y72" s="144"/>
      <c r="Z72" s="119"/>
    </row>
    <row r="73" spans="2:26" s="143" customFormat="1" ht="17.100000000000001" customHeight="1" x14ac:dyDescent="0.25">
      <c r="B73" s="209" t="s">
        <v>240</v>
      </c>
      <c r="C73" s="272"/>
      <c r="D73" s="272"/>
      <c r="E73" s="272"/>
      <c r="F73" s="210"/>
      <c r="G73" s="135"/>
      <c r="H73" s="141">
        <v>1</v>
      </c>
      <c r="I73" s="141">
        <v>2</v>
      </c>
      <c r="J73" s="141">
        <v>3</v>
      </c>
      <c r="K73" s="95">
        <v>4</v>
      </c>
      <c r="L73" s="95">
        <v>5</v>
      </c>
      <c r="M73" s="6"/>
      <c r="N73" s="120"/>
      <c r="O73" s="120"/>
      <c r="P73" s="120"/>
      <c r="Q73" s="5"/>
      <c r="R73" s="6"/>
      <c r="S73" s="120"/>
      <c r="T73" s="120"/>
      <c r="U73" s="5"/>
      <c r="V73" s="6"/>
      <c r="W73" s="120"/>
      <c r="X73" s="77"/>
      <c r="Y73" s="144"/>
      <c r="Z73" s="119"/>
    </row>
    <row r="74" spans="2:26" s="143" customFormat="1" ht="17.100000000000001" customHeight="1" x14ac:dyDescent="0.25">
      <c r="B74" s="36" t="s">
        <v>232</v>
      </c>
      <c r="C74" s="36"/>
      <c r="D74" s="136"/>
      <c r="E74" s="95"/>
      <c r="F74" s="138"/>
      <c r="G74" s="95" t="s">
        <v>3</v>
      </c>
      <c r="H74" s="138">
        <v>0.1</v>
      </c>
      <c r="I74" s="138">
        <v>7.4999999999999997E-2</v>
      </c>
      <c r="J74" s="138">
        <v>7.4999999999999997E-2</v>
      </c>
      <c r="K74" s="138">
        <v>0.1</v>
      </c>
      <c r="L74" s="138">
        <v>0.1</v>
      </c>
      <c r="M74" s="155"/>
      <c r="N74" s="120"/>
      <c r="O74" s="120"/>
      <c r="P74" s="120"/>
      <c r="Q74" s="5"/>
      <c r="R74" s="6"/>
      <c r="S74" s="120"/>
      <c r="T74" s="120"/>
      <c r="U74" s="5"/>
      <c r="V74" s="6"/>
      <c r="W74" s="120"/>
      <c r="X74" s="77"/>
      <c r="Y74" s="144"/>
      <c r="Z74" s="119"/>
    </row>
    <row r="75" spans="2:26" s="143" customFormat="1" ht="17.100000000000001" customHeight="1" x14ac:dyDescent="0.25">
      <c r="B75" s="36" t="s">
        <v>233</v>
      </c>
      <c r="C75" s="36"/>
      <c r="D75" s="136"/>
      <c r="E75" s="95"/>
      <c r="F75" s="138"/>
      <c r="G75" s="95" t="s">
        <v>234</v>
      </c>
      <c r="H75" s="142" t="s">
        <v>235</v>
      </c>
      <c r="I75" s="95" t="s">
        <v>236</v>
      </c>
      <c r="J75" s="95" t="s">
        <v>237</v>
      </c>
      <c r="K75" s="95" t="s">
        <v>238</v>
      </c>
      <c r="L75" s="95" t="s">
        <v>239</v>
      </c>
      <c r="M75" s="6"/>
      <c r="N75" s="120"/>
      <c r="O75" s="120"/>
      <c r="P75" s="120"/>
      <c r="Q75" s="5"/>
      <c r="R75" s="6"/>
      <c r="S75" s="120"/>
      <c r="T75" s="120"/>
      <c r="U75" s="5"/>
      <c r="V75" s="6"/>
      <c r="W75" s="120"/>
      <c r="X75" s="77"/>
      <c r="Y75" s="144"/>
      <c r="Z75" s="119"/>
    </row>
    <row r="76" spans="2:26" s="143" customFormat="1" ht="17.100000000000001" customHeight="1" x14ac:dyDescent="0.25">
      <c r="B76" s="278"/>
      <c r="C76" s="278"/>
      <c r="D76" s="139"/>
      <c r="E76" s="5"/>
      <c r="F76" s="140"/>
      <c r="G76" s="5"/>
      <c r="H76" s="5"/>
      <c r="I76" s="120"/>
      <c r="J76" s="5"/>
      <c r="K76" s="6"/>
      <c r="L76" s="6"/>
      <c r="M76" s="6"/>
      <c r="N76" s="120"/>
      <c r="O76" s="120"/>
      <c r="P76" s="120"/>
      <c r="Q76" s="5"/>
      <c r="R76" s="6"/>
      <c r="S76" s="120"/>
      <c r="T76" s="120"/>
      <c r="U76" s="5"/>
      <c r="V76" s="6"/>
      <c r="W76" s="120"/>
      <c r="X76" s="77"/>
      <c r="Y76" s="144"/>
      <c r="Z76" s="119"/>
    </row>
    <row r="77" spans="2:26" s="143" customFormat="1" ht="17.100000000000001" customHeight="1" x14ac:dyDescent="0.25">
      <c r="B77" s="109" t="s">
        <v>261</v>
      </c>
      <c r="C77" s="150"/>
      <c r="D77" s="139"/>
      <c r="E77" s="150"/>
      <c r="F77" s="140"/>
      <c r="G77" s="150"/>
      <c r="H77" s="150"/>
      <c r="I77" s="120"/>
      <c r="J77" s="150"/>
      <c r="K77" s="6"/>
      <c r="L77" s="6"/>
      <c r="M77" s="6"/>
      <c r="N77" s="120"/>
      <c r="O77" s="120"/>
      <c r="P77" s="120"/>
      <c r="Q77" s="150"/>
      <c r="R77" s="6"/>
      <c r="S77" s="120"/>
      <c r="T77" s="120"/>
      <c r="U77" s="150"/>
      <c r="V77" s="6"/>
      <c r="W77" s="120"/>
      <c r="X77" s="77"/>
      <c r="Y77" s="144"/>
      <c r="Z77" s="119"/>
    </row>
    <row r="78" spans="2:26" s="43" customFormat="1" ht="24.95" customHeight="1" x14ac:dyDescent="0.25">
      <c r="B78" s="187" t="s">
        <v>267</v>
      </c>
      <c r="C78" s="187"/>
      <c r="D78" s="187"/>
      <c r="E78" s="187"/>
      <c r="F78" s="187"/>
      <c r="G78" s="187"/>
      <c r="H78" s="187"/>
      <c r="I78" s="121" t="s">
        <v>269</v>
      </c>
      <c r="J78" s="148" t="s">
        <v>268</v>
      </c>
      <c r="K78" s="160">
        <f>K10*1000</f>
        <v>1.003E-3</v>
      </c>
      <c r="L78" s="274"/>
      <c r="M78" s="275"/>
      <c r="N78" s="275"/>
      <c r="O78" s="276"/>
      <c r="P78" s="190" t="s">
        <v>36</v>
      </c>
      <c r="Q78" s="190"/>
      <c r="R78" s="190"/>
      <c r="S78" s="190"/>
      <c r="T78" s="120"/>
      <c r="U78" s="150"/>
      <c r="V78" s="6"/>
      <c r="W78" s="120"/>
      <c r="X78" s="77"/>
      <c r="Y78" s="144"/>
      <c r="Z78" s="119"/>
    </row>
    <row r="79" spans="2:26" s="143" customFormat="1" ht="24.95" customHeight="1" x14ac:dyDescent="0.25">
      <c r="B79" s="187" t="s">
        <v>267</v>
      </c>
      <c r="C79" s="187"/>
      <c r="D79" s="187"/>
      <c r="E79" s="187"/>
      <c r="F79" s="187"/>
      <c r="G79" s="187"/>
      <c r="H79" s="187"/>
      <c r="I79" s="121" t="s">
        <v>269</v>
      </c>
      <c r="J79" s="148" t="s">
        <v>270</v>
      </c>
      <c r="K79" s="3">
        <f>K78*1000</f>
        <v>1.0029999999999999</v>
      </c>
      <c r="L79" s="274"/>
      <c r="M79" s="275"/>
      <c r="N79" s="275"/>
      <c r="O79" s="276"/>
      <c r="P79" s="274"/>
      <c r="Q79" s="275"/>
      <c r="R79" s="275"/>
      <c r="S79" s="276"/>
      <c r="T79" s="120"/>
      <c r="U79" s="150"/>
      <c r="V79" s="6"/>
      <c r="W79" s="120"/>
      <c r="X79" s="77"/>
      <c r="Y79" s="144"/>
      <c r="Z79" s="119"/>
    </row>
    <row r="80" spans="2:26" s="143" customFormat="1" ht="17.100000000000001" customHeight="1" x14ac:dyDescent="0.25">
      <c r="B80" s="150"/>
      <c r="C80" s="150"/>
      <c r="D80" s="139"/>
      <c r="E80" s="150"/>
      <c r="F80" s="140"/>
      <c r="G80" s="150"/>
      <c r="H80" s="150"/>
      <c r="I80" s="120"/>
      <c r="J80" s="150"/>
      <c r="K80" s="6"/>
      <c r="L80" s="6"/>
      <c r="M80" s="6"/>
      <c r="N80" s="120"/>
      <c r="O80" s="120"/>
      <c r="P80" s="120"/>
      <c r="Q80" s="150"/>
      <c r="R80" s="6"/>
      <c r="S80" s="120"/>
      <c r="T80" s="120"/>
      <c r="U80" s="150"/>
      <c r="V80" s="6"/>
      <c r="W80" s="120"/>
      <c r="X80" s="77"/>
      <c r="Y80" s="144"/>
      <c r="Z80" s="119"/>
    </row>
    <row r="81" spans="2:27" s="143" customFormat="1" ht="17.100000000000001" customHeight="1" x14ac:dyDescent="0.25">
      <c r="B81" s="150"/>
      <c r="C81" s="150"/>
      <c r="D81" s="139"/>
      <c r="E81" s="150"/>
      <c r="F81" s="140"/>
      <c r="G81" s="150"/>
      <c r="H81" s="150"/>
      <c r="I81" s="120"/>
      <c r="J81" s="150"/>
      <c r="K81" s="6"/>
      <c r="L81" s="6"/>
      <c r="M81" s="6"/>
      <c r="N81" s="120"/>
      <c r="O81" s="120"/>
      <c r="P81" s="120"/>
      <c r="Q81" s="150"/>
      <c r="R81" s="6"/>
      <c r="S81" s="120"/>
      <c r="T81" s="120"/>
      <c r="U81" s="150"/>
      <c r="V81" s="6"/>
      <c r="W81" s="120"/>
      <c r="X81" s="77"/>
      <c r="Y81" s="144"/>
      <c r="Z81" s="119"/>
    </row>
    <row r="82" spans="2:27" s="143" customFormat="1" ht="17.100000000000001" customHeight="1" x14ac:dyDescent="0.25">
      <c r="B82" s="150"/>
      <c r="C82" s="150"/>
      <c r="D82" s="139"/>
      <c r="E82" s="150"/>
      <c r="F82" s="140"/>
      <c r="G82" s="150"/>
      <c r="H82" s="150"/>
      <c r="I82" s="120"/>
      <c r="J82" s="150"/>
      <c r="K82" s="6"/>
      <c r="L82" s="6"/>
      <c r="M82" s="6"/>
      <c r="N82" s="120"/>
      <c r="O82" s="120"/>
      <c r="P82" s="120"/>
      <c r="Q82" s="150"/>
      <c r="R82" s="6"/>
      <c r="S82" s="120"/>
      <c r="T82" s="120"/>
      <c r="U82" s="150"/>
      <c r="V82" s="6"/>
      <c r="W82" s="120"/>
      <c r="X82" s="77"/>
      <c r="Y82" s="144"/>
      <c r="Z82" s="119"/>
    </row>
    <row r="83" spans="2:27" s="143" customFormat="1" ht="17.100000000000001" customHeight="1" x14ac:dyDescent="0.25">
      <c r="B83" s="278"/>
      <c r="C83" s="278"/>
      <c r="D83" s="139"/>
      <c r="E83" s="5"/>
      <c r="F83" s="140"/>
      <c r="G83" s="5"/>
      <c r="H83" s="5"/>
      <c r="I83" s="120"/>
      <c r="J83" s="5"/>
      <c r="K83" s="6"/>
      <c r="L83" s="6"/>
      <c r="M83" s="6"/>
      <c r="N83" s="120"/>
      <c r="O83" s="120"/>
      <c r="P83" s="120"/>
      <c r="Q83" s="5"/>
      <c r="R83" s="6"/>
      <c r="S83" s="120"/>
      <c r="T83" s="120"/>
      <c r="U83" s="5"/>
      <c r="V83" s="6"/>
      <c r="W83" s="120"/>
      <c r="X83" s="77"/>
      <c r="Y83" s="144"/>
      <c r="Z83" s="119"/>
    </row>
    <row r="84" spans="2:27" s="143" customFormat="1" ht="28.5" customHeight="1" x14ac:dyDescent="0.25">
      <c r="B84" s="131" t="s">
        <v>259</v>
      </c>
      <c r="C84" s="131"/>
      <c r="D84" s="131"/>
      <c r="E84" s="131"/>
      <c r="F84" s="132"/>
      <c r="G84" s="134"/>
      <c r="H84" s="133"/>
      <c r="I84" s="101" t="s">
        <v>260</v>
      </c>
      <c r="J84" s="96">
        <f>K69/K62</f>
        <v>1.9703128952891631</v>
      </c>
      <c r="K84" s="99">
        <f>ROUNDUP((0.044*SQRT(K74)),0)</f>
        <v>1</v>
      </c>
      <c r="L84" s="264"/>
      <c r="M84" s="265"/>
      <c r="N84" s="265"/>
      <c r="O84" s="266"/>
      <c r="P84" s="149"/>
      <c r="Q84" s="267" t="s">
        <v>36</v>
      </c>
      <c r="R84" s="268"/>
      <c r="S84" s="268"/>
      <c r="T84" s="269"/>
      <c r="U84" s="120"/>
      <c r="V84" s="6" t="s">
        <v>231</v>
      </c>
      <c r="W84" s="120"/>
      <c r="X84" s="77"/>
      <c r="Y84" s="144"/>
      <c r="Z84" s="119"/>
      <c r="AA84" s="143">
        <f>0.0254/18</f>
        <v>1.411111111111111E-3</v>
      </c>
    </row>
    <row r="85" spans="2:27" s="143" customFormat="1" ht="17.100000000000001" customHeight="1" x14ac:dyDescent="0.25">
      <c r="B85" s="5"/>
      <c r="C85" s="5"/>
      <c r="D85" s="139"/>
      <c r="E85" s="5"/>
      <c r="F85" s="5"/>
      <c r="G85" s="5"/>
      <c r="H85" s="5"/>
      <c r="I85" s="120"/>
      <c r="J85" s="120">
        <v>1.9264018135019807</v>
      </c>
      <c r="K85" s="6"/>
      <c r="L85" s="6"/>
      <c r="M85" s="6"/>
      <c r="N85" s="120"/>
      <c r="O85" s="120"/>
      <c r="P85" s="120"/>
      <c r="Q85" s="120"/>
      <c r="R85" s="6"/>
      <c r="S85" s="120"/>
      <c r="T85" s="120"/>
      <c r="U85" s="120"/>
      <c r="V85" s="6"/>
      <c r="W85" s="120"/>
      <c r="X85" s="77"/>
      <c r="Y85" s="144"/>
      <c r="Z85" s="119"/>
    </row>
    <row r="86" spans="2:27" s="143" customFormat="1" ht="17.100000000000001" customHeight="1" x14ac:dyDescent="0.25">
      <c r="B86" s="106" t="s">
        <v>45</v>
      </c>
      <c r="C86" s="106"/>
      <c r="D86" s="5"/>
      <c r="E86" s="5"/>
      <c r="F86" s="5"/>
      <c r="G86" s="5"/>
      <c r="H86" s="5"/>
      <c r="I86" s="120"/>
      <c r="J86" s="120"/>
      <c r="K86" s="120"/>
      <c r="L86" s="120"/>
      <c r="M86" s="120"/>
      <c r="N86" s="120"/>
      <c r="O86" s="120"/>
      <c r="P86" s="120"/>
      <c r="Q86" s="120"/>
      <c r="R86" s="120"/>
      <c r="S86" s="120">
        <v>1.5</v>
      </c>
      <c r="T86" s="120">
        <v>2</v>
      </c>
      <c r="U86" s="120"/>
      <c r="V86" s="120"/>
      <c r="W86" s="120"/>
      <c r="X86" s="77"/>
      <c r="Y86" s="144"/>
      <c r="Z86" s="119"/>
    </row>
    <row r="87" spans="2:27" s="143" customFormat="1" ht="17.100000000000001" customHeight="1" x14ac:dyDescent="0.25">
      <c r="B87" s="267" t="s">
        <v>33</v>
      </c>
      <c r="C87" s="268"/>
      <c r="D87" s="268"/>
      <c r="E87" s="268"/>
      <c r="F87" s="268"/>
      <c r="G87" s="268"/>
      <c r="H87" s="269"/>
      <c r="I87" s="98" t="s">
        <v>0</v>
      </c>
      <c r="J87" s="96" t="s">
        <v>191</v>
      </c>
      <c r="K87" s="97">
        <v>5.7259999999999998E-2</v>
      </c>
      <c r="L87" s="120"/>
      <c r="M87" s="120"/>
      <c r="N87" s="120"/>
      <c r="O87" s="120"/>
      <c r="P87" s="120"/>
      <c r="Q87" s="120"/>
      <c r="R87" s="120"/>
      <c r="S87" s="120">
        <v>90</v>
      </c>
      <c r="T87" s="120">
        <v>90</v>
      </c>
      <c r="U87" s="120"/>
      <c r="V87" s="120"/>
      <c r="W87" s="120"/>
      <c r="X87" s="77"/>
      <c r="Y87" s="144"/>
      <c r="Z87" s="119"/>
    </row>
    <row r="88" spans="2:27" s="143" customFormat="1" ht="17.100000000000001" customHeight="1" x14ac:dyDescent="0.25">
      <c r="B88" s="267" t="s">
        <v>33</v>
      </c>
      <c r="C88" s="268"/>
      <c r="D88" s="268"/>
      <c r="E88" s="268"/>
      <c r="F88" s="268"/>
      <c r="G88" s="268"/>
      <c r="H88" s="269"/>
      <c r="I88" s="98" t="s">
        <v>0</v>
      </c>
      <c r="J88" s="96" t="s">
        <v>193</v>
      </c>
      <c r="K88" s="97">
        <f>K87*86400</f>
        <v>4947.2640000000001</v>
      </c>
      <c r="L88" s="120"/>
      <c r="M88" s="120"/>
      <c r="N88" s="120"/>
      <c r="O88" s="120"/>
      <c r="P88" s="120"/>
      <c r="Q88" s="120"/>
      <c r="R88" s="120"/>
      <c r="S88" s="120">
        <f>S86*S87</f>
        <v>135</v>
      </c>
      <c r="T88" s="120">
        <f>T86*T87</f>
        <v>180</v>
      </c>
      <c r="U88" s="120"/>
      <c r="V88" s="120"/>
      <c r="W88" s="120"/>
      <c r="X88" s="77"/>
      <c r="Y88" s="144"/>
      <c r="Z88" s="119"/>
    </row>
    <row r="89" spans="2:27" s="143" customFormat="1" ht="17.100000000000001" customHeight="1" x14ac:dyDescent="0.25">
      <c r="B89" s="267" t="s">
        <v>189</v>
      </c>
      <c r="C89" s="268"/>
      <c r="D89" s="268"/>
      <c r="E89" s="268"/>
      <c r="F89" s="268"/>
      <c r="G89" s="268"/>
      <c r="H89" s="269"/>
      <c r="I89" s="98" t="s">
        <v>192</v>
      </c>
      <c r="J89" s="96" t="s">
        <v>4</v>
      </c>
      <c r="K89" s="99">
        <v>120</v>
      </c>
      <c r="L89" s="120"/>
      <c r="M89" s="120">
        <f>K88/K89</f>
        <v>41.227200000000003</v>
      </c>
      <c r="N89" s="120">
        <f>M89/4</f>
        <v>10.306800000000001</v>
      </c>
      <c r="O89" s="120">
        <f>SQRT(N89)</f>
        <v>3.2104205332012192</v>
      </c>
      <c r="P89" s="120"/>
      <c r="Q89" s="120"/>
      <c r="R89" s="120">
        <v>3.21</v>
      </c>
      <c r="S89" s="120"/>
      <c r="T89" s="120"/>
      <c r="U89" s="120"/>
      <c r="V89" s="120"/>
      <c r="W89" s="120"/>
      <c r="X89" s="77"/>
      <c r="Y89" s="144"/>
      <c r="Z89" s="119"/>
    </row>
    <row r="90" spans="2:27" s="143" customFormat="1" ht="17.100000000000001" customHeight="1" x14ac:dyDescent="0.25">
      <c r="B90" s="102"/>
      <c r="C90" s="102"/>
      <c r="D90" s="102"/>
      <c r="E90" s="102"/>
      <c r="F90" s="102"/>
      <c r="G90" s="103"/>
      <c r="H90" s="104"/>
      <c r="I90" s="105"/>
      <c r="J90" s="120"/>
      <c r="K90" s="120"/>
      <c r="L90" s="120"/>
      <c r="M90" s="120"/>
      <c r="N90" s="120"/>
      <c r="O90" s="120"/>
      <c r="P90" s="120"/>
      <c r="Q90" s="120"/>
      <c r="R90" s="120">
        <v>2</v>
      </c>
      <c r="S90" s="120">
        <f>R89/R90</f>
        <v>1.605</v>
      </c>
      <c r="T90" s="120"/>
      <c r="U90" s="120"/>
      <c r="V90" s="120"/>
      <c r="W90" s="120"/>
      <c r="X90" s="77"/>
      <c r="Y90" s="144"/>
      <c r="Z90" s="119"/>
    </row>
    <row r="91" spans="2:27" s="143" customFormat="1" ht="17.100000000000001" customHeight="1" x14ac:dyDescent="0.25">
      <c r="B91" s="30" t="s">
        <v>47</v>
      </c>
      <c r="C91" s="130"/>
      <c r="D91" s="5"/>
      <c r="E91" s="5"/>
      <c r="F91" s="5"/>
      <c r="G91" s="5"/>
      <c r="H91" s="5"/>
      <c r="I91" s="120"/>
      <c r="J91" s="120"/>
      <c r="K91" s="120"/>
      <c r="L91" s="120"/>
      <c r="M91" s="120"/>
      <c r="N91" s="120"/>
      <c r="O91" s="120"/>
      <c r="P91" s="120"/>
      <c r="Q91" s="120"/>
      <c r="R91" s="120"/>
      <c r="S91" s="120">
        <f>S90/2</f>
        <v>0.80249999999999999</v>
      </c>
      <c r="T91" s="120"/>
      <c r="U91" s="120"/>
      <c r="V91" s="120"/>
      <c r="W91" s="120"/>
      <c r="X91" s="77"/>
      <c r="Y91" s="144"/>
      <c r="Z91" s="119"/>
    </row>
    <row r="92" spans="2:27" s="143" customFormat="1" ht="32.25" customHeight="1" x14ac:dyDescent="0.25">
      <c r="B92" s="131" t="s">
        <v>190</v>
      </c>
      <c r="C92" s="131"/>
      <c r="D92" s="131"/>
      <c r="E92" s="131"/>
      <c r="F92" s="132"/>
      <c r="G92" s="134"/>
      <c r="H92" s="133"/>
      <c r="I92" s="101" t="s">
        <v>27</v>
      </c>
      <c r="J92" s="96" t="s">
        <v>28</v>
      </c>
      <c r="K92" s="99">
        <f>ROUNDUP((0.044*SQRT(K88)),0)</f>
        <v>4</v>
      </c>
      <c r="L92" s="264"/>
      <c r="M92" s="265"/>
      <c r="N92" s="265"/>
      <c r="O92" s="266"/>
      <c r="P92" s="149"/>
      <c r="Q92" s="267" t="s">
        <v>36</v>
      </c>
      <c r="R92" s="268"/>
      <c r="S92" s="268"/>
      <c r="T92" s="269"/>
      <c r="U92" s="120"/>
      <c r="V92" s="120"/>
      <c r="W92" s="120"/>
      <c r="X92" s="123"/>
      <c r="Y92" s="123"/>
    </row>
    <row r="93" spans="2:27" ht="17.100000000000001" customHeight="1" x14ac:dyDescent="0.25">
      <c r="B93" s="5"/>
      <c r="C93" s="5"/>
      <c r="D93" s="5"/>
      <c r="E93" s="5"/>
      <c r="F93" s="5"/>
      <c r="G93" s="5"/>
      <c r="H93" s="5"/>
      <c r="I93" s="120"/>
      <c r="J93" s="120"/>
      <c r="K93" s="120"/>
      <c r="L93" s="120"/>
      <c r="M93" s="120"/>
      <c r="N93" s="120"/>
      <c r="O93" s="120"/>
      <c r="P93" s="120"/>
      <c r="Q93" s="120"/>
      <c r="R93" s="120"/>
      <c r="S93" s="120"/>
      <c r="T93" s="120"/>
      <c r="U93" s="120"/>
      <c r="V93" s="120"/>
      <c r="W93" s="120"/>
      <c r="X93" s="112"/>
      <c r="Y93" s="112"/>
    </row>
    <row r="94" spans="2:27" ht="17.100000000000001" customHeight="1" x14ac:dyDescent="0.25">
      <c r="B94" s="5"/>
      <c r="C94" s="5"/>
      <c r="D94" s="5"/>
      <c r="E94" s="5"/>
      <c r="F94" s="5"/>
      <c r="G94" s="5"/>
      <c r="H94" s="5"/>
      <c r="I94" s="120"/>
      <c r="J94" s="120"/>
      <c r="K94" s="120"/>
      <c r="L94" s="120"/>
      <c r="M94" s="120"/>
      <c r="N94" s="120"/>
      <c r="O94" s="120"/>
      <c r="P94" s="120"/>
      <c r="Q94" s="120"/>
      <c r="R94" s="120"/>
      <c r="S94" s="120"/>
      <c r="T94" s="120"/>
      <c r="U94" s="120"/>
      <c r="V94" s="120"/>
      <c r="W94" s="120"/>
      <c r="X94" s="112"/>
      <c r="Y94" s="112"/>
    </row>
    <row r="95" spans="2:27" ht="17.100000000000001" customHeight="1" x14ac:dyDescent="0.25">
      <c r="B95" s="213" t="s">
        <v>34</v>
      </c>
      <c r="C95" s="213"/>
      <c r="D95" s="213"/>
      <c r="E95" s="213"/>
      <c r="F95" s="213"/>
      <c r="G95" s="12"/>
      <c r="H95" s="12"/>
      <c r="I95" s="12"/>
      <c r="J95" s="12"/>
      <c r="K95" s="112"/>
      <c r="L95" s="112"/>
      <c r="M95" s="112"/>
      <c r="N95" s="112"/>
      <c r="O95" s="112"/>
      <c r="P95" s="112"/>
      <c r="Q95" s="112"/>
      <c r="R95" s="112"/>
      <c r="S95" s="112"/>
      <c r="T95" s="112"/>
      <c r="U95" s="112"/>
      <c r="V95" s="112"/>
      <c r="W95" s="112"/>
      <c r="X95" s="112"/>
      <c r="Y95" s="112"/>
    </row>
    <row r="96" spans="2:27" ht="17.100000000000001" customHeight="1" x14ac:dyDescent="0.25">
      <c r="B96" s="12"/>
      <c r="C96" s="12"/>
      <c r="D96" s="12"/>
      <c r="E96" s="12"/>
      <c r="F96" s="12"/>
      <c r="G96" s="12"/>
      <c r="H96" s="12"/>
      <c r="I96" s="12"/>
      <c r="J96" s="12"/>
      <c r="K96" s="112"/>
      <c r="L96" s="112"/>
      <c r="M96" s="112"/>
      <c r="N96" s="112"/>
      <c r="O96" s="112"/>
      <c r="P96" s="112"/>
      <c r="Q96" s="112"/>
      <c r="R96" s="112"/>
      <c r="S96" s="112"/>
      <c r="T96" s="112"/>
      <c r="U96" s="112"/>
      <c r="V96" s="112"/>
      <c r="W96" s="112"/>
      <c r="X96" s="112"/>
      <c r="Y96" s="112"/>
    </row>
    <row r="97" spans="2:25" ht="17.100000000000001" customHeight="1" x14ac:dyDescent="0.25">
      <c r="B97" s="12" t="s">
        <v>35</v>
      </c>
      <c r="C97" s="217" t="s">
        <v>230</v>
      </c>
      <c r="D97" s="217"/>
      <c r="E97" s="217"/>
      <c r="F97" s="217"/>
      <c r="G97" s="217"/>
      <c r="H97" s="217"/>
      <c r="I97" s="217"/>
      <c r="J97" s="217"/>
      <c r="K97" s="112"/>
      <c r="L97" s="112"/>
      <c r="M97" s="112"/>
      <c r="N97" s="112"/>
      <c r="O97" s="112"/>
      <c r="P97" s="112"/>
      <c r="Q97" s="112"/>
      <c r="R97" s="112"/>
      <c r="S97" s="112"/>
      <c r="T97" s="112"/>
      <c r="U97" s="112"/>
      <c r="V97" s="112"/>
      <c r="W97" s="112"/>
      <c r="X97" s="112"/>
      <c r="Y97" s="112"/>
    </row>
    <row r="98" spans="2:25" ht="17.100000000000001" customHeight="1" x14ac:dyDescent="0.25">
      <c r="B98" s="12" t="s">
        <v>37</v>
      </c>
      <c r="C98" s="217" t="s">
        <v>64</v>
      </c>
      <c r="D98" s="217"/>
      <c r="E98" s="217"/>
      <c r="F98" s="217"/>
      <c r="G98" s="217"/>
      <c r="H98" s="217"/>
      <c r="I98" s="217"/>
      <c r="J98" s="217"/>
      <c r="K98" s="112"/>
      <c r="L98" s="112"/>
      <c r="M98" s="112"/>
      <c r="N98" s="112"/>
      <c r="O98" s="112"/>
      <c r="P98" s="112"/>
      <c r="Q98" s="112"/>
      <c r="R98" s="112"/>
      <c r="S98" s="112"/>
      <c r="T98" s="112"/>
      <c r="U98" s="112"/>
      <c r="V98" s="112"/>
      <c r="W98" s="112"/>
      <c r="X98" s="112"/>
      <c r="Y98" s="112"/>
    </row>
    <row r="99" spans="2:25" s="12" customFormat="1" ht="17.100000000000001" customHeight="1" x14ac:dyDescent="0.25">
      <c r="B99" s="12" t="s">
        <v>39</v>
      </c>
      <c r="C99" s="273" t="s">
        <v>40</v>
      </c>
      <c r="D99" s="273"/>
      <c r="E99" s="273"/>
      <c r="F99" s="273"/>
      <c r="G99" s="273"/>
      <c r="H99" s="273"/>
      <c r="I99" s="273"/>
      <c r="J99" s="273"/>
      <c r="K99" s="23"/>
      <c r="L99" s="23"/>
      <c r="M99" s="23"/>
      <c r="N99" s="23">
        <f>2/25</f>
        <v>0.08</v>
      </c>
      <c r="O99" s="23"/>
      <c r="P99" s="23"/>
      <c r="Q99" s="23"/>
      <c r="R99" s="23"/>
      <c r="S99" s="23"/>
      <c r="T99" s="23"/>
      <c r="U99" s="23"/>
      <c r="V99" s="23"/>
      <c r="W99" s="23"/>
      <c r="X99" s="23"/>
      <c r="Y99" s="23"/>
    </row>
    <row r="100" spans="2:25" s="12" customFormat="1" ht="17.100000000000001" customHeight="1" x14ac:dyDescent="0.25">
      <c r="B100" s="12" t="s">
        <v>50</v>
      </c>
      <c r="C100" s="217" t="s">
        <v>65</v>
      </c>
      <c r="D100" s="217"/>
      <c r="E100" s="217"/>
      <c r="F100" s="217"/>
      <c r="G100" s="217"/>
      <c r="H100" s="217"/>
      <c r="I100" s="217"/>
      <c r="J100" s="217"/>
      <c r="K100" s="23"/>
      <c r="L100" s="23"/>
      <c r="M100" s="23"/>
      <c r="N100" s="23"/>
      <c r="O100" s="23"/>
      <c r="P100" s="23"/>
      <c r="Q100" s="23"/>
      <c r="R100" s="23"/>
      <c r="S100" s="23"/>
      <c r="T100" s="23"/>
      <c r="U100" s="23"/>
      <c r="V100" s="23"/>
      <c r="W100" s="23"/>
      <c r="X100" s="23"/>
      <c r="Y100" s="23"/>
    </row>
    <row r="101" spans="2:25" s="12" customFormat="1" ht="17.100000000000001" customHeight="1" x14ac:dyDescent="0.25">
      <c r="B101" s="12" t="s">
        <v>57</v>
      </c>
      <c r="C101" s="217" t="s">
        <v>66</v>
      </c>
      <c r="D101" s="217"/>
      <c r="E101" s="217"/>
      <c r="F101" s="217"/>
      <c r="G101" s="217"/>
      <c r="H101" s="217"/>
      <c r="I101" s="217"/>
      <c r="J101" s="217"/>
      <c r="K101" s="23"/>
      <c r="L101" s="23"/>
      <c r="M101" s="23"/>
      <c r="N101" s="23"/>
      <c r="O101" s="23"/>
      <c r="P101" s="23"/>
      <c r="Q101" s="23"/>
      <c r="R101" s="23"/>
      <c r="S101" s="23"/>
      <c r="T101" s="23"/>
      <c r="U101" s="23"/>
      <c r="V101" s="23"/>
      <c r="W101" s="23"/>
      <c r="X101" s="23"/>
      <c r="Y101" s="23"/>
    </row>
    <row r="102" spans="2:25" ht="17.100000000000001" customHeight="1" x14ac:dyDescent="0.25">
      <c r="B102" s="12" t="s">
        <v>60</v>
      </c>
      <c r="C102" s="211" t="s">
        <v>56</v>
      </c>
      <c r="D102" s="211"/>
      <c r="E102" s="211"/>
      <c r="F102" s="211"/>
      <c r="G102" s="211"/>
      <c r="H102" s="211"/>
      <c r="I102" s="211"/>
      <c r="J102" s="211"/>
      <c r="K102" s="112"/>
      <c r="L102" s="112"/>
      <c r="M102" s="112"/>
      <c r="N102" s="112"/>
      <c r="O102" s="112"/>
      <c r="P102" s="112"/>
      <c r="Q102" s="112"/>
      <c r="R102" s="112"/>
      <c r="S102" s="112"/>
      <c r="T102" s="112"/>
      <c r="U102" s="112"/>
      <c r="V102" s="112"/>
      <c r="W102" s="112"/>
      <c r="X102" s="112"/>
      <c r="Y102" s="112"/>
    </row>
    <row r="103" spans="2:25" ht="17.100000000000001" customHeight="1" x14ac:dyDescent="0.25">
      <c r="B103" s="12" t="s">
        <v>78</v>
      </c>
      <c r="C103" s="273" t="s">
        <v>77</v>
      </c>
      <c r="D103" s="273"/>
      <c r="E103" s="273"/>
      <c r="F103" s="273"/>
      <c r="G103" s="273"/>
      <c r="H103" s="273"/>
      <c r="I103" s="273"/>
      <c r="J103" s="273"/>
      <c r="K103" s="112"/>
      <c r="L103" s="112"/>
      <c r="M103" s="112"/>
      <c r="N103" s="112"/>
      <c r="O103" s="112"/>
      <c r="P103" s="112"/>
      <c r="Q103" s="112"/>
      <c r="R103" s="112"/>
      <c r="S103" s="112"/>
      <c r="T103" s="112"/>
      <c r="U103" s="112"/>
      <c r="V103" s="112"/>
      <c r="W103" s="112"/>
      <c r="X103" s="112"/>
      <c r="Y103" s="112"/>
    </row>
    <row r="104" spans="2:25" ht="17.100000000000001" customHeight="1" x14ac:dyDescent="0.25">
      <c r="B104" s="12" t="s">
        <v>92</v>
      </c>
      <c r="C104" s="217" t="s">
        <v>82</v>
      </c>
      <c r="D104" s="217"/>
      <c r="E104" s="217"/>
      <c r="F104" s="217"/>
      <c r="G104" s="217"/>
      <c r="H104" s="217"/>
      <c r="I104" s="217"/>
      <c r="J104" s="217"/>
      <c r="K104" s="112"/>
      <c r="L104" s="112"/>
      <c r="M104" s="112"/>
      <c r="N104" s="112"/>
      <c r="O104" s="112"/>
      <c r="P104" s="112"/>
      <c r="Q104" s="112"/>
      <c r="R104" s="112"/>
      <c r="S104" s="112"/>
      <c r="T104" s="112"/>
      <c r="U104" s="112"/>
      <c r="V104" s="112"/>
      <c r="W104" s="112"/>
      <c r="X104" s="112"/>
      <c r="Y104" s="112"/>
    </row>
    <row r="105" spans="2:25" ht="17.100000000000001" customHeight="1" x14ac:dyDescent="0.25">
      <c r="B105" s="12" t="s">
        <v>173</v>
      </c>
      <c r="C105" s="217" t="s">
        <v>174</v>
      </c>
      <c r="D105" s="217"/>
      <c r="E105" s="217"/>
      <c r="F105" s="217"/>
      <c r="G105" s="217"/>
      <c r="H105" s="217"/>
      <c r="I105" s="217"/>
      <c r="J105" s="217"/>
      <c r="K105" s="120"/>
      <c r="L105" s="120"/>
      <c r="M105" s="120"/>
      <c r="N105" s="120"/>
      <c r="O105" s="120"/>
      <c r="P105" s="120"/>
      <c r="Q105" s="120"/>
      <c r="R105" s="120"/>
      <c r="S105" s="120"/>
      <c r="T105" s="120"/>
      <c r="U105" s="120"/>
      <c r="V105" s="120"/>
      <c r="W105" s="120"/>
      <c r="X105" s="112"/>
      <c r="Y105" s="112"/>
    </row>
    <row r="106" spans="2:25" ht="17.100000000000001" customHeight="1" x14ac:dyDescent="0.25">
      <c r="B106" s="12"/>
      <c r="C106" s="12"/>
      <c r="D106" s="12"/>
      <c r="E106" s="12"/>
      <c r="F106" s="12"/>
      <c r="G106" s="12"/>
      <c r="H106" s="12"/>
      <c r="I106" s="12"/>
      <c r="J106" s="12"/>
      <c r="K106" s="120"/>
      <c r="L106" s="120"/>
      <c r="M106" s="120"/>
      <c r="N106" s="120"/>
      <c r="O106" s="120"/>
      <c r="P106" s="120"/>
      <c r="Q106" s="120"/>
      <c r="R106" s="120"/>
      <c r="S106" s="120"/>
      <c r="T106" s="120"/>
      <c r="U106" s="120"/>
      <c r="V106" s="120"/>
      <c r="W106" s="120"/>
      <c r="X106" s="112"/>
      <c r="Y106" s="112"/>
    </row>
    <row r="107" spans="2:25" ht="17.100000000000001" customHeight="1" x14ac:dyDescent="0.25">
      <c r="B107" s="41" t="s">
        <v>122</v>
      </c>
      <c r="C107" s="41"/>
      <c r="D107" s="41"/>
      <c r="E107" s="41"/>
      <c r="F107" s="12"/>
      <c r="G107" s="12"/>
      <c r="H107" s="12"/>
      <c r="I107" s="12"/>
      <c r="J107" s="12"/>
      <c r="K107" s="120"/>
      <c r="L107" s="120"/>
      <c r="M107" s="120"/>
      <c r="N107" s="120"/>
      <c r="O107" s="120"/>
      <c r="P107" s="120"/>
      <c r="Q107" s="120"/>
      <c r="R107" s="120"/>
      <c r="S107" s="120"/>
      <c r="T107" s="120"/>
      <c r="U107" s="120"/>
      <c r="V107" s="120"/>
      <c r="W107" s="120"/>
      <c r="X107" s="112"/>
      <c r="Y107" s="112"/>
    </row>
    <row r="108" spans="2:25" ht="17.100000000000001" customHeight="1" x14ac:dyDescent="0.25">
      <c r="B108" s="12" t="s">
        <v>123</v>
      </c>
      <c r="C108" s="12"/>
      <c r="D108" s="12"/>
      <c r="E108" s="12"/>
      <c r="F108" s="12"/>
      <c r="G108" s="12"/>
      <c r="H108" s="12"/>
      <c r="I108" s="12"/>
      <c r="J108" s="12"/>
      <c r="K108" s="120"/>
      <c r="L108" s="120"/>
      <c r="M108" s="120"/>
      <c r="N108" s="120"/>
      <c r="O108" s="120"/>
      <c r="P108" s="120"/>
      <c r="Q108" s="120"/>
      <c r="R108" s="120"/>
      <c r="S108" s="120"/>
      <c r="T108" s="120"/>
      <c r="U108" s="120"/>
      <c r="V108" s="120"/>
      <c r="W108" s="120"/>
      <c r="X108" s="112"/>
      <c r="Y108" s="112"/>
    </row>
    <row r="109" spans="2:25" ht="17.100000000000001" customHeight="1" x14ac:dyDescent="0.25">
      <c r="B109" s="12" t="s">
        <v>124</v>
      </c>
      <c r="C109" s="12"/>
      <c r="D109" s="12"/>
      <c r="E109" s="12"/>
      <c r="F109" s="12"/>
      <c r="G109" s="12"/>
      <c r="H109" s="12"/>
      <c r="I109" s="12"/>
      <c r="J109" s="12"/>
      <c r="K109" s="120"/>
      <c r="L109" s="120"/>
      <c r="M109" s="120"/>
      <c r="N109" s="120"/>
      <c r="O109" s="120"/>
      <c r="P109" s="120"/>
      <c r="Q109" s="120"/>
      <c r="R109" s="120"/>
      <c r="S109" s="120"/>
      <c r="T109" s="120"/>
      <c r="U109" s="120"/>
      <c r="V109" s="120"/>
      <c r="W109" s="120"/>
      <c r="X109" s="112"/>
      <c r="Y109" s="112"/>
    </row>
    <row r="110" spans="2:25" ht="17.100000000000001" customHeight="1" x14ac:dyDescent="0.25">
      <c r="B110" s="12"/>
      <c r="C110" s="12"/>
      <c r="D110" s="12"/>
      <c r="E110" s="12"/>
      <c r="F110" s="12"/>
      <c r="G110" s="12"/>
      <c r="H110" s="12"/>
      <c r="I110" s="12"/>
      <c r="J110" s="12"/>
      <c r="K110" s="120"/>
      <c r="L110" s="120"/>
      <c r="M110" s="120"/>
      <c r="N110" s="120"/>
      <c r="O110" s="120"/>
      <c r="P110" s="120"/>
      <c r="Q110" s="120"/>
      <c r="R110" s="120"/>
      <c r="S110" s="120"/>
      <c r="T110" s="120"/>
      <c r="U110" s="120"/>
      <c r="V110" s="120"/>
      <c r="W110" s="120"/>
      <c r="X110" s="112"/>
      <c r="Y110" s="112"/>
    </row>
    <row r="111" spans="2:25" ht="17.100000000000001" customHeight="1" x14ac:dyDescent="0.25">
      <c r="B111" s="41" t="s">
        <v>126</v>
      </c>
      <c r="C111" s="12"/>
      <c r="D111" s="12"/>
      <c r="E111" s="12"/>
      <c r="F111" s="12"/>
      <c r="G111" s="12"/>
      <c r="H111" s="12"/>
      <c r="I111" s="12"/>
      <c r="J111" s="12"/>
      <c r="K111" s="120"/>
      <c r="L111" s="120"/>
      <c r="M111" s="120"/>
      <c r="N111" s="120"/>
      <c r="O111" s="120"/>
      <c r="P111" s="120"/>
      <c r="Q111" s="120"/>
      <c r="R111" s="120"/>
      <c r="S111" s="120"/>
      <c r="T111" s="120"/>
      <c r="U111" s="120"/>
      <c r="V111" s="120"/>
      <c r="W111" s="120"/>
      <c r="X111" s="112"/>
      <c r="Y111" s="112"/>
    </row>
    <row r="112" spans="2:25" ht="17.100000000000001" customHeight="1" x14ac:dyDescent="0.25">
      <c r="B112" s="12" t="s">
        <v>271</v>
      </c>
      <c r="C112" s="41"/>
      <c r="D112" s="41"/>
      <c r="E112" s="41"/>
      <c r="F112" s="12"/>
      <c r="G112" s="12"/>
      <c r="H112" s="12"/>
      <c r="I112" s="12"/>
      <c r="J112" s="12"/>
      <c r="K112" s="120"/>
      <c r="L112" s="120"/>
      <c r="M112" s="120"/>
      <c r="N112" s="120"/>
      <c r="O112" s="120"/>
      <c r="P112" s="120"/>
      <c r="Q112" s="120"/>
      <c r="R112" s="120"/>
      <c r="S112" s="120"/>
      <c r="T112" s="120"/>
      <c r="U112" s="120"/>
      <c r="V112" s="120"/>
      <c r="W112" s="120"/>
      <c r="X112" s="112"/>
      <c r="Y112" s="112"/>
    </row>
    <row r="113" spans="2:25" ht="17.100000000000001" customHeight="1" x14ac:dyDescent="0.25">
      <c r="B113" s="12"/>
      <c r="C113" s="12"/>
      <c r="D113" s="12"/>
      <c r="E113" s="12"/>
      <c r="F113" s="12"/>
      <c r="G113" s="12"/>
      <c r="H113" s="12"/>
      <c r="I113" s="12"/>
      <c r="J113" s="12"/>
      <c r="K113" s="120"/>
      <c r="L113" s="120"/>
      <c r="M113" s="120"/>
      <c r="N113" s="120"/>
      <c r="O113" s="120"/>
      <c r="P113" s="120"/>
      <c r="Q113" s="120"/>
      <c r="R113" s="120"/>
      <c r="S113" s="120"/>
      <c r="T113" s="120"/>
      <c r="U113" s="120"/>
      <c r="V113" s="120"/>
      <c r="W113" s="120"/>
      <c r="X113" s="112"/>
      <c r="Y113" s="112"/>
    </row>
    <row r="114" spans="2:25" ht="17.100000000000001" customHeight="1" x14ac:dyDescent="0.25">
      <c r="B114" s="104"/>
      <c r="C114" s="104"/>
      <c r="D114" s="104"/>
      <c r="E114" s="104"/>
      <c r="F114" s="104"/>
      <c r="G114" s="104"/>
      <c r="H114" s="104"/>
      <c r="I114" s="120"/>
      <c r="J114" s="120"/>
      <c r="K114" s="120"/>
      <c r="L114" s="120"/>
      <c r="M114" s="120"/>
      <c r="N114" s="120"/>
      <c r="O114" s="120"/>
      <c r="P114" s="120"/>
      <c r="Q114" s="120"/>
      <c r="R114" s="120"/>
      <c r="S114" s="120"/>
      <c r="T114" s="120"/>
      <c r="U114" s="120"/>
      <c r="V114" s="120"/>
      <c r="W114" s="120"/>
      <c r="X114" s="112"/>
      <c r="Y114" s="112"/>
    </row>
    <row r="115" spans="2:25" ht="17.100000000000001" customHeight="1" x14ac:dyDescent="0.25">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row>
    <row r="116" spans="2:25" ht="17.100000000000001" customHeight="1" x14ac:dyDescent="0.25">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row>
    <row r="117" spans="2:25" ht="17.100000000000001" customHeight="1" x14ac:dyDescent="0.25">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row>
    <row r="118" spans="2:25" ht="17.100000000000001" customHeight="1" x14ac:dyDescent="0.25">
      <c r="B118" s="5"/>
      <c r="C118" s="5"/>
      <c r="D118" s="5"/>
      <c r="E118" s="5"/>
      <c r="F118" s="5"/>
      <c r="G118" s="5"/>
      <c r="H118" s="5"/>
      <c r="I118" s="112"/>
      <c r="J118" s="112"/>
      <c r="K118" s="112"/>
      <c r="L118" s="112"/>
      <c r="M118" s="112"/>
      <c r="N118" s="112"/>
      <c r="O118" s="112"/>
      <c r="P118" s="112"/>
      <c r="Q118" s="112"/>
      <c r="R118" s="112"/>
      <c r="S118" s="112"/>
      <c r="T118" s="112"/>
      <c r="U118" s="112"/>
      <c r="V118" s="112"/>
      <c r="W118" s="112"/>
      <c r="X118" s="112"/>
    </row>
    <row r="119" spans="2:25" ht="17.100000000000001" customHeight="1" x14ac:dyDescent="0.25">
      <c r="B119" s="23"/>
      <c r="C119" s="23"/>
      <c r="D119" s="23"/>
      <c r="E119" s="23"/>
      <c r="F119" s="23"/>
      <c r="G119" s="23"/>
      <c r="H119" s="23"/>
      <c r="I119" s="112"/>
      <c r="J119" s="112"/>
      <c r="K119" s="112"/>
      <c r="L119" s="112"/>
      <c r="M119" s="112"/>
      <c r="N119" s="112"/>
      <c r="O119" s="112"/>
      <c r="P119" s="112"/>
      <c r="Q119" s="112"/>
      <c r="R119" s="112"/>
      <c r="S119" s="112"/>
      <c r="T119" s="112"/>
      <c r="U119" s="112"/>
      <c r="V119" s="112"/>
      <c r="W119" s="112"/>
      <c r="X119" s="112"/>
    </row>
    <row r="120" spans="2:25" ht="17.100000000000001" customHeight="1" x14ac:dyDescent="0.25">
      <c r="B120" s="23"/>
      <c r="C120" s="23"/>
      <c r="D120" s="23"/>
      <c r="E120" s="23"/>
      <c r="F120" s="23"/>
      <c r="G120" s="23"/>
      <c r="H120" s="23"/>
      <c r="I120" s="112"/>
      <c r="J120" s="112"/>
      <c r="K120" s="112"/>
      <c r="L120" s="112"/>
      <c r="M120" s="112"/>
      <c r="N120" s="112"/>
      <c r="O120" s="112"/>
      <c r="P120" s="112"/>
      <c r="Q120" s="112"/>
      <c r="R120" s="112"/>
      <c r="S120" s="112"/>
      <c r="T120" s="112"/>
      <c r="U120" s="112"/>
      <c r="V120" s="112"/>
      <c r="W120" s="112"/>
      <c r="X120" s="112"/>
    </row>
    <row r="121" spans="2:25" ht="17.100000000000001" customHeight="1" x14ac:dyDescent="0.25">
      <c r="B121" s="23"/>
      <c r="C121" s="23"/>
      <c r="D121" s="23"/>
      <c r="E121" s="23"/>
      <c r="F121" s="23"/>
      <c r="G121" s="23"/>
      <c r="H121" s="23"/>
      <c r="I121" s="112"/>
      <c r="J121" s="112"/>
      <c r="K121" s="112"/>
      <c r="L121" s="112"/>
      <c r="M121" s="112"/>
      <c r="N121" s="112"/>
      <c r="O121" s="112"/>
      <c r="P121" s="112"/>
      <c r="Q121" s="112"/>
      <c r="R121" s="112"/>
      <c r="S121" s="112"/>
      <c r="T121" s="112"/>
      <c r="U121" s="112"/>
      <c r="V121" s="112"/>
      <c r="W121" s="112"/>
      <c r="X121" s="112"/>
    </row>
    <row r="122" spans="2:25" ht="17.100000000000001" customHeight="1" x14ac:dyDescent="0.25">
      <c r="B122" s="23"/>
      <c r="C122" s="23"/>
      <c r="D122" s="23"/>
      <c r="E122" s="23"/>
      <c r="F122" s="23"/>
      <c r="G122" s="23"/>
      <c r="H122" s="23"/>
      <c r="I122" s="112"/>
      <c r="J122" s="112"/>
      <c r="K122" s="112"/>
      <c r="L122" s="112"/>
      <c r="M122" s="112"/>
      <c r="N122" s="112"/>
      <c r="O122" s="112"/>
      <c r="P122" s="112"/>
      <c r="Q122" s="112"/>
      <c r="R122" s="112"/>
      <c r="S122" s="112"/>
      <c r="T122" s="112"/>
      <c r="U122" s="112"/>
      <c r="V122" s="112"/>
      <c r="W122" s="112"/>
      <c r="X122" s="112"/>
    </row>
    <row r="123" spans="2:25" ht="17.100000000000001" customHeight="1" x14ac:dyDescent="0.25">
      <c r="B123" s="78"/>
      <c r="C123" s="78"/>
      <c r="D123" s="78"/>
      <c r="E123" s="78"/>
      <c r="F123" s="78"/>
      <c r="G123" s="78"/>
      <c r="H123" s="78"/>
      <c r="I123" s="112"/>
      <c r="J123" s="112"/>
      <c r="K123" s="112"/>
      <c r="L123" s="112"/>
      <c r="M123" s="112"/>
      <c r="N123" s="112"/>
      <c r="O123" s="112"/>
      <c r="P123" s="112"/>
      <c r="Q123" s="112"/>
      <c r="R123" s="112"/>
      <c r="S123" s="112"/>
      <c r="T123" s="112"/>
      <c r="U123" s="112"/>
      <c r="V123" s="112"/>
      <c r="W123" s="112"/>
      <c r="X123" s="112"/>
    </row>
    <row r="124" spans="2:25" ht="17.100000000000001" customHeight="1" x14ac:dyDescent="0.25">
      <c r="B124" s="78"/>
      <c r="C124" s="78"/>
      <c r="D124" s="78"/>
      <c r="E124" s="78"/>
      <c r="F124" s="78"/>
      <c r="G124" s="78"/>
      <c r="H124" s="78"/>
      <c r="I124" s="112"/>
      <c r="J124" s="112"/>
      <c r="K124" s="112"/>
      <c r="L124" s="112"/>
      <c r="M124" s="112"/>
      <c r="N124" s="112"/>
      <c r="O124" s="112"/>
      <c r="P124" s="112"/>
      <c r="Q124" s="112"/>
      <c r="R124" s="112"/>
      <c r="S124" s="112"/>
      <c r="T124" s="112"/>
      <c r="U124" s="112"/>
      <c r="V124" s="112"/>
      <c r="W124" s="112"/>
      <c r="X124" s="112"/>
    </row>
    <row r="125" spans="2:25" ht="17.100000000000001" customHeight="1" x14ac:dyDescent="0.25">
      <c r="B125" s="78"/>
      <c r="C125" s="78"/>
      <c r="D125" s="78"/>
      <c r="E125" s="78"/>
      <c r="F125" s="78"/>
      <c r="G125" s="78"/>
      <c r="H125" s="78"/>
      <c r="I125" s="23"/>
      <c r="J125" s="23"/>
      <c r="K125" s="23"/>
      <c r="L125" s="23"/>
      <c r="M125" s="23"/>
      <c r="N125" s="23"/>
      <c r="O125" s="23"/>
      <c r="P125" s="23"/>
      <c r="Q125" s="23"/>
      <c r="R125" s="23"/>
      <c r="S125" s="23"/>
      <c r="T125" s="23"/>
      <c r="U125" s="23"/>
      <c r="V125" s="23"/>
      <c r="W125" s="23"/>
      <c r="X125" s="112"/>
    </row>
    <row r="126" spans="2:25" ht="17.100000000000001" customHeight="1" x14ac:dyDescent="0.25">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row>
    <row r="127" spans="2:25" ht="17.100000000000001" customHeight="1" x14ac:dyDescent="0.25">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row>
    <row r="128" spans="2:25" ht="17.100000000000001" customHeight="1" x14ac:dyDescent="0.25">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row>
    <row r="129" spans="2:24" ht="17.100000000000001" customHeight="1" x14ac:dyDescent="0.25">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row>
    <row r="130" spans="2:24" ht="17.100000000000001" customHeight="1" x14ac:dyDescent="0.25">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row>
    <row r="131" spans="2:24" ht="17.100000000000001" customHeight="1" x14ac:dyDescent="0.25">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row>
    <row r="132" spans="2:24" ht="17.100000000000001" customHeight="1" x14ac:dyDescent="0.25">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row>
    <row r="133" spans="2:24" ht="17.100000000000001" customHeight="1" x14ac:dyDescent="0.25">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row>
    <row r="134" spans="2:24" ht="17.100000000000001" customHeight="1" x14ac:dyDescent="0.25">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row>
    <row r="135" spans="2:24" ht="17.100000000000001" customHeight="1" x14ac:dyDescent="0.25">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row>
    <row r="136" spans="2:24" ht="17.100000000000001" customHeight="1" x14ac:dyDescent="0.25">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row>
    <row r="137" spans="2:24" ht="17.100000000000001" customHeight="1" x14ac:dyDescent="0.25">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row>
    <row r="138" spans="2:24" ht="17.100000000000001" customHeight="1" x14ac:dyDescent="0.25">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row>
    <row r="139" spans="2:24" ht="17.100000000000001" customHeight="1" x14ac:dyDescent="0.25">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row>
    <row r="140" spans="2:24" ht="17.100000000000001" customHeight="1" x14ac:dyDescent="0.25">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row>
    <row r="141" spans="2:24" ht="17.100000000000001" customHeight="1" x14ac:dyDescent="0.25">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row>
    <row r="142" spans="2:24" ht="17.100000000000001" customHeight="1" x14ac:dyDescent="0.25">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row>
    <row r="143" spans="2:24" ht="17.100000000000001" customHeight="1" x14ac:dyDescent="0.25">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row>
    <row r="144" spans="2:24" ht="17.100000000000001" customHeight="1" x14ac:dyDescent="0.25">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row>
    <row r="145" spans="2:24" ht="17.100000000000001" customHeight="1" x14ac:dyDescent="0.25">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row>
    <row r="146" spans="2:24" ht="17.100000000000001" customHeight="1" x14ac:dyDescent="0.25">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row>
    <row r="147" spans="2:24" ht="17.100000000000001" customHeight="1" x14ac:dyDescent="0.25">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row>
    <row r="148" spans="2:24" ht="17.100000000000001" customHeight="1" x14ac:dyDescent="0.25">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row>
    <row r="149" spans="2:24" ht="17.100000000000001" customHeight="1" x14ac:dyDescent="0.25">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row>
    <row r="150" spans="2:24" ht="17.100000000000001" customHeight="1" x14ac:dyDescent="0.25">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row>
    <row r="151" spans="2:24" ht="17.100000000000001" customHeight="1" x14ac:dyDescent="0.25">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row>
    <row r="152" spans="2:24" ht="17.100000000000001" customHeight="1" x14ac:dyDescent="0.25">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row>
    <row r="153" spans="2:24" ht="17.100000000000001" customHeight="1" x14ac:dyDescent="0.25">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row>
    <row r="154" spans="2:24" ht="17.100000000000001" customHeight="1" x14ac:dyDescent="0.25">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row>
    <row r="155" spans="2:24" ht="17.100000000000001" customHeight="1" x14ac:dyDescent="0.25">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row>
    <row r="156" spans="2:24" ht="17.100000000000001" customHeight="1" x14ac:dyDescent="0.25">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row>
    <row r="157" spans="2:24" ht="17.100000000000001" customHeight="1" x14ac:dyDescent="0.25">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row>
    <row r="158" spans="2:24" ht="17.100000000000001" customHeight="1" x14ac:dyDescent="0.25">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row>
    <row r="159" spans="2:24" ht="17.100000000000001" customHeight="1" x14ac:dyDescent="0.25">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row>
    <row r="160" spans="2:24" ht="17.100000000000001" customHeight="1" x14ac:dyDescent="0.25">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row>
    <row r="161" spans="2:24" ht="17.100000000000001" customHeight="1" x14ac:dyDescent="0.25">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row>
    <row r="162" spans="2:24" ht="17.100000000000001" customHeight="1" x14ac:dyDescent="0.25">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row>
    <row r="163" spans="2:24" ht="17.100000000000001" customHeight="1" x14ac:dyDescent="0.25">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row>
    <row r="164" spans="2:24" ht="17.100000000000001" customHeight="1" x14ac:dyDescent="0.25">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row>
    <row r="165" spans="2:24" ht="17.100000000000001" customHeight="1" x14ac:dyDescent="0.25">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row>
    <row r="166" spans="2:24" ht="17.100000000000001" customHeight="1" x14ac:dyDescent="0.25">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row>
    <row r="167" spans="2:24" ht="17.100000000000001" customHeight="1" x14ac:dyDescent="0.25">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row>
    <row r="168" spans="2:24" ht="17.100000000000001" customHeight="1" x14ac:dyDescent="0.25">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row>
    <row r="169" spans="2:24" ht="17.100000000000001" customHeight="1" x14ac:dyDescent="0.25">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row>
    <row r="170" spans="2:24" ht="17.100000000000001" customHeight="1" x14ac:dyDescent="0.25">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row>
  </sheetData>
  <mergeCells count="122">
    <mergeCell ref="L84:O84"/>
    <mergeCell ref="Q84:T84"/>
    <mergeCell ref="F66:F68"/>
    <mergeCell ref="G66:G68"/>
    <mergeCell ref="J44:J46"/>
    <mergeCell ref="K44:K46"/>
    <mergeCell ref="J43:K43"/>
    <mergeCell ref="H44:H46"/>
    <mergeCell ref="I44:I46"/>
    <mergeCell ref="H43:I43"/>
    <mergeCell ref="G58:G61"/>
    <mergeCell ref="F58:F61"/>
    <mergeCell ref="Q38:Q40"/>
    <mergeCell ref="B58:C61"/>
    <mergeCell ref="H58:J61"/>
    <mergeCell ref="K58:K61"/>
    <mergeCell ref="H62:J63"/>
    <mergeCell ref="K62:K63"/>
    <mergeCell ref="H66:J68"/>
    <mergeCell ref="K66:K68"/>
    <mergeCell ref="H69:J70"/>
    <mergeCell ref="K69:K70"/>
    <mergeCell ref="B66:C68"/>
    <mergeCell ref="B69:C69"/>
    <mergeCell ref="B47:C47"/>
    <mergeCell ref="B48:C48"/>
    <mergeCell ref="J25:M25"/>
    <mergeCell ref="K26:M28"/>
    <mergeCell ref="X25:X28"/>
    <mergeCell ref="Y25:Y28"/>
    <mergeCell ref="B43:C46"/>
    <mergeCell ref="F43:F46"/>
    <mergeCell ref="G43:G46"/>
    <mergeCell ref="J26:J28"/>
    <mergeCell ref="B25:C28"/>
    <mergeCell ref="F25:F28"/>
    <mergeCell ref="G25:G28"/>
    <mergeCell ref="H25:H28"/>
    <mergeCell ref="I25:I28"/>
    <mergeCell ref="B36:C36"/>
    <mergeCell ref="B37:C37"/>
    <mergeCell ref="S25:V25"/>
    <mergeCell ref="N25:R25"/>
    <mergeCell ref="N26:N28"/>
    <mergeCell ref="Q26:Q28"/>
    <mergeCell ref="R26:R28"/>
    <mergeCell ref="S26:S28"/>
    <mergeCell ref="T26:T28"/>
    <mergeCell ref="U26:U28"/>
    <mergeCell ref="V26:V28"/>
    <mergeCell ref="B76:C76"/>
    <mergeCell ref="B83:C83"/>
    <mergeCell ref="B49:C49"/>
    <mergeCell ref="B70:C70"/>
    <mergeCell ref="B34:C34"/>
    <mergeCell ref="B35:C35"/>
    <mergeCell ref="B13:H14"/>
    <mergeCell ref="B15:H15"/>
    <mergeCell ref="B16:H16"/>
    <mergeCell ref="B50:C50"/>
    <mergeCell ref="B51:C51"/>
    <mergeCell ref="B52:C52"/>
    <mergeCell ref="B53:C53"/>
    <mergeCell ref="B54:C54"/>
    <mergeCell ref="B62:C62"/>
    <mergeCell ref="C105:J105"/>
    <mergeCell ref="B95:F95"/>
    <mergeCell ref="L92:O92"/>
    <mergeCell ref="Q92:T92"/>
    <mergeCell ref="B55:C55"/>
    <mergeCell ref="B73:F73"/>
    <mergeCell ref="C100:J100"/>
    <mergeCell ref="C101:J101"/>
    <mergeCell ref="C102:J102"/>
    <mergeCell ref="C103:J103"/>
    <mergeCell ref="C104:J104"/>
    <mergeCell ref="C97:J97"/>
    <mergeCell ref="C98:J98"/>
    <mergeCell ref="C99:J99"/>
    <mergeCell ref="B87:H87"/>
    <mergeCell ref="B88:H88"/>
    <mergeCell ref="B78:H78"/>
    <mergeCell ref="B79:H79"/>
    <mergeCell ref="L78:O78"/>
    <mergeCell ref="P78:S78"/>
    <mergeCell ref="P79:S79"/>
    <mergeCell ref="L79:O79"/>
    <mergeCell ref="B89:H89"/>
    <mergeCell ref="B63:C63"/>
    <mergeCell ref="U38:U40"/>
    <mergeCell ref="R29:R37"/>
    <mergeCell ref="K29:M37"/>
    <mergeCell ref="V29:V37"/>
    <mergeCell ref="B20:H20"/>
    <mergeCell ref="B21:H21"/>
    <mergeCell ref="B2:F5"/>
    <mergeCell ref="B17:H17"/>
    <mergeCell ref="B18:H18"/>
    <mergeCell ref="B19:H19"/>
    <mergeCell ref="J38:J40"/>
    <mergeCell ref="D25:D26"/>
    <mergeCell ref="E25:E26"/>
    <mergeCell ref="B29:C29"/>
    <mergeCell ref="B30:C30"/>
    <mergeCell ref="B31:C31"/>
    <mergeCell ref="B32:C32"/>
    <mergeCell ref="B33:C33"/>
    <mergeCell ref="B8:H8"/>
    <mergeCell ref="B9:H9"/>
    <mergeCell ref="B10:H10"/>
    <mergeCell ref="O26:P28"/>
    <mergeCell ref="I13:I14"/>
    <mergeCell ref="J13:J14"/>
    <mergeCell ref="O29:P29"/>
    <mergeCell ref="O30:P30"/>
    <mergeCell ref="O31:P31"/>
    <mergeCell ref="O32:P32"/>
    <mergeCell ref="O33:P33"/>
    <mergeCell ref="O34:P34"/>
    <mergeCell ref="O35:P35"/>
    <mergeCell ref="O36:P36"/>
    <mergeCell ref="O37:P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2021-12-27T06:33:50Z</dcterms:modified>
</cp:coreProperties>
</file>