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V\Desktop\Proyecto\"/>
    </mc:Choice>
  </mc:AlternateContent>
  <bookViews>
    <workbookView xWindow="-105" yWindow="-105" windowWidth="23250" windowHeight="12570"/>
  </bookViews>
  <sheets>
    <sheet name="FA" sheetId="1" r:id="rId1"/>
  </sheets>
  <definedNames>
    <definedName name="_xlnm.Print_Area" localSheetId="0">FA!$B$1:$K$178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31" i="1"/>
  <c r="C47" i="1"/>
  <c r="C45" i="1"/>
  <c r="C44" i="1"/>
  <c r="C5" i="1"/>
  <c r="C25" i="1"/>
  <c r="C12" i="1"/>
  <c r="C9" i="1"/>
  <c r="C29" i="1" l="1"/>
  <c r="C162" i="1"/>
  <c r="C161" i="1"/>
  <c r="C150" i="1"/>
  <c r="C149" i="1"/>
  <c r="C138" i="1"/>
  <c r="C137" i="1"/>
  <c r="C126" i="1"/>
  <c r="C125" i="1"/>
  <c r="C114" i="1"/>
  <c r="C113" i="1"/>
  <c r="C102" i="1"/>
  <c r="C101" i="1"/>
  <c r="C90" i="1"/>
  <c r="C89" i="1"/>
  <c r="C78" i="1"/>
  <c r="C77" i="1"/>
  <c r="C66" i="1"/>
  <c r="C65" i="1"/>
  <c r="C54" i="1"/>
  <c r="C53" i="1"/>
  <c r="C42" i="1"/>
  <c r="C41" i="1"/>
  <c r="B35" i="1"/>
  <c r="C14" i="1"/>
  <c r="C7" i="1"/>
  <c r="C8" i="1" s="1"/>
  <c r="C163" i="1" l="1"/>
  <c r="C141" i="1"/>
  <c r="C115" i="1"/>
  <c r="C93" i="1"/>
  <c r="C67" i="1"/>
  <c r="C43" i="1"/>
  <c r="C27" i="1"/>
  <c r="C30" i="1" s="1"/>
  <c r="C165" i="1"/>
  <c r="C139" i="1"/>
  <c r="C117" i="1"/>
  <c r="C91" i="1"/>
  <c r="C129" i="1"/>
  <c r="C81" i="1"/>
  <c r="C153" i="1"/>
  <c r="C127" i="1"/>
  <c r="C105" i="1"/>
  <c r="C79" i="1"/>
  <c r="C57" i="1"/>
  <c r="C69" i="1"/>
  <c r="C151" i="1"/>
  <c r="C103" i="1"/>
  <c r="C55" i="1"/>
  <c r="C128" i="1" l="1"/>
  <c r="C130" i="1" s="1"/>
  <c r="C80" i="1"/>
  <c r="C82" i="1" s="1"/>
  <c r="C104" i="1"/>
  <c r="C106" i="1" s="1"/>
  <c r="C116" i="1"/>
  <c r="C118" i="1" s="1"/>
  <c r="C68" i="1"/>
  <c r="C70" i="1" s="1"/>
  <c r="C140" i="1"/>
  <c r="C142" i="1" s="1"/>
  <c r="C92" i="1"/>
  <c r="C94" i="1" s="1"/>
  <c r="C32" i="1"/>
  <c r="C34" i="1" s="1"/>
  <c r="C36" i="1" s="1"/>
  <c r="C152" i="1"/>
  <c r="C154" i="1" s="1"/>
  <c r="C56" i="1"/>
  <c r="C58" i="1" s="1"/>
  <c r="C164" i="1"/>
  <c r="C166" i="1" s="1"/>
  <c r="C107" i="1" l="1"/>
  <c r="C108" i="1" s="1"/>
  <c r="C109" i="1"/>
  <c r="C145" i="1"/>
  <c r="C143" i="1"/>
  <c r="C144" i="1" s="1"/>
  <c r="C85" i="1"/>
  <c r="C83" i="1"/>
  <c r="C84" i="1" s="1"/>
  <c r="C169" i="1"/>
  <c r="C167" i="1"/>
  <c r="C59" i="1"/>
  <c r="C60" i="1" s="1"/>
  <c r="C61" i="1"/>
  <c r="C121" i="1"/>
  <c r="C119" i="1"/>
  <c r="C120" i="1" s="1"/>
  <c r="C73" i="1"/>
  <c r="C71" i="1"/>
  <c r="C72" i="1" s="1"/>
  <c r="C97" i="1"/>
  <c r="C95" i="1"/>
  <c r="C96" i="1" s="1"/>
  <c r="C133" i="1"/>
  <c r="C131" i="1"/>
  <c r="C132" i="1" s="1"/>
  <c r="C157" i="1"/>
  <c r="C155" i="1"/>
  <c r="C156" i="1" s="1"/>
  <c r="C33" i="1"/>
  <c r="C37" i="1"/>
  <c r="C168" i="1" l="1"/>
  <c r="E119" i="1"/>
  <c r="E143" i="1"/>
  <c r="E155" i="1"/>
  <c r="E131" i="1"/>
  <c r="E71" i="1"/>
  <c r="E83" i="1"/>
  <c r="E95" i="1"/>
  <c r="E167" i="1"/>
  <c r="C35" i="1"/>
  <c r="E59" i="1"/>
  <c r="E107" i="1"/>
  <c r="E47" i="1" l="1"/>
  <c r="C46" i="1"/>
  <c r="C49" i="1" s="1"/>
  <c r="D173" i="1" l="1"/>
  <c r="F173" i="1" s="1"/>
  <c r="D172" i="1"/>
  <c r="F172" i="1" s="1"/>
  <c r="C48" i="1"/>
</calcChain>
</file>

<file path=xl/comments1.xml><?xml version="1.0" encoding="utf-8"?>
<comments xmlns="http://schemas.openxmlformats.org/spreadsheetml/2006/main">
  <authors>
    <author>Heiner Cervera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figura 1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figura 1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figura 2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figura 2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figura 4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Lozano Rivas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Heiner Cervera:</t>
        </r>
        <r>
          <rPr>
            <sz val="9"/>
            <color indexed="81"/>
            <rFont val="Tahoma"/>
            <family val="2"/>
          </rPr>
          <t xml:space="preserve">
ver Lozano Rivas</t>
        </r>
      </text>
    </comment>
  </commentList>
</comments>
</file>

<file path=xl/sharedStrings.xml><?xml version="1.0" encoding="utf-8"?>
<sst xmlns="http://schemas.openxmlformats.org/spreadsheetml/2006/main" count="283" uniqueCount="92">
  <si>
    <t>DISEÑO FLOCULADOR ALABAMA</t>
  </si>
  <si>
    <t>L/s</t>
  </si>
  <si>
    <t>m³/s</t>
  </si>
  <si>
    <t>min</t>
  </si>
  <si>
    <t>s</t>
  </si>
  <si>
    <t>m³</t>
  </si>
  <si>
    <t>m</t>
  </si>
  <si>
    <t>m²</t>
  </si>
  <si>
    <t>Kg/m³</t>
  </si>
  <si>
    <t>m²/s</t>
  </si>
  <si>
    <t>m/s</t>
  </si>
  <si>
    <t>°C</t>
  </si>
  <si>
    <t>K</t>
  </si>
  <si>
    <t>unid</t>
  </si>
  <si>
    <t>Velocidad de flujo entre codos</t>
  </si>
  <si>
    <t>%</t>
  </si>
  <si>
    <t>William Antonio Lozano-Rivas &amp; Guillermo lozano Bravo. (2015). POTABILIZACIÓN DEL AGUA (1.a ed., Vol. 1). Universidad Piloto de Colombia.</t>
  </si>
  <si>
    <t xml:space="preserve">Número Camp </t>
  </si>
  <si>
    <t xml:space="preserve">Ncamp </t>
  </si>
  <si>
    <t>GT</t>
  </si>
  <si>
    <r>
      <t>m/s</t>
    </r>
    <r>
      <rPr>
        <vertAlign val="superscript"/>
        <sz val="11"/>
        <color theme="1"/>
        <rFont val="Times New Roman"/>
        <family val="1"/>
      </rPr>
      <t>2</t>
    </r>
  </si>
  <si>
    <r>
      <rPr>
        <b/>
        <sz val="11"/>
        <color theme="1"/>
        <rFont val="Times New Roman"/>
        <family val="1"/>
      </rPr>
      <t>Referencias</t>
    </r>
    <r>
      <rPr>
        <sz val="11"/>
        <color theme="1"/>
        <rFont val="Times New Roman"/>
        <family val="1"/>
      </rPr>
      <t>:
 Arboleda, J. A. V. (2000). Teoría y práctica de la purificación del agua (3.a ed., Vol. 1). ACODAL</t>
    </r>
  </si>
  <si>
    <t>Gradiente de Mezcla Promedio</t>
  </si>
  <si>
    <t>1.1 Criterios de Diseño:</t>
  </si>
  <si>
    <t>Datos iniciales:</t>
  </si>
  <si>
    <t>Caudal de Diseño (QMD)</t>
  </si>
  <si>
    <t>Tiempo de floculación (T)</t>
  </si>
  <si>
    <t>Tiempo de detencion de la camara (Tr)</t>
  </si>
  <si>
    <t>Volumen de cada camara (Ɐc)</t>
  </si>
  <si>
    <t>Diametro interconexión (D)</t>
  </si>
  <si>
    <t>CALCULOS</t>
  </si>
  <si>
    <t>Coeficiente de descarga Orificios (Cd)</t>
  </si>
  <si>
    <t>Coeficiente de descarga (Cd)</t>
  </si>
  <si>
    <t xml:space="preserve">Temperatura (°c) </t>
  </si>
  <si>
    <t>Gravedad (g)</t>
  </si>
  <si>
    <t>Viscocidad Cinematica del agua (µ)</t>
  </si>
  <si>
    <t>Densidad del agua (ρ)</t>
  </si>
  <si>
    <t>Altura (a)</t>
  </si>
  <si>
    <t>Longitud (L)</t>
  </si>
  <si>
    <t>Ancho (W)</t>
  </si>
  <si>
    <r>
      <rPr>
        <i/>
        <sz val="11"/>
        <color theme="1"/>
        <rFont val="Times New Roman"/>
        <family val="1"/>
      </rPr>
      <t>Figura 1.</t>
    </r>
    <r>
      <rPr>
        <sz val="11"/>
        <color theme="1"/>
        <rFont val="Times New Roman"/>
        <family val="1"/>
      </rPr>
      <t xml:space="preserve"> Guia de diseño para floculadores tipo Alabama</t>
    </r>
  </si>
  <si>
    <r>
      <rPr>
        <i/>
        <sz val="11"/>
        <color theme="1"/>
        <rFont val="Times New Roman"/>
        <family val="1"/>
      </rPr>
      <t xml:space="preserve">Figura 2. </t>
    </r>
    <r>
      <rPr>
        <sz val="11"/>
        <color theme="1"/>
        <rFont val="Times New Roman"/>
        <family val="1"/>
      </rPr>
      <t>Especificaciones técnicas tuberias PVC tipo 1 RDE 21</t>
    </r>
  </si>
  <si>
    <r>
      <rPr>
        <i/>
        <sz val="11"/>
        <color theme="1"/>
        <rFont val="Times New Roman"/>
        <family val="1"/>
      </rPr>
      <t xml:space="preserve">Figura 3. </t>
    </r>
    <r>
      <rPr>
        <sz val="11"/>
        <color theme="1"/>
        <rFont val="Times New Roman"/>
        <family val="1"/>
      </rPr>
      <t>Criterios de diseño de floculador tipo alabama</t>
    </r>
  </si>
  <si>
    <t>Volumen floculador (Ɐ)</t>
  </si>
  <si>
    <t># De camaras (Adoptado) (#c)</t>
  </si>
  <si>
    <t>Velocidad de flujo entre codos (ν)</t>
  </si>
  <si>
    <t>Perdida Pasamuro (H´)</t>
  </si>
  <si>
    <r>
      <t xml:space="preserve">Perdida Pasamuro </t>
    </r>
    <r>
      <rPr>
        <sz val="11"/>
        <rFont val="Times New Roman"/>
        <family val="1"/>
      </rPr>
      <t>(H´)</t>
    </r>
  </si>
  <si>
    <t>Perdida Codo (H´´)</t>
  </si>
  <si>
    <t>Perdidas Orificio (H´´´)</t>
  </si>
  <si>
    <t>Perdida total floculador (H)</t>
  </si>
  <si>
    <t>Perdidas de Carga en las 20 Camaras (Pc)</t>
  </si>
  <si>
    <t>Numero de Camp (Gt)</t>
  </si>
  <si>
    <t>Pendiente (P)</t>
  </si>
  <si>
    <t>Datos de Salida Camara No 2:</t>
  </si>
  <si>
    <t>Diametro de interno Orificio (Di)</t>
  </si>
  <si>
    <t>Area del orificio No 2 (A)</t>
  </si>
  <si>
    <t>Coeficiente de Descarga (Cd)</t>
  </si>
  <si>
    <t>Gradiente de mezcla (G)</t>
  </si>
  <si>
    <r>
      <t>s-</t>
    </r>
    <r>
      <rPr>
        <vertAlign val="superscript"/>
        <sz val="11"/>
        <rFont val="Times New Roman"/>
        <family val="1"/>
      </rPr>
      <t>1</t>
    </r>
  </si>
  <si>
    <r>
      <t>s</t>
    </r>
    <r>
      <rPr>
        <vertAlign val="superscript"/>
        <sz val="11"/>
        <color theme="1"/>
        <rFont val="Times New Roman"/>
        <family val="1"/>
      </rPr>
      <t>-1</t>
    </r>
  </si>
  <si>
    <t>Datos de Salida Camara No 3:</t>
  </si>
  <si>
    <t>Area del orificio No 3 (A)</t>
  </si>
  <si>
    <t>Gradiente de Mezcla (G)</t>
  </si>
  <si>
    <t>Area del orificio No 12 (A)</t>
  </si>
  <si>
    <t>Datos de Salida Camara No 12:</t>
  </si>
  <si>
    <t>Datos de Salida Camara No 11:</t>
  </si>
  <si>
    <t>Area del orificio No 11 (A)</t>
  </si>
  <si>
    <t>Datos de Salida Camara No 4:</t>
  </si>
  <si>
    <t>Datos de Salida Camara No 5:</t>
  </si>
  <si>
    <t>Area del orificio No 4 (A)</t>
  </si>
  <si>
    <t>Area del orificio No 5 (A)</t>
  </si>
  <si>
    <t>Datos de Salida Camara No 6:</t>
  </si>
  <si>
    <t>Area del orificio No 6 (A)</t>
  </si>
  <si>
    <t>Datos de Salida Camara No 7:</t>
  </si>
  <si>
    <t>Area del orificio No 7 (A)</t>
  </si>
  <si>
    <t>Datos de Salida Camara No 8:</t>
  </si>
  <si>
    <t>Area del orificio No 8 (A)</t>
  </si>
  <si>
    <t>Datos de Salida Camara No 9:</t>
  </si>
  <si>
    <t>Area del orificio No 9 (A)</t>
  </si>
  <si>
    <t>Datos de Salida Camara No 10:</t>
  </si>
  <si>
    <t>Area del orificio No 10 (A)</t>
  </si>
  <si>
    <t xml:space="preserve"> </t>
  </si>
  <si>
    <t>Conforme a Resolución 330 de 2017:</t>
  </si>
  <si>
    <r>
      <rPr>
        <i/>
        <sz val="11"/>
        <color theme="1"/>
        <rFont val="Times New Roman"/>
        <family val="1"/>
      </rPr>
      <t xml:space="preserve">Figura 4. </t>
    </r>
    <r>
      <rPr>
        <sz val="11"/>
        <color theme="1"/>
        <rFont val="Times New Roman"/>
        <family val="1"/>
      </rPr>
      <t>Parametros de mezcla</t>
    </r>
  </si>
  <si>
    <r>
      <t>Figura 5.</t>
    </r>
    <r>
      <rPr>
        <sz val="11"/>
        <color theme="1"/>
        <rFont val="Times New Roman"/>
        <family val="1"/>
      </rPr>
      <t xml:space="preserve"> Perdidas en el pasamuro </t>
    </r>
  </si>
  <si>
    <r>
      <t>Figura 6.</t>
    </r>
    <r>
      <rPr>
        <sz val="11"/>
        <color theme="1"/>
        <rFont val="Times New Roman"/>
        <family val="1"/>
      </rPr>
      <t xml:space="preserve"> Perdidas en codos</t>
    </r>
  </si>
  <si>
    <t>Diametro de interno 20" (Di)</t>
  </si>
  <si>
    <t>Area de la tuberia 20" (N)</t>
  </si>
  <si>
    <r>
      <t>Figura 7.</t>
    </r>
    <r>
      <rPr>
        <sz val="11"/>
        <color theme="1"/>
        <rFont val="Times New Roman"/>
        <family val="1"/>
      </rPr>
      <t xml:space="preserve"> Gradiente de mezcla</t>
    </r>
  </si>
  <si>
    <t>Diametro de externo 20" (Di)</t>
  </si>
  <si>
    <t>Area del orificio 20"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</si>
</sst>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00"/>
    <numFmt numFmtId="166" formatCode="0.0"/>
    <numFmt numFmtId="168" formatCode="0.00000"/>
    <numFmt numFmtId="170" formatCode="0.0000000"/>
    <numFmt numFmtId="171" formatCode="0.00000000"/>
    <numFmt numFmtId="174" formatCode="0.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Times New Roman"/>
      <family val="1"/>
    </font>
    <font>
      <vertAlign val="superscript"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Border="1" applyAlignment="1"/>
    <xf numFmtId="0" fontId="3" fillId="0" borderId="1" xfId="0" applyFont="1" applyBorder="1"/>
    <xf numFmtId="0" fontId="4" fillId="0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/>
    <xf numFmtId="165" fontId="7" fillId="2" borderId="1" xfId="0" applyNumberFormat="1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8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/>
    <xf numFmtId="166" fontId="3" fillId="2" borderId="1" xfId="0" applyNumberFormat="1" applyFont="1" applyFill="1" applyBorder="1" applyAlignment="1">
      <alignment horizontal="left"/>
    </xf>
    <xf numFmtId="165" fontId="4" fillId="4" borderId="1" xfId="0" applyNumberFormat="1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165" fontId="8" fillId="2" borderId="1" xfId="0" applyNumberFormat="1" applyFont="1" applyFill="1" applyBorder="1" applyAlignment="1">
      <alignment horizontal="left"/>
    </xf>
    <xf numFmtId="2" fontId="3" fillId="2" borderId="1" xfId="1" applyNumberFormat="1" applyFont="1" applyFill="1" applyBorder="1" applyAlignment="1">
      <alignment horizontal="left" vertical="center"/>
    </xf>
    <xf numFmtId="165" fontId="7" fillId="4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2" fontId="8" fillId="2" borderId="1" xfId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12" fillId="0" borderId="1" xfId="0" applyFont="1" applyBorder="1"/>
    <xf numFmtId="2" fontId="3" fillId="2" borderId="1" xfId="0" applyNumberFormat="1" applyFont="1" applyFill="1" applyBorder="1" applyAlignment="1">
      <alignment horizontal="left"/>
    </xf>
    <xf numFmtId="2" fontId="8" fillId="2" borderId="1" xfId="0" applyNumberFormat="1" applyFont="1" applyFill="1" applyBorder="1" applyAlignment="1">
      <alignment horizontal="left"/>
    </xf>
    <xf numFmtId="168" fontId="3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/>
    <xf numFmtId="168" fontId="3" fillId="2" borderId="1" xfId="0" applyNumberFormat="1" applyFont="1" applyFill="1" applyBorder="1" applyAlignment="1">
      <alignment horizontal="left"/>
    </xf>
    <xf numFmtId="170" fontId="3" fillId="2" borderId="1" xfId="0" applyNumberFormat="1" applyFont="1" applyFill="1" applyBorder="1" applyAlignment="1">
      <alignment horizontal="left"/>
    </xf>
    <xf numFmtId="171" fontId="3" fillId="2" borderId="1" xfId="0" applyNumberFormat="1" applyFont="1" applyFill="1" applyBorder="1" applyAlignment="1">
      <alignment horizontal="left"/>
    </xf>
    <xf numFmtId="174" fontId="3" fillId="2" borderId="1" xfId="0" applyNumberFormat="1" applyFont="1" applyFill="1" applyBorder="1" applyAlignment="1">
      <alignment horizontal="left"/>
    </xf>
    <xf numFmtId="168" fontId="3" fillId="2" borderId="1" xfId="1" applyNumberFormat="1" applyFont="1" applyFill="1" applyBorder="1" applyAlignment="1">
      <alignment horizontal="left" vertical="center"/>
    </xf>
    <xf numFmtId="168" fontId="8" fillId="2" borderId="1" xfId="0" applyNumberFormat="1" applyFont="1" applyFill="1" applyBorder="1" applyAlignment="1">
      <alignment horizontal="left"/>
    </xf>
    <xf numFmtId="170" fontId="3" fillId="2" borderId="1" xfId="1" applyNumberFormat="1" applyFont="1" applyFill="1" applyBorder="1" applyAlignment="1">
      <alignment horizontal="left" vertical="center"/>
    </xf>
    <xf numFmtId="170" fontId="8" fillId="2" borderId="1" xfId="0" applyNumberFormat="1" applyFont="1" applyFill="1" applyBorder="1" applyAlignment="1">
      <alignment horizontal="left"/>
    </xf>
    <xf numFmtId="168" fontId="4" fillId="2" borderId="1" xfId="0" applyNumberFormat="1" applyFont="1" applyFill="1" applyBorder="1" applyAlignment="1">
      <alignment horizontal="left" vertical="center"/>
    </xf>
    <xf numFmtId="170" fontId="3" fillId="2" borderId="1" xfId="0" applyNumberFormat="1" applyFont="1" applyFill="1" applyBorder="1" applyAlignment="1">
      <alignment horizontal="left" vertical="center"/>
    </xf>
    <xf numFmtId="170" fontId="4" fillId="2" borderId="1" xfId="0" applyNumberFormat="1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36"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246564</xdr:colOff>
      <xdr:row>24</xdr:row>
      <xdr:rowOff>31327</xdr:rowOff>
    </xdr:from>
    <xdr:to>
      <xdr:col>9</xdr:col>
      <xdr:colOff>630134</xdr:colOff>
      <xdr:row>31</xdr:row>
      <xdr:rowOff>153462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B81A735-A601-44CC-8274-129444C7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2244" y="4412827"/>
          <a:ext cx="2738150" cy="1356575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147138</xdr:colOff>
      <xdr:row>1</xdr:row>
      <xdr:rowOff>119580</xdr:rowOff>
    </xdr:from>
    <xdr:to>
      <xdr:col>9</xdr:col>
      <xdr:colOff>592667</xdr:colOff>
      <xdr:row>11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6C9ECEA-3F7F-4755-8A73-4E1674976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2818" y="294840"/>
          <a:ext cx="2800109" cy="183114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371094</xdr:colOff>
      <xdr:row>34</xdr:row>
      <xdr:rowOff>3123</xdr:rowOff>
    </xdr:from>
    <xdr:to>
      <xdr:col>9</xdr:col>
      <xdr:colOff>504826</xdr:colOff>
      <xdr:row>41</xdr:row>
      <xdr:rowOff>269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BC3469B5-EF52-4935-9BF9-DE51F7FF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4769" y="6061023"/>
          <a:ext cx="2476882" cy="1216346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94425</xdr:colOff>
      <xdr:row>42</xdr:row>
      <xdr:rowOff>82550</xdr:rowOff>
    </xdr:from>
    <xdr:to>
      <xdr:col>9</xdr:col>
      <xdr:colOff>714375</xdr:colOff>
      <xdr:row>46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7318CF48-A21F-499B-BB5A-45398A5ED8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587" t="10059" r="5336"/>
        <a:stretch/>
      </xdr:blipFill>
      <xdr:spPr>
        <a:xfrm>
          <a:off x="6638100" y="7531100"/>
          <a:ext cx="2963100" cy="746125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270934</xdr:colOff>
      <xdr:row>13</xdr:row>
      <xdr:rowOff>169332</xdr:rowOff>
    </xdr:from>
    <xdr:to>
      <xdr:col>9</xdr:col>
      <xdr:colOff>651575</xdr:colOff>
      <xdr:row>21</xdr:row>
      <xdr:rowOff>150707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5D7B8E1E-CEB2-4D29-BD57-E071B1C747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461" t="3541" r="6092" b="10994"/>
        <a:stretch/>
      </xdr:blipFill>
      <xdr:spPr>
        <a:xfrm>
          <a:off x="7628467" y="2616199"/>
          <a:ext cx="2742841" cy="1437641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478156</xdr:colOff>
      <xdr:row>62</xdr:row>
      <xdr:rowOff>9525</xdr:rowOff>
    </xdr:from>
    <xdr:to>
      <xdr:col>9</xdr:col>
      <xdr:colOff>309522</xdr:colOff>
      <xdr:row>66</xdr:row>
      <xdr:rowOff>123825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77D4B359-AC87-42F2-8E80-D1F7847B1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134" t="9687" r="36677" b="61487"/>
        <a:stretch/>
      </xdr:blipFill>
      <xdr:spPr>
        <a:xfrm>
          <a:off x="7021831" y="11068050"/>
          <a:ext cx="2174516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223084</xdr:colOff>
      <xdr:row>49</xdr:row>
      <xdr:rowOff>26035</xdr:rowOff>
    </xdr:from>
    <xdr:to>
      <xdr:col>9</xdr:col>
      <xdr:colOff>175783</xdr:colOff>
      <xdr:row>52</xdr:row>
      <xdr:rowOff>160546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6896DF53-75F9-4650-BD5D-8C96AF7162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831" t="87169" r="63548" b="3802"/>
        <a:stretch/>
      </xdr:blipFill>
      <xdr:spPr>
        <a:xfrm>
          <a:off x="7547809" y="8789035"/>
          <a:ext cx="1514799" cy="648861"/>
        </a:xfrm>
        <a:prstGeom prst="rect">
          <a:avLst/>
        </a:prstGeom>
      </xdr:spPr>
    </xdr:pic>
    <xdr:clientData/>
  </xdr:twoCellAnchor>
  <xdr:twoCellAnchor editAs="oneCell">
    <xdr:from>
      <xdr:col>7</xdr:col>
      <xdr:colOff>97113</xdr:colOff>
      <xdr:row>56</xdr:row>
      <xdr:rowOff>74588</xdr:rowOff>
    </xdr:from>
    <xdr:to>
      <xdr:col>8</xdr:col>
      <xdr:colOff>544423</xdr:colOff>
      <xdr:row>59</xdr:row>
      <xdr:rowOff>2332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138952CC-0E68-4BC6-99A4-84E6760D29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8283" t="19252" r="47524" b="69852"/>
        <a:stretch/>
      </xdr:blipFill>
      <xdr:spPr>
        <a:xfrm>
          <a:off x="7421838" y="10037738"/>
          <a:ext cx="1228360" cy="489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184"/>
  <sheetViews>
    <sheetView tabSelected="1" topLeftCell="A67" zoomScale="120" zoomScaleNormal="120" zoomScaleSheetLayoutView="100" workbookViewId="0">
      <selection activeCell="D172" sqref="D172"/>
    </sheetView>
  </sheetViews>
  <sheetFormatPr baseColWidth="10" defaultColWidth="11.42578125" defaultRowHeight="15" x14ac:dyDescent="0.25"/>
  <cols>
    <col min="1" max="1" width="11.42578125" style="18"/>
    <col min="2" max="2" width="36.5703125" style="2" customWidth="1"/>
    <col min="3" max="3" width="21.28515625" style="2" customWidth="1"/>
    <col min="4" max="4" width="11.42578125" style="2"/>
    <col min="5" max="5" width="13.28515625" style="15" bestFit="1" customWidth="1"/>
    <col min="6" max="16384" width="11.42578125" style="2"/>
  </cols>
  <sheetData>
    <row r="1" spans="1:10" x14ac:dyDescent="0.25">
      <c r="B1" s="62" t="s">
        <v>0</v>
      </c>
      <c r="C1" s="63"/>
      <c r="D1" s="63"/>
      <c r="E1" s="63"/>
      <c r="F1" s="64"/>
    </row>
    <row r="2" spans="1:10" x14ac:dyDescent="0.25">
      <c r="B2" s="65" t="s">
        <v>23</v>
      </c>
      <c r="C2" s="65"/>
      <c r="D2" s="65"/>
      <c r="E2" s="65"/>
      <c r="F2" s="3"/>
      <c r="G2" s="53"/>
      <c r="H2" s="54"/>
      <c r="I2" s="54"/>
      <c r="J2" s="55"/>
    </row>
    <row r="3" spans="1:10" x14ac:dyDescent="0.25">
      <c r="B3" s="66" t="s">
        <v>24</v>
      </c>
      <c r="C3" s="66"/>
      <c r="D3" s="66"/>
      <c r="E3" s="66"/>
      <c r="F3" s="3"/>
      <c r="G3" s="56"/>
      <c r="H3" s="57"/>
      <c r="I3" s="57"/>
      <c r="J3" s="58"/>
    </row>
    <row r="4" spans="1:10" x14ac:dyDescent="0.25">
      <c r="A4" s="18">
        <v>0</v>
      </c>
      <c r="B4" s="19" t="s">
        <v>25</v>
      </c>
      <c r="C4" s="23">
        <v>57.26</v>
      </c>
      <c r="D4" s="22" t="s">
        <v>1</v>
      </c>
      <c r="E4" s="69">
        <v>0</v>
      </c>
      <c r="G4" s="56"/>
      <c r="H4" s="57"/>
      <c r="I4" s="57"/>
      <c r="J4" s="58"/>
    </row>
    <row r="5" spans="1:10" x14ac:dyDescent="0.25">
      <c r="B5" s="11" t="s">
        <v>25</v>
      </c>
      <c r="C5" s="23">
        <f>C4/1000</f>
        <v>5.7259999999999998E-2</v>
      </c>
      <c r="D5" s="22" t="s">
        <v>2</v>
      </c>
      <c r="E5" s="69">
        <v>1</v>
      </c>
      <c r="G5" s="56"/>
      <c r="H5" s="57"/>
      <c r="I5" s="57"/>
      <c r="J5" s="58"/>
    </row>
    <row r="6" spans="1:10" x14ac:dyDescent="0.25">
      <c r="A6" s="18">
        <v>1</v>
      </c>
      <c r="B6" s="11" t="s">
        <v>26</v>
      </c>
      <c r="C6" s="24">
        <v>20</v>
      </c>
      <c r="D6" s="11" t="s">
        <v>3</v>
      </c>
      <c r="E6" s="69">
        <v>2</v>
      </c>
      <c r="G6" s="56"/>
      <c r="H6" s="57"/>
      <c r="I6" s="57"/>
      <c r="J6" s="58"/>
    </row>
    <row r="7" spans="1:10" x14ac:dyDescent="0.25">
      <c r="B7" s="11" t="s">
        <v>26</v>
      </c>
      <c r="C7" s="23">
        <f>C6*60</f>
        <v>1200</v>
      </c>
      <c r="D7" s="11" t="s">
        <v>4</v>
      </c>
      <c r="E7" s="69">
        <v>3</v>
      </c>
      <c r="G7" s="56"/>
      <c r="H7" s="57"/>
      <c r="I7" s="57"/>
      <c r="J7" s="58"/>
    </row>
    <row r="8" spans="1:10" x14ac:dyDescent="0.25">
      <c r="B8" s="11" t="s">
        <v>27</v>
      </c>
      <c r="C8" s="23">
        <f>+C7/C26</f>
        <v>100</v>
      </c>
      <c r="D8" s="11" t="s">
        <v>4</v>
      </c>
      <c r="E8" s="69">
        <v>4</v>
      </c>
      <c r="G8" s="56"/>
      <c r="H8" s="57"/>
      <c r="I8" s="57"/>
      <c r="J8" s="58"/>
    </row>
    <row r="9" spans="1:10" x14ac:dyDescent="0.25">
      <c r="B9" s="12" t="s">
        <v>28</v>
      </c>
      <c r="C9" s="24">
        <f>+C8*C5</f>
        <v>5.726</v>
      </c>
      <c r="D9" s="12" t="s">
        <v>5</v>
      </c>
      <c r="E9" s="69">
        <v>5</v>
      </c>
      <c r="G9" s="56"/>
      <c r="H9" s="57"/>
      <c r="I9" s="57"/>
      <c r="J9" s="58"/>
    </row>
    <row r="10" spans="1:10" x14ac:dyDescent="0.25">
      <c r="A10" s="18">
        <v>2</v>
      </c>
      <c r="B10" s="11" t="s">
        <v>29</v>
      </c>
      <c r="C10" s="24">
        <v>0.38629999999999998</v>
      </c>
      <c r="D10" s="11" t="s">
        <v>6</v>
      </c>
      <c r="E10" s="69">
        <v>6</v>
      </c>
      <c r="G10" s="56"/>
      <c r="H10" s="57"/>
      <c r="I10" s="57"/>
      <c r="J10" s="58"/>
    </row>
    <row r="11" spans="1:10" ht="24.75" customHeight="1" x14ac:dyDescent="0.25">
      <c r="A11" s="18">
        <v>3</v>
      </c>
      <c r="B11" s="20" t="s">
        <v>87</v>
      </c>
      <c r="C11" s="52">
        <v>0.45963999999999999</v>
      </c>
      <c r="D11" s="11" t="s">
        <v>6</v>
      </c>
      <c r="E11" s="69">
        <v>7</v>
      </c>
      <c r="G11" s="56"/>
      <c r="H11" s="57"/>
      <c r="I11" s="57"/>
      <c r="J11" s="58"/>
    </row>
    <row r="12" spans="1:10" x14ac:dyDescent="0.25">
      <c r="B12" s="20" t="s">
        <v>88</v>
      </c>
      <c r="C12" s="23">
        <f>(PI()*(C11^2))/4</f>
        <v>0.1659302292907848</v>
      </c>
      <c r="D12" s="12" t="s">
        <v>7</v>
      </c>
      <c r="E12" s="69">
        <v>8</v>
      </c>
      <c r="G12" s="59"/>
      <c r="H12" s="60"/>
      <c r="I12" s="60"/>
      <c r="J12" s="61"/>
    </row>
    <row r="13" spans="1:10" x14ac:dyDescent="0.25">
      <c r="A13" s="18">
        <v>4</v>
      </c>
      <c r="B13" s="20" t="s">
        <v>90</v>
      </c>
      <c r="C13" s="24">
        <v>0.50800000000000001</v>
      </c>
      <c r="D13" s="12" t="s">
        <v>6</v>
      </c>
      <c r="E13" s="69">
        <v>9</v>
      </c>
      <c r="G13" s="2" t="s">
        <v>40</v>
      </c>
    </row>
    <row r="14" spans="1:10" x14ac:dyDescent="0.25">
      <c r="B14" s="20" t="s">
        <v>91</v>
      </c>
      <c r="C14" s="23">
        <f>(PI()*(C13^2))/4</f>
        <v>0.20268299163899911</v>
      </c>
      <c r="D14" s="12" t="s">
        <v>7</v>
      </c>
      <c r="E14" s="69">
        <v>10</v>
      </c>
    </row>
    <row r="15" spans="1:10" x14ac:dyDescent="0.25">
      <c r="A15" s="18">
        <v>5</v>
      </c>
      <c r="B15" s="11" t="s">
        <v>39</v>
      </c>
      <c r="C15" s="24">
        <v>1.3</v>
      </c>
      <c r="D15" s="11" t="s">
        <v>6</v>
      </c>
      <c r="E15" s="69">
        <v>11</v>
      </c>
      <c r="G15" s="53"/>
      <c r="H15" s="54"/>
      <c r="I15" s="54"/>
      <c r="J15" s="55"/>
    </row>
    <row r="16" spans="1:10" x14ac:dyDescent="0.25">
      <c r="A16" s="18">
        <v>6</v>
      </c>
      <c r="B16" s="11" t="s">
        <v>38</v>
      </c>
      <c r="C16" s="24">
        <v>1.6</v>
      </c>
      <c r="D16" s="11" t="s">
        <v>6</v>
      </c>
      <c r="E16" s="69">
        <v>12</v>
      </c>
      <c r="F16" s="3"/>
      <c r="G16" s="56"/>
      <c r="H16" s="57"/>
      <c r="I16" s="57"/>
      <c r="J16" s="58"/>
    </row>
    <row r="17" spans="1:10" x14ac:dyDescent="0.25">
      <c r="A17" s="18">
        <v>7</v>
      </c>
      <c r="B17" s="11" t="s">
        <v>37</v>
      </c>
      <c r="C17" s="24">
        <v>2.75</v>
      </c>
      <c r="D17" s="11" t="s">
        <v>6</v>
      </c>
      <c r="E17" s="69">
        <v>13</v>
      </c>
      <c r="G17" s="56"/>
      <c r="H17" s="57"/>
      <c r="I17" s="57"/>
      <c r="J17" s="58"/>
    </row>
    <row r="18" spans="1:10" x14ac:dyDescent="0.25">
      <c r="A18" s="18">
        <v>8</v>
      </c>
      <c r="B18" s="19" t="s">
        <v>36</v>
      </c>
      <c r="C18" s="24">
        <v>998.3</v>
      </c>
      <c r="D18" s="11" t="s">
        <v>8</v>
      </c>
      <c r="E18" s="69">
        <v>14</v>
      </c>
      <c r="G18" s="56"/>
      <c r="H18" s="57"/>
      <c r="I18" s="57"/>
      <c r="J18" s="58"/>
    </row>
    <row r="19" spans="1:10" x14ac:dyDescent="0.25">
      <c r="A19" s="18">
        <v>9</v>
      </c>
      <c r="B19" s="11" t="s">
        <v>35</v>
      </c>
      <c r="C19" s="24">
        <v>1.0100000000000001E-6</v>
      </c>
      <c r="D19" s="12" t="s">
        <v>9</v>
      </c>
      <c r="E19" s="69">
        <v>15</v>
      </c>
      <c r="G19" s="56"/>
      <c r="H19" s="57"/>
      <c r="I19" s="57"/>
      <c r="J19" s="58"/>
    </row>
    <row r="20" spans="1:10" ht="18" x14ac:dyDescent="0.25">
      <c r="A20" s="18">
        <v>10</v>
      </c>
      <c r="B20" s="11" t="s">
        <v>34</v>
      </c>
      <c r="C20" s="24">
        <v>9.81</v>
      </c>
      <c r="D20" s="12" t="s">
        <v>20</v>
      </c>
      <c r="E20" s="69">
        <v>16</v>
      </c>
      <c r="G20" s="56"/>
      <c r="H20" s="57"/>
      <c r="I20" s="57"/>
      <c r="J20" s="58"/>
    </row>
    <row r="21" spans="1:10" x14ac:dyDescent="0.25">
      <c r="A21" s="18">
        <v>11</v>
      </c>
      <c r="B21" s="13" t="s">
        <v>33</v>
      </c>
      <c r="C21" s="50">
        <v>20</v>
      </c>
      <c r="D21" s="11" t="s">
        <v>11</v>
      </c>
      <c r="E21" s="69">
        <v>17</v>
      </c>
      <c r="G21" s="56"/>
      <c r="H21" s="57"/>
      <c r="I21" s="57"/>
      <c r="J21" s="58"/>
    </row>
    <row r="22" spans="1:10" x14ac:dyDescent="0.25">
      <c r="A22" s="18">
        <v>12</v>
      </c>
      <c r="B22" s="21" t="s">
        <v>32</v>
      </c>
      <c r="C22" s="50">
        <v>0.76</v>
      </c>
      <c r="D22" s="13" t="s">
        <v>12</v>
      </c>
      <c r="E22" s="69">
        <v>18</v>
      </c>
      <c r="G22" s="59"/>
      <c r="H22" s="60"/>
      <c r="I22" s="60"/>
      <c r="J22" s="61"/>
    </row>
    <row r="23" spans="1:10" x14ac:dyDescent="0.25">
      <c r="A23" s="18">
        <v>13</v>
      </c>
      <c r="B23" s="21" t="s">
        <v>31</v>
      </c>
      <c r="C23" s="50">
        <v>0.8</v>
      </c>
      <c r="D23" s="13" t="s">
        <v>12</v>
      </c>
      <c r="E23" s="69">
        <v>19</v>
      </c>
      <c r="G23" s="2" t="s">
        <v>41</v>
      </c>
    </row>
    <row r="24" spans="1:10" ht="13.9" x14ac:dyDescent="0.25">
      <c r="B24" s="62" t="s">
        <v>30</v>
      </c>
      <c r="C24" s="63"/>
      <c r="D24" s="63"/>
      <c r="E24" s="64"/>
    </row>
    <row r="25" spans="1:10" x14ac:dyDescent="0.25">
      <c r="B25" s="14" t="s">
        <v>43</v>
      </c>
      <c r="C25" s="33">
        <f>+C15*C16*C17*C26</f>
        <v>68.640000000000015</v>
      </c>
      <c r="D25" s="14" t="s">
        <v>5</v>
      </c>
      <c r="G25" s="53"/>
      <c r="H25" s="54"/>
      <c r="I25" s="54"/>
      <c r="J25" s="55"/>
    </row>
    <row r="26" spans="1:10" x14ac:dyDescent="0.25">
      <c r="B26" s="14" t="s">
        <v>44</v>
      </c>
      <c r="C26" s="25">
        <v>12</v>
      </c>
      <c r="D26" s="14" t="s">
        <v>13</v>
      </c>
      <c r="G26" s="56"/>
      <c r="H26" s="57"/>
      <c r="I26" s="57"/>
      <c r="J26" s="58"/>
    </row>
    <row r="27" spans="1:10" x14ac:dyDescent="0.25">
      <c r="B27" s="14" t="s">
        <v>45</v>
      </c>
      <c r="C27" s="34">
        <f>C5/C12</f>
        <v>0.34508480006771147</v>
      </c>
      <c r="D27" s="14" t="s">
        <v>10</v>
      </c>
      <c r="G27" s="56"/>
      <c r="H27" s="57"/>
      <c r="I27" s="57"/>
      <c r="J27" s="58"/>
    </row>
    <row r="28" spans="1:10" x14ac:dyDescent="0.25">
      <c r="B28" s="32" t="s">
        <v>14</v>
      </c>
      <c r="C28" s="35" t="str">
        <f>IF(C27&lt;0.25,"No cumple",IF(C27&gt;0.65,"No cumple","Cumple"))</f>
        <v>Cumple</v>
      </c>
      <c r="D28" s="32"/>
      <c r="G28" s="56"/>
      <c r="H28" s="57"/>
      <c r="I28" s="57"/>
      <c r="J28" s="58"/>
    </row>
    <row r="29" spans="1:10" x14ac:dyDescent="0.25">
      <c r="B29" s="27" t="s">
        <v>47</v>
      </c>
      <c r="C29" s="73">
        <f>+($C$5^2/((2*$C$20)*($C$22^2)*($C$12^2)))</f>
        <v>1.0508130874935091E-2</v>
      </c>
      <c r="D29" s="14" t="s">
        <v>6</v>
      </c>
      <c r="F29" s="9"/>
      <c r="G29" s="56"/>
      <c r="H29" s="57"/>
      <c r="I29" s="57"/>
      <c r="J29" s="58"/>
    </row>
    <row r="30" spans="1:10" x14ac:dyDescent="0.25">
      <c r="B30" s="28" t="s">
        <v>48</v>
      </c>
      <c r="C30" s="73">
        <f>+(0.4)*(($C$27^2)/(2*$C$20))</f>
        <v>2.4277985573450032E-3</v>
      </c>
      <c r="D30" s="29" t="s">
        <v>6</v>
      </c>
      <c r="F30" s="10"/>
      <c r="G30" s="56"/>
      <c r="H30" s="57"/>
      <c r="I30" s="57"/>
      <c r="J30" s="58"/>
    </row>
    <row r="31" spans="1:10" x14ac:dyDescent="0.25">
      <c r="B31" s="28" t="s">
        <v>49</v>
      </c>
      <c r="C31" s="73">
        <f>+($C$5^2/((2*$C$20)*($C$23^2)*($C$14^2)))</f>
        <v>6.3560762491316931E-3</v>
      </c>
      <c r="D31" s="29" t="s">
        <v>6</v>
      </c>
      <c r="G31" s="56"/>
      <c r="H31" s="57"/>
      <c r="I31" s="57"/>
      <c r="J31" s="58"/>
    </row>
    <row r="32" spans="1:10" x14ac:dyDescent="0.25">
      <c r="B32" s="14" t="s">
        <v>50</v>
      </c>
      <c r="C32" s="73">
        <f>+$C$29+$C$30+$C$31</f>
        <v>1.9292005681411789E-2</v>
      </c>
      <c r="D32" s="14" t="s">
        <v>6</v>
      </c>
      <c r="G32" s="59"/>
      <c r="H32" s="60"/>
      <c r="I32" s="60"/>
      <c r="J32" s="61"/>
    </row>
    <row r="33" spans="2:10" x14ac:dyDescent="0.25">
      <c r="B33" s="14" t="s">
        <v>51</v>
      </c>
      <c r="C33" s="72">
        <f>+$C$32*$C$26</f>
        <v>0.23150406817694147</v>
      </c>
      <c r="D33" s="14" t="s">
        <v>6</v>
      </c>
      <c r="G33" s="2" t="s">
        <v>42</v>
      </c>
    </row>
    <row r="34" spans="2:10" ht="16.899999999999999" x14ac:dyDescent="0.25">
      <c r="B34" s="14" t="s">
        <v>63</v>
      </c>
      <c r="C34" s="71">
        <f>(SQRT(($C$20*$C$32)/($C$19*$C$8)))</f>
        <v>43.28750028057852</v>
      </c>
      <c r="D34" s="14" t="s">
        <v>59</v>
      </c>
    </row>
    <row r="35" spans="2:10" x14ac:dyDescent="0.25">
      <c r="B35" s="37" t="str">
        <f>+B34</f>
        <v>Gradiente de Mezcla (G)</v>
      </c>
      <c r="C35" s="31" t="str">
        <f>IF(C34&lt;35,"No cumple",IF(C34&gt;55,"No cumple","Cumple"))</f>
        <v>Cumple</v>
      </c>
      <c r="D35" s="37"/>
      <c r="G35" s="53"/>
      <c r="H35" s="54"/>
      <c r="I35" s="54"/>
      <c r="J35" s="55"/>
    </row>
    <row r="36" spans="2:10" x14ac:dyDescent="0.25">
      <c r="B36" s="14" t="s">
        <v>52</v>
      </c>
      <c r="C36" s="76">
        <f>+$C$34*$C$8</f>
        <v>4328.7500280578524</v>
      </c>
      <c r="D36" s="14"/>
      <c r="G36" s="56"/>
      <c r="H36" s="57"/>
      <c r="I36" s="57"/>
      <c r="J36" s="58"/>
    </row>
    <row r="37" spans="2:10" x14ac:dyDescent="0.25">
      <c r="B37" s="30" t="s">
        <v>53</v>
      </c>
      <c r="C37" s="77">
        <f>+C32/$C$16</f>
        <v>1.2057503550882368E-2</v>
      </c>
      <c r="D37" s="30" t="s">
        <v>15</v>
      </c>
      <c r="G37" s="56"/>
      <c r="H37" s="57"/>
      <c r="I37" s="57"/>
      <c r="J37" s="58"/>
    </row>
    <row r="38" spans="2:10" x14ac:dyDescent="0.25">
      <c r="B38" s="4"/>
      <c r="C38" s="4"/>
      <c r="D38" s="4"/>
      <c r="E38" s="5"/>
      <c r="G38" s="56"/>
      <c r="H38" s="57"/>
      <c r="I38" s="57"/>
      <c r="J38" s="58"/>
    </row>
    <row r="39" spans="2:10" x14ac:dyDescent="0.25">
      <c r="B39" s="9" t="s">
        <v>54</v>
      </c>
      <c r="C39" s="9"/>
      <c r="D39" s="9"/>
      <c r="E39" s="9"/>
      <c r="F39" s="10"/>
      <c r="G39" s="56"/>
      <c r="H39" s="57"/>
      <c r="I39" s="57"/>
      <c r="J39" s="58"/>
    </row>
    <row r="40" spans="2:10" x14ac:dyDescent="0.25">
      <c r="B40" s="11" t="s">
        <v>55</v>
      </c>
      <c r="C40" s="79">
        <v>0.46</v>
      </c>
      <c r="D40" s="11" t="s">
        <v>6</v>
      </c>
      <c r="G40" s="56"/>
      <c r="H40" s="57"/>
      <c r="I40" s="57"/>
      <c r="J40" s="58"/>
    </row>
    <row r="41" spans="2:10" x14ac:dyDescent="0.25">
      <c r="B41" s="12" t="s">
        <v>56</v>
      </c>
      <c r="C41" s="80">
        <f>(PI()*(C40^2))/4</f>
        <v>0.16619025137490007</v>
      </c>
      <c r="D41" s="12" t="s">
        <v>7</v>
      </c>
      <c r="G41" s="59"/>
      <c r="H41" s="60"/>
      <c r="I41" s="60"/>
      <c r="J41" s="61"/>
    </row>
    <row r="42" spans="2:10" ht="13.9" x14ac:dyDescent="0.25">
      <c r="B42" s="12" t="s">
        <v>57</v>
      </c>
      <c r="C42" s="80">
        <f>+$C$23</f>
        <v>0.8</v>
      </c>
      <c r="D42" s="12"/>
    </row>
    <row r="43" spans="2:10" x14ac:dyDescent="0.25">
      <c r="B43" s="13" t="s">
        <v>46</v>
      </c>
      <c r="C43" s="71">
        <f>+($C$5^2/((2*$C$20)*(C42^2)*($C$12^2)))</f>
        <v>9.4835881146289186E-3</v>
      </c>
      <c r="D43" s="13" t="s">
        <v>6</v>
      </c>
      <c r="G43" s="53"/>
      <c r="H43" s="54"/>
      <c r="I43" s="54"/>
      <c r="J43" s="55"/>
    </row>
    <row r="44" spans="2:10" x14ac:dyDescent="0.25">
      <c r="B44" s="13" t="s">
        <v>48</v>
      </c>
      <c r="C44" s="71">
        <f>+(0.4)*(($C$27^2)/(2*$C$20))</f>
        <v>2.4277985573450032E-3</v>
      </c>
      <c r="D44" s="13" t="s">
        <v>6</v>
      </c>
      <c r="G44" s="56"/>
      <c r="H44" s="57"/>
      <c r="I44" s="57"/>
      <c r="J44" s="58"/>
    </row>
    <row r="45" spans="2:10" x14ac:dyDescent="0.25">
      <c r="B45" s="13" t="s">
        <v>49</v>
      </c>
      <c r="C45" s="71">
        <f>+($C$5^2/((2*$C$20)*($C$23^2)*(C41^2)))</f>
        <v>9.4539351931932254E-3</v>
      </c>
      <c r="D45" s="13" t="s">
        <v>6</v>
      </c>
      <c r="F45" s="10"/>
      <c r="G45" s="56"/>
      <c r="H45" s="57"/>
      <c r="I45" s="57"/>
      <c r="J45" s="58"/>
    </row>
    <row r="46" spans="2:10" x14ac:dyDescent="0.25">
      <c r="B46" s="13" t="s">
        <v>50</v>
      </c>
      <c r="C46" s="71">
        <f>+C43+C44+C45</f>
        <v>2.1365321865167146E-2</v>
      </c>
      <c r="D46" s="13" t="s">
        <v>6</v>
      </c>
      <c r="F46" s="68"/>
      <c r="G46" s="56"/>
      <c r="H46" s="57"/>
      <c r="I46" s="57"/>
      <c r="J46" s="58"/>
    </row>
    <row r="47" spans="2:10" ht="21.75" customHeight="1" x14ac:dyDescent="0.25">
      <c r="B47" s="13" t="s">
        <v>58</v>
      </c>
      <c r="C47" s="71">
        <f>(SQRT(($C$20*C46)/($C$19*$C$8)))</f>
        <v>45.554211801374109</v>
      </c>
      <c r="D47" s="13" t="s">
        <v>60</v>
      </c>
      <c r="E47" s="40" t="str">
        <f>IF(C47&lt;35,"No cumple",IF(C47&gt;55,"No cumple","Cumple"))</f>
        <v>Cumple</v>
      </c>
      <c r="F47" s="68"/>
      <c r="G47" s="56"/>
      <c r="H47" s="57"/>
      <c r="I47" s="57"/>
      <c r="J47" s="58"/>
    </row>
    <row r="48" spans="2:10" x14ac:dyDescent="0.25">
      <c r="B48" s="14" t="s">
        <v>52</v>
      </c>
      <c r="C48" s="76">
        <f>+C47*$C$8</f>
        <v>4555.4211801374113</v>
      </c>
      <c r="D48" s="14"/>
      <c r="F48" s="68"/>
      <c r="G48" s="2" t="s">
        <v>84</v>
      </c>
      <c r="H48" s="1"/>
      <c r="I48" s="1"/>
      <c r="J48" s="45"/>
    </row>
    <row r="49" spans="2:10" ht="14.45" x14ac:dyDescent="0.3">
      <c r="B49" s="14" t="s">
        <v>53</v>
      </c>
      <c r="C49" s="77">
        <f>+C46/$C$16</f>
        <v>1.3353326165729465E-2</v>
      </c>
      <c r="D49" s="14" t="s">
        <v>15</v>
      </c>
      <c r="G49" s="46"/>
      <c r="H49" s="47"/>
      <c r="I49" s="47"/>
      <c r="J49" s="48"/>
    </row>
    <row r="50" spans="2:10" x14ac:dyDescent="0.25">
      <c r="G50" s="53"/>
      <c r="H50" s="54"/>
      <c r="I50" s="54"/>
      <c r="J50" s="55"/>
    </row>
    <row r="51" spans="2:10" x14ac:dyDescent="0.25">
      <c r="B51" s="9" t="s">
        <v>61</v>
      </c>
      <c r="C51" s="9"/>
      <c r="D51" s="9"/>
      <c r="E51" s="9"/>
      <c r="G51" s="56"/>
      <c r="H51" s="57"/>
      <c r="I51" s="57"/>
      <c r="J51" s="58"/>
    </row>
    <row r="52" spans="2:10" x14ac:dyDescent="0.25">
      <c r="B52" s="11" t="s">
        <v>55</v>
      </c>
      <c r="C52" s="52">
        <v>0.41</v>
      </c>
      <c r="D52" s="11" t="s">
        <v>6</v>
      </c>
      <c r="G52" s="56"/>
      <c r="H52" s="57"/>
      <c r="I52" s="57"/>
      <c r="J52" s="58"/>
    </row>
    <row r="53" spans="2:10" x14ac:dyDescent="0.25">
      <c r="B53" s="12" t="s">
        <v>62</v>
      </c>
      <c r="C53" s="78">
        <f>(PI()*(C52^2))/4</f>
        <v>0.13202543126711103</v>
      </c>
      <c r="D53" s="12" t="s">
        <v>7</v>
      </c>
      <c r="G53" s="56"/>
      <c r="H53" s="57"/>
      <c r="I53" s="57"/>
      <c r="J53" s="58"/>
    </row>
    <row r="54" spans="2:10" x14ac:dyDescent="0.25">
      <c r="B54" s="12" t="s">
        <v>57</v>
      </c>
      <c r="C54" s="78">
        <f>+$C$23</f>
        <v>0.8</v>
      </c>
      <c r="D54" s="12"/>
      <c r="G54" s="59"/>
      <c r="H54" s="60"/>
      <c r="I54" s="60"/>
      <c r="J54" s="61"/>
    </row>
    <row r="55" spans="2:10" x14ac:dyDescent="0.25">
      <c r="B55" s="13" t="s">
        <v>46</v>
      </c>
      <c r="C55" s="70">
        <f>+($C$5^2/((2*$C$20)*(C54^2)*($C$12^2)))</f>
        <v>9.4835881146289186E-3</v>
      </c>
      <c r="D55" s="13" t="s">
        <v>6</v>
      </c>
      <c r="G55" s="49" t="s">
        <v>85</v>
      </c>
    </row>
    <row r="56" spans="2:10" x14ac:dyDescent="0.25">
      <c r="B56" s="13" t="s">
        <v>48</v>
      </c>
      <c r="C56" s="70">
        <f>+(0.4)*(($C$27^2)/(2*$C$20))</f>
        <v>2.4277985573450032E-3</v>
      </c>
      <c r="D56" s="13" t="s">
        <v>6</v>
      </c>
    </row>
    <row r="57" spans="2:10" x14ac:dyDescent="0.25">
      <c r="B57" s="13" t="s">
        <v>49</v>
      </c>
      <c r="C57" s="70">
        <f>+($C$5^2/((2*$C$20)*($C$23^2)*(C53^2)))</f>
        <v>1.4979886428602486E-2</v>
      </c>
      <c r="D57" s="13" t="s">
        <v>6</v>
      </c>
      <c r="G57" s="53"/>
      <c r="H57" s="54"/>
      <c r="I57" s="54"/>
      <c r="J57" s="55"/>
    </row>
    <row r="58" spans="2:10" x14ac:dyDescent="0.25">
      <c r="B58" s="13" t="s">
        <v>50</v>
      </c>
      <c r="C58" s="70">
        <f>+C55+C56+C57</f>
        <v>2.6891273100576409E-2</v>
      </c>
      <c r="D58" s="13" t="s">
        <v>6</v>
      </c>
      <c r="G58" s="56"/>
      <c r="H58" s="57"/>
      <c r="I58" s="57"/>
      <c r="J58" s="58"/>
    </row>
    <row r="59" spans="2:10" ht="18" x14ac:dyDescent="0.25">
      <c r="B59" s="13" t="s">
        <v>58</v>
      </c>
      <c r="C59" s="70">
        <f>(SQRT(($C$20*C58)/($C$19*$C$8)))</f>
        <v>51.106895265993735</v>
      </c>
      <c r="D59" s="13" t="s">
        <v>60</v>
      </c>
      <c r="E59" s="40" t="str">
        <f>IF(C59&lt;35,"No cumple",IF(C59&gt;55,"No cumple","Cumple"))</f>
        <v>Cumple</v>
      </c>
      <c r="G59" s="56"/>
      <c r="H59" s="57"/>
      <c r="I59" s="57"/>
      <c r="J59" s="58"/>
    </row>
    <row r="60" spans="2:10" x14ac:dyDescent="0.25">
      <c r="B60" s="14" t="s">
        <v>52</v>
      </c>
      <c r="C60" s="74">
        <f>+C59*$C$8</f>
        <v>5110.6895265993735</v>
      </c>
      <c r="D60" s="14"/>
      <c r="F60" s="16"/>
      <c r="G60" s="56"/>
      <c r="H60" s="57"/>
      <c r="I60" s="57"/>
      <c r="J60" s="58"/>
    </row>
    <row r="61" spans="2:10" ht="14.45" x14ac:dyDescent="0.3">
      <c r="B61" s="14" t="s">
        <v>53</v>
      </c>
      <c r="C61" s="75">
        <f>+C58/$C$16</f>
        <v>1.6807045687860254E-2</v>
      </c>
      <c r="D61" s="14" t="s">
        <v>15</v>
      </c>
      <c r="G61" s="49" t="s">
        <v>86</v>
      </c>
      <c r="H61" s="47"/>
      <c r="I61" s="47"/>
      <c r="J61" s="48"/>
    </row>
    <row r="63" spans="2:10" x14ac:dyDescent="0.25">
      <c r="B63" s="30" t="s">
        <v>68</v>
      </c>
      <c r="C63" s="30"/>
      <c r="D63" s="30"/>
      <c r="E63" s="30"/>
      <c r="G63" s="53"/>
      <c r="H63" s="54"/>
      <c r="I63" s="54"/>
      <c r="J63" s="55"/>
    </row>
    <row r="64" spans="2:10" x14ac:dyDescent="0.25">
      <c r="B64" s="11" t="s">
        <v>55</v>
      </c>
      <c r="C64" s="24">
        <v>0.46</v>
      </c>
      <c r="D64" s="11" t="s">
        <v>6</v>
      </c>
      <c r="G64" s="56"/>
      <c r="H64" s="57"/>
      <c r="I64" s="57"/>
      <c r="J64" s="58"/>
    </row>
    <row r="65" spans="2:10" x14ac:dyDescent="0.25">
      <c r="B65" s="12" t="s">
        <v>70</v>
      </c>
      <c r="C65" s="23">
        <f>(PI()*(C64^2))/4</f>
        <v>0.16619025137490007</v>
      </c>
      <c r="D65" s="12" t="s">
        <v>7</v>
      </c>
      <c r="G65" s="56"/>
      <c r="H65" s="57"/>
      <c r="I65" s="57"/>
      <c r="J65" s="58"/>
    </row>
    <row r="66" spans="2:10" x14ac:dyDescent="0.25">
      <c r="B66" s="12" t="s">
        <v>57</v>
      </c>
      <c r="C66" s="23">
        <f>+$C$23</f>
        <v>0.8</v>
      </c>
      <c r="D66" s="12"/>
      <c r="G66" s="56"/>
      <c r="H66" s="57"/>
      <c r="I66" s="57"/>
      <c r="J66" s="58"/>
    </row>
    <row r="67" spans="2:10" x14ac:dyDescent="0.25">
      <c r="B67" s="13" t="s">
        <v>46</v>
      </c>
      <c r="C67" s="50">
        <f>+($C$5^2/((2*$C$20)*(C66^2)*($C$12^2)))</f>
        <v>9.4835881146289186E-3</v>
      </c>
      <c r="D67" s="13" t="s">
        <v>6</v>
      </c>
      <c r="G67" s="59"/>
      <c r="H67" s="60"/>
      <c r="I67" s="60"/>
      <c r="J67" s="61"/>
    </row>
    <row r="68" spans="2:10" x14ac:dyDescent="0.25">
      <c r="B68" s="13" t="s">
        <v>48</v>
      </c>
      <c r="C68" s="50">
        <f>+(0.4)*(($C$27^2)/(2*$C$20))</f>
        <v>2.4277985573450032E-3</v>
      </c>
      <c r="D68" s="13" t="s">
        <v>6</v>
      </c>
      <c r="G68" s="49" t="s">
        <v>89</v>
      </c>
    </row>
    <row r="69" spans="2:10" x14ac:dyDescent="0.25">
      <c r="B69" s="13" t="s">
        <v>49</v>
      </c>
      <c r="C69" s="50">
        <f>+($C$5^2/((2*$C$20)*($C$23^2)*(C65^2)))</f>
        <v>9.4539351931932254E-3</v>
      </c>
      <c r="D69" s="13" t="s">
        <v>6</v>
      </c>
    </row>
    <row r="70" spans="2:10" ht="13.9" x14ac:dyDescent="0.25">
      <c r="B70" s="13" t="s">
        <v>50</v>
      </c>
      <c r="C70" s="50">
        <f>+C67+C68+C69</f>
        <v>2.1365321865167146E-2</v>
      </c>
      <c r="D70" s="13" t="s">
        <v>6</v>
      </c>
    </row>
    <row r="71" spans="2:10" ht="17.45" x14ac:dyDescent="0.3">
      <c r="B71" s="13" t="s">
        <v>58</v>
      </c>
      <c r="C71" s="50">
        <f>(SQRT(($C$20*C70)/($C$19*$C$8)))</f>
        <v>45.554211801374109</v>
      </c>
      <c r="D71" s="13" t="s">
        <v>60</v>
      </c>
      <c r="E71" s="40" t="str">
        <f>IF(C71&lt;35,"No cumple",IF(C71&gt;55,"No cumple","Cumple"))</f>
        <v>Cumple</v>
      </c>
    </row>
    <row r="72" spans="2:10" ht="14.45" x14ac:dyDescent="0.3">
      <c r="B72" s="14" t="s">
        <v>52</v>
      </c>
      <c r="C72" s="39">
        <f>+C71*$C$8</f>
        <v>4555.4211801374113</v>
      </c>
      <c r="D72" s="14"/>
      <c r="F72" s="16"/>
    </row>
    <row r="73" spans="2:10" ht="14.45" x14ac:dyDescent="0.3">
      <c r="B73" s="14" t="s">
        <v>53</v>
      </c>
      <c r="C73" s="51">
        <f>+C70/$C$16</f>
        <v>1.3353326165729465E-2</v>
      </c>
      <c r="D73" s="14" t="s">
        <v>15</v>
      </c>
    </row>
    <row r="75" spans="2:10" ht="13.9" x14ac:dyDescent="0.25">
      <c r="B75" s="9" t="s">
        <v>69</v>
      </c>
      <c r="C75" s="9"/>
      <c r="D75" s="9"/>
      <c r="E75" s="9"/>
    </row>
    <row r="76" spans="2:10" ht="13.9" x14ac:dyDescent="0.25">
      <c r="B76" s="11" t="s">
        <v>55</v>
      </c>
      <c r="C76" s="24">
        <v>0.41</v>
      </c>
      <c r="D76" s="11" t="s">
        <v>6</v>
      </c>
    </row>
    <row r="77" spans="2:10" x14ac:dyDescent="0.25">
      <c r="B77" s="12" t="s">
        <v>71</v>
      </c>
      <c r="C77" s="23">
        <f>(PI()*(C76^2))/4</f>
        <v>0.13202543126711103</v>
      </c>
      <c r="D77" s="12" t="s">
        <v>7</v>
      </c>
    </row>
    <row r="78" spans="2:10" ht="13.9" x14ac:dyDescent="0.25">
      <c r="B78" s="12" t="s">
        <v>57</v>
      </c>
      <c r="C78" s="23">
        <f>+$C$23</f>
        <v>0.8</v>
      </c>
      <c r="D78" s="12"/>
    </row>
    <row r="79" spans="2:10" x14ac:dyDescent="0.25">
      <c r="B79" s="13" t="s">
        <v>46</v>
      </c>
      <c r="C79" s="50">
        <f>+($C$5^2/((2*$C$20)*(C78^2)*($C$12^2)))</f>
        <v>9.4835881146289186E-3</v>
      </c>
      <c r="D79" s="13" t="s">
        <v>6</v>
      </c>
    </row>
    <row r="80" spans="2:10" x14ac:dyDescent="0.25">
      <c r="B80" s="13" t="s">
        <v>48</v>
      </c>
      <c r="C80" s="50">
        <f>+(0.4)*(($C$27^2)/(2*$C$20))</f>
        <v>2.4277985573450032E-3</v>
      </c>
      <c r="D80" s="13" t="s">
        <v>6</v>
      </c>
    </row>
    <row r="81" spans="2:6" x14ac:dyDescent="0.25">
      <c r="B81" s="13" t="s">
        <v>49</v>
      </c>
      <c r="C81" s="50">
        <f>+($C$5^2/((2*$C$20)*($C$23^2)*(C77^2)))</f>
        <v>1.4979886428602486E-2</v>
      </c>
      <c r="D81" s="13" t="s">
        <v>6</v>
      </c>
    </row>
    <row r="82" spans="2:6" ht="13.9" x14ac:dyDescent="0.25">
      <c r="B82" s="13" t="s">
        <v>50</v>
      </c>
      <c r="C82" s="50">
        <f>+C79+C80+C81</f>
        <v>2.6891273100576409E-2</v>
      </c>
      <c r="D82" s="13" t="s">
        <v>6</v>
      </c>
    </row>
    <row r="83" spans="2:6" ht="17.45" x14ac:dyDescent="0.3">
      <c r="B83" s="13" t="s">
        <v>58</v>
      </c>
      <c r="C83" s="50">
        <f>(SQRT(($C$20*C82)/($C$19*$C$8)))</f>
        <v>51.106895265993735</v>
      </c>
      <c r="D83" s="13" t="s">
        <v>60</v>
      </c>
      <c r="E83" s="40" t="str">
        <f>IF(C83&lt;35,"No cumple",IF(C83&gt;55,"No cumple","Cumple"))</f>
        <v>Cumple</v>
      </c>
    </row>
    <row r="84" spans="2:6" ht="14.45" x14ac:dyDescent="0.3">
      <c r="B84" s="14" t="s">
        <v>52</v>
      </c>
      <c r="C84" s="39">
        <f>+C83*$C$8</f>
        <v>5110.6895265993735</v>
      </c>
      <c r="D84" s="14"/>
      <c r="F84" s="16"/>
    </row>
    <row r="85" spans="2:6" ht="14.45" x14ac:dyDescent="0.3">
      <c r="B85" s="14" t="s">
        <v>53</v>
      </c>
      <c r="C85" s="51">
        <f>+C82/$C$16</f>
        <v>1.6807045687860254E-2</v>
      </c>
      <c r="D85" s="14" t="s">
        <v>15</v>
      </c>
    </row>
    <row r="87" spans="2:6" ht="13.9" x14ac:dyDescent="0.25">
      <c r="B87" s="30" t="s">
        <v>72</v>
      </c>
      <c r="C87" s="30"/>
      <c r="D87" s="30"/>
      <c r="E87" s="30"/>
    </row>
    <row r="88" spans="2:6" ht="13.9" x14ac:dyDescent="0.25">
      <c r="B88" s="11" t="s">
        <v>55</v>
      </c>
      <c r="C88" s="24">
        <v>0.46</v>
      </c>
      <c r="D88" s="11" t="s">
        <v>6</v>
      </c>
    </row>
    <row r="89" spans="2:6" x14ac:dyDescent="0.25">
      <c r="B89" s="12" t="s">
        <v>73</v>
      </c>
      <c r="C89" s="23">
        <f>(PI()*(C88^2))/4</f>
        <v>0.16619025137490007</v>
      </c>
      <c r="D89" s="12" t="s">
        <v>7</v>
      </c>
    </row>
    <row r="90" spans="2:6" ht="13.9" x14ac:dyDescent="0.25">
      <c r="B90" s="12" t="s">
        <v>57</v>
      </c>
      <c r="C90" s="23">
        <f>+$C$23</f>
        <v>0.8</v>
      </c>
      <c r="D90" s="12"/>
    </row>
    <row r="91" spans="2:6" x14ac:dyDescent="0.25">
      <c r="B91" s="13" t="s">
        <v>46</v>
      </c>
      <c r="C91" s="50">
        <f>+($C$5^2/((2*$C$20)*(C90^2)*($C$12^2)))</f>
        <v>9.4835881146289186E-3</v>
      </c>
      <c r="D91" s="13" t="s">
        <v>6</v>
      </c>
    </row>
    <row r="92" spans="2:6" x14ac:dyDescent="0.25">
      <c r="B92" s="13" t="s">
        <v>48</v>
      </c>
      <c r="C92" s="50">
        <f>+(0.4)*(($C$27^2)/(2*$C$20))</f>
        <v>2.4277985573450032E-3</v>
      </c>
      <c r="D92" s="13" t="s">
        <v>6</v>
      </c>
    </row>
    <row r="93" spans="2:6" x14ac:dyDescent="0.25">
      <c r="B93" s="13" t="s">
        <v>49</v>
      </c>
      <c r="C93" s="50">
        <f>+($C$5^2/((2*$C$20)*($C$23^2)*(C89^2)))</f>
        <v>9.4539351931932254E-3</v>
      </c>
      <c r="D93" s="13" t="s">
        <v>6</v>
      </c>
    </row>
    <row r="94" spans="2:6" ht="13.9" x14ac:dyDescent="0.25">
      <c r="B94" s="13" t="s">
        <v>50</v>
      </c>
      <c r="C94" s="50">
        <f>+C91+C92+C93</f>
        <v>2.1365321865167146E-2</v>
      </c>
      <c r="D94" s="13" t="s">
        <v>6</v>
      </c>
    </row>
    <row r="95" spans="2:6" ht="17.45" x14ac:dyDescent="0.3">
      <c r="B95" s="13" t="s">
        <v>58</v>
      </c>
      <c r="C95" s="50">
        <f>(SQRT(($C$20*C94)/($C$19*$C$8)))</f>
        <v>45.554211801374109</v>
      </c>
      <c r="D95" s="13" t="s">
        <v>60</v>
      </c>
      <c r="E95" s="40" t="str">
        <f>IF(C95&lt;35,"No cumple",IF(C95&gt;55,"No cumple","Cumple"))</f>
        <v>Cumple</v>
      </c>
    </row>
    <row r="96" spans="2:6" ht="14.45" x14ac:dyDescent="0.3">
      <c r="B96" s="14" t="s">
        <v>52</v>
      </c>
      <c r="C96" s="39">
        <f>+C95*$C$8</f>
        <v>4555.4211801374113</v>
      </c>
      <c r="D96" s="14"/>
      <c r="F96" s="16"/>
    </row>
    <row r="97" spans="2:6" ht="14.45" x14ac:dyDescent="0.3">
      <c r="B97" s="14" t="s">
        <v>53</v>
      </c>
      <c r="C97" s="51">
        <f>+C94/$C$16</f>
        <v>1.3353326165729465E-2</v>
      </c>
      <c r="D97" s="14" t="s">
        <v>15</v>
      </c>
    </row>
    <row r="99" spans="2:6" ht="13.9" x14ac:dyDescent="0.25">
      <c r="B99" s="9" t="s">
        <v>74</v>
      </c>
      <c r="C99" s="9"/>
      <c r="D99" s="9"/>
      <c r="E99" s="9"/>
    </row>
    <row r="100" spans="2:6" ht="13.9" x14ac:dyDescent="0.25">
      <c r="B100" s="11" t="s">
        <v>55</v>
      </c>
      <c r="C100" s="24">
        <v>0.41</v>
      </c>
      <c r="D100" s="11" t="s">
        <v>6</v>
      </c>
    </row>
    <row r="101" spans="2:6" x14ac:dyDescent="0.25">
      <c r="B101" s="12" t="s">
        <v>75</v>
      </c>
      <c r="C101" s="23">
        <f>(PI()*(C100^2))/4</f>
        <v>0.13202543126711103</v>
      </c>
      <c r="D101" s="12" t="s">
        <v>7</v>
      </c>
    </row>
    <row r="102" spans="2:6" ht="13.9" x14ac:dyDescent="0.25">
      <c r="B102" s="12" t="s">
        <v>57</v>
      </c>
      <c r="C102" s="23">
        <f>+$C$23</f>
        <v>0.8</v>
      </c>
      <c r="D102" s="12"/>
    </row>
    <row r="103" spans="2:6" x14ac:dyDescent="0.25">
      <c r="B103" s="13" t="s">
        <v>46</v>
      </c>
      <c r="C103" s="50">
        <f>+($C$5^2/((2*$C$20)*(C102^2)*($C$12^2)))</f>
        <v>9.4835881146289186E-3</v>
      </c>
      <c r="D103" s="13" t="s">
        <v>6</v>
      </c>
    </row>
    <row r="104" spans="2:6" x14ac:dyDescent="0.25">
      <c r="B104" s="13" t="s">
        <v>48</v>
      </c>
      <c r="C104" s="50">
        <f>+(0.4)*(($C$27^2)/(2*$C$20))</f>
        <v>2.4277985573450032E-3</v>
      </c>
      <c r="D104" s="13" t="s">
        <v>6</v>
      </c>
    </row>
    <row r="105" spans="2:6" x14ac:dyDescent="0.25">
      <c r="B105" s="13" t="s">
        <v>49</v>
      </c>
      <c r="C105" s="50">
        <f>+($C$5^2/((2*$C$20)*($C$23^2)*(C101^2)))</f>
        <v>1.4979886428602486E-2</v>
      </c>
      <c r="D105" s="13" t="s">
        <v>6</v>
      </c>
    </row>
    <row r="106" spans="2:6" ht="13.9" x14ac:dyDescent="0.25">
      <c r="B106" s="13" t="s">
        <v>50</v>
      </c>
      <c r="C106" s="50">
        <f>+C103+C104+C105</f>
        <v>2.6891273100576409E-2</v>
      </c>
      <c r="D106" s="13" t="s">
        <v>6</v>
      </c>
    </row>
    <row r="107" spans="2:6" ht="17.45" x14ac:dyDescent="0.3">
      <c r="B107" s="13" t="s">
        <v>58</v>
      </c>
      <c r="C107" s="50">
        <f>(SQRT(($C$20*C106)/($C$19*$C$8)))</f>
        <v>51.106895265993735</v>
      </c>
      <c r="D107" s="13" t="s">
        <v>60</v>
      </c>
      <c r="E107" s="40" t="str">
        <f>IF(C107&lt;35,"No cumple",IF(C107&gt;55,"No cumple","Cumple"))</f>
        <v>Cumple</v>
      </c>
    </row>
    <row r="108" spans="2:6" ht="14.45" x14ac:dyDescent="0.3">
      <c r="B108" s="14" t="s">
        <v>52</v>
      </c>
      <c r="C108" s="39">
        <f>+C107*$C$8</f>
        <v>5110.6895265993735</v>
      </c>
      <c r="D108" s="14"/>
      <c r="F108" s="16"/>
    </row>
    <row r="109" spans="2:6" ht="14.45" x14ac:dyDescent="0.3">
      <c r="B109" s="14" t="s">
        <v>53</v>
      </c>
      <c r="C109" s="51">
        <f>+C106/$C$16</f>
        <v>1.6807045687860254E-2</v>
      </c>
      <c r="D109" s="14" t="s">
        <v>15</v>
      </c>
    </row>
    <row r="111" spans="2:6" ht="13.9" x14ac:dyDescent="0.25">
      <c r="B111" s="30" t="s">
        <v>76</v>
      </c>
      <c r="C111" s="30"/>
      <c r="D111" s="30"/>
      <c r="E111" s="30"/>
    </row>
    <row r="112" spans="2:6" ht="13.9" x14ac:dyDescent="0.25">
      <c r="B112" s="11" t="s">
        <v>55</v>
      </c>
      <c r="C112" s="24">
        <v>0.46</v>
      </c>
    </row>
    <row r="113" spans="2:6" ht="13.9" x14ac:dyDescent="0.25">
      <c r="B113" s="12" t="s">
        <v>77</v>
      </c>
      <c r="C113" s="23">
        <f>(PI()*(C112^2))/4</f>
        <v>0.16619025137490007</v>
      </c>
    </row>
    <row r="114" spans="2:6" ht="13.9" x14ac:dyDescent="0.25">
      <c r="B114" s="12" t="s">
        <v>57</v>
      </c>
      <c r="C114" s="23">
        <f>+$C$23</f>
        <v>0.8</v>
      </c>
    </row>
    <row r="115" spans="2:6" x14ac:dyDescent="0.25">
      <c r="B115" s="13" t="s">
        <v>46</v>
      </c>
      <c r="C115" s="50">
        <f>+($C$5^2/((2*$C$20)*(C114^2)*($C$12^2)))</f>
        <v>9.4835881146289186E-3</v>
      </c>
    </row>
    <row r="116" spans="2:6" x14ac:dyDescent="0.25">
      <c r="B116" s="13" t="s">
        <v>48</v>
      </c>
      <c r="C116" s="50">
        <f>+(0.4)*(($C$27^2)/(2*$C$20))</f>
        <v>2.4277985573450032E-3</v>
      </c>
    </row>
    <row r="117" spans="2:6" x14ac:dyDescent="0.25">
      <c r="B117" s="13" t="s">
        <v>49</v>
      </c>
      <c r="C117" s="50">
        <f>+($C$5^2/((2*$C$20)*($C$23^2)*(C113^2)))</f>
        <v>9.4539351931932254E-3</v>
      </c>
    </row>
    <row r="118" spans="2:6" ht="13.9" x14ac:dyDescent="0.25">
      <c r="B118" s="13" t="s">
        <v>50</v>
      </c>
      <c r="C118" s="50">
        <f>+C115+C116+C117</f>
        <v>2.1365321865167146E-2</v>
      </c>
    </row>
    <row r="119" spans="2:6" ht="14.45" x14ac:dyDescent="0.3">
      <c r="B119" s="13" t="s">
        <v>58</v>
      </c>
      <c r="C119" s="50">
        <f>(SQRT(($C$20*C118)/($C$19*$C$8)))</f>
        <v>45.554211801374109</v>
      </c>
      <c r="E119" s="40" t="str">
        <f>IF(C119&lt;35,"No cumple",IF(C119&gt;55,"No cumple","Cumple"))</f>
        <v>Cumple</v>
      </c>
    </row>
    <row r="120" spans="2:6" ht="14.45" x14ac:dyDescent="0.3">
      <c r="B120" s="14" t="s">
        <v>52</v>
      </c>
      <c r="C120" s="39">
        <f>+C119*$C$8</f>
        <v>4555.4211801374113</v>
      </c>
      <c r="F120" s="16"/>
    </row>
    <row r="121" spans="2:6" ht="14.45" x14ac:dyDescent="0.3">
      <c r="B121" s="14" t="s">
        <v>53</v>
      </c>
      <c r="C121" s="51">
        <f>+C118/$C$16</f>
        <v>1.3353326165729465E-2</v>
      </c>
    </row>
    <row r="123" spans="2:6" ht="13.9" x14ac:dyDescent="0.25">
      <c r="B123" s="9" t="s">
        <v>78</v>
      </c>
      <c r="C123" s="9"/>
      <c r="D123" s="9"/>
      <c r="E123" s="9"/>
    </row>
    <row r="124" spans="2:6" ht="13.9" x14ac:dyDescent="0.25">
      <c r="B124" s="11" t="s">
        <v>55</v>
      </c>
      <c r="C124" s="24">
        <v>0.41</v>
      </c>
      <c r="D124" s="11" t="s">
        <v>6</v>
      </c>
    </row>
    <row r="125" spans="2:6" x14ac:dyDescent="0.25">
      <c r="B125" s="12" t="s">
        <v>79</v>
      </c>
      <c r="C125" s="23">
        <f>(PI()*(C124^2))/4</f>
        <v>0.13202543126711103</v>
      </c>
      <c r="D125" s="12" t="s">
        <v>7</v>
      </c>
    </row>
    <row r="126" spans="2:6" ht="13.9" x14ac:dyDescent="0.25">
      <c r="B126" s="12" t="s">
        <v>57</v>
      </c>
      <c r="C126" s="23">
        <f>+$C$23</f>
        <v>0.8</v>
      </c>
      <c r="D126" s="12"/>
    </row>
    <row r="127" spans="2:6" x14ac:dyDescent="0.25">
      <c r="B127" s="13" t="s">
        <v>46</v>
      </c>
      <c r="C127" s="50">
        <f>+($C$5^2/((2*$C$20)*(C126^2)*($C$12^2)))</f>
        <v>9.4835881146289186E-3</v>
      </c>
      <c r="D127" s="13" t="s">
        <v>6</v>
      </c>
    </row>
    <row r="128" spans="2:6" x14ac:dyDescent="0.25">
      <c r="B128" s="13" t="s">
        <v>48</v>
      </c>
      <c r="C128" s="50">
        <f>+(0.4)*(($C$27^2)/(2*$C$20))</f>
        <v>2.4277985573450032E-3</v>
      </c>
      <c r="D128" s="13" t="s">
        <v>6</v>
      </c>
    </row>
    <row r="129" spans="2:6" x14ac:dyDescent="0.25">
      <c r="B129" s="13" t="s">
        <v>49</v>
      </c>
      <c r="C129" s="50">
        <f>+($C$5^2/((2*$C$20)*($C$23^2)*(C125^2)))</f>
        <v>1.4979886428602486E-2</v>
      </c>
      <c r="D129" s="13" t="s">
        <v>6</v>
      </c>
    </row>
    <row r="130" spans="2:6" ht="13.9" x14ac:dyDescent="0.25">
      <c r="B130" s="13" t="s">
        <v>50</v>
      </c>
      <c r="C130" s="50">
        <f>+C127+C128+C129</f>
        <v>2.6891273100576409E-2</v>
      </c>
      <c r="D130" s="13" t="s">
        <v>6</v>
      </c>
    </row>
    <row r="131" spans="2:6" ht="17.45" x14ac:dyDescent="0.3">
      <c r="B131" s="13" t="s">
        <v>58</v>
      </c>
      <c r="C131" s="50">
        <f>(SQRT(($C$20*C130)/($C$19*$C$8)))</f>
        <v>51.106895265993735</v>
      </c>
      <c r="D131" s="13" t="s">
        <v>60</v>
      </c>
      <c r="E131" s="40" t="str">
        <f>IF(C131&lt;35,"No cumple",IF(C131&gt;55,"No cumple","Cumple"))</f>
        <v>Cumple</v>
      </c>
    </row>
    <row r="132" spans="2:6" ht="14.45" x14ac:dyDescent="0.3">
      <c r="B132" s="14" t="s">
        <v>52</v>
      </c>
      <c r="C132" s="39">
        <f>+C131*$C$8</f>
        <v>5110.6895265993735</v>
      </c>
      <c r="D132" s="14"/>
      <c r="F132" s="16"/>
    </row>
    <row r="133" spans="2:6" ht="14.45" x14ac:dyDescent="0.3">
      <c r="B133" s="14" t="s">
        <v>53</v>
      </c>
      <c r="C133" s="51">
        <f>+C130/$C$16</f>
        <v>1.6807045687860254E-2</v>
      </c>
      <c r="D133" s="14" t="s">
        <v>15</v>
      </c>
    </row>
    <row r="135" spans="2:6" ht="13.9" x14ac:dyDescent="0.25">
      <c r="B135" s="30" t="s">
        <v>80</v>
      </c>
      <c r="C135" s="30"/>
      <c r="D135" s="30"/>
      <c r="E135" s="30"/>
    </row>
    <row r="136" spans="2:6" ht="13.9" x14ac:dyDescent="0.25">
      <c r="B136" s="11" t="s">
        <v>55</v>
      </c>
      <c r="C136" s="24">
        <v>0.46</v>
      </c>
      <c r="D136" s="11" t="s">
        <v>6</v>
      </c>
    </row>
    <row r="137" spans="2:6" x14ac:dyDescent="0.25">
      <c r="B137" s="12" t="s">
        <v>81</v>
      </c>
      <c r="C137" s="23">
        <f>(PI()*(C136^2))/4</f>
        <v>0.16619025137490007</v>
      </c>
      <c r="D137" s="12" t="s">
        <v>7</v>
      </c>
    </row>
    <row r="138" spans="2:6" ht="13.9" x14ac:dyDescent="0.25">
      <c r="B138" s="12" t="s">
        <v>57</v>
      </c>
      <c r="C138" s="23">
        <f>+$C$23</f>
        <v>0.8</v>
      </c>
      <c r="D138" s="12"/>
    </row>
    <row r="139" spans="2:6" x14ac:dyDescent="0.25">
      <c r="B139" s="13" t="s">
        <v>46</v>
      </c>
      <c r="C139" s="50">
        <f>+($C$5^2/((2*$C$20)*(C138^2)*($C$12^2)))</f>
        <v>9.4835881146289186E-3</v>
      </c>
      <c r="D139" s="13" t="s">
        <v>6</v>
      </c>
    </row>
    <row r="140" spans="2:6" x14ac:dyDescent="0.25">
      <c r="B140" s="13" t="s">
        <v>48</v>
      </c>
      <c r="C140" s="50">
        <f>+(0.4)*(($C$27^2)/(2*$C$20))</f>
        <v>2.4277985573450032E-3</v>
      </c>
      <c r="D140" s="13" t="s">
        <v>6</v>
      </c>
    </row>
    <row r="141" spans="2:6" x14ac:dyDescent="0.25">
      <c r="B141" s="13" t="s">
        <v>49</v>
      </c>
      <c r="C141" s="50">
        <f>+($C$5^2/((2*$C$20)*($C$23^2)*(C137^2)))</f>
        <v>9.4539351931932254E-3</v>
      </c>
      <c r="D141" s="13" t="s">
        <v>6</v>
      </c>
    </row>
    <row r="142" spans="2:6" ht="13.9" x14ac:dyDescent="0.25">
      <c r="B142" s="13" t="s">
        <v>50</v>
      </c>
      <c r="C142" s="50">
        <f>+C139+C140+C141</f>
        <v>2.1365321865167146E-2</v>
      </c>
      <c r="D142" s="13" t="s">
        <v>6</v>
      </c>
    </row>
    <row r="143" spans="2:6" ht="17.45" x14ac:dyDescent="0.3">
      <c r="B143" s="13" t="s">
        <v>58</v>
      </c>
      <c r="C143" s="50">
        <f>(SQRT(($C$20*C142)/($C$19*$C$8)))</f>
        <v>45.554211801374109</v>
      </c>
      <c r="D143" s="13" t="s">
        <v>60</v>
      </c>
      <c r="E143" s="40" t="str">
        <f>IF(C143&lt;35,"No cumple",IF(C143&gt;55,"No cumple","Cumple"))</f>
        <v>Cumple</v>
      </c>
    </row>
    <row r="144" spans="2:6" ht="14.45" x14ac:dyDescent="0.3">
      <c r="B144" s="14" t="s">
        <v>52</v>
      </c>
      <c r="C144" s="39">
        <f>+C143*$C$8</f>
        <v>4555.4211801374113</v>
      </c>
      <c r="D144" s="14"/>
      <c r="F144" s="16"/>
    </row>
    <row r="145" spans="2:6" ht="14.45" x14ac:dyDescent="0.3">
      <c r="B145" s="14" t="s">
        <v>53</v>
      </c>
      <c r="C145" s="51">
        <f>+C142/$C$16</f>
        <v>1.3353326165729465E-2</v>
      </c>
      <c r="D145" s="14" t="s">
        <v>15</v>
      </c>
    </row>
    <row r="147" spans="2:6" ht="13.9" x14ac:dyDescent="0.25">
      <c r="B147" s="9" t="s">
        <v>66</v>
      </c>
      <c r="C147" s="9"/>
      <c r="D147" s="9"/>
      <c r="E147" s="9"/>
    </row>
    <row r="148" spans="2:6" ht="13.9" x14ac:dyDescent="0.25">
      <c r="B148" s="11" t="s">
        <v>55</v>
      </c>
      <c r="C148" s="24">
        <v>0.41</v>
      </c>
      <c r="D148" s="11" t="s">
        <v>6</v>
      </c>
    </row>
    <row r="149" spans="2:6" x14ac:dyDescent="0.25">
      <c r="B149" s="12" t="s">
        <v>67</v>
      </c>
      <c r="C149" s="23">
        <f>(PI()*(C148^2))/4</f>
        <v>0.13202543126711103</v>
      </c>
      <c r="D149" s="12" t="s">
        <v>7</v>
      </c>
    </row>
    <row r="150" spans="2:6" ht="13.9" x14ac:dyDescent="0.25">
      <c r="B150" s="12" t="s">
        <v>57</v>
      </c>
      <c r="C150" s="23">
        <f>+$C$23</f>
        <v>0.8</v>
      </c>
      <c r="D150" s="12"/>
    </row>
    <row r="151" spans="2:6" x14ac:dyDescent="0.25">
      <c r="B151" s="13" t="s">
        <v>46</v>
      </c>
      <c r="C151" s="50">
        <f>+($C$5^2/((2*$C$20)*(C150^2)*($C$12^2)))</f>
        <v>9.4835881146289186E-3</v>
      </c>
      <c r="D151" s="13" t="s">
        <v>6</v>
      </c>
    </row>
    <row r="152" spans="2:6" x14ac:dyDescent="0.25">
      <c r="B152" s="13" t="s">
        <v>48</v>
      </c>
      <c r="C152" s="50">
        <f>+(0.4)*(($C$27^2)/(2*$C$20))</f>
        <v>2.4277985573450032E-3</v>
      </c>
      <c r="D152" s="13" t="s">
        <v>6</v>
      </c>
    </row>
    <row r="153" spans="2:6" x14ac:dyDescent="0.25">
      <c r="B153" s="13" t="s">
        <v>49</v>
      </c>
      <c r="C153" s="50">
        <f>+($C$5^2/((2*$C$20)*($C$23^2)*(C149^2)))</f>
        <v>1.4979886428602486E-2</v>
      </c>
      <c r="D153" s="13" t="s">
        <v>6</v>
      </c>
    </row>
    <row r="154" spans="2:6" ht="13.9" x14ac:dyDescent="0.25">
      <c r="B154" s="13" t="s">
        <v>50</v>
      </c>
      <c r="C154" s="50">
        <f>+C151+C152+C153</f>
        <v>2.6891273100576409E-2</v>
      </c>
      <c r="D154" s="13" t="s">
        <v>6</v>
      </c>
    </row>
    <row r="155" spans="2:6" ht="17.45" x14ac:dyDescent="0.3">
      <c r="B155" s="13" t="s">
        <v>58</v>
      </c>
      <c r="C155" s="50">
        <f>(SQRT(($C$20*C154)/($C$19*$C$8)))</f>
        <v>51.106895265993735</v>
      </c>
      <c r="D155" s="13" t="s">
        <v>60</v>
      </c>
      <c r="E155" s="40" t="str">
        <f>IF(C155&lt;35,"No cumple",IF(C155&gt;55,"No cumple","Cumple"))</f>
        <v>Cumple</v>
      </c>
    </row>
    <row r="156" spans="2:6" ht="14.45" x14ac:dyDescent="0.3">
      <c r="B156" s="14" t="s">
        <v>52</v>
      </c>
      <c r="C156" s="39">
        <f>+C155*$C$8</f>
        <v>5110.6895265993735</v>
      </c>
      <c r="D156" s="14"/>
      <c r="F156" s="16"/>
    </row>
    <row r="157" spans="2:6" ht="14.45" x14ac:dyDescent="0.3">
      <c r="B157" s="14" t="s">
        <v>53</v>
      </c>
      <c r="C157" s="51">
        <f>+C154/$C$16</f>
        <v>1.6807045687860254E-2</v>
      </c>
      <c r="D157" s="14" t="s">
        <v>15</v>
      </c>
    </row>
    <row r="159" spans="2:6" ht="13.9" x14ac:dyDescent="0.25">
      <c r="B159" s="30" t="s">
        <v>65</v>
      </c>
      <c r="C159" s="30"/>
      <c r="D159" s="30"/>
      <c r="E159" s="30"/>
    </row>
    <row r="160" spans="2:6" x14ac:dyDescent="0.25">
      <c r="B160" s="11" t="s">
        <v>55</v>
      </c>
      <c r="C160" s="24">
        <v>0.46</v>
      </c>
      <c r="D160" s="11" t="s">
        <v>6</v>
      </c>
    </row>
    <row r="161" spans="2:6" x14ac:dyDescent="0.25">
      <c r="B161" s="12" t="s">
        <v>64</v>
      </c>
      <c r="C161" s="23">
        <f>(PI()*(C160^2))/4</f>
        <v>0.16619025137490007</v>
      </c>
      <c r="D161" s="12" t="s">
        <v>7</v>
      </c>
    </row>
    <row r="162" spans="2:6" x14ac:dyDescent="0.25">
      <c r="B162" s="12" t="s">
        <v>57</v>
      </c>
      <c r="C162" s="23">
        <f>+$C$23</f>
        <v>0.8</v>
      </c>
      <c r="D162" s="12"/>
    </row>
    <row r="163" spans="2:6" x14ac:dyDescent="0.25">
      <c r="B163" s="13" t="s">
        <v>46</v>
      </c>
      <c r="C163" s="50">
        <f>+($C$5^2/((2*$C$20)*(C162^2)*($C$12^2)))</f>
        <v>9.4835881146289186E-3</v>
      </c>
      <c r="D163" s="13" t="s">
        <v>6</v>
      </c>
    </row>
    <row r="164" spans="2:6" x14ac:dyDescent="0.25">
      <c r="B164" s="13" t="s">
        <v>48</v>
      </c>
      <c r="C164" s="50">
        <f>+(0.4)*(($C$27^2)/(2*$C$20))</f>
        <v>2.4277985573450032E-3</v>
      </c>
      <c r="D164" s="13" t="s">
        <v>6</v>
      </c>
    </row>
    <row r="165" spans="2:6" x14ac:dyDescent="0.25">
      <c r="B165" s="13" t="s">
        <v>49</v>
      </c>
      <c r="C165" s="50">
        <f>+($C$5^2/((2*$C$20)*($C$23^2)*(C161^2)))</f>
        <v>9.4539351931932254E-3</v>
      </c>
      <c r="D165" s="13" t="s">
        <v>6</v>
      </c>
    </row>
    <row r="166" spans="2:6" x14ac:dyDescent="0.25">
      <c r="B166" s="13" t="s">
        <v>50</v>
      </c>
      <c r="C166" s="50">
        <f>+C163+C164+C165</f>
        <v>2.1365321865167146E-2</v>
      </c>
      <c r="D166" s="13" t="s">
        <v>6</v>
      </c>
    </row>
    <row r="167" spans="2:6" ht="18" x14ac:dyDescent="0.25">
      <c r="B167" s="13" t="s">
        <v>58</v>
      </c>
      <c r="C167" s="50">
        <f>(SQRT(($C$20*C166)/($C$19*$C$8)))</f>
        <v>45.554211801374109</v>
      </c>
      <c r="D167" s="13" t="s">
        <v>60</v>
      </c>
      <c r="E167" s="40" t="str">
        <f>IF(C167&lt;35,"No cumple",IF(C167&gt;55,"No cumple","Cumple"))</f>
        <v>Cumple</v>
      </c>
    </row>
    <row r="168" spans="2:6" x14ac:dyDescent="0.25">
      <c r="B168" s="14" t="s">
        <v>52</v>
      </c>
      <c r="C168" s="39">
        <f>+C167*$C$8</f>
        <v>4555.4211801374113</v>
      </c>
      <c r="D168" s="14"/>
      <c r="F168" s="16"/>
    </row>
    <row r="169" spans="2:6" x14ac:dyDescent="0.25">
      <c r="B169" s="14" t="s">
        <v>53</v>
      </c>
      <c r="C169" s="51">
        <f>+C166/$C$16</f>
        <v>1.3353326165729465E-2</v>
      </c>
      <c r="D169" s="14" t="s">
        <v>15</v>
      </c>
    </row>
    <row r="170" spans="2:6" x14ac:dyDescent="0.25">
      <c r="C170" s="36"/>
      <c r="D170" s="36"/>
      <c r="E170" s="36"/>
      <c r="F170" s="36"/>
    </row>
    <row r="171" spans="2:6" x14ac:dyDescent="0.25">
      <c r="B171" s="14" t="s">
        <v>83</v>
      </c>
      <c r="C171" s="36"/>
      <c r="D171" s="36"/>
      <c r="E171" s="36"/>
      <c r="F171" s="43"/>
    </row>
    <row r="172" spans="2:6" x14ac:dyDescent="0.25">
      <c r="B172" s="26" t="s">
        <v>17</v>
      </c>
      <c r="C172" s="27" t="s">
        <v>18</v>
      </c>
      <c r="D172" s="42">
        <f>+(C8*C34)+(C8*C47)+(C8*C59)+(C8*C71)+(C8*C83)+(C8*C95)+(C8*C107)+(C8*C119)+(C8*C131)+(C8*C143)+(C8*C155)+(C8*C167)</f>
        <v>57214.724741879189</v>
      </c>
      <c r="F172" s="44" t="str">
        <f>IF(D172&lt;25000,"No cumple",IF(D172&gt;150000,"No cumple","Cumple"))</f>
        <v>Cumple</v>
      </c>
    </row>
    <row r="173" spans="2:6" ht="18" x14ac:dyDescent="0.25">
      <c r="B173" s="26" t="s">
        <v>22</v>
      </c>
      <c r="C173" s="27" t="s">
        <v>19</v>
      </c>
      <c r="D173" s="38">
        <f>+(C167+C155+C143+C131+C119+C107+C95+C83+C71+C59+C47+C34)/12</f>
        <v>47.67893728489932</v>
      </c>
      <c r="E173" s="13" t="s">
        <v>60</v>
      </c>
      <c r="F173" s="44" t="str">
        <f>IF(D173&lt;35,"No cumple",IF(D173&gt;55,"No cumple","Cumple"))</f>
        <v>Cumple</v>
      </c>
    </row>
    <row r="174" spans="2:6" x14ac:dyDescent="0.25">
      <c r="B174" s="7"/>
      <c r="C174" s="8"/>
      <c r="D174" s="6"/>
      <c r="E174" s="17"/>
      <c r="F174" s="41"/>
    </row>
    <row r="175" spans="2:6" x14ac:dyDescent="0.25">
      <c r="B175" s="7"/>
      <c r="C175" s="8"/>
      <c r="D175" s="6"/>
      <c r="E175" s="17"/>
      <c r="F175" s="41"/>
    </row>
    <row r="176" spans="2:6" ht="34.5" customHeight="1" x14ac:dyDescent="0.25">
      <c r="B176" s="67" t="s">
        <v>21</v>
      </c>
      <c r="C176" s="67"/>
      <c r="D176" s="67"/>
      <c r="E176" s="67"/>
      <c r="F176" s="67"/>
    </row>
    <row r="177" spans="2:2" x14ac:dyDescent="0.25">
      <c r="B177" s="2" t="s">
        <v>16</v>
      </c>
    </row>
    <row r="184" spans="2:2" x14ac:dyDescent="0.25">
      <c r="B184" s="2" t="s">
        <v>82</v>
      </c>
    </row>
  </sheetData>
  <mergeCells count="14">
    <mergeCell ref="B1:F1"/>
    <mergeCell ref="B2:E2"/>
    <mergeCell ref="B3:E3"/>
    <mergeCell ref="B24:E24"/>
    <mergeCell ref="B176:F176"/>
    <mergeCell ref="F46:F48"/>
    <mergeCell ref="G57:J60"/>
    <mergeCell ref="G63:J67"/>
    <mergeCell ref="G2:J12"/>
    <mergeCell ref="G15:J22"/>
    <mergeCell ref="G25:J32"/>
    <mergeCell ref="G35:J41"/>
    <mergeCell ref="G43:J47"/>
    <mergeCell ref="G50:J54"/>
  </mergeCells>
  <conditionalFormatting sqref="C27:C28 C37 E174:E175 D172:D173">
    <cfRule type="cellIs" dxfId="35" priority="39" operator="between">
      <formula>0.25</formula>
      <formula>0.65</formula>
    </cfRule>
  </conditionalFormatting>
  <conditionalFormatting sqref="C35">
    <cfRule type="cellIs" dxfId="34" priority="38" operator="between">
      <formula>0.25</formula>
      <formula>0.65</formula>
    </cfRule>
  </conditionalFormatting>
  <conditionalFormatting sqref="C49">
    <cfRule type="cellIs" dxfId="33" priority="36" operator="between">
      <formula>0.25</formula>
      <formula>0.65</formula>
    </cfRule>
  </conditionalFormatting>
  <conditionalFormatting sqref="C61">
    <cfRule type="cellIs" dxfId="32" priority="35" operator="between">
      <formula>0.25</formula>
      <formula>0.65</formula>
    </cfRule>
  </conditionalFormatting>
  <conditionalFormatting sqref="C73">
    <cfRule type="cellIs" dxfId="31" priority="34" operator="between">
      <formula>0.25</formula>
      <formula>0.65</formula>
    </cfRule>
  </conditionalFormatting>
  <conditionalFormatting sqref="C85">
    <cfRule type="cellIs" dxfId="30" priority="33" operator="between">
      <formula>0.25</formula>
      <formula>0.65</formula>
    </cfRule>
  </conditionalFormatting>
  <conditionalFormatting sqref="C97">
    <cfRule type="cellIs" dxfId="29" priority="32" operator="between">
      <formula>0.25</formula>
      <formula>0.65</formula>
    </cfRule>
  </conditionalFormatting>
  <conditionalFormatting sqref="C109">
    <cfRule type="cellIs" dxfId="28" priority="31" operator="between">
      <formula>0.25</formula>
      <formula>0.65</formula>
    </cfRule>
  </conditionalFormatting>
  <conditionalFormatting sqref="C121">
    <cfRule type="cellIs" dxfId="27" priority="30" operator="between">
      <formula>0.25</formula>
      <formula>0.65</formula>
    </cfRule>
  </conditionalFormatting>
  <conditionalFormatting sqref="C133">
    <cfRule type="cellIs" dxfId="26" priority="29" operator="between">
      <formula>0.25</formula>
      <formula>0.65</formula>
    </cfRule>
  </conditionalFormatting>
  <conditionalFormatting sqref="C145">
    <cfRule type="cellIs" dxfId="25" priority="28" operator="between">
      <formula>0.25</formula>
      <formula>0.65</formula>
    </cfRule>
  </conditionalFormatting>
  <conditionalFormatting sqref="C157">
    <cfRule type="cellIs" dxfId="24" priority="27" operator="between">
      <formula>0.25</formula>
      <formula>0.65</formula>
    </cfRule>
  </conditionalFormatting>
  <conditionalFormatting sqref="C169">
    <cfRule type="cellIs" dxfId="23" priority="26" operator="between">
      <formula>0.25</formula>
      <formula>0.65</formula>
    </cfRule>
  </conditionalFormatting>
  <conditionalFormatting sqref="E59">
    <cfRule type="cellIs" dxfId="22" priority="25" operator="between">
      <formula>0.25</formula>
      <formula>0.65</formula>
    </cfRule>
  </conditionalFormatting>
  <conditionalFormatting sqref="F60">
    <cfRule type="cellIs" dxfId="21" priority="24" operator="between">
      <formula>0.25</formula>
      <formula>0.65</formula>
    </cfRule>
  </conditionalFormatting>
  <conditionalFormatting sqref="E71">
    <cfRule type="cellIs" dxfId="20" priority="23" operator="between">
      <formula>0.25</formula>
      <formula>0.65</formula>
    </cfRule>
  </conditionalFormatting>
  <conditionalFormatting sqref="F72">
    <cfRule type="cellIs" dxfId="19" priority="22" operator="between">
      <formula>0.25</formula>
      <formula>0.65</formula>
    </cfRule>
  </conditionalFormatting>
  <conditionalFormatting sqref="E83">
    <cfRule type="cellIs" dxfId="18" priority="21" operator="between">
      <formula>0.25</formula>
      <formula>0.65</formula>
    </cfRule>
  </conditionalFormatting>
  <conditionalFormatting sqref="F84">
    <cfRule type="cellIs" dxfId="17" priority="20" operator="between">
      <formula>0.25</formula>
      <formula>0.65</formula>
    </cfRule>
  </conditionalFormatting>
  <conditionalFormatting sqref="E95">
    <cfRule type="cellIs" dxfId="16" priority="19" operator="between">
      <formula>0.25</formula>
      <formula>0.65</formula>
    </cfRule>
  </conditionalFormatting>
  <conditionalFormatting sqref="F96">
    <cfRule type="cellIs" dxfId="15" priority="18" operator="between">
      <formula>0.25</formula>
      <formula>0.65</formula>
    </cfRule>
  </conditionalFormatting>
  <conditionalFormatting sqref="E107">
    <cfRule type="cellIs" dxfId="14" priority="17" operator="between">
      <formula>0.25</formula>
      <formula>0.65</formula>
    </cfRule>
  </conditionalFormatting>
  <conditionalFormatting sqref="F108">
    <cfRule type="cellIs" dxfId="13" priority="16" operator="between">
      <formula>0.25</formula>
      <formula>0.65</formula>
    </cfRule>
  </conditionalFormatting>
  <conditionalFormatting sqref="E119">
    <cfRule type="cellIs" dxfId="12" priority="15" operator="between">
      <formula>0.25</formula>
      <formula>0.65</formula>
    </cfRule>
  </conditionalFormatting>
  <conditionalFormatting sqref="F120">
    <cfRule type="cellIs" dxfId="11" priority="14" operator="between">
      <formula>0.25</formula>
      <formula>0.65</formula>
    </cfRule>
  </conditionalFormatting>
  <conditionalFormatting sqref="E131">
    <cfRule type="cellIs" dxfId="10" priority="13" operator="between">
      <formula>0.25</formula>
      <formula>0.65</formula>
    </cfRule>
  </conditionalFormatting>
  <conditionalFormatting sqref="F132">
    <cfRule type="cellIs" dxfId="9" priority="12" operator="between">
      <formula>0.25</formula>
      <formula>0.65</formula>
    </cfRule>
  </conditionalFormatting>
  <conditionalFormatting sqref="E143">
    <cfRule type="cellIs" dxfId="8" priority="11" operator="between">
      <formula>0.25</formula>
      <formula>0.65</formula>
    </cfRule>
  </conditionalFormatting>
  <conditionalFormatting sqref="F144">
    <cfRule type="cellIs" dxfId="7" priority="10" operator="between">
      <formula>0.25</formula>
      <formula>0.65</formula>
    </cfRule>
  </conditionalFormatting>
  <conditionalFormatting sqref="E155">
    <cfRule type="cellIs" dxfId="6" priority="9" operator="between">
      <formula>0.25</formula>
      <formula>0.65</formula>
    </cfRule>
  </conditionalFormatting>
  <conditionalFormatting sqref="F156">
    <cfRule type="cellIs" dxfId="5" priority="8" operator="between">
      <formula>0.25</formula>
      <formula>0.65</formula>
    </cfRule>
  </conditionalFormatting>
  <conditionalFormatting sqref="E167">
    <cfRule type="cellIs" dxfId="4" priority="7" operator="between">
      <formula>0.25</formula>
      <formula>0.65</formula>
    </cfRule>
  </conditionalFormatting>
  <conditionalFormatting sqref="F168">
    <cfRule type="cellIs" dxfId="3" priority="6" operator="between">
      <formula>0.25</formula>
      <formula>0.65</formula>
    </cfRule>
  </conditionalFormatting>
  <conditionalFormatting sqref="F173:F175">
    <cfRule type="cellIs" dxfId="2" priority="3" operator="between">
      <formula>0.25</formula>
      <formula>0.65</formula>
    </cfRule>
  </conditionalFormatting>
  <conditionalFormatting sqref="F172">
    <cfRule type="cellIs" dxfId="1" priority="2" operator="between">
      <formula>0.25</formula>
      <formula>0.65</formula>
    </cfRule>
  </conditionalFormatting>
  <conditionalFormatting sqref="E47">
    <cfRule type="cellIs" dxfId="0" priority="1" operator="between">
      <formula>0.25</formula>
      <formula>0.65</formula>
    </cfRule>
  </conditionalFormatting>
  <pageMargins left="0.7" right="0.7" top="0.75" bottom="0.75" header="0.3" footer="0.3"/>
  <pageSetup paperSize="9" scale="61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</vt:lpstr>
      <vt:lpstr>FA!Área_de_impresión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Marco V</cp:lastModifiedBy>
  <dcterms:created xsi:type="dcterms:W3CDTF">2021-03-29T02:27:53Z</dcterms:created>
  <dcterms:modified xsi:type="dcterms:W3CDTF">2021-10-05T08:11:49Z</dcterms:modified>
</cp:coreProperties>
</file>