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iel Puerto\Desktop\EASA-UMB\Diseño II Plantas de potabilización\Proyecto Diseño II de planta de potabilización\"/>
    </mc:Choice>
  </mc:AlternateContent>
  <bookViews>
    <workbookView xWindow="0" yWindow="0" windowWidth="20490" windowHeight="7350" activeTab="2"/>
  </bookViews>
  <sheets>
    <sheet name="Sedimentador alta tasa" sheetId="1" r:id="rId1"/>
    <sheet name="Sedimentador alta tasa (Romero)" sheetId="2" r:id="rId2"/>
    <sheet name="Filtro rápido"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6" i="6" l="1"/>
  <c r="AM15" i="6"/>
  <c r="AM14" i="6"/>
  <c r="AM13" i="6"/>
  <c r="AM12" i="6"/>
  <c r="AM11" i="6"/>
  <c r="AM10" i="6"/>
  <c r="AM9" i="6"/>
  <c r="AM8" i="6"/>
  <c r="H19" i="6" l="1"/>
  <c r="J144" i="6"/>
  <c r="J11" i="6" l="1"/>
  <c r="J119" i="6" s="1"/>
  <c r="H27" i="6"/>
  <c r="H26" i="6"/>
  <c r="H25" i="6"/>
  <c r="B27" i="6"/>
  <c r="B26" i="6"/>
  <c r="B25" i="6"/>
  <c r="H24" i="6"/>
  <c r="H23" i="6"/>
  <c r="H22" i="6"/>
  <c r="H21" i="6"/>
  <c r="H20" i="6"/>
  <c r="J121" i="6" s="1"/>
  <c r="J73" i="6" l="1"/>
  <c r="J113" i="6"/>
  <c r="J124" i="6"/>
  <c r="J134" i="6"/>
  <c r="J27" i="6"/>
  <c r="H16" i="6"/>
  <c r="H17" i="6"/>
  <c r="J120" i="6" l="1"/>
  <c r="J122" i="6" s="1"/>
  <c r="J126" i="6" s="1"/>
  <c r="J12" i="6"/>
  <c r="J114" i="6"/>
  <c r="J164" i="6"/>
  <c r="B135" i="6"/>
  <c r="B32" i="6"/>
  <c r="B33" i="6"/>
  <c r="B139" i="6"/>
  <c r="J32" i="6"/>
  <c r="J135" i="6" s="1"/>
  <c r="J31" i="6"/>
  <c r="B31" i="6"/>
  <c r="J127" i="6" l="1"/>
  <c r="J129" i="6"/>
  <c r="J115"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8" i="6" l="1"/>
  <c r="J145" i="6"/>
  <c r="J147" i="6" s="1"/>
  <c r="J33" i="6"/>
  <c r="J150" i="6" l="1"/>
  <c r="J152" i="6" s="1"/>
  <c r="J158" i="6" l="1"/>
  <c r="L158" i="6" s="1"/>
  <c r="J154" i="6"/>
  <c r="J156" i="6" s="1"/>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<sst xmlns="http://schemas.openxmlformats.org/spreadsheetml/2006/main" count="633" uniqueCount="412">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</sst>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2"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73">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1"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left" vertical="center"/>
    </xf>
    <xf numFmtId="0" fontId="0" fillId="2" borderId="7"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2" fillId="2" borderId="1" xfId="0" applyFont="1" applyFill="1" applyBorder="1" applyAlignment="1">
      <alignment horizontal="center" vertical="center"/>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xf>
    <xf numFmtId="173"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173" fontId="0" fillId="2" borderId="2"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mc:Choice xmlns:a14="http://schemas.microsoft.com/office/drawing/2010/main"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0">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mc:Choice xmlns:a14="http://schemas.microsoft.com/office/drawing/2010/main"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0">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0">
                            <a:latin typeface="Cambria Math" panose="02040503050406030204" pitchFamily="18" charset="0"/>
                            <a:ea typeface="Cambria Math" panose="02040503050406030204" pitchFamily="18" charset="0"/>
                          </a:rPr>
                        </m:ctrlPr>
                      </m:fPr>
                      <m:num>
                        <m:sSub>
                          <m:sSubPr>
                            <m:ctrlPr>
                              <a:rPr lang="es-CO" sz="110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mc:Choice xmlns:a14="http://schemas.microsoft.com/office/drawing/2010/main"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O" sz="1100" i="0">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0">
                            <a:latin typeface="Cambria Math" panose="02040503050406030204" pitchFamily="18" charset="0"/>
                            <a:ea typeface="Cambria Math" panose="02040503050406030204" pitchFamily="18" charset="0"/>
                          </a:rPr>
                        </m:ctrlPr>
                      </m:fPr>
                      <m:num>
                        <m:sSub>
                          <m:sSubPr>
                            <m:ctrlPr>
                              <a:rPr lang="es-MX" sz="1100" b="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mc:Choice xmlns:a14="http://schemas.microsoft.com/office/drawing/2010/main"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O" sz="1100" i="0">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0">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0">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0">
                                <a:latin typeface="Cambria Math" panose="02040503050406030204" pitchFamily="18" charset="0"/>
                                <a:ea typeface="Cambria Math" panose="02040503050406030204" pitchFamily="18" charset="0"/>
                              </a:rPr>
                            </m:ctrlPr>
                          </m:sSupPr>
                          <m:e>
                            <m:sSub>
                              <m:sSubPr>
                                <m:ctrlPr>
                                  <a:rPr lang="el-GR" sz="1100" i="0">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mc:Choice xmlns:a14="http://schemas.microsoft.com/office/drawing/2010/main"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O" sz="1100" i="0">
                            <a:latin typeface="Cambria Math" panose="02040503050406030204" pitchFamily="18" charset="0"/>
                          </a:rPr>
                        </m:ctrlPr>
                      </m:fPr>
                      <m:num>
                        <m:sSub>
                          <m:sSubPr>
                            <m:ctrlPr>
                              <a:rPr lang="es-CO" sz="1100" i="0">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0">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10"/>
      <c r="D2" s="41" t="s">
        <v>119</v>
      </c>
      <c r="P2" s="62">
        <v>7850</v>
      </c>
      <c r="Q2" s="12">
        <f>P2*1.2*1.2*F19</f>
        <v>45.216000000000001</v>
      </c>
    </row>
    <row r="3" spans="2:23" x14ac:dyDescent="0.25">
      <c r="B3" s="43"/>
      <c r="C3" s="310"/>
      <c r="D3" s="41" t="s">
        <v>120</v>
      </c>
    </row>
    <row r="4" spans="2:23" x14ac:dyDescent="0.25">
      <c r="B4" s="43"/>
      <c r="C4" s="310"/>
      <c r="D4" s="41" t="s">
        <v>121</v>
      </c>
      <c r="G4"/>
      <c r="H4"/>
    </row>
    <row r="5" spans="2:23" x14ac:dyDescent="0.25">
      <c r="B5" s="43"/>
      <c r="C5" s="310"/>
      <c r="D5" s="41" t="s">
        <v>127</v>
      </c>
    </row>
    <row r="6" spans="2:23" x14ac:dyDescent="0.25">
      <c r="R6" s="12">
        <v>0.105</v>
      </c>
      <c r="S6" s="12">
        <v>0.12</v>
      </c>
      <c r="T6" s="12">
        <v>0.13500000000000001</v>
      </c>
      <c r="V6" s="12">
        <f>48*0.0254</f>
        <v>1.2191999999999998</v>
      </c>
    </row>
    <row r="7" spans="2:23" ht="18" x14ac:dyDescent="0.25">
      <c r="B7" s="323" t="s">
        <v>150</v>
      </c>
      <c r="C7" s="323"/>
      <c r="D7" s="323"/>
      <c r="E7" s="323"/>
      <c r="F7" s="323"/>
      <c r="G7" s="323"/>
      <c r="H7" s="40"/>
      <c r="J7" s="322" t="s">
        <v>41</v>
      </c>
      <c r="K7" s="322"/>
      <c r="L7" s="322"/>
      <c r="M7" s="322"/>
    </row>
    <row r="8" spans="2:23" ht="17.25" x14ac:dyDescent="0.25">
      <c r="B8" s="309" t="s">
        <v>33</v>
      </c>
      <c r="C8" s="309"/>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09" t="s">
        <v>31</v>
      </c>
      <c r="C9" s="309"/>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09" t="s">
        <v>32</v>
      </c>
      <c r="C10" s="309"/>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09" t="s">
        <v>10</v>
      </c>
      <c r="C11" s="309"/>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09" t="s">
        <v>106</v>
      </c>
      <c r="C12" s="309"/>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09" t="str">
        <f>"Eficiencia crítica para sedimentador de "&amp;F12</f>
        <v>Eficiencia crítica para sedimentador de Placas paralelas</v>
      </c>
      <c r="C13" s="309"/>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09" t="s">
        <v>22</v>
      </c>
      <c r="C14" s="309"/>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09" t="s">
        <v>15</v>
      </c>
      <c r="C15" s="309"/>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09" t="s">
        <v>15</v>
      </c>
      <c r="C16" s="309"/>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09" t="s">
        <v>15</v>
      </c>
      <c r="C17" s="309"/>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09" t="s">
        <v>16</v>
      </c>
      <c r="C18" s="309"/>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09" t="s">
        <v>17</v>
      </c>
      <c r="C19" s="309"/>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09" t="s">
        <v>18</v>
      </c>
      <c r="C20" s="309"/>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09" t="s">
        <v>19</v>
      </c>
      <c r="C21" s="309"/>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09" t="s">
        <v>52</v>
      </c>
      <c r="C24" s="309"/>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12" t="s">
        <v>58</v>
      </c>
      <c r="C25" s="313"/>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09" t="s">
        <v>53</v>
      </c>
      <c r="C26" s="309"/>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12" t="s">
        <v>67</v>
      </c>
      <c r="C27" s="313"/>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12" t="s">
        <v>74</v>
      </c>
      <c r="C28" s="313"/>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09" t="s">
        <v>81</v>
      </c>
      <c r="C30" s="309"/>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10"/>
      <c r="C31" s="310"/>
      <c r="D31" s="11"/>
      <c r="E31" s="5"/>
      <c r="F31" s="6"/>
      <c r="J31" s="22"/>
      <c r="K31" s="23"/>
      <c r="L31" s="23"/>
      <c r="M31" s="24"/>
    </row>
    <row r="32" spans="2:13" x14ac:dyDescent="0.25">
      <c r="B32" s="305" t="s">
        <v>152</v>
      </c>
      <c r="C32" s="305"/>
      <c r="D32" s="305"/>
      <c r="E32" s="305"/>
      <c r="F32" s="305"/>
      <c r="G32" s="305"/>
      <c r="H32" s="66"/>
      <c r="J32" s="22"/>
      <c r="K32" s="23"/>
      <c r="L32" s="23"/>
      <c r="M32" s="24"/>
    </row>
    <row r="33" spans="2:17" ht="17.25" x14ac:dyDescent="0.25">
      <c r="B33" s="314" t="s">
        <v>162</v>
      </c>
      <c r="C33" s="314"/>
      <c r="D33" s="7" t="s">
        <v>157</v>
      </c>
      <c r="E33" s="1" t="s">
        <v>28</v>
      </c>
      <c r="F33" s="87">
        <v>10</v>
      </c>
      <c r="G33" s="13"/>
      <c r="H33" s="23"/>
      <c r="J33" s="22"/>
      <c r="K33" s="23"/>
      <c r="L33" s="23"/>
      <c r="M33" s="24"/>
    </row>
    <row r="34" spans="2:17" ht="17.25" x14ac:dyDescent="0.25">
      <c r="B34" s="315" t="s">
        <v>165</v>
      </c>
      <c r="C34" s="316"/>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09" t="s">
        <v>128</v>
      </c>
      <c r="C37" s="309"/>
      <c r="D37" s="38" t="s">
        <v>258</v>
      </c>
      <c r="E37" s="1" t="s">
        <v>5</v>
      </c>
      <c r="F37" s="31">
        <f>J9</f>
        <v>3.4760947255444699E-3</v>
      </c>
      <c r="G37" s="297"/>
      <c r="H37" s="299"/>
      <c r="I37" s="319" t="s">
        <v>72</v>
      </c>
      <c r="J37" s="320"/>
      <c r="K37" s="320"/>
      <c r="L37" s="320"/>
      <c r="M37" s="320"/>
      <c r="N37" s="321"/>
    </row>
    <row r="38" spans="2:17" ht="75" customHeight="1" x14ac:dyDescent="0.25">
      <c r="B38" s="311" t="s">
        <v>42</v>
      </c>
      <c r="C38" s="311"/>
      <c r="D38" s="45" t="s">
        <v>135</v>
      </c>
      <c r="E38" s="46" t="s">
        <v>5</v>
      </c>
      <c r="F38" s="47">
        <f>ROUND(MIN(J16:J30),5)</f>
        <v>2.5100000000000001E-3</v>
      </c>
      <c r="G38" s="297"/>
      <c r="H38" s="299"/>
      <c r="I38" s="297"/>
      <c r="J38" s="298"/>
      <c r="K38" s="298"/>
      <c r="L38" s="298"/>
      <c r="M38" s="298"/>
      <c r="N38" s="299"/>
    </row>
    <row r="39" spans="2:17" ht="69.95" customHeight="1" x14ac:dyDescent="0.25">
      <c r="B39" s="311" t="s">
        <v>43</v>
      </c>
      <c r="C39" s="311"/>
      <c r="D39" s="45" t="s">
        <v>135</v>
      </c>
      <c r="E39" s="46" t="s">
        <v>5</v>
      </c>
      <c r="F39" s="58">
        <f>ROUND((F16/F13*(SIN(F21*PI()/180)+(F18/F14)*COS(F21*PI()/180)))/(1+0.058*(F16/F13)*(F14/F11)*COS(F21*PI()/180)),5)</f>
        <v>2.5100000000000001E-3</v>
      </c>
      <c r="G39" s="297"/>
      <c r="H39" s="299"/>
      <c r="I39" s="297"/>
      <c r="J39" s="298"/>
      <c r="K39" s="298"/>
      <c r="L39" s="298"/>
      <c r="M39" s="298"/>
      <c r="N39" s="299"/>
    </row>
    <row r="40" spans="2:17" ht="39.950000000000003" customHeight="1" x14ac:dyDescent="0.25">
      <c r="B40" s="311" t="s">
        <v>26</v>
      </c>
      <c r="C40" s="311"/>
      <c r="D40" s="45" t="s">
        <v>259</v>
      </c>
      <c r="E40" s="46" t="s">
        <v>70</v>
      </c>
      <c r="F40" s="44">
        <f>(F18/F39)/60</f>
        <v>8.095617529880478</v>
      </c>
      <c r="G40" s="297"/>
      <c r="H40" s="299"/>
      <c r="I40" s="297"/>
      <c r="J40" s="298"/>
      <c r="K40" s="298"/>
      <c r="L40" s="298"/>
      <c r="M40" s="298"/>
      <c r="N40" s="299"/>
    </row>
    <row r="41" spans="2:17" ht="39.950000000000003" customHeight="1" x14ac:dyDescent="0.25">
      <c r="B41" s="311" t="s">
        <v>44</v>
      </c>
      <c r="C41" s="311"/>
      <c r="D41" s="45" t="s">
        <v>27</v>
      </c>
      <c r="E41" s="46" t="s">
        <v>28</v>
      </c>
      <c r="F41" s="49">
        <f>ROUND(F10/(F20*F14*F39),0)</f>
        <v>94</v>
      </c>
      <c r="G41" s="297"/>
      <c r="H41" s="299"/>
      <c r="I41" s="297"/>
      <c r="J41" s="298"/>
      <c r="K41" s="298"/>
      <c r="L41" s="298"/>
      <c r="M41" s="298"/>
      <c r="N41" s="299"/>
    </row>
    <row r="42" spans="2:17" ht="39.950000000000003" customHeight="1" x14ac:dyDescent="0.25">
      <c r="B42" s="311" t="s">
        <v>29</v>
      </c>
      <c r="C42" s="311"/>
      <c r="D42" s="45" t="s">
        <v>260</v>
      </c>
      <c r="E42" s="46" t="s">
        <v>3</v>
      </c>
      <c r="F42" s="73">
        <f>((F41*F14+(F41-1)*F19)/SIN(F21*PI()/180))</f>
        <v>5.8566411306595638</v>
      </c>
      <c r="G42" s="297"/>
      <c r="H42" s="299"/>
      <c r="I42" s="306" t="s">
        <v>129</v>
      </c>
      <c r="J42" s="307"/>
      <c r="K42" s="307"/>
      <c r="L42" s="307"/>
      <c r="M42" s="307"/>
      <c r="N42" s="308"/>
      <c r="O42" s="74"/>
    </row>
    <row r="43" spans="2:17" ht="30" customHeight="1" x14ac:dyDescent="0.25">
      <c r="B43" s="311" t="s">
        <v>30</v>
      </c>
      <c r="C43" s="311"/>
      <c r="D43" s="45" t="s">
        <v>261</v>
      </c>
      <c r="E43" s="46" t="s">
        <v>3</v>
      </c>
      <c r="F43" s="73">
        <f>F18*SIN(F21*PI()/180)</f>
        <v>1.0558581722939875</v>
      </c>
      <c r="G43" s="297"/>
      <c r="H43" s="299"/>
      <c r="I43" s="297"/>
      <c r="J43" s="298"/>
      <c r="K43" s="298"/>
      <c r="L43" s="298"/>
      <c r="M43" s="298"/>
      <c r="N43" s="299"/>
    </row>
    <row r="44" spans="2:17" ht="39.950000000000003" customHeight="1" x14ac:dyDescent="0.25">
      <c r="B44" s="293" t="s">
        <v>48</v>
      </c>
      <c r="C44" s="294"/>
      <c r="D44" s="56" t="s">
        <v>262</v>
      </c>
      <c r="E44" s="46" t="s">
        <v>3</v>
      </c>
      <c r="F44" s="44">
        <f>1.5*F24</f>
        <v>0.89999999999999991</v>
      </c>
      <c r="G44" s="297"/>
      <c r="H44" s="299"/>
      <c r="I44" s="297"/>
      <c r="J44" s="298"/>
      <c r="K44" s="298"/>
      <c r="L44" s="298"/>
      <c r="M44" s="298"/>
      <c r="N44" s="299"/>
    </row>
    <row r="45" spans="2:17" ht="39.950000000000003" customHeight="1" x14ac:dyDescent="0.25">
      <c r="B45" s="293" t="s">
        <v>177</v>
      </c>
      <c r="C45" s="294"/>
      <c r="D45" s="56" t="s">
        <v>263</v>
      </c>
      <c r="E45" s="46" t="s">
        <v>28</v>
      </c>
      <c r="F45" s="44">
        <f>ROUNDDOWN(F42/F44,0)</f>
        <v>6</v>
      </c>
      <c r="G45" s="92"/>
      <c r="H45" s="93"/>
      <c r="I45" s="92"/>
      <c r="J45" s="94"/>
      <c r="K45" s="94"/>
      <c r="L45" s="94"/>
      <c r="M45" s="94"/>
      <c r="N45" s="93"/>
    </row>
    <row r="46" spans="2:17" ht="39.950000000000003" customHeight="1" x14ac:dyDescent="0.25">
      <c r="B46" s="293" t="s">
        <v>179</v>
      </c>
      <c r="C46" s="294"/>
      <c r="D46" s="56" t="s">
        <v>262</v>
      </c>
      <c r="E46" s="46" t="s">
        <v>3</v>
      </c>
      <c r="F46" s="85">
        <f>F42/F45</f>
        <v>0.97610685510992734</v>
      </c>
      <c r="G46" s="92"/>
      <c r="H46" s="93"/>
      <c r="I46" s="92"/>
      <c r="J46" s="94"/>
      <c r="K46" s="94"/>
      <c r="L46" s="94"/>
      <c r="M46" s="94"/>
      <c r="N46" s="93"/>
    </row>
    <row r="47" spans="2:17" ht="30" customHeight="1" x14ac:dyDescent="0.25">
      <c r="B47" s="311" t="s">
        <v>62</v>
      </c>
      <c r="C47" s="311"/>
      <c r="D47" s="56" t="s">
        <v>264</v>
      </c>
      <c r="E47" s="46" t="s">
        <v>3</v>
      </c>
      <c r="F47" s="72">
        <f>F25+F43+F24</f>
        <v>2.2558581722939874</v>
      </c>
      <c r="G47" s="297"/>
      <c r="H47" s="299"/>
      <c r="I47" s="297"/>
      <c r="J47" s="298"/>
      <c r="K47" s="298"/>
      <c r="L47" s="298"/>
      <c r="M47" s="298"/>
      <c r="N47" s="299"/>
      <c r="Q47" s="12">
        <f>6*0.0254</f>
        <v>0.15239999999999998</v>
      </c>
    </row>
    <row r="48" spans="2:17" ht="30" customHeight="1" x14ac:dyDescent="0.25">
      <c r="B48" s="293" t="s">
        <v>69</v>
      </c>
      <c r="C48" s="294"/>
      <c r="D48" s="56" t="s">
        <v>265</v>
      </c>
      <c r="E48" s="46" t="s">
        <v>141</v>
      </c>
      <c r="F48" s="44">
        <f>F47*F42*F20-(F41-1)*F18*F20*F19</f>
        <v>15.554808847800167</v>
      </c>
      <c r="G48" s="297"/>
      <c r="H48" s="299"/>
      <c r="I48" s="306" t="s">
        <v>130</v>
      </c>
      <c r="J48" s="307"/>
      <c r="K48" s="307"/>
      <c r="L48" s="307"/>
      <c r="M48" s="307"/>
      <c r="N48" s="308"/>
      <c r="Q48" s="75">
        <f>Q47/2</f>
        <v>7.619999999999999E-2</v>
      </c>
    </row>
    <row r="49" spans="2:19" ht="39.950000000000003" customHeight="1" x14ac:dyDescent="0.25">
      <c r="B49" s="311" t="s">
        <v>68</v>
      </c>
      <c r="C49" s="311"/>
      <c r="D49" s="56" t="s">
        <v>266</v>
      </c>
      <c r="E49" s="46" t="s">
        <v>70</v>
      </c>
      <c r="F49" s="57">
        <f>(F48/F10)/60</f>
        <v>18.110151179182871</v>
      </c>
      <c r="G49" s="297"/>
      <c r="H49" s="299"/>
      <c r="I49" s="297"/>
      <c r="J49" s="298"/>
      <c r="K49" s="298"/>
      <c r="L49" s="298"/>
      <c r="M49" s="298"/>
      <c r="N49" s="299"/>
      <c r="Q49" s="12">
        <f>Q48/3</f>
        <v>2.5399999999999995E-2</v>
      </c>
    </row>
    <row r="50" spans="2:19" ht="39.950000000000003" customHeight="1" x14ac:dyDescent="0.25">
      <c r="B50" s="293" t="s">
        <v>90</v>
      </c>
      <c r="C50" s="294"/>
      <c r="D50" s="56" t="s">
        <v>91</v>
      </c>
      <c r="E50" s="46" t="s">
        <v>143</v>
      </c>
      <c r="F50" s="57">
        <f>F10*86400/(F42*F20)</f>
        <v>173.21341640466753</v>
      </c>
      <c r="G50" s="297"/>
      <c r="H50" s="299"/>
      <c r="I50" s="297"/>
      <c r="J50" s="298"/>
      <c r="K50" s="298"/>
      <c r="L50" s="298"/>
      <c r="M50" s="298"/>
      <c r="N50" s="299"/>
      <c r="Q50" s="12">
        <f>Q49/2</f>
        <v>1.2699999999999998E-2</v>
      </c>
      <c r="S50" s="12">
        <f>36/8</f>
        <v>4.5</v>
      </c>
    </row>
    <row r="51" spans="2:19" ht="39.950000000000003" customHeight="1" x14ac:dyDescent="0.25">
      <c r="B51" s="311" t="s">
        <v>149</v>
      </c>
      <c r="C51" s="311"/>
      <c r="D51" s="56" t="s">
        <v>73</v>
      </c>
      <c r="E51" s="46"/>
      <c r="F51" s="61" t="str">
        <f>"1: "&amp;ROUND(F42/F20,1)</f>
        <v>1: 4,8</v>
      </c>
      <c r="G51" s="297"/>
      <c r="H51" s="299"/>
      <c r="I51" s="297"/>
      <c r="J51" s="298"/>
      <c r="K51" s="298"/>
      <c r="L51" s="298"/>
      <c r="M51" s="298"/>
      <c r="N51" s="299"/>
    </row>
    <row r="52" spans="2:19" ht="39.950000000000003" customHeight="1" x14ac:dyDescent="0.25">
      <c r="B52" s="293" t="s">
        <v>80</v>
      </c>
      <c r="C52" s="294"/>
      <c r="D52" s="56" t="s">
        <v>267</v>
      </c>
      <c r="E52" s="46" t="s">
        <v>3</v>
      </c>
      <c r="F52" s="71">
        <f>((F20-F30)/2)*TAN(F29*PI()/180)</f>
        <v>0.79919162457288717</v>
      </c>
      <c r="G52" s="297"/>
      <c r="H52" s="299"/>
      <c r="I52" s="297"/>
      <c r="J52" s="298"/>
      <c r="K52" s="298"/>
      <c r="L52" s="298"/>
      <c r="M52" s="298"/>
      <c r="N52" s="299"/>
    </row>
    <row r="53" spans="2:19" ht="30" customHeight="1" x14ac:dyDescent="0.25">
      <c r="B53" s="293" t="s">
        <v>87</v>
      </c>
      <c r="C53" s="294"/>
      <c r="D53" s="56" t="s">
        <v>268</v>
      </c>
      <c r="E53" s="46" t="s">
        <v>3</v>
      </c>
      <c r="F53" s="47">
        <f>2*F28+F42</f>
        <v>6.4566411306595635</v>
      </c>
      <c r="G53" s="297"/>
      <c r="H53" s="299"/>
      <c r="I53" s="297"/>
      <c r="J53" s="298"/>
      <c r="K53" s="298"/>
      <c r="L53" s="298"/>
      <c r="M53" s="298"/>
      <c r="N53" s="299"/>
    </row>
    <row r="54" spans="2:19" ht="30" customHeight="1" x14ac:dyDescent="0.25">
      <c r="B54" s="293" t="s">
        <v>89</v>
      </c>
      <c r="C54" s="294"/>
      <c r="D54" s="56" t="s">
        <v>269</v>
      </c>
      <c r="E54" s="46" t="s">
        <v>3</v>
      </c>
      <c r="F54" s="52">
        <f>(2*F28+F20)*F9+(F9-1)*F27</f>
        <v>7.8767999999999994</v>
      </c>
      <c r="G54" s="297"/>
      <c r="H54" s="299"/>
      <c r="I54" s="297"/>
      <c r="J54" s="298"/>
      <c r="K54" s="298"/>
      <c r="L54" s="298"/>
      <c r="M54" s="298"/>
      <c r="N54" s="299"/>
    </row>
    <row r="55" spans="2:19" ht="30" customHeight="1" x14ac:dyDescent="0.25">
      <c r="B55" s="311" t="s">
        <v>86</v>
      </c>
      <c r="C55" s="311"/>
      <c r="D55" s="56" t="s">
        <v>270</v>
      </c>
      <c r="E55" s="46" t="s">
        <v>3</v>
      </c>
      <c r="F55" s="70">
        <f>F28+F52+F25+F43+F24+F26</f>
        <v>3.6550497968668743</v>
      </c>
      <c r="G55" s="297"/>
      <c r="H55" s="299"/>
      <c r="I55" s="297"/>
      <c r="J55" s="298"/>
      <c r="K55" s="298"/>
      <c r="L55" s="298"/>
      <c r="M55" s="298"/>
      <c r="N55" s="299"/>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293" t="s">
        <v>156</v>
      </c>
      <c r="C58" s="294"/>
      <c r="D58" s="56" t="s">
        <v>271</v>
      </c>
      <c r="E58" s="46" t="s">
        <v>3</v>
      </c>
      <c r="F58" s="85">
        <f>F42+F28</f>
        <v>6.1566411306595636</v>
      </c>
      <c r="G58" s="297"/>
      <c r="H58" s="299"/>
      <c r="I58" s="297"/>
      <c r="J58" s="298"/>
      <c r="K58" s="298"/>
      <c r="L58" s="298"/>
      <c r="M58" s="298"/>
      <c r="N58" s="299"/>
    </row>
    <row r="59" spans="2:19" ht="69.95" customHeight="1" x14ac:dyDescent="0.25">
      <c r="B59" s="293" t="s">
        <v>155</v>
      </c>
      <c r="C59" s="294"/>
      <c r="D59" s="56" t="s">
        <v>272</v>
      </c>
      <c r="E59" s="46" t="s">
        <v>153</v>
      </c>
      <c r="F59" s="95">
        <v>8</v>
      </c>
      <c r="G59" s="297"/>
      <c r="H59" s="299"/>
      <c r="I59" s="297"/>
      <c r="J59" s="298"/>
      <c r="K59" s="298"/>
      <c r="L59" s="298"/>
      <c r="M59" s="298"/>
      <c r="N59" s="299"/>
    </row>
    <row r="60" spans="2:19" ht="90" customHeight="1" x14ac:dyDescent="0.25">
      <c r="B60" s="293" t="s">
        <v>178</v>
      </c>
      <c r="C60" s="294"/>
      <c r="D60" s="56" t="s">
        <v>273</v>
      </c>
      <c r="E60" s="46" t="s">
        <v>3</v>
      </c>
      <c r="F60" s="50">
        <f>IF(F59=4,0.10342,IF(F59=6,0.15222,IF(F59=8,0.20942)))</f>
        <v>0.20942</v>
      </c>
      <c r="G60" s="297"/>
      <c r="H60" s="299"/>
      <c r="I60" s="67"/>
      <c r="J60" s="68"/>
      <c r="K60" s="68"/>
      <c r="L60" s="68"/>
      <c r="M60" s="68"/>
      <c r="N60" s="69"/>
    </row>
    <row r="61" spans="2:19" ht="50.1" customHeight="1" x14ac:dyDescent="0.25">
      <c r="B61" s="300" t="s">
        <v>161</v>
      </c>
      <c r="C61" s="300"/>
      <c r="D61" s="176" t="s">
        <v>274</v>
      </c>
      <c r="E61" s="46" t="s">
        <v>3</v>
      </c>
      <c r="F61" s="50">
        <f>F60*SQRT(0.4/F33)</f>
        <v>4.1884000000000005E-2</v>
      </c>
      <c r="G61" s="297"/>
      <c r="H61" s="299"/>
      <c r="I61" s="301"/>
      <c r="J61" s="302"/>
      <c r="K61" s="302"/>
      <c r="L61" s="302"/>
      <c r="M61" s="302"/>
      <c r="N61" s="303"/>
    </row>
    <row r="62" spans="2:19" ht="30" customHeight="1" x14ac:dyDescent="0.25">
      <c r="B62" s="300" t="s">
        <v>163</v>
      </c>
      <c r="C62" s="300"/>
      <c r="D62" s="176" t="s">
        <v>275</v>
      </c>
      <c r="E62" s="46" t="s">
        <v>153</v>
      </c>
      <c r="F62" s="102">
        <f>IF(AND(F61&gt;0.02363,F61&lt;0.0302),1,IF(AND(F61&gt;0.0302,F61&lt;0.03814),1.25,IF(AND(F61&gt;0.03814,F61&lt;0.04368),1.5,IF(AND(F61&gt;0.04368,F61&lt;0.05458),2,IF(AND(F61&gt;0.05458,F61&lt;0.06607),2.5,IF(AND(F61&gt;0.06607,F61&lt;0.08042),3,IF(AND(F61&gt;0.08042,F61&lt;0.10342),4)))))))</f>
        <v>1.5</v>
      </c>
      <c r="G62" s="295"/>
      <c r="H62" s="296"/>
      <c r="I62" s="76"/>
      <c r="J62" s="77"/>
      <c r="K62" s="77"/>
      <c r="L62" s="77"/>
      <c r="M62" s="77"/>
      <c r="N62" s="78"/>
    </row>
    <row r="63" spans="2:19" ht="52.5" customHeight="1" x14ac:dyDescent="0.25">
      <c r="B63" s="300" t="s">
        <v>172</v>
      </c>
      <c r="C63" s="300"/>
      <c r="D63" s="176" t="s">
        <v>274</v>
      </c>
      <c r="E63" s="46" t="s">
        <v>3</v>
      </c>
      <c r="F63" s="50">
        <f>IF(F62=1,0.0302,IF(F62=1.25,0.03814,IF(F62=1.5,0.04368,IF(F62=2,0.05458,IF(F62=2.5,0.06607,IF(F62=3,0.08042,IF(F62=4,0.10342,4)))))))</f>
        <v>4.3679999999999997E-2</v>
      </c>
      <c r="G63" s="297"/>
      <c r="H63" s="299"/>
      <c r="I63" s="98"/>
      <c r="J63" s="77"/>
      <c r="K63" s="77"/>
      <c r="L63" s="77"/>
      <c r="M63" s="77"/>
      <c r="N63" s="78"/>
    </row>
    <row r="64" spans="2:19" ht="47.25" customHeight="1" x14ac:dyDescent="0.25">
      <c r="B64" s="317" t="s">
        <v>173</v>
      </c>
      <c r="C64" s="318"/>
      <c r="D64" s="56"/>
      <c r="E64" s="46"/>
      <c r="F64" s="89">
        <f>(F63/F60)^2*F33</f>
        <v>0.4350397582251469</v>
      </c>
      <c r="G64" s="297"/>
      <c r="H64" s="299"/>
      <c r="I64" s="297"/>
      <c r="J64" s="298"/>
      <c r="K64" s="298"/>
      <c r="L64" s="298"/>
      <c r="M64" s="298"/>
      <c r="N64" s="299"/>
    </row>
    <row r="65" spans="2:14" ht="39.950000000000003" customHeight="1" x14ac:dyDescent="0.25">
      <c r="B65" s="300" t="s">
        <v>174</v>
      </c>
      <c r="C65" s="300"/>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00" t="s">
        <v>175</v>
      </c>
      <c r="C66" s="300"/>
      <c r="D66" s="176" t="s">
        <v>274</v>
      </c>
      <c r="E66" s="46"/>
      <c r="F66" s="89">
        <f>IF(F65=1,0.0302,IF(F65=1.25,0.03814,IF(F65=1.5,0.04368,IF(F65=2,0.05458,IF(F65=2.5,0.06607,IF(F65=3,0.08042,IF(F65=4,0.10342,4)))))))</f>
        <v>4.3679999999999997E-2</v>
      </c>
      <c r="G66" s="297"/>
      <c r="H66" s="299"/>
      <c r="I66" s="92"/>
      <c r="J66" s="94"/>
      <c r="K66" s="94"/>
      <c r="L66" s="94"/>
      <c r="M66" s="94"/>
      <c r="N66" s="93"/>
    </row>
    <row r="67" spans="2:14" ht="39.950000000000003" customHeight="1" x14ac:dyDescent="0.25">
      <c r="B67" s="317" t="s">
        <v>164</v>
      </c>
      <c r="C67" s="318"/>
      <c r="D67" s="56"/>
      <c r="E67" s="46"/>
      <c r="F67" s="89">
        <f>(F66/F60)^2*F33</f>
        <v>0.4350397582251469</v>
      </c>
      <c r="G67" s="297"/>
      <c r="H67" s="299"/>
      <c r="I67" s="92"/>
      <c r="J67" s="101"/>
      <c r="K67" s="94"/>
      <c r="L67" s="94"/>
      <c r="M67" s="94"/>
      <c r="N67" s="93"/>
    </row>
    <row r="68" spans="2:14" ht="39.950000000000003" customHeight="1" x14ac:dyDescent="0.25">
      <c r="B68" s="293" t="s">
        <v>160</v>
      </c>
      <c r="C68" s="294"/>
      <c r="D68" s="56" t="s">
        <v>276</v>
      </c>
      <c r="E68" s="46" t="s">
        <v>3</v>
      </c>
      <c r="F68" s="85">
        <f>F52+F25+F43+F24</f>
        <v>3.0550497968668746</v>
      </c>
      <c r="G68" s="297"/>
      <c r="H68" s="299"/>
      <c r="I68" s="76"/>
      <c r="J68" s="77"/>
      <c r="K68" s="77"/>
      <c r="L68" s="77"/>
      <c r="M68" s="77"/>
      <c r="N68" s="78"/>
    </row>
    <row r="69" spans="2:14" ht="39.950000000000003" customHeight="1" x14ac:dyDescent="0.25">
      <c r="B69" s="293" t="s">
        <v>159</v>
      </c>
      <c r="C69" s="294"/>
      <c r="D69" s="56" t="s">
        <v>277</v>
      </c>
      <c r="E69" s="46"/>
      <c r="F69" s="99">
        <f>F58/F33</f>
        <v>0.61566411306595636</v>
      </c>
      <c r="G69" s="295"/>
      <c r="H69" s="296"/>
      <c r="I69" s="76"/>
      <c r="J69" s="77"/>
      <c r="K69" s="77"/>
      <c r="L69" s="77"/>
      <c r="M69" s="77"/>
      <c r="N69" s="78"/>
    </row>
    <row r="70" spans="2:14" ht="50.1" customHeight="1" x14ac:dyDescent="0.25">
      <c r="B70" s="317" t="s">
        <v>170</v>
      </c>
      <c r="C70" s="318"/>
      <c r="D70" s="56" t="s">
        <v>278</v>
      </c>
      <c r="E70" s="46" t="s">
        <v>3</v>
      </c>
      <c r="F70" s="89">
        <f>1.16*F66*((F68^0.5)/F34)^0.5</f>
        <v>0.66987719376829002</v>
      </c>
      <c r="G70" s="76"/>
      <c r="H70" s="78"/>
      <c r="I70" s="76"/>
      <c r="J70" s="77"/>
      <c r="K70" s="77"/>
      <c r="L70" s="77"/>
      <c r="M70" s="77"/>
      <c r="N70" s="78"/>
    </row>
    <row r="71" spans="2:14" ht="39.950000000000003" customHeight="1" x14ac:dyDescent="0.25">
      <c r="B71" s="317" t="s">
        <v>176</v>
      </c>
      <c r="C71" s="318"/>
      <c r="D71" s="56" t="s">
        <v>278</v>
      </c>
      <c r="E71" s="1"/>
      <c r="F71" s="100">
        <f>F42/F33</f>
        <v>0.58566411306595634</v>
      </c>
      <c r="G71" s="297"/>
      <c r="H71" s="299"/>
      <c r="I71" s="324" t="s">
        <v>171</v>
      </c>
      <c r="J71" s="325"/>
      <c r="K71" s="325"/>
      <c r="L71" s="325"/>
      <c r="M71" s="325"/>
      <c r="N71" s="326"/>
    </row>
    <row r="72" spans="2:14" x14ac:dyDescent="0.25">
      <c r="B72" s="310"/>
      <c r="C72" s="310"/>
      <c r="J72" s="22"/>
      <c r="K72" s="23"/>
      <c r="L72" s="23"/>
      <c r="M72" s="24"/>
    </row>
    <row r="73" spans="2:14" x14ac:dyDescent="0.25">
      <c r="B73" s="305" t="s">
        <v>34</v>
      </c>
      <c r="C73" s="305"/>
      <c r="J73" s="22"/>
      <c r="K73" s="23"/>
      <c r="L73" s="23"/>
      <c r="M73" s="24"/>
    </row>
    <row r="74" spans="2:14" x14ac:dyDescent="0.25">
      <c r="J74" s="22"/>
      <c r="K74" s="23"/>
      <c r="L74" s="23"/>
      <c r="M74" s="24"/>
    </row>
    <row r="75" spans="2:14" ht="30" customHeight="1" x14ac:dyDescent="0.25">
      <c r="B75" s="12" t="s">
        <v>35</v>
      </c>
      <c r="C75" s="292" t="s">
        <v>51</v>
      </c>
      <c r="D75" s="292"/>
      <c r="E75" s="292"/>
      <c r="F75" s="292"/>
      <c r="G75" s="292"/>
      <c r="H75" s="65"/>
      <c r="I75" s="96"/>
      <c r="J75" s="22"/>
      <c r="K75" s="23"/>
      <c r="L75" s="23"/>
      <c r="M75" s="24"/>
    </row>
    <row r="76" spans="2:14" ht="30" customHeight="1" x14ac:dyDescent="0.25">
      <c r="B76" s="12" t="s">
        <v>37</v>
      </c>
      <c r="C76" s="292" t="s">
        <v>64</v>
      </c>
      <c r="D76" s="292"/>
      <c r="E76" s="292"/>
      <c r="F76" s="292"/>
      <c r="G76" s="292"/>
      <c r="H76" s="65"/>
      <c r="J76" s="97"/>
      <c r="K76" s="23"/>
      <c r="L76" s="23"/>
      <c r="M76" s="24"/>
    </row>
    <row r="77" spans="2:14" x14ac:dyDescent="0.25">
      <c r="B77" s="12" t="s">
        <v>39</v>
      </c>
      <c r="C77" s="304" t="s">
        <v>40</v>
      </c>
      <c r="D77" s="304"/>
      <c r="E77" s="304"/>
      <c r="F77" s="304"/>
      <c r="G77" s="304"/>
      <c r="H77" s="64"/>
      <c r="J77" s="22"/>
      <c r="K77" s="23"/>
      <c r="L77" s="23"/>
      <c r="M77" s="24"/>
    </row>
    <row r="78" spans="2:14" ht="30" customHeight="1" x14ac:dyDescent="0.25">
      <c r="B78" s="12" t="s">
        <v>50</v>
      </c>
      <c r="C78" s="292" t="s">
        <v>65</v>
      </c>
      <c r="D78" s="292"/>
      <c r="E78" s="292"/>
      <c r="F78" s="292"/>
      <c r="G78" s="292"/>
      <c r="H78" s="65"/>
      <c r="J78" s="22"/>
      <c r="K78" s="23"/>
      <c r="L78" s="23"/>
      <c r="M78" s="24"/>
    </row>
    <row r="79" spans="2:14" ht="30" customHeight="1" x14ac:dyDescent="0.25">
      <c r="B79" s="12" t="s">
        <v>57</v>
      </c>
      <c r="C79" s="292" t="s">
        <v>66</v>
      </c>
      <c r="D79" s="292"/>
      <c r="E79" s="292"/>
      <c r="F79" s="292"/>
      <c r="G79" s="292"/>
      <c r="H79" s="65"/>
      <c r="J79" s="327"/>
      <c r="K79" s="327"/>
      <c r="L79" s="23"/>
      <c r="M79" s="24"/>
    </row>
    <row r="80" spans="2:14" x14ac:dyDescent="0.25">
      <c r="B80" s="12" t="s">
        <v>60</v>
      </c>
      <c r="C80" s="304" t="s">
        <v>56</v>
      </c>
      <c r="D80" s="304"/>
      <c r="E80" s="304"/>
      <c r="F80" s="304"/>
      <c r="G80" s="304"/>
      <c r="H80" s="64"/>
      <c r="J80" s="22"/>
      <c r="K80" s="23"/>
      <c r="L80" s="23"/>
      <c r="M80" s="24"/>
    </row>
    <row r="81" spans="2:13" x14ac:dyDescent="0.25">
      <c r="B81" s="12" t="s">
        <v>79</v>
      </c>
      <c r="C81" s="304" t="s">
        <v>78</v>
      </c>
      <c r="D81" s="304"/>
      <c r="E81" s="304"/>
      <c r="F81" s="304"/>
      <c r="G81" s="304"/>
      <c r="H81" s="64"/>
      <c r="J81" s="22"/>
      <c r="K81" s="23"/>
      <c r="L81" s="23"/>
      <c r="M81" s="24"/>
    </row>
    <row r="82" spans="2:13" ht="30" customHeight="1" x14ac:dyDescent="0.25">
      <c r="B82" s="12" t="s">
        <v>93</v>
      </c>
      <c r="C82" s="292" t="s">
        <v>83</v>
      </c>
      <c r="D82" s="292"/>
      <c r="E82" s="292"/>
      <c r="F82" s="292"/>
      <c r="G82" s="292"/>
      <c r="H82" s="65"/>
      <c r="J82" s="22"/>
      <c r="K82" s="23"/>
      <c r="L82" s="23"/>
      <c r="M82" s="24"/>
    </row>
    <row r="83" spans="2:13" ht="30" customHeight="1" x14ac:dyDescent="0.25">
      <c r="B83" s="12" t="s">
        <v>168</v>
      </c>
      <c r="C83" s="292" t="s">
        <v>169</v>
      </c>
      <c r="D83" s="292"/>
      <c r="E83" s="292"/>
      <c r="F83" s="292"/>
      <c r="G83" s="292"/>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29" t="s">
        <v>125</v>
      </c>
      <c r="C7" s="329"/>
      <c r="D7" s="329"/>
      <c r="E7" s="329"/>
      <c r="F7" s="329"/>
    </row>
    <row r="9" spans="2:6" x14ac:dyDescent="0.25">
      <c r="B9" s="41" t="s">
        <v>45</v>
      </c>
      <c r="C9" s="41"/>
    </row>
    <row r="10" spans="2:6" ht="17.25" x14ac:dyDescent="0.25">
      <c r="B10" s="312" t="s">
        <v>33</v>
      </c>
      <c r="C10" s="313"/>
      <c r="D10" s="9" t="s">
        <v>0</v>
      </c>
      <c r="E10" s="1" t="s">
        <v>20</v>
      </c>
      <c r="F10" s="3">
        <v>5.7259999999999998E-2</v>
      </c>
    </row>
    <row r="11" spans="2:6" x14ac:dyDescent="0.25">
      <c r="B11" s="312" t="s">
        <v>31</v>
      </c>
      <c r="C11" s="313"/>
      <c r="D11" s="9" t="s">
        <v>3</v>
      </c>
      <c r="E11" s="1" t="s">
        <v>28</v>
      </c>
      <c r="F11" s="3">
        <v>4</v>
      </c>
    </row>
    <row r="12" spans="2:6" ht="17.25" x14ac:dyDescent="0.25">
      <c r="B12" s="312" t="s">
        <v>32</v>
      </c>
      <c r="C12" s="313"/>
      <c r="D12" s="9" t="s">
        <v>92</v>
      </c>
      <c r="E12" s="1" t="s">
        <v>20</v>
      </c>
      <c r="F12" s="18">
        <f>F10/F11</f>
        <v>1.4315E-2</v>
      </c>
    </row>
    <row r="13" spans="2:6" ht="17.25" x14ac:dyDescent="0.25">
      <c r="B13" s="312" t="s">
        <v>10</v>
      </c>
      <c r="C13" s="313"/>
      <c r="D13" s="9" t="s">
        <v>2</v>
      </c>
      <c r="E13" s="1" t="s">
        <v>21</v>
      </c>
      <c r="F13" s="19">
        <v>1.0070000000000001E-6</v>
      </c>
    </row>
    <row r="14" spans="2:6" x14ac:dyDescent="0.25">
      <c r="B14" s="312" t="s">
        <v>106</v>
      </c>
      <c r="C14" s="313"/>
      <c r="D14" s="36"/>
      <c r="E14" s="1"/>
      <c r="F14" s="3" t="s">
        <v>107</v>
      </c>
    </row>
    <row r="15" spans="2:6" ht="17.25" x14ac:dyDescent="0.25">
      <c r="B15" s="312" t="str">
        <f>"Eficiencia crítica para sedimentador de "&amp;F14</f>
        <v>Eficiencia crítica para sedimentador de Placas paralelas</v>
      </c>
      <c r="C15" s="313"/>
      <c r="D15" s="8" t="s">
        <v>108</v>
      </c>
      <c r="E15" s="2"/>
      <c r="F15" s="4">
        <v>1</v>
      </c>
    </row>
    <row r="16" spans="2:6" x14ac:dyDescent="0.25">
      <c r="B16" s="312" t="s">
        <v>22</v>
      </c>
      <c r="C16" s="313"/>
      <c r="D16" s="9" t="s">
        <v>11</v>
      </c>
      <c r="E16" s="1" t="s">
        <v>3</v>
      </c>
      <c r="F16" s="59">
        <f>'Sedimentador alta tasa'!F14</f>
        <v>0.05</v>
      </c>
    </row>
    <row r="17" spans="2:7" x14ac:dyDescent="0.25">
      <c r="B17" s="312" t="s">
        <v>95</v>
      </c>
      <c r="C17" s="313"/>
      <c r="D17" s="9" t="s">
        <v>12</v>
      </c>
      <c r="E17" s="1" t="s">
        <v>3</v>
      </c>
      <c r="F17" s="59">
        <f>'Sedimentador alta tasa'!F18</f>
        <v>1.2192000000000001</v>
      </c>
    </row>
    <row r="18" spans="2:7" x14ac:dyDescent="0.25">
      <c r="B18" s="312" t="s">
        <v>17</v>
      </c>
      <c r="C18" s="313"/>
      <c r="D18" s="25" t="s">
        <v>13</v>
      </c>
      <c r="E18" s="26" t="s">
        <v>3</v>
      </c>
      <c r="F18" s="59">
        <f>'Sedimentador alta tasa'!F19</f>
        <v>4.0000000000000001E-3</v>
      </c>
      <c r="G18" s="6"/>
    </row>
    <row r="19" spans="2:7" x14ac:dyDescent="0.25">
      <c r="B19" s="312" t="s">
        <v>96</v>
      </c>
      <c r="C19" s="313"/>
      <c r="D19" s="9" t="s">
        <v>14</v>
      </c>
      <c r="E19" s="1" t="s">
        <v>3</v>
      </c>
      <c r="F19" s="59">
        <f>'Sedimentador alta tasa'!F20</f>
        <v>1.2192000000000001</v>
      </c>
    </row>
    <row r="20" spans="2:7" x14ac:dyDescent="0.25">
      <c r="B20" s="312" t="s">
        <v>19</v>
      </c>
      <c r="C20" s="313"/>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12" t="s">
        <v>52</v>
      </c>
      <c r="C23" s="313"/>
      <c r="D23" s="9" t="s">
        <v>46</v>
      </c>
      <c r="E23" s="1" t="s">
        <v>3</v>
      </c>
      <c r="F23" s="27">
        <v>0.6</v>
      </c>
    </row>
    <row r="24" spans="2:7" ht="17.25" x14ac:dyDescent="0.25">
      <c r="B24" s="331" t="s">
        <v>58</v>
      </c>
      <c r="C24" s="332"/>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28" t="s">
        <v>112</v>
      </c>
      <c r="C28" s="328"/>
      <c r="D28" s="328"/>
      <c r="E28" s="328"/>
      <c r="F28" s="328"/>
      <c r="G28" s="328"/>
    </row>
    <row r="29" spans="2:7" x14ac:dyDescent="0.25">
      <c r="B29" s="328"/>
      <c r="C29" s="328"/>
      <c r="D29" s="328"/>
      <c r="E29" s="328"/>
      <c r="F29" s="328"/>
      <c r="G29" s="328"/>
    </row>
    <row r="30" spans="2:7" x14ac:dyDescent="0.25">
      <c r="B30" s="53"/>
      <c r="C30" s="53"/>
      <c r="D30" s="53"/>
      <c r="E30" s="53"/>
      <c r="F30" s="53"/>
      <c r="G30" s="53"/>
    </row>
    <row r="31" spans="2:7" ht="17.25" x14ac:dyDescent="0.25">
      <c r="B31" s="293" t="s">
        <v>134</v>
      </c>
      <c r="C31" s="294"/>
      <c r="D31" s="51" t="s">
        <v>137</v>
      </c>
      <c r="E31" s="54" t="s">
        <v>3</v>
      </c>
      <c r="F31" s="44">
        <f>'Sedimentador alta tasa'!F42</f>
        <v>5.8566411306595638</v>
      </c>
      <c r="G31" s="53"/>
    </row>
    <row r="32" spans="2:7" x14ac:dyDescent="0.25">
      <c r="B32" s="293" t="s">
        <v>18</v>
      </c>
      <c r="C32" s="294"/>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293" t="s">
        <v>90</v>
      </c>
      <c r="C36" s="294"/>
      <c r="D36" s="55" t="s">
        <v>91</v>
      </c>
      <c r="E36" s="46" t="s">
        <v>143</v>
      </c>
      <c r="F36" s="44">
        <f>(F12*86400)/(F31*F32)</f>
        <v>173.21341640466753</v>
      </c>
      <c r="G36" s="49"/>
    </row>
    <row r="37" spans="2:8" x14ac:dyDescent="0.25">
      <c r="B37" s="53"/>
      <c r="C37" s="53"/>
      <c r="D37" s="53"/>
      <c r="E37" s="53"/>
      <c r="F37" s="53"/>
      <c r="G37" s="53"/>
    </row>
    <row r="38" spans="2:8" ht="74.25" customHeight="1" x14ac:dyDescent="0.25">
      <c r="B38" s="328" t="s">
        <v>132</v>
      </c>
      <c r="C38" s="328"/>
      <c r="D38" s="328"/>
      <c r="E38" s="328"/>
      <c r="F38" s="328"/>
      <c r="G38" s="328"/>
    </row>
    <row r="39" spans="2:8" x14ac:dyDescent="0.25">
      <c r="B39" s="53"/>
      <c r="C39" s="53"/>
      <c r="D39" s="53"/>
      <c r="E39" s="53"/>
      <c r="F39" s="53"/>
      <c r="G39" s="53"/>
    </row>
    <row r="40" spans="2:8" ht="75" customHeight="1" x14ac:dyDescent="0.25">
      <c r="B40" s="293" t="s">
        <v>98</v>
      </c>
      <c r="C40" s="294"/>
      <c r="D40" s="51" t="s">
        <v>131</v>
      </c>
      <c r="E40" s="46" t="s">
        <v>28</v>
      </c>
      <c r="F40" s="49">
        <f>ROUND(((F31*SIN(F20*PI()/180)+F18)/(F16+F18)-1),0)</f>
        <v>93</v>
      </c>
      <c r="G40" s="49"/>
    </row>
    <row r="41" spans="2:8" ht="30" customHeight="1" x14ac:dyDescent="0.25">
      <c r="B41" s="293" t="s">
        <v>97</v>
      </c>
      <c r="C41" s="294"/>
      <c r="D41" s="48" t="s">
        <v>144</v>
      </c>
      <c r="E41" s="46" t="s">
        <v>3</v>
      </c>
      <c r="F41" s="52">
        <f>F31</f>
        <v>5.8566411306595638</v>
      </c>
      <c r="G41" s="44"/>
      <c r="H41" s="23"/>
    </row>
    <row r="42" spans="2:8" ht="42" customHeight="1" x14ac:dyDescent="0.25">
      <c r="B42" s="293" t="s">
        <v>94</v>
      </c>
      <c r="C42" s="294"/>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293" t="s">
        <v>99</v>
      </c>
      <c r="C46" s="294"/>
      <c r="D46" s="51" t="s">
        <v>88</v>
      </c>
      <c r="E46" s="49"/>
      <c r="F46" s="49">
        <f>F17/F16</f>
        <v>24.384</v>
      </c>
      <c r="G46" s="49"/>
    </row>
    <row r="47" spans="2:8" ht="39.950000000000003" customHeight="1" x14ac:dyDescent="0.25">
      <c r="B47" s="293" t="s">
        <v>100</v>
      </c>
      <c r="C47" s="294"/>
      <c r="D47" s="51" t="s">
        <v>101</v>
      </c>
      <c r="E47" s="49"/>
      <c r="F47" s="44">
        <f>(0.058*F42*F16)/F13</f>
        <v>7.1996027805362459</v>
      </c>
      <c r="G47" s="49"/>
    </row>
    <row r="48" spans="2:8" ht="30" customHeight="1" x14ac:dyDescent="0.25">
      <c r="B48" s="293" t="s">
        <v>102</v>
      </c>
      <c r="C48" s="294"/>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293" t="s">
        <v>104</v>
      </c>
      <c r="C52" s="294"/>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293" t="s">
        <v>109</v>
      </c>
      <c r="C58" s="294"/>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293" t="s">
        <v>26</v>
      </c>
      <c r="C62" s="294"/>
      <c r="D62" s="48" t="s">
        <v>136</v>
      </c>
      <c r="E62" s="46" t="s">
        <v>70</v>
      </c>
      <c r="F62" s="44">
        <f>(F17/F42)/60</f>
        <v>8.1280000000000001</v>
      </c>
      <c r="G62" s="49"/>
    </row>
    <row r="63" spans="2:7" x14ac:dyDescent="0.25">
      <c r="B63" s="53"/>
      <c r="C63" s="53"/>
      <c r="D63" s="53"/>
      <c r="E63" s="53"/>
      <c r="F63" s="53"/>
      <c r="G63" s="53"/>
    </row>
    <row r="64" spans="2:7" ht="60" customHeight="1" x14ac:dyDescent="0.25">
      <c r="B64" s="328" t="s">
        <v>133</v>
      </c>
      <c r="C64" s="328"/>
      <c r="D64" s="328"/>
      <c r="E64" s="328"/>
      <c r="F64" s="328"/>
      <c r="G64" s="328"/>
    </row>
    <row r="65" spans="2:7" x14ac:dyDescent="0.25">
      <c r="B65" s="53"/>
      <c r="C65" s="53"/>
      <c r="D65" s="53"/>
      <c r="E65" s="53"/>
      <c r="F65" s="53"/>
      <c r="G65" s="53"/>
    </row>
    <row r="66" spans="2:7" ht="39.950000000000003" customHeight="1" x14ac:dyDescent="0.25">
      <c r="B66" s="293" t="s">
        <v>44</v>
      </c>
      <c r="C66" s="294"/>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293" t="s">
        <v>30</v>
      </c>
      <c r="C70" s="294"/>
      <c r="D70" s="48" t="s">
        <v>138</v>
      </c>
      <c r="E70" s="46" t="s">
        <v>3</v>
      </c>
      <c r="F70" s="44">
        <f>F17*SIN(F20*PI()/180)</f>
        <v>1.0558581722939875</v>
      </c>
      <c r="G70" s="49"/>
    </row>
    <row r="71" spans="2:7" ht="30" customHeight="1" x14ac:dyDescent="0.25">
      <c r="B71" s="293" t="s">
        <v>62</v>
      </c>
      <c r="C71" s="294"/>
      <c r="D71" s="51" t="s">
        <v>139</v>
      </c>
      <c r="E71" s="46" t="s">
        <v>3</v>
      </c>
      <c r="F71" s="44">
        <f>F24+F70+F23</f>
        <v>2.2558581722939874</v>
      </c>
      <c r="G71" s="49"/>
    </row>
    <row r="72" spans="2:7" ht="30" customHeight="1" x14ac:dyDescent="0.25">
      <c r="B72" s="293" t="s">
        <v>69</v>
      </c>
      <c r="C72" s="294"/>
      <c r="D72" s="51" t="s">
        <v>140</v>
      </c>
      <c r="E72" s="46" t="s">
        <v>141</v>
      </c>
      <c r="F72" s="44">
        <f>F71*F31*F19-(F66-1)*F17*F19*F18</f>
        <v>15.554808847800167</v>
      </c>
      <c r="G72" s="49"/>
    </row>
    <row r="73" spans="2:7" ht="39.950000000000003" customHeight="1" x14ac:dyDescent="0.25">
      <c r="B73" s="293" t="s">
        <v>68</v>
      </c>
      <c r="C73" s="294"/>
      <c r="D73" s="51" t="s">
        <v>142</v>
      </c>
      <c r="E73" s="46" t="s">
        <v>70</v>
      </c>
      <c r="F73" s="44">
        <f>(F72/F12)/60</f>
        <v>18.110151179182871</v>
      </c>
      <c r="G73" s="49"/>
    </row>
    <row r="75" spans="2:7" x14ac:dyDescent="0.25">
      <c r="B75" s="41" t="s">
        <v>113</v>
      </c>
      <c r="C75" s="41"/>
    </row>
    <row r="76" spans="2:7" ht="15" customHeight="1" x14ac:dyDescent="0.25">
      <c r="B76" s="330" t="s">
        <v>148</v>
      </c>
      <c r="C76" s="330"/>
      <c r="D76" s="330"/>
      <c r="E76" s="330"/>
      <c r="F76" s="330"/>
      <c r="G76" s="330"/>
    </row>
    <row r="77" spans="2:7" x14ac:dyDescent="0.25">
      <c r="B77" s="330"/>
      <c r="C77" s="330"/>
      <c r="D77" s="330"/>
      <c r="E77" s="330"/>
      <c r="F77" s="330"/>
      <c r="G77" s="330"/>
    </row>
    <row r="78" spans="2:7" x14ac:dyDescent="0.25">
      <c r="B78" s="330"/>
      <c r="C78" s="330"/>
      <c r="D78" s="330"/>
      <c r="E78" s="330"/>
      <c r="F78" s="330"/>
      <c r="G78" s="330"/>
    </row>
    <row r="79" spans="2:7" x14ac:dyDescent="0.25">
      <c r="B79" s="330"/>
      <c r="C79" s="330"/>
      <c r="D79" s="330"/>
      <c r="E79" s="330"/>
      <c r="F79" s="330"/>
      <c r="G79" s="330"/>
    </row>
    <row r="80" spans="2:7" ht="24.75" customHeight="1" x14ac:dyDescent="0.25">
      <c r="B80" s="330"/>
      <c r="C80" s="330"/>
      <c r="D80" s="330"/>
      <c r="E80" s="330"/>
      <c r="F80" s="330"/>
      <c r="G80" s="330"/>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A145" zoomScaleNormal="100" workbookViewId="0">
      <selection activeCell="P157" sqref="P157"/>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438"/>
      <c r="C2" s="438"/>
      <c r="D2" s="438"/>
      <c r="E2" s="438"/>
      <c r="F2" s="438"/>
      <c r="G2" s="254" t="s">
        <v>119</v>
      </c>
      <c r="H2" s="253"/>
      <c r="I2" s="253"/>
      <c r="J2" s="253"/>
      <c r="K2" s="253"/>
      <c r="L2" s="253"/>
      <c r="X2" s="113"/>
    </row>
    <row r="3" spans="1:41" ht="17.100000000000001" customHeight="1" x14ac:dyDescent="0.25">
      <c r="A3" s="12"/>
      <c r="B3" s="438"/>
      <c r="C3" s="438"/>
      <c r="D3" s="438"/>
      <c r="E3" s="438"/>
      <c r="F3" s="438"/>
      <c r="G3" s="254" t="s">
        <v>120</v>
      </c>
      <c r="H3" s="253"/>
      <c r="I3" s="253"/>
      <c r="J3" s="253"/>
      <c r="K3" s="253"/>
      <c r="L3" s="253"/>
      <c r="X3" s="113"/>
    </row>
    <row r="4" spans="1:41" ht="17.100000000000001" customHeight="1" x14ac:dyDescent="0.25">
      <c r="A4" s="12"/>
      <c r="B4" s="438"/>
      <c r="C4" s="438"/>
      <c r="D4" s="438"/>
      <c r="E4" s="438"/>
      <c r="F4" s="438"/>
      <c r="G4" s="254" t="s">
        <v>121</v>
      </c>
      <c r="H4" s="253"/>
      <c r="I4" s="253"/>
      <c r="J4" s="253"/>
      <c r="K4" s="253"/>
      <c r="L4" s="253"/>
      <c r="X4" s="113"/>
    </row>
    <row r="5" spans="1:41" ht="17.100000000000001" customHeight="1" x14ac:dyDescent="0.25">
      <c r="A5" s="12"/>
      <c r="B5" s="438"/>
      <c r="C5" s="438"/>
      <c r="D5" s="438"/>
      <c r="E5" s="438"/>
      <c r="F5" s="438"/>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464" t="s">
        <v>400</v>
      </c>
      <c r="AM7" s="464" t="s">
        <v>407</v>
      </c>
    </row>
    <row r="8" spans="1:41" ht="17.100000000000001" customHeight="1" x14ac:dyDescent="0.25">
      <c r="B8" s="311" t="s">
        <v>308</v>
      </c>
      <c r="C8" s="311"/>
      <c r="D8" s="311"/>
      <c r="E8" s="311"/>
      <c r="F8" s="311"/>
      <c r="G8" s="311"/>
      <c r="H8" s="311"/>
      <c r="I8" s="247" t="s">
        <v>310</v>
      </c>
      <c r="J8" s="248">
        <v>1.3</v>
      </c>
      <c r="K8" s="49"/>
      <c r="L8" s="253"/>
      <c r="X8" s="311" t="s">
        <v>315</v>
      </c>
      <c r="Y8" s="311"/>
      <c r="Z8" s="116"/>
      <c r="AA8" s="13" t="s">
        <v>313</v>
      </c>
      <c r="AB8" s="13" t="s">
        <v>338</v>
      </c>
      <c r="AC8" s="23"/>
      <c r="AD8" s="273" t="s">
        <v>362</v>
      </c>
      <c r="AE8" s="274"/>
      <c r="AF8" s="23"/>
      <c r="AG8" s="285"/>
      <c r="AH8" s="217"/>
      <c r="AI8" s="287"/>
      <c r="AJ8" s="217"/>
      <c r="AK8" s="217"/>
      <c r="AL8" s="165" t="s">
        <v>397</v>
      </c>
      <c r="AM8" s="465">
        <f>((4*0.0254)^2)</f>
        <v>1.032256E-2</v>
      </c>
    </row>
    <row r="9" spans="1:41" ht="17.100000000000001" customHeight="1" x14ac:dyDescent="0.25">
      <c r="B9" s="311" t="s">
        <v>309</v>
      </c>
      <c r="C9" s="311"/>
      <c r="D9" s="311"/>
      <c r="E9" s="311"/>
      <c r="F9" s="311"/>
      <c r="G9" s="311"/>
      <c r="H9" s="311"/>
      <c r="I9" s="247" t="s">
        <v>311</v>
      </c>
      <c r="J9" s="248">
        <v>1.6</v>
      </c>
      <c r="K9" s="49"/>
      <c r="L9" s="253"/>
      <c r="X9" s="311" t="s">
        <v>316</v>
      </c>
      <c r="Y9" s="311"/>
      <c r="Z9" s="116"/>
      <c r="AA9" s="13" t="s">
        <v>326</v>
      </c>
      <c r="AB9" s="13" t="s">
        <v>339</v>
      </c>
      <c r="AC9" s="23"/>
      <c r="AD9" s="273" t="s">
        <v>33</v>
      </c>
      <c r="AE9" s="274"/>
      <c r="AF9" s="23"/>
      <c r="AG9" s="285">
        <v>0.25</v>
      </c>
      <c r="AH9" s="217"/>
      <c r="AI9" s="288">
        <v>0.2</v>
      </c>
      <c r="AJ9" s="217"/>
      <c r="AK9" s="217"/>
      <c r="AL9" s="165" t="s">
        <v>398</v>
      </c>
      <c r="AM9" s="465">
        <f>((6*0.0254)^2)</f>
        <v>2.3225759999999995E-2</v>
      </c>
    </row>
    <row r="10" spans="1:41" ht="17.100000000000001" customHeight="1" x14ac:dyDescent="0.25">
      <c r="B10" s="311" t="s">
        <v>304</v>
      </c>
      <c r="C10" s="311"/>
      <c r="D10" s="311"/>
      <c r="E10" s="311"/>
      <c r="F10" s="311"/>
      <c r="G10" s="311"/>
      <c r="H10" s="311"/>
      <c r="I10" s="247" t="s">
        <v>305</v>
      </c>
      <c r="J10" s="248">
        <v>4.4040000000000003E-2</v>
      </c>
      <c r="K10" s="247" t="s">
        <v>291</v>
      </c>
      <c r="L10" s="253"/>
      <c r="X10" s="192" t="s">
        <v>317</v>
      </c>
      <c r="Y10" s="192"/>
      <c r="Z10" s="214"/>
      <c r="AA10" s="13" t="s">
        <v>327</v>
      </c>
      <c r="AB10" s="13" t="s">
        <v>340</v>
      </c>
      <c r="AC10" s="23"/>
      <c r="AD10" s="273" t="s">
        <v>361</v>
      </c>
      <c r="AE10" s="274"/>
      <c r="AF10" s="23"/>
      <c r="AG10" s="285">
        <v>0.375</v>
      </c>
      <c r="AH10" s="217"/>
      <c r="AI10" s="288">
        <v>0.25</v>
      </c>
      <c r="AJ10" s="217"/>
      <c r="AK10" s="217"/>
      <c r="AL10" s="165" t="s">
        <v>399</v>
      </c>
      <c r="AM10" s="465">
        <f>((8*0.0254)^2)</f>
        <v>4.1290239999999999E-2</v>
      </c>
      <c r="AO10" s="154" t="s">
        <v>380</v>
      </c>
    </row>
    <row r="11" spans="1:41" ht="17.100000000000001" customHeight="1" x14ac:dyDescent="0.25">
      <c r="B11" s="311" t="s">
        <v>303</v>
      </c>
      <c r="C11" s="311"/>
      <c r="D11" s="311"/>
      <c r="E11" s="311"/>
      <c r="F11" s="311"/>
      <c r="G11" s="311"/>
      <c r="H11" s="311"/>
      <c r="I11" s="247" t="s">
        <v>302</v>
      </c>
      <c r="J11" s="209">
        <f>J10*J8</f>
        <v>5.7252000000000004E-2</v>
      </c>
      <c r="K11" s="247" t="s">
        <v>291</v>
      </c>
      <c r="L11" s="249"/>
      <c r="X11" s="192" t="s">
        <v>357</v>
      </c>
      <c r="Y11" s="192"/>
      <c r="Z11" s="214"/>
      <c r="AA11" s="165">
        <v>120</v>
      </c>
      <c r="AB11" s="165" t="s">
        <v>341</v>
      </c>
      <c r="AC11" s="23"/>
      <c r="AD11" s="23"/>
      <c r="AE11" s="23"/>
      <c r="AF11" s="23"/>
      <c r="AG11" s="285">
        <v>0.5</v>
      </c>
      <c r="AH11" s="217"/>
      <c r="AI11" s="288">
        <v>0.3</v>
      </c>
      <c r="AJ11" s="217"/>
      <c r="AK11" s="217"/>
      <c r="AL11" s="165" t="s">
        <v>401</v>
      </c>
      <c r="AM11" s="465">
        <f>((10*0.0254)^2)</f>
        <v>6.4516000000000004E-2</v>
      </c>
    </row>
    <row r="12" spans="1:41" ht="17.100000000000001" customHeight="1" x14ac:dyDescent="0.25">
      <c r="B12" s="311" t="s">
        <v>306</v>
      </c>
      <c r="C12" s="311"/>
      <c r="D12" s="311"/>
      <c r="E12" s="311"/>
      <c r="F12" s="311"/>
      <c r="G12" s="311"/>
      <c r="H12" s="311"/>
      <c r="I12" s="247" t="s">
        <v>346</v>
      </c>
      <c r="J12" s="209">
        <f>J10*J9</f>
        <v>7.0464000000000013E-2</v>
      </c>
      <c r="K12" s="247" t="s">
        <v>291</v>
      </c>
      <c r="L12" s="249"/>
      <c r="X12" s="268" t="s">
        <v>359</v>
      </c>
      <c r="Y12" s="268"/>
      <c r="Z12" s="269"/>
      <c r="AA12" s="270">
        <v>150</v>
      </c>
      <c r="AB12" s="271">
        <v>480</v>
      </c>
      <c r="AC12" s="23"/>
      <c r="AD12" s="23"/>
      <c r="AE12" s="23"/>
      <c r="AF12" s="23"/>
      <c r="AG12" s="285">
        <v>0.625</v>
      </c>
      <c r="AH12" s="217"/>
      <c r="AI12" s="217"/>
      <c r="AJ12" s="217"/>
      <c r="AK12" s="217"/>
      <c r="AL12" s="165" t="s">
        <v>402</v>
      </c>
      <c r="AM12" s="465">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465">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465">
        <f>((16*0.0254)^2)</f>
        <v>0.16516096</v>
      </c>
    </row>
    <row r="15" spans="1:41" ht="17.100000000000001" customHeight="1" x14ac:dyDescent="0.25">
      <c r="B15" s="293" t="s">
        <v>315</v>
      </c>
      <c r="C15" s="352"/>
      <c r="D15" s="352"/>
      <c r="E15" s="352"/>
      <c r="F15" s="352"/>
      <c r="G15" s="294"/>
      <c r="H15" s="293" t="s">
        <v>313</v>
      </c>
      <c r="I15" s="294"/>
      <c r="J15" s="208"/>
      <c r="K15" s="196"/>
      <c r="L15" s="249"/>
      <c r="X15" s="235" t="s">
        <v>320</v>
      </c>
      <c r="Y15" s="235"/>
      <c r="Z15" s="214"/>
      <c r="AA15" s="165" t="s">
        <v>334</v>
      </c>
      <c r="AB15" s="165" t="s">
        <v>334</v>
      </c>
      <c r="AC15" s="23"/>
      <c r="AD15" s="23"/>
      <c r="AE15" s="23"/>
      <c r="AF15" s="23"/>
      <c r="AG15" s="217"/>
      <c r="AH15" s="217"/>
      <c r="AI15" s="217"/>
      <c r="AJ15" s="217"/>
      <c r="AK15" s="217"/>
      <c r="AL15" s="165" t="s">
        <v>405</v>
      </c>
      <c r="AM15" s="465">
        <f>((18*0.0254)^2)</f>
        <v>0.20903184</v>
      </c>
    </row>
    <row r="16" spans="1:41" ht="17.100000000000001" customHeight="1" x14ac:dyDescent="0.25">
      <c r="B16" s="293" t="s">
        <v>316</v>
      </c>
      <c r="C16" s="352"/>
      <c r="D16" s="352"/>
      <c r="E16" s="352"/>
      <c r="F16" s="352"/>
      <c r="G16" s="294"/>
      <c r="H16" s="293" t="str">
        <f>IF($H$15=$AA$8,$AA$9,IF($H$15=$AB$8,$AB$9,""))</f>
        <v>Arena</v>
      </c>
      <c r="I16" s="294"/>
      <c r="J16" s="208"/>
      <c r="K16" s="196"/>
      <c r="L16" s="249"/>
      <c r="X16" s="235" t="s">
        <v>330</v>
      </c>
      <c r="Y16" s="235"/>
      <c r="Z16" s="214"/>
      <c r="AA16" s="165" t="s">
        <v>335</v>
      </c>
      <c r="AB16" s="165">
        <v>6</v>
      </c>
      <c r="AC16" s="23"/>
      <c r="AD16" s="23"/>
      <c r="AE16" s="23"/>
      <c r="AF16" s="23"/>
      <c r="AG16" s="217"/>
      <c r="AH16" s="217"/>
      <c r="AI16" s="217"/>
      <c r="AJ16" s="217"/>
      <c r="AK16" s="217"/>
      <c r="AL16" s="165" t="s">
        <v>406</v>
      </c>
      <c r="AM16" s="465">
        <f>((20*0.0254)^2)</f>
        <v>0.25806400000000002</v>
      </c>
    </row>
    <row r="17" spans="2:37" ht="17.100000000000001" customHeight="1" x14ac:dyDescent="0.25">
      <c r="B17" s="293" t="s">
        <v>317</v>
      </c>
      <c r="C17" s="352"/>
      <c r="D17" s="352"/>
      <c r="E17" s="352"/>
      <c r="F17" s="352"/>
      <c r="G17" s="294"/>
      <c r="H17" s="293" t="str">
        <f>IF($H$15=$AA$8,AA10,IF($H$15=$AB$8,AB10,""))</f>
        <v>Estratificado fino a grueso</v>
      </c>
      <c r="I17" s="294"/>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293" t="s">
        <v>323</v>
      </c>
      <c r="C18" s="352"/>
      <c r="D18" s="352"/>
      <c r="E18" s="352"/>
      <c r="F18" s="352"/>
      <c r="G18" s="294"/>
      <c r="H18" s="293" t="s">
        <v>328</v>
      </c>
      <c r="I18" s="294"/>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293" t="s">
        <v>357</v>
      </c>
      <c r="C19" s="352"/>
      <c r="D19" s="352"/>
      <c r="E19" s="352"/>
      <c r="F19" s="352"/>
      <c r="G19" s="294"/>
      <c r="H19" s="350">
        <f t="shared" ref="H19:H25" si="0">IF($H$15=$AA$8,AA11,IF($H$15=$AB$8,AB11,""))</f>
        <v>120</v>
      </c>
      <c r="I19" s="351"/>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293" t="s">
        <v>359</v>
      </c>
      <c r="C20" s="352"/>
      <c r="D20" s="352"/>
      <c r="E20" s="352"/>
      <c r="F20" s="352"/>
      <c r="G20" s="294"/>
      <c r="H20" s="350">
        <f t="shared" si="0"/>
        <v>150</v>
      </c>
      <c r="I20" s="351"/>
      <c r="J20" s="247" t="s">
        <v>4</v>
      </c>
      <c r="K20" s="196"/>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293" t="s">
        <v>318</v>
      </c>
      <c r="C21" s="352"/>
      <c r="D21" s="352"/>
      <c r="E21" s="352"/>
      <c r="F21" s="352"/>
      <c r="G21" s="294"/>
      <c r="H21" s="350" t="str">
        <f t="shared" si="0"/>
        <v>12 - 36</v>
      </c>
      <c r="I21" s="351"/>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293" t="s">
        <v>319</v>
      </c>
      <c r="C22" s="352"/>
      <c r="D22" s="352"/>
      <c r="E22" s="352"/>
      <c r="F22" s="352"/>
      <c r="G22" s="294"/>
      <c r="H22" s="350">
        <f t="shared" si="0"/>
        <v>0.3</v>
      </c>
      <c r="I22" s="351"/>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293" t="s">
        <v>320</v>
      </c>
      <c r="C23" s="352"/>
      <c r="D23" s="352"/>
      <c r="E23" s="352"/>
      <c r="F23" s="352"/>
      <c r="G23" s="294"/>
      <c r="H23" s="350" t="str">
        <f t="shared" si="0"/>
        <v>2,4 - 3,0</v>
      </c>
      <c r="I23" s="351"/>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293" t="s">
        <v>330</v>
      </c>
      <c r="C24" s="352"/>
      <c r="D24" s="352"/>
      <c r="E24" s="352"/>
      <c r="F24" s="352"/>
      <c r="G24" s="294"/>
      <c r="H24" s="350" t="str">
        <f t="shared" si="0"/>
        <v>2 - 4</v>
      </c>
      <c r="I24" s="351"/>
      <c r="J24" s="266" t="s">
        <v>332</v>
      </c>
      <c r="K24" s="196"/>
      <c r="L24" s="249"/>
      <c r="M24" s="236"/>
      <c r="N24" s="236"/>
      <c r="O24" s="236"/>
      <c r="X24" s="334"/>
      <c r="Y24" s="334"/>
      <c r="Z24" s="207"/>
      <c r="AA24" s="333"/>
      <c r="AB24" s="333"/>
      <c r="AC24" s="113"/>
      <c r="AD24" s="217"/>
      <c r="AE24" s="217"/>
      <c r="AF24" s="217"/>
      <c r="AG24" s="217"/>
      <c r="AH24" s="217"/>
      <c r="AI24" s="217"/>
      <c r="AJ24" s="217"/>
      <c r="AK24" s="217"/>
    </row>
    <row r="25" spans="2:37" ht="17.100000000000001" customHeight="1" x14ac:dyDescent="0.25">
      <c r="B25" s="293" t="str">
        <f>IF($H$15=$AA$8,$X$17,IF($H$15=$AB$8,X17&amp;" (antracita)",IF($H$15="",X17&amp;" (antracita)")))</f>
        <v>Profundidad del medio</v>
      </c>
      <c r="C25" s="352"/>
      <c r="D25" s="352"/>
      <c r="E25" s="352"/>
      <c r="F25" s="352"/>
      <c r="G25" s="294"/>
      <c r="H25" s="350" t="str">
        <f t="shared" si="0"/>
        <v>0,60 - 0,75</v>
      </c>
      <c r="I25" s="351"/>
      <c r="J25" s="266" t="s">
        <v>3</v>
      </c>
      <c r="K25" s="196"/>
      <c r="L25" s="249"/>
      <c r="M25" s="236"/>
      <c r="N25" s="236"/>
      <c r="O25" s="236"/>
      <c r="X25" s="334"/>
      <c r="Y25" s="334"/>
      <c r="Z25" s="207"/>
      <c r="AA25" s="333"/>
      <c r="AB25" s="333"/>
      <c r="AC25" s="113"/>
      <c r="AD25" s="217"/>
      <c r="AE25" s="217"/>
      <c r="AF25" s="217"/>
      <c r="AG25" s="217"/>
      <c r="AH25" s="217"/>
      <c r="AI25" s="217"/>
      <c r="AJ25" s="217"/>
      <c r="AK25" s="217"/>
    </row>
    <row r="26" spans="2:37" ht="17.100000000000001" customHeight="1" x14ac:dyDescent="0.25">
      <c r="B26" s="293" t="str">
        <f>IF($H$15=$AA$8,$X$19,IF($H$15=$AB$8,X17&amp;" (arena)",IF($H$15="",X17&amp;" (arena)")))</f>
        <v>Profundidad de grava</v>
      </c>
      <c r="C26" s="352"/>
      <c r="D26" s="352"/>
      <c r="E26" s="352"/>
      <c r="F26" s="352"/>
      <c r="G26" s="294"/>
      <c r="H26" s="350" t="str">
        <f>IF($H$15=$AA$8,AA19,IF($H$15=$AB$8,AB18,""))</f>
        <v>0,30 - 0,45</v>
      </c>
      <c r="I26" s="351"/>
      <c r="J26" s="266" t="s">
        <v>3</v>
      </c>
      <c r="K26" s="196"/>
      <c r="L26" s="249"/>
      <c r="M26" s="236"/>
      <c r="N26" s="236"/>
      <c r="O26" s="236"/>
      <c r="X26" s="334"/>
      <c r="Y26" s="334"/>
      <c r="Z26" s="207"/>
      <c r="AA26" s="333"/>
      <c r="AB26" s="333"/>
      <c r="AD26" s="217"/>
      <c r="AE26" s="217"/>
      <c r="AF26" s="217"/>
      <c r="AG26" s="217"/>
      <c r="AH26" s="217"/>
      <c r="AI26" s="217"/>
      <c r="AJ26" s="217"/>
      <c r="AK26" s="217"/>
    </row>
    <row r="27" spans="2:37" ht="17.100000000000001" customHeight="1" x14ac:dyDescent="0.25">
      <c r="B27" s="293" t="str">
        <f>IF($H$15=$AA$8,"",IF($H$15=$AB$8,$X$19,IF($H$15="",$X$19)))</f>
        <v/>
      </c>
      <c r="C27" s="352"/>
      <c r="D27" s="352"/>
      <c r="E27" s="352"/>
      <c r="F27" s="352"/>
      <c r="G27" s="352"/>
      <c r="H27" s="350" t="str">
        <f>IF($H$15=$AA$8,"",IF($H$15=$AB$8,$AB$19,IF($H$15="","")))</f>
        <v/>
      </c>
      <c r="I27" s="351"/>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11" t="s">
        <v>254</v>
      </c>
      <c r="C30" s="311"/>
      <c r="D30" s="311"/>
      <c r="E30" s="311"/>
      <c r="F30" s="311"/>
      <c r="G30" s="311"/>
      <c r="H30" s="311"/>
      <c r="I30" s="247" t="s">
        <v>251</v>
      </c>
      <c r="J30" s="198">
        <v>28</v>
      </c>
      <c r="K30" s="247" t="s">
        <v>255</v>
      </c>
      <c r="L30" s="249"/>
      <c r="X30" s="207"/>
      <c r="Y30" s="181"/>
      <c r="Z30" s="207"/>
      <c r="AA30" s="207"/>
      <c r="AB30" s="207"/>
    </row>
    <row r="31" spans="2:37" ht="17.100000000000001" customHeight="1" x14ac:dyDescent="0.25">
      <c r="B31" s="311" t="str">
        <f>"Densidad del agua a "&amp;J30&amp;" °C"</f>
        <v>Densidad del agua a 28 °C</v>
      </c>
      <c r="C31" s="311"/>
      <c r="D31" s="311"/>
      <c r="E31" s="311"/>
      <c r="F31" s="311"/>
      <c r="G31" s="311"/>
      <c r="H31" s="311"/>
      <c r="I31" s="275" t="s">
        <v>250</v>
      </c>
      <c r="J31" s="199">
        <f>IF(J30="…","",ROUND(VLOOKUP(J30,X$35:AA$70,2,FALSE),9))</f>
        <v>996.31</v>
      </c>
      <c r="K31" s="247" t="s">
        <v>292</v>
      </c>
      <c r="L31" s="249"/>
      <c r="X31" s="201" t="s">
        <v>245</v>
      </c>
      <c r="Y31" s="183" t="s">
        <v>312</v>
      </c>
      <c r="Z31" s="354" t="s">
        <v>248</v>
      </c>
      <c r="AA31" s="354" t="s">
        <v>246</v>
      </c>
      <c r="AB31" s="181"/>
    </row>
    <row r="32" spans="2:37" ht="17.100000000000001" customHeight="1" x14ac:dyDescent="0.25">
      <c r="B32" s="311" t="str">
        <f>"Viscocidad dinámica del agua a "&amp;J30&amp;" °C"</f>
        <v>Viscocidad dinámica del agua a 28 °C</v>
      </c>
      <c r="C32" s="311"/>
      <c r="D32" s="311"/>
      <c r="E32" s="311"/>
      <c r="F32" s="311"/>
      <c r="G32" s="311"/>
      <c r="H32" s="311"/>
      <c r="I32" s="275" t="s">
        <v>213</v>
      </c>
      <c r="J32" s="255">
        <f>IF(J30="…","",ROUND(VLOOKUP(J30,X$35:AA$70,3,FALSE),9))</f>
        <v>8.3600000000000005E-4</v>
      </c>
      <c r="K32" s="204" t="s">
        <v>293</v>
      </c>
      <c r="L32" s="249"/>
      <c r="X32" s="184" t="s">
        <v>251</v>
      </c>
      <c r="Y32" s="184" t="s">
        <v>250</v>
      </c>
      <c r="Z32" s="355"/>
      <c r="AA32" s="355"/>
      <c r="AB32" s="181"/>
    </row>
    <row r="33" spans="2:29" ht="17.100000000000001" customHeight="1" x14ac:dyDescent="0.25">
      <c r="B33" s="440" t="str">
        <f>"Viscocidad cinemática del agua a "&amp;J30&amp;" °C"</f>
        <v>Viscocidad cinemática del agua a 28 °C</v>
      </c>
      <c r="C33" s="440"/>
      <c r="D33" s="440"/>
      <c r="E33" s="440"/>
      <c r="F33" s="440"/>
      <c r="G33" s="440"/>
      <c r="H33" s="440"/>
      <c r="I33" s="51" t="s">
        <v>2</v>
      </c>
      <c r="J33" s="255">
        <f>IF(J30="…","",ROUND(VLOOKUP(J30,X$35:AA$70,4,FALSE),9))</f>
        <v>8.3900000000000004E-7</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383" t="s">
        <v>192</v>
      </c>
      <c r="C38" s="384"/>
      <c r="D38" s="54"/>
      <c r="E38" s="248"/>
      <c r="F38" s="337" t="s">
        <v>204</v>
      </c>
      <c r="G38" s="337" t="s">
        <v>203</v>
      </c>
      <c r="H38" s="406" t="s">
        <v>210</v>
      </c>
      <c r="I38" s="407"/>
      <c r="J38" s="406" t="s">
        <v>209</v>
      </c>
      <c r="K38" s="407"/>
      <c r="L38" s="253"/>
      <c r="X38" s="165">
        <v>3</v>
      </c>
      <c r="Y38" s="158">
        <v>999.98</v>
      </c>
      <c r="Z38" s="175">
        <v>1.619E-3</v>
      </c>
      <c r="AA38" s="171">
        <f t="shared" si="1"/>
        <v>1.6190323806476128E-6</v>
      </c>
      <c r="AB38" s="157"/>
    </row>
    <row r="39" spans="2:29" ht="17.100000000000001" customHeight="1" x14ac:dyDescent="0.25">
      <c r="B39" s="385"/>
      <c r="C39" s="386"/>
      <c r="D39" s="54"/>
      <c r="E39" s="248"/>
      <c r="F39" s="338"/>
      <c r="G39" s="338"/>
      <c r="H39" s="337" t="s">
        <v>186</v>
      </c>
      <c r="I39" s="337" t="s">
        <v>207</v>
      </c>
      <c r="J39" s="337" t="s">
        <v>186</v>
      </c>
      <c r="K39" s="337" t="s">
        <v>207</v>
      </c>
      <c r="L39" s="253"/>
      <c r="X39" s="165">
        <v>4</v>
      </c>
      <c r="Y39" s="158">
        <v>1000</v>
      </c>
      <c r="Z39" s="175">
        <v>1.567E-3</v>
      </c>
      <c r="AA39" s="171">
        <f t="shared" si="1"/>
        <v>1.567E-6</v>
      </c>
      <c r="AB39" s="157"/>
    </row>
    <row r="40" spans="2:29" ht="17.100000000000001" customHeight="1" x14ac:dyDescent="0.25">
      <c r="B40" s="385"/>
      <c r="C40" s="386"/>
      <c r="D40" s="54"/>
      <c r="E40" s="248"/>
      <c r="F40" s="338"/>
      <c r="G40" s="338"/>
      <c r="H40" s="338"/>
      <c r="I40" s="338"/>
      <c r="J40" s="338"/>
      <c r="K40" s="338"/>
      <c r="L40" s="253"/>
      <c r="X40" s="165">
        <v>5</v>
      </c>
      <c r="Y40" s="158">
        <v>1000</v>
      </c>
      <c r="Z40" s="175">
        <v>1.519E-3</v>
      </c>
      <c r="AA40" s="171">
        <f t="shared" si="1"/>
        <v>1.519E-6</v>
      </c>
      <c r="AB40" s="157"/>
    </row>
    <row r="41" spans="2:29" ht="17.100000000000001" customHeight="1" x14ac:dyDescent="0.25">
      <c r="B41" s="387"/>
      <c r="C41" s="388"/>
      <c r="D41" s="54"/>
      <c r="E41" s="248"/>
      <c r="F41" s="339"/>
      <c r="G41" s="339"/>
      <c r="H41" s="339"/>
      <c r="I41" s="339"/>
      <c r="J41" s="339"/>
      <c r="K41" s="339"/>
      <c r="L41" s="253"/>
      <c r="X41" s="165">
        <v>6</v>
      </c>
      <c r="Y41" s="158">
        <v>999.99</v>
      </c>
      <c r="Z41" s="175">
        <v>1.4730000000000001E-3</v>
      </c>
      <c r="AA41" s="171">
        <f t="shared" si="1"/>
        <v>1.4730147301473016E-6</v>
      </c>
      <c r="AB41" s="157"/>
    </row>
    <row r="42" spans="2:29" ht="17.100000000000001" customHeight="1" x14ac:dyDescent="0.25">
      <c r="B42" s="350" t="s">
        <v>193</v>
      </c>
      <c r="C42" s="351"/>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50" t="s">
        <v>194</v>
      </c>
      <c r="C43" s="351"/>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50" t="s">
        <v>195</v>
      </c>
      <c r="C44" s="351"/>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50" t="s">
        <v>201</v>
      </c>
      <c r="C45" s="351"/>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50" t="s">
        <v>196</v>
      </c>
      <c r="C46" s="351"/>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50" t="s">
        <v>197</v>
      </c>
      <c r="C47" s="351"/>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50" t="s">
        <v>198</v>
      </c>
      <c r="C48" s="351"/>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50" t="s">
        <v>199</v>
      </c>
      <c r="C49" s="351"/>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50" t="s">
        <v>200</v>
      </c>
      <c r="C50" s="351"/>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21"/>
      <c r="C53" s="421"/>
      <c r="D53" s="54"/>
      <c r="E53" s="248"/>
      <c r="F53" s="403" t="s">
        <v>186</v>
      </c>
      <c r="G53" s="403" t="s">
        <v>207</v>
      </c>
      <c r="H53" s="405"/>
      <c r="I53" s="405"/>
      <c r="J53" s="405"/>
      <c r="K53" s="404" t="s">
        <v>349</v>
      </c>
      <c r="L53" s="253"/>
      <c r="X53" s="165">
        <v>18</v>
      </c>
      <c r="Y53" s="158">
        <v>998.68</v>
      </c>
      <c r="Z53" s="175">
        <v>1.0560000000000001E-3</v>
      </c>
      <c r="AA53" s="171">
        <f t="shared" si="1"/>
        <v>1.0573957624063765E-6</v>
      </c>
      <c r="AB53" s="157"/>
    </row>
    <row r="54" spans="2:30" ht="17.100000000000001" customHeight="1" x14ac:dyDescent="0.25">
      <c r="B54" s="421"/>
      <c r="C54" s="421"/>
      <c r="D54" s="54"/>
      <c r="E54" s="248"/>
      <c r="F54" s="403"/>
      <c r="G54" s="403"/>
      <c r="H54" s="405"/>
      <c r="I54" s="405"/>
      <c r="J54" s="405"/>
      <c r="K54" s="404"/>
      <c r="L54" s="253"/>
      <c r="X54" s="165">
        <v>19</v>
      </c>
      <c r="Y54" s="158">
        <v>998.49</v>
      </c>
      <c r="Z54" s="175">
        <v>1.0300000000000001E-3</v>
      </c>
      <c r="AA54" s="171">
        <f t="shared" si="1"/>
        <v>1.0315576520546026E-6</v>
      </c>
      <c r="AB54" s="157"/>
      <c r="AD54" s="172"/>
    </row>
    <row r="55" spans="2:30" ht="17.100000000000001" customHeight="1" x14ac:dyDescent="0.25">
      <c r="B55" s="421"/>
      <c r="C55" s="421"/>
      <c r="D55" s="54"/>
      <c r="E55" s="248"/>
      <c r="F55" s="403"/>
      <c r="G55" s="403"/>
      <c r="H55" s="405"/>
      <c r="I55" s="405"/>
      <c r="J55" s="405"/>
      <c r="K55" s="404"/>
      <c r="L55" s="253"/>
      <c r="X55" s="167">
        <v>20</v>
      </c>
      <c r="Y55" s="168">
        <v>998.29</v>
      </c>
      <c r="Z55" s="180">
        <v>1.005E-3</v>
      </c>
      <c r="AA55" s="171">
        <f t="shared" si="1"/>
        <v>1.0067214937543199E-6</v>
      </c>
      <c r="AB55" s="157"/>
      <c r="AD55" s="172"/>
    </row>
    <row r="56" spans="2:30" ht="17.100000000000001" customHeight="1" x14ac:dyDescent="0.25">
      <c r="B56" s="405" t="s">
        <v>350</v>
      </c>
      <c r="C56" s="405"/>
      <c r="D56" s="54"/>
      <c r="E56" s="248"/>
      <c r="F56" s="114">
        <f>INDEX(J42:J50,MATCH(10,K42:K50,1),1)</f>
        <v>0.21</v>
      </c>
      <c r="G56" s="258">
        <f>VLOOKUP(F56,J$42:K$50,2,FALSE)</f>
        <v>2.0699999999999932</v>
      </c>
      <c r="H56" s="421">
        <f>(LOG(F56)+((10-G56)/(G57-G56))*LOG(F57/F56))</f>
        <v>-0.61321454811239473</v>
      </c>
      <c r="I56" s="421"/>
      <c r="J56" s="421"/>
      <c r="K56" s="405">
        <f>10^(H56)</f>
        <v>0.2436606799987964</v>
      </c>
      <c r="L56" s="253"/>
      <c r="X56" s="165">
        <v>21</v>
      </c>
      <c r="Y56" s="158">
        <v>998.08</v>
      </c>
      <c r="Z56" s="175">
        <v>9.810000000000001E-4</v>
      </c>
      <c r="AA56" s="171">
        <f t="shared" si="1"/>
        <v>9.8288714331516507E-7</v>
      </c>
      <c r="AB56" s="157"/>
    </row>
    <row r="57" spans="2:30" ht="17.100000000000001" customHeight="1" x14ac:dyDescent="0.25">
      <c r="B57" s="405" t="s">
        <v>351</v>
      </c>
      <c r="C57" s="405"/>
      <c r="D57" s="54"/>
      <c r="E57" s="248"/>
      <c r="F57" s="114">
        <f>INDEX(H42:H50,MATCH(10,I42:I50,-1),1)</f>
        <v>0.25</v>
      </c>
      <c r="G57" s="258">
        <f>VLOOKUP(F57,J$42:K$50,2,FALSE)</f>
        <v>11.36999999999999</v>
      </c>
      <c r="H57" s="421"/>
      <c r="I57" s="421"/>
      <c r="J57" s="421"/>
      <c r="K57" s="405"/>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21"/>
      <c r="C60" s="421"/>
      <c r="D60" s="54"/>
      <c r="E60" s="248"/>
      <c r="F60" s="403" t="s">
        <v>186</v>
      </c>
      <c r="G60" s="403" t="s">
        <v>207</v>
      </c>
      <c r="H60" s="405"/>
      <c r="I60" s="405"/>
      <c r="J60" s="405"/>
      <c r="K60" s="404" t="s">
        <v>353</v>
      </c>
      <c r="L60" s="253"/>
      <c r="X60" s="165">
        <v>25</v>
      </c>
      <c r="Y60" s="158">
        <v>997.13</v>
      </c>
      <c r="Z60" s="175">
        <v>8.9370000000000009E-4</v>
      </c>
      <c r="AA60" s="171">
        <f t="shared" si="1"/>
        <v>8.9627230150532037E-7</v>
      </c>
      <c r="AB60" s="157"/>
    </row>
    <row r="61" spans="2:30" ht="17.100000000000001" customHeight="1" x14ac:dyDescent="0.25">
      <c r="B61" s="421"/>
      <c r="C61" s="421"/>
      <c r="D61" s="54"/>
      <c r="E61" s="248"/>
      <c r="F61" s="403"/>
      <c r="G61" s="403"/>
      <c r="H61" s="405"/>
      <c r="I61" s="405"/>
      <c r="J61" s="405"/>
      <c r="K61" s="404"/>
      <c r="L61" s="253"/>
      <c r="X61" s="165">
        <v>26</v>
      </c>
      <c r="Y61" s="158">
        <v>996.86</v>
      </c>
      <c r="Z61" s="175">
        <v>8.7370000000000004E-4</v>
      </c>
      <c r="AA61" s="171">
        <f t="shared" si="1"/>
        <v>8.7645205946672558E-7</v>
      </c>
      <c r="AB61" s="157"/>
    </row>
    <row r="62" spans="2:30" ht="17.100000000000001" customHeight="1" x14ac:dyDescent="0.25">
      <c r="B62" s="421"/>
      <c r="C62" s="421"/>
      <c r="D62" s="54"/>
      <c r="E62" s="248"/>
      <c r="F62" s="403"/>
      <c r="G62" s="403"/>
      <c r="H62" s="405"/>
      <c r="I62" s="405"/>
      <c r="J62" s="405"/>
      <c r="K62" s="404"/>
      <c r="L62" s="253"/>
      <c r="X62" s="165">
        <v>27</v>
      </c>
      <c r="Y62" s="158">
        <v>996.59</v>
      </c>
      <c r="Z62" s="175">
        <v>8.5450000000000001E-4</v>
      </c>
      <c r="AA62" s="171">
        <f t="shared" si="1"/>
        <v>8.5742381520986557E-7</v>
      </c>
      <c r="AB62" s="157"/>
    </row>
    <row r="63" spans="2:30" ht="17.100000000000001" customHeight="1" x14ac:dyDescent="0.25">
      <c r="B63" s="405" t="s">
        <v>350</v>
      </c>
      <c r="C63" s="405"/>
      <c r="D63" s="54"/>
      <c r="E63" s="248"/>
      <c r="F63" s="114">
        <f>INDEX(J42:J50,MATCH(60,K42:K50,1),1)</f>
        <v>0.4</v>
      </c>
      <c r="G63" s="258">
        <f>VLOOKUP(F63,J$42:K$50,2,FALSE)</f>
        <v>45.269999999999996</v>
      </c>
      <c r="H63" s="421">
        <f>(LOG(F63)+((60-G63)/(G64-G63))*LOG(F64/F63))</f>
        <v>-0.31867934839393264</v>
      </c>
      <c r="I63" s="421"/>
      <c r="J63" s="421"/>
      <c r="K63" s="405">
        <f>10^(H63)</f>
        <v>0.48008777987655482</v>
      </c>
      <c r="L63" s="253"/>
      <c r="X63" s="165">
        <v>28</v>
      </c>
      <c r="Y63" s="158">
        <v>996.31</v>
      </c>
      <c r="Z63" s="175">
        <v>8.3599999999999994E-4</v>
      </c>
      <c r="AA63" s="171">
        <f t="shared" si="1"/>
        <v>8.3909626521865684E-7</v>
      </c>
      <c r="AB63" s="157"/>
    </row>
    <row r="64" spans="2:30" ht="17.100000000000001" customHeight="1" x14ac:dyDescent="0.25">
      <c r="B64" s="405" t="s">
        <v>351</v>
      </c>
      <c r="C64" s="405"/>
      <c r="D64" s="54"/>
      <c r="E64" s="248"/>
      <c r="F64" s="114">
        <f>INDEX(H42:H50,MATCH(60,I42:I50,-1),1)</f>
        <v>0.5</v>
      </c>
      <c r="G64" s="258">
        <f>VLOOKUP(F64,J$42:K$50,2,FALSE)</f>
        <v>63.28</v>
      </c>
      <c r="H64" s="421"/>
      <c r="I64" s="421"/>
      <c r="J64" s="421"/>
      <c r="K64" s="405"/>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383" t="s">
        <v>354</v>
      </c>
      <c r="C67" s="384"/>
      <c r="D67" s="54"/>
      <c r="E67" s="248"/>
      <c r="F67" s="383" t="s">
        <v>353</v>
      </c>
      <c r="G67" s="436" t="s">
        <v>211</v>
      </c>
      <c r="H67" s="436"/>
      <c r="I67" s="249"/>
      <c r="J67" s="249"/>
      <c r="K67" s="135"/>
      <c r="L67" s="253"/>
      <c r="X67" s="165">
        <v>32</v>
      </c>
      <c r="Y67" s="158">
        <v>995.09</v>
      </c>
      <c r="Z67" s="175">
        <v>7.6790000000000007E-4</v>
      </c>
      <c r="AA67" s="171">
        <f t="shared" si="1"/>
        <v>7.7168899295541107E-7</v>
      </c>
      <c r="AB67" s="157"/>
    </row>
    <row r="68" spans="2:28" ht="17.100000000000001" customHeight="1" x14ac:dyDescent="0.25">
      <c r="B68" s="385"/>
      <c r="C68" s="386"/>
      <c r="D68" s="54"/>
      <c r="E68" s="248"/>
      <c r="F68" s="385"/>
      <c r="G68" s="436"/>
      <c r="H68" s="436"/>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387"/>
      <c r="C69" s="388"/>
      <c r="D69" s="54"/>
      <c r="E69" s="248"/>
      <c r="F69" s="387"/>
      <c r="G69" s="436"/>
      <c r="H69" s="436"/>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05">
        <f>K56</f>
        <v>0.2436606799987964</v>
      </c>
      <c r="C70" s="405"/>
      <c r="D70" s="54"/>
      <c r="E70" s="248"/>
      <c r="F70" s="114">
        <f>K63</f>
        <v>0.48008777987655482</v>
      </c>
      <c r="G70" s="437">
        <f>F70/B70</f>
        <v>1.9703128952891631</v>
      </c>
      <c r="H70" s="437"/>
      <c r="I70" s="249"/>
      <c r="J70" s="249"/>
      <c r="K70" s="135"/>
      <c r="L70" s="253"/>
      <c r="W70" s="113"/>
      <c r="X70" s="165">
        <v>35</v>
      </c>
      <c r="Y70" s="158">
        <v>994.08</v>
      </c>
      <c r="Z70" s="175">
        <v>7.2250000000000005E-4</v>
      </c>
      <c r="AA70" s="171">
        <f t="shared" si="1"/>
        <v>7.2680267181715759E-7</v>
      </c>
      <c r="AB70" s="157"/>
    </row>
    <row r="71" spans="2:28" ht="17.100000000000001" customHeight="1" x14ac:dyDescent="0.25">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389" t="s">
        <v>358</v>
      </c>
      <c r="C73" s="390"/>
      <c r="D73" s="390"/>
      <c r="E73" s="390"/>
      <c r="F73" s="390"/>
      <c r="G73" s="390"/>
      <c r="H73" s="391"/>
      <c r="I73" s="206" t="s">
        <v>181</v>
      </c>
      <c r="J73" s="205">
        <f>H20/24</f>
        <v>6.25</v>
      </c>
      <c r="K73" s="56" t="s">
        <v>228</v>
      </c>
      <c r="L73" s="82"/>
      <c r="W73" s="113"/>
      <c r="X73" s="113"/>
      <c r="Y73" s="113"/>
      <c r="Z73" s="113"/>
      <c r="AA73" s="113"/>
    </row>
    <row r="74" spans="2:28" ht="17.100000000000001" customHeight="1" x14ac:dyDescent="0.25">
      <c r="B74" s="389" t="s">
        <v>287</v>
      </c>
      <c r="C74" s="390"/>
      <c r="D74" s="390"/>
      <c r="E74" s="390"/>
      <c r="F74" s="390"/>
      <c r="G74" s="390"/>
      <c r="H74" s="391"/>
      <c r="I74" s="251" t="s">
        <v>88</v>
      </c>
      <c r="J74" s="205">
        <v>0.6</v>
      </c>
      <c r="K74" s="56" t="s">
        <v>3</v>
      </c>
      <c r="L74" s="82"/>
      <c r="W74" s="113"/>
      <c r="X74" s="113"/>
      <c r="Y74" s="113"/>
      <c r="Z74" s="113"/>
      <c r="AA74" s="113"/>
    </row>
    <row r="75" spans="2:28" ht="17.100000000000001" customHeight="1" x14ac:dyDescent="0.25">
      <c r="B75" s="389" t="s">
        <v>283</v>
      </c>
      <c r="C75" s="390"/>
      <c r="D75" s="390"/>
      <c r="E75" s="390"/>
      <c r="F75" s="390"/>
      <c r="G75" s="390"/>
      <c r="H75" s="391"/>
      <c r="I75" s="251" t="s">
        <v>284</v>
      </c>
      <c r="J75" s="111">
        <v>2.65</v>
      </c>
      <c r="K75" s="56"/>
      <c r="L75" s="82"/>
      <c r="W75" s="113"/>
      <c r="X75" s="113"/>
      <c r="Y75" s="113"/>
      <c r="Z75" s="113"/>
      <c r="AA75" s="113"/>
    </row>
    <row r="76" spans="2:28" ht="17.100000000000001" customHeight="1" x14ac:dyDescent="0.25">
      <c r="B76" s="389" t="s">
        <v>231</v>
      </c>
      <c r="C76" s="390"/>
      <c r="D76" s="390"/>
      <c r="E76" s="390"/>
      <c r="F76" s="390"/>
      <c r="G76" s="390"/>
      <c r="H76" s="391"/>
      <c r="I76" s="251" t="s">
        <v>240</v>
      </c>
      <c r="J76" s="232">
        <v>0.45</v>
      </c>
      <c r="K76" s="203"/>
      <c r="L76" s="152"/>
      <c r="W76" s="113"/>
      <c r="X76" s="113"/>
      <c r="Y76" s="113"/>
      <c r="Z76" s="113"/>
      <c r="AA76" s="113"/>
    </row>
    <row r="77" spans="2:28" ht="17.100000000000001" customHeight="1" x14ac:dyDescent="0.25">
      <c r="B77" s="389" t="s">
        <v>190</v>
      </c>
      <c r="C77" s="390"/>
      <c r="D77" s="390"/>
      <c r="E77" s="390"/>
      <c r="F77" s="390"/>
      <c r="G77" s="390"/>
      <c r="H77" s="391"/>
      <c r="I77" s="251" t="s">
        <v>191</v>
      </c>
      <c r="J77" s="232">
        <v>5</v>
      </c>
      <c r="K77" s="203"/>
      <c r="L77" s="152"/>
      <c r="W77" s="113"/>
      <c r="X77" s="113"/>
      <c r="Y77" s="113"/>
      <c r="Z77" s="113"/>
      <c r="AA77" s="113"/>
    </row>
    <row r="78" spans="2:28" ht="17.100000000000001" customHeight="1" x14ac:dyDescent="0.25">
      <c r="B78" s="389" t="s">
        <v>229</v>
      </c>
      <c r="C78" s="390"/>
      <c r="D78" s="390"/>
      <c r="E78" s="390"/>
      <c r="F78" s="390"/>
      <c r="G78" s="390"/>
      <c r="H78" s="391"/>
      <c r="I78" s="252" t="s">
        <v>189</v>
      </c>
      <c r="J78" s="232">
        <v>0.85</v>
      </c>
      <c r="K78" s="203"/>
      <c r="L78" s="152"/>
      <c r="W78" s="113"/>
      <c r="X78" s="113"/>
      <c r="Y78" s="113"/>
      <c r="Z78" s="113"/>
      <c r="AA78" s="113"/>
    </row>
    <row r="79" spans="2:28" ht="17.100000000000001" customHeight="1" x14ac:dyDescent="0.25">
      <c r="B79" s="389" t="s">
        <v>230</v>
      </c>
      <c r="C79" s="390"/>
      <c r="D79" s="390"/>
      <c r="E79" s="390"/>
      <c r="F79" s="390"/>
      <c r="G79" s="390"/>
      <c r="H79" s="391"/>
      <c r="I79" s="252" t="s">
        <v>189</v>
      </c>
      <c r="J79" s="232">
        <v>0.85</v>
      </c>
      <c r="K79" s="203"/>
      <c r="L79" s="152"/>
      <c r="W79" s="113"/>
      <c r="X79" s="113"/>
      <c r="Y79" s="113"/>
      <c r="Z79" s="113"/>
      <c r="AA79" s="113"/>
    </row>
    <row r="80" spans="2:28" ht="17.100000000000001" customHeight="1" x14ac:dyDescent="0.25">
      <c r="B80" s="389" t="s">
        <v>237</v>
      </c>
      <c r="C80" s="390"/>
      <c r="D80" s="390"/>
      <c r="E80" s="390"/>
      <c r="F80" s="390"/>
      <c r="G80" s="390"/>
      <c r="H80" s="391"/>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383" t="s">
        <v>192</v>
      </c>
      <c r="C84" s="384"/>
      <c r="D84" s="403"/>
      <c r="E84" s="337"/>
      <c r="F84" s="337" t="s">
        <v>204</v>
      </c>
      <c r="G84" s="337" t="s">
        <v>205</v>
      </c>
      <c r="H84" s="337" t="s">
        <v>206</v>
      </c>
      <c r="I84" s="424" t="s">
        <v>208</v>
      </c>
      <c r="J84" s="441" t="s">
        <v>182</v>
      </c>
      <c r="K84" s="442"/>
      <c r="L84" s="442"/>
      <c r="M84" s="443"/>
      <c r="N84" s="417" t="s">
        <v>183</v>
      </c>
      <c r="O84" s="418"/>
      <c r="P84" s="418"/>
      <c r="Q84" s="418"/>
      <c r="R84" s="419"/>
      <c r="S84" s="343" t="s">
        <v>184</v>
      </c>
      <c r="T84" s="343"/>
      <c r="U84" s="343"/>
      <c r="V84" s="343"/>
      <c r="W84" s="112"/>
      <c r="X84" s="337" t="s">
        <v>185</v>
      </c>
      <c r="Y84" s="337" t="s">
        <v>186</v>
      </c>
      <c r="Z84" s="109"/>
    </row>
    <row r="85" spans="1:39" ht="17.100000000000001" customHeight="1" x14ac:dyDescent="0.25">
      <c r="B85" s="385"/>
      <c r="C85" s="386"/>
      <c r="D85" s="403"/>
      <c r="E85" s="339"/>
      <c r="F85" s="338"/>
      <c r="G85" s="338"/>
      <c r="H85" s="338"/>
      <c r="I85" s="425"/>
      <c r="J85" s="347" t="s">
        <v>187</v>
      </c>
      <c r="K85" s="408"/>
      <c r="L85" s="414"/>
      <c r="M85" s="409"/>
      <c r="N85" s="420"/>
      <c r="O85" s="408"/>
      <c r="P85" s="409"/>
      <c r="Q85" s="347" t="s">
        <v>188</v>
      </c>
      <c r="R85" s="344"/>
      <c r="S85" s="344"/>
      <c r="T85" s="344"/>
      <c r="U85" s="347" t="s">
        <v>188</v>
      </c>
      <c r="V85" s="344"/>
      <c r="X85" s="338"/>
      <c r="Y85" s="338"/>
    </row>
    <row r="86" spans="1:39" ht="17.100000000000001" customHeight="1" x14ac:dyDescent="0.25">
      <c r="B86" s="385"/>
      <c r="C86" s="386"/>
      <c r="D86" s="123"/>
      <c r="E86" s="124"/>
      <c r="F86" s="338"/>
      <c r="G86" s="338"/>
      <c r="H86" s="338"/>
      <c r="I86" s="425"/>
      <c r="J86" s="348"/>
      <c r="K86" s="410"/>
      <c r="L86" s="415"/>
      <c r="M86" s="411"/>
      <c r="N86" s="420"/>
      <c r="O86" s="410"/>
      <c r="P86" s="411"/>
      <c r="Q86" s="348"/>
      <c r="R86" s="345"/>
      <c r="S86" s="345"/>
      <c r="T86" s="345"/>
      <c r="U86" s="348"/>
      <c r="V86" s="345"/>
      <c r="X86" s="338"/>
      <c r="Y86" s="338"/>
    </row>
    <row r="87" spans="1:39" ht="17.100000000000001" customHeight="1" x14ac:dyDescent="0.25">
      <c r="B87" s="387"/>
      <c r="C87" s="388"/>
      <c r="D87" s="123"/>
      <c r="E87" s="124"/>
      <c r="F87" s="339"/>
      <c r="G87" s="339"/>
      <c r="H87" s="339"/>
      <c r="I87" s="426"/>
      <c r="J87" s="349"/>
      <c r="K87" s="412"/>
      <c r="L87" s="416"/>
      <c r="M87" s="413"/>
      <c r="N87" s="420"/>
      <c r="O87" s="412"/>
      <c r="P87" s="413"/>
      <c r="Q87" s="349"/>
      <c r="R87" s="346"/>
      <c r="S87" s="346"/>
      <c r="T87" s="346"/>
      <c r="U87" s="349"/>
      <c r="V87" s="346"/>
      <c r="X87" s="339"/>
      <c r="Y87" s="339"/>
    </row>
    <row r="88" spans="1:39" ht="17.100000000000001" customHeight="1" x14ac:dyDescent="0.25">
      <c r="B88" s="350" t="str">
        <f t="shared" ref="B88:B96" si="6">B42</f>
        <v>14-20</v>
      </c>
      <c r="C88" s="351"/>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27" t="str">
        <f>ROUND((J77*J33*((1-J76)^2)/(J76^3)*(J74*(J73/3600))/9.806*((6/J78)^2)*J97),4)&amp;" m"</f>
        <v>0,5876 m</v>
      </c>
      <c r="L88" s="428"/>
      <c r="M88" s="429"/>
      <c r="N88" s="103">
        <f t="shared" ref="N88:N96" si="11">$J$79*(I88/1000)*($J$73/3600)/$J$33</f>
        <v>1.9153230520524316</v>
      </c>
      <c r="O88" s="381">
        <f>150*(1-$J$76)/N88+1.75</f>
        <v>44.823673609052129</v>
      </c>
      <c r="P88" s="382"/>
      <c r="Q88" s="116">
        <f t="shared" ref="Q88:Q96" si="12">O88*(F88/100)/(I88/1000)</f>
        <v>329.29859660284723</v>
      </c>
      <c r="R88" s="335" t="str">
        <f>ROUND((1/J79*(1-J76)/(J76^3)*J74*((J73/3600)^2)/9.806*Q97),4)&amp; " m"</f>
        <v>0,4957 m</v>
      </c>
      <c r="S88" s="117">
        <f t="shared" ref="S88:S96" si="13">(I88/1000)*($J$73/3600)/$J$33</f>
        <v>2.253321237708743</v>
      </c>
      <c r="T88" s="118">
        <f>24/S88+3/(S88^(1/2))+0.34</f>
        <v>12.989470273475625</v>
      </c>
      <c r="U88" s="116">
        <f t="shared" ref="U88:U96" si="14">T88*(F88/100)/(I88/1000)</f>
        <v>95.427571800052164</v>
      </c>
      <c r="V88" s="335" t="str">
        <f>ROUND((0.178*((J73/3600)^2)*J74*1/(9.806*(J76^4))*J80*U97),4)&amp;" m"</f>
        <v>0,51 m</v>
      </c>
      <c r="X88" s="46">
        <v>140</v>
      </c>
      <c r="Y88" s="114">
        <v>0.105</v>
      </c>
      <c r="Z88" s="119"/>
      <c r="AL88" s="155"/>
      <c r="AM88" s="155"/>
    </row>
    <row r="89" spans="1:39" ht="17.100000000000001" customHeight="1" x14ac:dyDescent="0.25">
      <c r="B89" s="350" t="str">
        <f t="shared" si="6"/>
        <v>20-25</v>
      </c>
      <c r="C89" s="351"/>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30"/>
      <c r="L89" s="431"/>
      <c r="M89" s="432"/>
      <c r="N89" s="103">
        <f t="shared" si="11"/>
        <v>1.3562576044464323</v>
      </c>
      <c r="O89" s="381">
        <f t="shared" ref="O89:O96" si="18">150*(1-$J$76)/N89+1.75</f>
        <v>62.57915202062447</v>
      </c>
      <c r="P89" s="382"/>
      <c r="Q89" s="116">
        <f t="shared" si="12"/>
        <v>3449.1406077808301</v>
      </c>
      <c r="R89" s="335"/>
      <c r="S89" s="117">
        <f t="shared" si="13"/>
        <v>1.5955971817016852</v>
      </c>
      <c r="T89" s="118">
        <f t="shared" ref="T89:T96" si="19">24/S89+3/(S89^(1/2))+0.34</f>
        <v>17.756368500713286</v>
      </c>
      <c r="U89" s="116">
        <f t="shared" si="14"/>
        <v>978.66796952355799</v>
      </c>
      <c r="V89" s="335"/>
      <c r="X89" s="46">
        <v>100</v>
      </c>
      <c r="Y89" s="114">
        <v>0.14899999999999999</v>
      </c>
      <c r="Z89" s="120"/>
      <c r="AL89" s="155"/>
      <c r="AM89" s="155"/>
    </row>
    <row r="90" spans="1:39" ht="17.100000000000001" customHeight="1" x14ac:dyDescent="0.25">
      <c r="B90" s="350" t="str">
        <f t="shared" si="6"/>
        <v>25-30</v>
      </c>
      <c r="C90" s="351"/>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30"/>
      <c r="L90" s="431"/>
      <c r="M90" s="432"/>
      <c r="N90" s="103">
        <f t="shared" si="11"/>
        <v>1.1407820295349305</v>
      </c>
      <c r="O90" s="381">
        <f t="shared" si="18"/>
        <v>74.068811012155649</v>
      </c>
      <c r="P90" s="382"/>
      <c r="Q90" s="116">
        <f t="shared" si="12"/>
        <v>17152.882637154089</v>
      </c>
      <c r="R90" s="335"/>
      <c r="S90" s="117">
        <f t="shared" si="13"/>
        <v>1.3420965053352123</v>
      </c>
      <c r="T90" s="118">
        <f t="shared" si="19"/>
        <v>20.81204992859961</v>
      </c>
      <c r="U90" s="116">
        <f t="shared" si="14"/>
        <v>4819.662216601183</v>
      </c>
      <c r="V90" s="335"/>
      <c r="X90" s="46">
        <v>80</v>
      </c>
      <c r="Y90" s="114">
        <v>0.17699999999999999</v>
      </c>
      <c r="Z90" s="120"/>
      <c r="AL90" s="155"/>
      <c r="AM90" s="155"/>
    </row>
    <row r="91" spans="1:39" ht="17.100000000000001" customHeight="1" x14ac:dyDescent="0.25">
      <c r="B91" s="350" t="str">
        <f t="shared" si="6"/>
        <v>30-35</v>
      </c>
      <c r="C91" s="351"/>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30"/>
      <c r="L91" s="431"/>
      <c r="M91" s="432"/>
      <c r="N91" s="103">
        <f t="shared" si="11"/>
        <v>0.95935195849891119</v>
      </c>
      <c r="O91" s="381">
        <f t="shared" si="18"/>
        <v>87.745550714345711</v>
      </c>
      <c r="P91" s="382"/>
      <c r="Q91" s="116">
        <f t="shared" si="12"/>
        <v>26785.259415430879</v>
      </c>
      <c r="R91" s="335"/>
      <c r="S91" s="117">
        <f t="shared" si="13"/>
        <v>1.1286493629398955</v>
      </c>
      <c r="T91" s="118">
        <f t="shared" si="19"/>
        <v>24.42820507767318</v>
      </c>
      <c r="U91" s="116">
        <f t="shared" si="14"/>
        <v>7456.9685269733736</v>
      </c>
      <c r="V91" s="335"/>
      <c r="X91" s="46">
        <v>70</v>
      </c>
      <c r="Y91" s="114">
        <v>0.21</v>
      </c>
      <c r="Z91" s="120"/>
      <c r="AE91" s="141"/>
      <c r="AF91" s="141"/>
    </row>
    <row r="92" spans="1:39" ht="17.100000000000001" customHeight="1" x14ac:dyDescent="0.25">
      <c r="B92" s="350" t="str">
        <f t="shared" si="6"/>
        <v>35-40</v>
      </c>
      <c r="C92" s="351"/>
      <c r="D92" s="128">
        <f t="shared" si="15"/>
        <v>35</v>
      </c>
      <c r="E92" s="54">
        <f t="shared" si="16"/>
        <v>40</v>
      </c>
      <c r="F92" s="54">
        <f t="shared" si="7"/>
        <v>18.010000000000002</v>
      </c>
      <c r="G92" s="114">
        <f t="shared" si="8"/>
        <v>0.5</v>
      </c>
      <c r="H92" s="114">
        <f t="shared" si="17"/>
        <v>0.4</v>
      </c>
      <c r="I92" s="129">
        <f t="shared" si="9"/>
        <v>0.44721359549995793</v>
      </c>
      <c r="J92" s="115">
        <f t="shared" si="10"/>
        <v>900500</v>
      </c>
      <c r="K92" s="430"/>
      <c r="L92" s="431"/>
      <c r="M92" s="432"/>
      <c r="N92" s="103">
        <f t="shared" si="11"/>
        <v>0.78659191699560538</v>
      </c>
      <c r="O92" s="381">
        <f t="shared" si="18"/>
        <v>106.63284740467391</v>
      </c>
      <c r="P92" s="382"/>
      <c r="Q92" s="116">
        <f t="shared" si="12"/>
        <v>42942.737007161442</v>
      </c>
      <c r="R92" s="335"/>
      <c r="S92" s="117">
        <f t="shared" si="13"/>
        <v>0.92540225528894748</v>
      </c>
      <c r="T92" s="118">
        <f t="shared" si="19"/>
        <v>29.393241177119567</v>
      </c>
      <c r="U92" s="116">
        <f t="shared" si="14"/>
        <v>11837.123891730462</v>
      </c>
      <c r="V92" s="335"/>
      <c r="X92" s="46">
        <v>60</v>
      </c>
      <c r="Y92" s="114">
        <v>0.25</v>
      </c>
      <c r="Z92" s="120"/>
      <c r="AB92" s="154"/>
      <c r="AE92" s="141"/>
      <c r="AF92" s="141"/>
    </row>
    <row r="93" spans="1:39" ht="17.100000000000001" customHeight="1" x14ac:dyDescent="0.25">
      <c r="B93" s="350" t="str">
        <f t="shared" si="6"/>
        <v>40-50</v>
      </c>
      <c r="C93" s="351"/>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30"/>
      <c r="L93" s="431"/>
      <c r="M93" s="432"/>
      <c r="N93" s="103">
        <f t="shared" si="11"/>
        <v>0.60623736709839648</v>
      </c>
      <c r="O93" s="381">
        <f t="shared" si="18"/>
        <v>137.83530994198793</v>
      </c>
      <c r="P93" s="382"/>
      <c r="Q93" s="116">
        <f t="shared" si="12"/>
        <v>72981.89497382789</v>
      </c>
      <c r="R93" s="335"/>
      <c r="S93" s="117">
        <f t="shared" si="13"/>
        <v>0.71322043188046635</v>
      </c>
      <c r="T93" s="118">
        <f t="shared" si="19"/>
        <v>37.54248352960105</v>
      </c>
      <c r="U93" s="116">
        <f t="shared" si="14"/>
        <v>19878.227075247876</v>
      </c>
      <c r="V93" s="335"/>
      <c r="W93" s="121"/>
      <c r="X93" s="46">
        <v>50</v>
      </c>
      <c r="Y93" s="114">
        <v>0.29699999999999999</v>
      </c>
      <c r="Z93" s="120"/>
      <c r="AA93" s="154"/>
      <c r="AE93" s="141"/>
      <c r="AF93" s="141"/>
    </row>
    <row r="94" spans="1:39" ht="17.100000000000001" customHeight="1" x14ac:dyDescent="0.25">
      <c r="B94" s="350" t="str">
        <f t="shared" si="6"/>
        <v>50-60</v>
      </c>
      <c r="C94" s="351"/>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30"/>
      <c r="L94" s="431"/>
      <c r="M94" s="432"/>
      <c r="N94" s="103">
        <f t="shared" si="11"/>
        <v>0.47927272068363896</v>
      </c>
      <c r="O94" s="381">
        <f t="shared" si="18"/>
        <v>173.88581420265533</v>
      </c>
      <c r="P94" s="382"/>
      <c r="Q94" s="116">
        <f t="shared" si="12"/>
        <v>99868.899935285823</v>
      </c>
      <c r="R94" s="335"/>
      <c r="S94" s="117">
        <f t="shared" si="13"/>
        <v>0.56385025962781055</v>
      </c>
      <c r="T94" s="118">
        <f t="shared" si="19"/>
        <v>46.899699942150768</v>
      </c>
      <c r="U94" s="116">
        <f t="shared" si="14"/>
        <v>26936.190637488246</v>
      </c>
      <c r="V94" s="335"/>
      <c r="W94" s="121"/>
      <c r="X94" s="46">
        <v>45</v>
      </c>
      <c r="Y94" s="114">
        <v>0.35399999999999998</v>
      </c>
      <c r="Z94" s="120"/>
      <c r="AE94" s="141"/>
      <c r="AF94" s="141"/>
    </row>
    <row r="95" spans="1:39" ht="17.100000000000001" customHeight="1" x14ac:dyDescent="0.25">
      <c r="B95" s="350" t="str">
        <f t="shared" si="6"/>
        <v>60-70</v>
      </c>
      <c r="C95" s="351"/>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30"/>
      <c r="L95" s="431"/>
      <c r="M95" s="432"/>
      <c r="N95" s="103">
        <f t="shared" si="11"/>
        <v>0.40300843231778738</v>
      </c>
      <c r="O95" s="381">
        <f t="shared" si="18"/>
        <v>206.46035686654227</v>
      </c>
      <c r="P95" s="382"/>
      <c r="Q95" s="116">
        <f t="shared" si="12"/>
        <v>83799.218896583712</v>
      </c>
      <c r="R95" s="335"/>
      <c r="S95" s="117">
        <f t="shared" si="13"/>
        <v>0.47412756743269102</v>
      </c>
      <c r="T95" s="118">
        <f t="shared" si="19"/>
        <v>55.316148706042839</v>
      </c>
      <c r="U95" s="116">
        <f t="shared" si="14"/>
        <v>22452.010275900346</v>
      </c>
      <c r="V95" s="335"/>
      <c r="W95" s="121"/>
      <c r="X95" s="46">
        <v>40</v>
      </c>
      <c r="Y95" s="114">
        <v>0.4</v>
      </c>
      <c r="Z95" s="120"/>
      <c r="AE95" s="141"/>
      <c r="AF95" s="141"/>
    </row>
    <row r="96" spans="1:39" ht="17.100000000000001" customHeight="1" x14ac:dyDescent="0.25">
      <c r="B96" s="350" t="str">
        <f t="shared" si="6"/>
        <v>70-100</v>
      </c>
      <c r="C96" s="351"/>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33"/>
      <c r="L96" s="434"/>
      <c r="M96" s="435"/>
      <c r="N96" s="103">
        <f t="shared" si="11"/>
        <v>0.31112668597448756</v>
      </c>
      <c r="O96" s="381">
        <f t="shared" si="18"/>
        <v>266.91529670735162</v>
      </c>
      <c r="P96" s="382"/>
      <c r="Q96" s="116">
        <f t="shared" si="12"/>
        <v>31234.965275027596</v>
      </c>
      <c r="R96" s="335"/>
      <c r="S96" s="117">
        <f t="shared" si="13"/>
        <v>0.366031395264103</v>
      </c>
      <c r="T96" s="118">
        <f t="shared" si="19"/>
        <v>70.86678046190849</v>
      </c>
      <c r="U96" s="116">
        <f t="shared" si="14"/>
        <v>8292.9732922262647</v>
      </c>
      <c r="V96" s="335"/>
      <c r="W96" s="121"/>
      <c r="X96" s="46">
        <v>35</v>
      </c>
      <c r="Y96" s="114">
        <v>0.5</v>
      </c>
      <c r="Z96" s="120"/>
      <c r="AE96" s="141"/>
      <c r="AF96" s="141"/>
    </row>
    <row r="97" spans="2:26" ht="17.100000000000001" customHeight="1" x14ac:dyDescent="0.25">
      <c r="B97" s="5"/>
      <c r="C97" s="5"/>
      <c r="D97" s="126"/>
      <c r="E97" s="83"/>
      <c r="F97" s="127">
        <f>SUM(F88:F96)</f>
        <v>100</v>
      </c>
      <c r="G97" s="127"/>
      <c r="H97" s="5"/>
      <c r="I97" s="121"/>
      <c r="J97" s="439">
        <f>SUM(J88:J96)</f>
        <v>7972363.3844351405</v>
      </c>
      <c r="K97" s="121"/>
      <c r="L97" s="121"/>
      <c r="M97" s="121"/>
      <c r="N97" s="121"/>
      <c r="O97" s="121"/>
      <c r="P97" s="121"/>
      <c r="Q97" s="336">
        <f>SUM(Q88:Q96)</f>
        <v>378544.29734485515</v>
      </c>
      <c r="R97" s="121"/>
      <c r="S97" s="121"/>
      <c r="T97" s="121"/>
      <c r="U97" s="340">
        <f>SUM(U88:U96)</f>
        <v>102747.25145749135</v>
      </c>
      <c r="V97" s="121"/>
      <c r="W97" s="121"/>
      <c r="X97" s="46">
        <v>30</v>
      </c>
      <c r="Y97" s="114">
        <v>0.59499999999999997</v>
      </c>
      <c r="Z97" s="120"/>
    </row>
    <row r="98" spans="2:26" ht="17.100000000000001" customHeight="1" x14ac:dyDescent="0.25">
      <c r="B98" s="5"/>
      <c r="C98" s="5"/>
      <c r="D98" s="5"/>
      <c r="E98" s="5"/>
      <c r="F98" s="5"/>
      <c r="G98" s="5"/>
      <c r="H98" s="5"/>
      <c r="I98" s="121"/>
      <c r="J98" s="336"/>
      <c r="K98" s="121"/>
      <c r="L98" s="121"/>
      <c r="M98" s="121"/>
      <c r="N98" s="121"/>
      <c r="O98" s="121"/>
      <c r="P98" s="121"/>
      <c r="Q98" s="336"/>
      <c r="R98" s="121"/>
      <c r="S98" s="121"/>
      <c r="T98" s="121"/>
      <c r="U98" s="341"/>
      <c r="V98" s="121"/>
      <c r="W98" s="121"/>
      <c r="X98" s="46">
        <v>25</v>
      </c>
      <c r="Y98" s="114">
        <v>0.70699999999999996</v>
      </c>
      <c r="Z98" s="120"/>
    </row>
    <row r="99" spans="2:26" ht="17.100000000000001" customHeight="1" x14ac:dyDescent="0.25">
      <c r="B99" s="122"/>
      <c r="C99" s="122"/>
      <c r="D99" s="125"/>
      <c r="E99" s="122"/>
      <c r="F99" s="122"/>
      <c r="G99" s="122"/>
      <c r="H99" s="122"/>
      <c r="I99" s="121"/>
      <c r="J99" s="336"/>
      <c r="K99" s="6"/>
      <c r="L99" s="6"/>
      <c r="M99" s="6">
        <v>0.56200000000000006</v>
      </c>
      <c r="N99" s="121"/>
      <c r="O99" s="121"/>
      <c r="P99" s="121"/>
      <c r="Q99" s="336"/>
      <c r="R99" s="6">
        <v>0.47220000000000001</v>
      </c>
      <c r="S99" s="121"/>
      <c r="T99" s="121"/>
      <c r="U99" s="342"/>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392" t="s">
        <v>224</v>
      </c>
      <c r="C102" s="393"/>
      <c r="D102" s="145"/>
      <c r="E102" s="186"/>
      <c r="F102" s="354" t="s">
        <v>222</v>
      </c>
      <c r="G102" s="354" t="s">
        <v>223</v>
      </c>
      <c r="H102" s="354"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394"/>
      <c r="C103" s="395"/>
      <c r="D103" s="145"/>
      <c r="E103" s="186"/>
      <c r="F103" s="355"/>
      <c r="G103" s="355"/>
      <c r="H103" s="355"/>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394"/>
      <c r="C104" s="395"/>
      <c r="D104" s="145"/>
      <c r="E104" s="186"/>
      <c r="F104" s="355"/>
      <c r="G104" s="355"/>
      <c r="H104" s="355"/>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396"/>
      <c r="C105" s="397"/>
      <c r="D105" s="145"/>
      <c r="E105" s="186"/>
      <c r="F105" s="398"/>
      <c r="G105" s="398"/>
      <c r="H105" s="398"/>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399">
        <v>1</v>
      </c>
      <c r="C106" s="400"/>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399">
        <v>2</v>
      </c>
      <c r="C107" s="400"/>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399">
        <v>3</v>
      </c>
      <c r="C108" s="400"/>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399">
        <v>4</v>
      </c>
      <c r="C109" s="400"/>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399">
        <v>5</v>
      </c>
      <c r="C110" s="400"/>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11" t="s">
        <v>180</v>
      </c>
      <c r="C113" s="311"/>
      <c r="D113" s="311"/>
      <c r="E113" s="311"/>
      <c r="F113" s="311"/>
      <c r="G113" s="311"/>
      <c r="H113" s="311"/>
      <c r="I113" s="206" t="s">
        <v>212</v>
      </c>
      <c r="J113" s="208">
        <f>H20</f>
        <v>150</v>
      </c>
      <c r="K113" s="56" t="s">
        <v>364</v>
      </c>
      <c r="L113" s="357"/>
      <c r="M113" s="358"/>
      <c r="N113" s="358"/>
      <c r="O113" s="359"/>
      <c r="P113" s="121"/>
      <c r="Q113" s="188"/>
      <c r="R113" s="6"/>
      <c r="S113" s="121"/>
      <c r="T113" s="121"/>
      <c r="U113" s="188"/>
      <c r="V113" s="6"/>
      <c r="W113" s="121"/>
      <c r="X113" s="82"/>
      <c r="Y113" s="135"/>
      <c r="Z113" s="120"/>
    </row>
    <row r="114" spans="2:26" s="134" customFormat="1" ht="17.100000000000001" customHeight="1" x14ac:dyDescent="0.3">
      <c r="B114" s="293" t="s">
        <v>295</v>
      </c>
      <c r="C114" s="352"/>
      <c r="D114" s="352"/>
      <c r="E114" s="352"/>
      <c r="F114" s="352"/>
      <c r="G114" s="352"/>
      <c r="H114" s="294"/>
      <c r="I114" s="206" t="s">
        <v>296</v>
      </c>
      <c r="J114" s="194">
        <f>SUM(H106:H110)</f>
        <v>0.44999999999999996</v>
      </c>
      <c r="K114" s="153" t="s">
        <v>3</v>
      </c>
      <c r="L114" s="357"/>
      <c r="M114" s="358"/>
      <c r="N114" s="358"/>
      <c r="O114" s="359"/>
      <c r="P114" s="121"/>
      <c r="Q114" s="188"/>
      <c r="R114" s="6"/>
      <c r="S114" s="121"/>
      <c r="T114" s="121"/>
      <c r="U114" s="188"/>
      <c r="V114" s="6"/>
      <c r="W114" s="121"/>
      <c r="X114" s="82"/>
      <c r="Y114" s="135"/>
      <c r="Z114" s="120"/>
    </row>
    <row r="115" spans="2:26" s="134" customFormat="1" ht="17.100000000000001" customHeight="1" x14ac:dyDescent="0.25">
      <c r="B115" s="365" t="s">
        <v>298</v>
      </c>
      <c r="C115" s="366"/>
      <c r="D115" s="366"/>
      <c r="E115" s="366"/>
      <c r="F115" s="366"/>
      <c r="G115" s="366"/>
      <c r="H115" s="367"/>
      <c r="I115" s="371" t="s">
        <v>299</v>
      </c>
      <c r="J115" s="373">
        <f>J113/(24*60)*J114/3</f>
        <v>1.5625E-2</v>
      </c>
      <c r="K115" s="371" t="s">
        <v>3</v>
      </c>
      <c r="L115" s="375"/>
      <c r="M115" s="376"/>
      <c r="N115" s="376"/>
      <c r="O115" s="377"/>
      <c r="P115" s="121"/>
      <c r="Q115" s="188"/>
      <c r="R115" s="6"/>
      <c r="S115" s="121"/>
      <c r="T115" s="121"/>
      <c r="U115" s="188"/>
      <c r="V115" s="6"/>
      <c r="W115" s="121"/>
      <c r="X115" s="82"/>
      <c r="Y115" s="135"/>
      <c r="Z115" s="120"/>
    </row>
    <row r="116" spans="2:26" s="134" customFormat="1" ht="17.100000000000001" customHeight="1" x14ac:dyDescent="0.25">
      <c r="B116" s="368"/>
      <c r="C116" s="369"/>
      <c r="D116" s="369"/>
      <c r="E116" s="369"/>
      <c r="F116" s="369"/>
      <c r="G116" s="369"/>
      <c r="H116" s="370"/>
      <c r="I116" s="372"/>
      <c r="J116" s="374"/>
      <c r="K116" s="372"/>
      <c r="L116" s="378"/>
      <c r="M116" s="379"/>
      <c r="N116" s="379"/>
      <c r="O116" s="380"/>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110" t="s">
        <v>344</v>
      </c>
      <c r="C118" s="82"/>
      <c r="D118" s="130"/>
      <c r="E118" s="195"/>
      <c r="F118" s="130"/>
      <c r="G118" s="137"/>
      <c r="H118" s="131"/>
      <c r="I118" s="138"/>
      <c r="J118" s="13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293" t="s">
        <v>33</v>
      </c>
      <c r="C119" s="352"/>
      <c r="D119" s="352"/>
      <c r="E119" s="352"/>
      <c r="F119" s="352"/>
      <c r="G119" s="352"/>
      <c r="H119" s="294"/>
      <c r="I119" s="250" t="s">
        <v>0</v>
      </c>
      <c r="J119" s="277">
        <f>IF(B119=AD8,J10,IF(B119=AD9,J11,IF(B119=AD10,J12,FALSE)))</f>
        <v>5.7252000000000004E-2</v>
      </c>
      <c r="K119" s="56" t="s">
        <v>291</v>
      </c>
      <c r="L119" s="357"/>
      <c r="M119" s="358"/>
      <c r="N119" s="358"/>
      <c r="O119" s="359"/>
      <c r="P119" s="121"/>
      <c r="Q119" s="196"/>
      <c r="R119" s="6"/>
      <c r="S119" s="121"/>
      <c r="T119" s="121"/>
      <c r="U119" s="195"/>
      <c r="V119" s="6"/>
      <c r="W119" s="121"/>
      <c r="X119" s="82"/>
      <c r="Y119" s="135"/>
      <c r="Z119" s="120"/>
    </row>
    <row r="120" spans="2:26" s="134" customFormat="1" ht="17.100000000000001" customHeight="1" x14ac:dyDescent="0.3">
      <c r="B120" s="293" t="s">
        <v>347</v>
      </c>
      <c r="C120" s="352"/>
      <c r="D120" s="352"/>
      <c r="E120" s="352"/>
      <c r="F120" s="352"/>
      <c r="G120" s="352"/>
      <c r="H120" s="294"/>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293" t="s">
        <v>355</v>
      </c>
      <c r="C121" s="352"/>
      <c r="D121" s="352"/>
      <c r="E121" s="352"/>
      <c r="F121" s="352"/>
      <c r="G121" s="352"/>
      <c r="H121" s="294"/>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365" t="s">
        <v>365</v>
      </c>
      <c r="C122" s="366"/>
      <c r="D122" s="366"/>
      <c r="E122" s="366"/>
      <c r="F122" s="366"/>
      <c r="G122" s="366"/>
      <c r="H122" s="367"/>
      <c r="I122" s="401" t="s">
        <v>269</v>
      </c>
      <c r="J122" s="363">
        <f>(J119*86400)/J120</f>
        <v>41.221440000000001</v>
      </c>
      <c r="K122" s="401" t="s">
        <v>363</v>
      </c>
      <c r="L122" s="375"/>
      <c r="M122" s="376"/>
      <c r="N122" s="376"/>
      <c r="O122" s="377"/>
      <c r="P122" s="121"/>
      <c r="Q122" s="196"/>
      <c r="R122" s="6"/>
      <c r="S122" s="121"/>
      <c r="T122" s="121"/>
      <c r="U122" s="276"/>
      <c r="V122" s="6"/>
      <c r="W122" s="121"/>
      <c r="X122" s="278"/>
      <c r="Y122" s="135"/>
      <c r="Z122" s="120"/>
    </row>
    <row r="123" spans="2:26" s="134" customFormat="1" ht="17.100000000000001" customHeight="1" x14ac:dyDescent="0.25">
      <c r="B123" s="368"/>
      <c r="C123" s="369"/>
      <c r="D123" s="369"/>
      <c r="E123" s="369"/>
      <c r="F123" s="369"/>
      <c r="G123" s="369"/>
      <c r="H123" s="370"/>
      <c r="I123" s="402"/>
      <c r="J123" s="364"/>
      <c r="K123" s="402"/>
      <c r="L123" s="378"/>
      <c r="M123" s="379"/>
      <c r="N123" s="379"/>
      <c r="O123" s="380"/>
      <c r="P123" s="121"/>
      <c r="Q123" s="196"/>
      <c r="R123" s="6"/>
      <c r="S123" s="121"/>
      <c r="T123" s="121"/>
      <c r="U123" s="241"/>
      <c r="V123" s="6"/>
      <c r="W123" s="121"/>
      <c r="X123" s="249"/>
      <c r="Y123" s="135"/>
      <c r="Z123" s="120"/>
    </row>
    <row r="124" spans="2:26" s="134" customFormat="1" ht="17.100000000000001" customHeight="1" x14ac:dyDescent="0.25">
      <c r="B124" s="365" t="s">
        <v>366</v>
      </c>
      <c r="C124" s="366"/>
      <c r="D124" s="366"/>
      <c r="E124" s="366"/>
      <c r="F124" s="366"/>
      <c r="G124" s="366"/>
      <c r="H124" s="367"/>
      <c r="I124" s="401" t="s">
        <v>369</v>
      </c>
      <c r="J124" s="363">
        <f>(J119*86400)/J121</f>
        <v>32.977151999999997</v>
      </c>
      <c r="K124" s="401" t="s">
        <v>363</v>
      </c>
      <c r="L124" s="375"/>
      <c r="M124" s="376"/>
      <c r="N124" s="376"/>
      <c r="O124" s="377"/>
      <c r="P124" s="121"/>
      <c r="Q124" s="196"/>
      <c r="R124" s="6"/>
      <c r="S124" s="121"/>
      <c r="T124" s="121"/>
      <c r="U124" s="276"/>
      <c r="V124" s="6"/>
      <c r="W124" s="121"/>
      <c r="X124" s="278"/>
      <c r="Y124" s="135"/>
      <c r="Z124" s="120"/>
    </row>
    <row r="125" spans="2:26" s="134" customFormat="1" ht="17.100000000000001" customHeight="1" x14ac:dyDescent="0.25">
      <c r="B125" s="368"/>
      <c r="C125" s="369"/>
      <c r="D125" s="369"/>
      <c r="E125" s="369"/>
      <c r="F125" s="369"/>
      <c r="G125" s="369"/>
      <c r="H125" s="370"/>
      <c r="I125" s="402"/>
      <c r="J125" s="364"/>
      <c r="K125" s="402"/>
      <c r="L125" s="378"/>
      <c r="M125" s="379"/>
      <c r="N125" s="379"/>
      <c r="O125" s="380"/>
      <c r="P125" s="121"/>
      <c r="Q125" s="196"/>
      <c r="R125" s="6"/>
      <c r="S125" s="121"/>
      <c r="T125" s="121"/>
      <c r="U125" s="276"/>
      <c r="V125" s="6"/>
      <c r="W125" s="121"/>
      <c r="X125" s="278"/>
      <c r="Y125" s="135"/>
      <c r="Z125" s="120"/>
    </row>
    <row r="126" spans="2:26" s="134" customFormat="1" ht="20.100000000000001" customHeight="1" x14ac:dyDescent="0.25">
      <c r="B126" s="293" t="s">
        <v>367</v>
      </c>
      <c r="C126" s="352"/>
      <c r="D126" s="352"/>
      <c r="E126" s="352"/>
      <c r="F126" s="352"/>
      <c r="G126" s="352"/>
      <c r="H126" s="294"/>
      <c r="I126" s="281" t="s">
        <v>368</v>
      </c>
      <c r="J126" s="277">
        <f>ROUND((J122-J124),2)</f>
        <v>8.24</v>
      </c>
      <c r="K126" s="281" t="s">
        <v>363</v>
      </c>
      <c r="L126" s="357"/>
      <c r="M126" s="358"/>
      <c r="N126" s="358"/>
      <c r="O126" s="359"/>
      <c r="P126" s="121"/>
      <c r="Q126" s="196"/>
      <c r="R126" s="6"/>
      <c r="S126" s="121"/>
      <c r="T126" s="121"/>
      <c r="U126" s="276"/>
      <c r="V126" s="6"/>
      <c r="W126" s="121"/>
      <c r="X126" s="278"/>
      <c r="Y126" s="135"/>
      <c r="Z126" s="120"/>
    </row>
    <row r="127" spans="2:26" s="134" customFormat="1" ht="17.100000000000001" customHeight="1" x14ac:dyDescent="0.25">
      <c r="B127" s="365" t="s">
        <v>345</v>
      </c>
      <c r="C127" s="366"/>
      <c r="D127" s="366"/>
      <c r="E127" s="366"/>
      <c r="F127" s="366"/>
      <c r="G127" s="366"/>
      <c r="H127" s="367"/>
      <c r="I127" s="401" t="s">
        <v>381</v>
      </c>
      <c r="J127" s="363">
        <f>ROUND(J122/J126,2)</f>
        <v>5</v>
      </c>
      <c r="K127" s="401"/>
      <c r="L127" s="375"/>
      <c r="M127" s="376"/>
      <c r="N127" s="376"/>
      <c r="O127" s="377"/>
      <c r="P127" s="121"/>
      <c r="Q127" s="196"/>
      <c r="R127" s="6"/>
      <c r="S127" s="121"/>
      <c r="T127" s="121"/>
      <c r="U127" s="276"/>
      <c r="V127" s="6"/>
      <c r="W127" s="121"/>
      <c r="X127" s="278"/>
      <c r="Y127" s="135"/>
      <c r="Z127" s="120"/>
    </row>
    <row r="128" spans="2:26" s="134" customFormat="1" ht="17.100000000000001" customHeight="1" x14ac:dyDescent="0.25">
      <c r="B128" s="368"/>
      <c r="C128" s="369"/>
      <c r="D128" s="369"/>
      <c r="E128" s="369"/>
      <c r="F128" s="369"/>
      <c r="G128" s="369"/>
      <c r="H128" s="370"/>
      <c r="I128" s="402"/>
      <c r="J128" s="364"/>
      <c r="K128" s="402"/>
      <c r="L128" s="378"/>
      <c r="M128" s="379"/>
      <c r="N128" s="379"/>
      <c r="O128" s="380"/>
      <c r="P128" s="121"/>
      <c r="Q128" s="196"/>
      <c r="R128" s="6"/>
      <c r="S128" s="121"/>
      <c r="T128" s="121"/>
      <c r="U128" s="276"/>
      <c r="V128" s="6"/>
      <c r="W128" s="121"/>
      <c r="X128" s="278"/>
      <c r="Y128" s="135"/>
      <c r="Z128" s="120"/>
    </row>
    <row r="129" spans="2:26" s="134" customFormat="1" ht="20.100000000000001" customHeight="1" x14ac:dyDescent="0.25">
      <c r="B129" s="311" t="s">
        <v>371</v>
      </c>
      <c r="C129" s="311"/>
      <c r="D129" s="311"/>
      <c r="E129" s="311"/>
      <c r="F129" s="311"/>
      <c r="G129" s="311"/>
      <c r="H129" s="311"/>
      <c r="I129" s="275" t="s">
        <v>370</v>
      </c>
      <c r="J129" s="277">
        <f>SQRT(J126)</f>
        <v>2.8705400188814649</v>
      </c>
      <c r="K129" s="275" t="s">
        <v>3</v>
      </c>
      <c r="L129" s="336"/>
      <c r="M129" s="336"/>
      <c r="N129" s="336"/>
      <c r="O129" s="336"/>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389" t="s">
        <v>231</v>
      </c>
      <c r="C134" s="390"/>
      <c r="D134" s="390"/>
      <c r="E134" s="390"/>
      <c r="F134" s="390"/>
      <c r="G134" s="390"/>
      <c r="H134" s="391"/>
      <c r="I134" s="56" t="s">
        <v>11</v>
      </c>
      <c r="J134" s="142">
        <f>J76</f>
        <v>0.45</v>
      </c>
      <c r="K134" s="203"/>
      <c r="L134" s="357"/>
      <c r="M134" s="358"/>
      <c r="N134" s="358"/>
      <c r="O134" s="359"/>
      <c r="P134" s="121"/>
      <c r="Q134" s="188"/>
      <c r="R134" s="6"/>
      <c r="S134" s="121"/>
      <c r="T134" s="121"/>
      <c r="U134" s="188"/>
      <c r="V134" s="6"/>
      <c r="W134" s="121"/>
      <c r="X134" s="82"/>
      <c r="Y134" s="135"/>
      <c r="Z134" s="120"/>
    </row>
    <row r="135" spans="2:26" s="134" customFormat="1" ht="17.100000000000001" customHeight="1" x14ac:dyDescent="0.25">
      <c r="B135" s="389" t="str">
        <f>"Viscocidad dinámica del agua a "&amp;J30&amp;" °C"</f>
        <v>Viscocidad dinámica del agua a 28 °C</v>
      </c>
      <c r="C135" s="390"/>
      <c r="D135" s="390"/>
      <c r="E135" s="390"/>
      <c r="F135" s="390"/>
      <c r="G135" s="390"/>
      <c r="H135" s="391"/>
      <c r="I135" s="275" t="s">
        <v>213</v>
      </c>
      <c r="J135" s="202">
        <f>J32*1000</f>
        <v>0.83600000000000008</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12" t="s">
        <v>243</v>
      </c>
      <c r="C136" s="353"/>
      <c r="D136" s="353"/>
      <c r="E136" s="353"/>
      <c r="F136" s="353"/>
      <c r="G136" s="353"/>
      <c r="H136" s="313"/>
      <c r="I136" s="153" t="s">
        <v>257</v>
      </c>
      <c r="J136" s="143">
        <f>K56*G70</f>
        <v>0.48008777987655482</v>
      </c>
      <c r="K136" s="153" t="s">
        <v>244</v>
      </c>
      <c r="L136" s="356"/>
      <c r="M136" s="356"/>
      <c r="N136" s="356"/>
      <c r="O136" s="356"/>
      <c r="P136" s="161"/>
      <c r="Q136" s="149"/>
      <c r="R136" s="6"/>
      <c r="S136" s="121"/>
      <c r="T136" s="121"/>
      <c r="U136" s="149"/>
      <c r="V136" s="6"/>
      <c r="W136" s="121"/>
      <c r="X136" s="82"/>
      <c r="Y136" s="135"/>
      <c r="Z136" s="120"/>
    </row>
    <row r="137" spans="2:26" s="134" customFormat="1" ht="20.100000000000001" customHeight="1" x14ac:dyDescent="0.25">
      <c r="B137" s="312" t="s">
        <v>280</v>
      </c>
      <c r="C137" s="353"/>
      <c r="D137" s="353"/>
      <c r="E137" s="353"/>
      <c r="F137" s="353"/>
      <c r="G137" s="353"/>
      <c r="H137" s="313"/>
      <c r="I137" s="153" t="s">
        <v>279</v>
      </c>
      <c r="J137" s="143">
        <f>10*J136</f>
        <v>4.8008777987655478</v>
      </c>
      <c r="K137" s="153" t="s">
        <v>242</v>
      </c>
      <c r="L137" s="356"/>
      <c r="M137" s="356"/>
      <c r="N137" s="356"/>
      <c r="O137" s="356"/>
      <c r="P137" s="161"/>
      <c r="Q137" s="149"/>
      <c r="R137" s="6"/>
      <c r="S137" s="121"/>
      <c r="T137" s="121"/>
      <c r="U137" s="149"/>
      <c r="V137" s="6"/>
      <c r="W137" s="121"/>
      <c r="X137" s="82"/>
      <c r="Y137" s="135"/>
      <c r="Z137" s="120"/>
    </row>
    <row r="138" spans="2:26" s="134" customFormat="1" ht="20.100000000000001" customHeight="1" x14ac:dyDescent="0.25">
      <c r="B138" s="312" t="str">
        <f>"Velocidad de arrastre del medio filtrante a "&amp;J30&amp;" °C"</f>
        <v>Velocidad de arrastre del medio filtrante a 28 °C</v>
      </c>
      <c r="C138" s="353"/>
      <c r="D138" s="353"/>
      <c r="E138" s="353"/>
      <c r="F138" s="353"/>
      <c r="G138" s="353"/>
      <c r="H138" s="313"/>
      <c r="I138" s="153" t="s">
        <v>289</v>
      </c>
      <c r="J138" s="143">
        <f>IF(J30=20,J137,J137*((J135)^(-1/3)))</f>
        <v>5.0962637059663027</v>
      </c>
      <c r="K138" s="153" t="s">
        <v>242</v>
      </c>
      <c r="L138" s="356"/>
      <c r="M138" s="356"/>
      <c r="N138" s="356"/>
      <c r="O138" s="356"/>
      <c r="P138" s="161"/>
      <c r="Q138" s="149"/>
      <c r="R138" s="6"/>
      <c r="S138" s="160"/>
      <c r="T138" s="121"/>
      <c r="U138" s="149"/>
      <c r="V138" s="6"/>
      <c r="W138" s="121"/>
      <c r="X138" s="82"/>
      <c r="Y138" s="135"/>
      <c r="Z138" s="120"/>
    </row>
    <row r="139" spans="2:26" s="134" customFormat="1" ht="20.100000000000001" customHeight="1" x14ac:dyDescent="0.25">
      <c r="B139" s="312" t="str">
        <f>"Velocidad de fluidización del medio filtrante a "&amp;J30&amp;" °C"</f>
        <v>Velocidad de fluidización del medio filtrante a 28 °C</v>
      </c>
      <c r="C139" s="353"/>
      <c r="D139" s="353"/>
      <c r="E139" s="353"/>
      <c r="F139" s="353"/>
      <c r="G139" s="353"/>
      <c r="H139" s="313"/>
      <c r="I139" s="153" t="s">
        <v>288</v>
      </c>
      <c r="J139" s="143">
        <f>J138*(J134^4.5)</f>
        <v>0.14018714929215545</v>
      </c>
      <c r="K139" s="153" t="s">
        <v>242</v>
      </c>
      <c r="L139" s="360"/>
      <c r="M139" s="361"/>
      <c r="N139" s="361"/>
      <c r="O139" s="362"/>
      <c r="P139" s="161"/>
      <c r="Q139" s="188"/>
      <c r="R139" s="6"/>
      <c r="S139" s="160"/>
      <c r="T139" s="121"/>
      <c r="U139" s="188"/>
      <c r="V139" s="6"/>
      <c r="W139" s="121"/>
      <c r="X139" s="82"/>
      <c r="Y139" s="135"/>
      <c r="Z139" s="120"/>
    </row>
    <row r="140" spans="2:26" s="134" customFormat="1" ht="20.100000000000001" customHeight="1" x14ac:dyDescent="0.25">
      <c r="B140" s="312" t="str">
        <f>"Velocidad óptima de lavado a "&amp;J30&amp;" °C"</f>
        <v>Velocidad óptima de lavado a 28 °C</v>
      </c>
      <c r="C140" s="353"/>
      <c r="D140" s="353"/>
      <c r="E140" s="353"/>
      <c r="F140" s="353"/>
      <c r="G140" s="353"/>
      <c r="H140" s="313"/>
      <c r="I140" s="153" t="s">
        <v>281</v>
      </c>
      <c r="J140" s="143">
        <f>0.1*J138</f>
        <v>0.5096263705966303</v>
      </c>
      <c r="K140" s="153" t="s">
        <v>242</v>
      </c>
      <c r="L140" s="356"/>
      <c r="M140" s="356"/>
      <c r="N140" s="356"/>
      <c r="O140" s="356"/>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12" t="s">
        <v>374</v>
      </c>
      <c r="C143" s="353"/>
      <c r="D143" s="353"/>
      <c r="E143" s="353"/>
      <c r="F143" s="353"/>
      <c r="G143" s="353"/>
      <c r="H143" s="313"/>
      <c r="I143" s="466" t="s">
        <v>382</v>
      </c>
      <c r="J143" s="286">
        <v>0.25</v>
      </c>
      <c r="K143" s="153" t="s">
        <v>375</v>
      </c>
      <c r="L143" s="360"/>
      <c r="M143" s="361"/>
      <c r="N143" s="361"/>
      <c r="O143" s="362"/>
      <c r="P143" s="161"/>
      <c r="Q143" s="188"/>
      <c r="R143" s="6"/>
      <c r="S143" s="121"/>
      <c r="T143" s="121"/>
      <c r="U143" s="188"/>
      <c r="V143" s="6"/>
      <c r="W143" s="121"/>
      <c r="X143" s="82"/>
      <c r="Y143" s="135"/>
      <c r="Z143" s="120"/>
    </row>
    <row r="144" spans="2:26" s="134" customFormat="1" ht="20.100000000000001" customHeight="1" x14ac:dyDescent="0.25">
      <c r="B144" s="312" t="s">
        <v>376</v>
      </c>
      <c r="C144" s="353"/>
      <c r="D144" s="353"/>
      <c r="E144" s="353"/>
      <c r="F144" s="353"/>
      <c r="G144" s="353"/>
      <c r="H144" s="313"/>
      <c r="I144" s="467" t="s">
        <v>383</v>
      </c>
      <c r="J144" s="143">
        <f>IF(J143=1/4,0.075,IF(J143=3/8,0.15,IF(J143=1/2,0.2,IF(J143=5/8,0.25))))</f>
        <v>7.4999999999999997E-2</v>
      </c>
      <c r="K144" s="153" t="s">
        <v>3</v>
      </c>
      <c r="L144" s="360"/>
      <c r="M144" s="361"/>
      <c r="N144" s="361"/>
      <c r="O144" s="362"/>
      <c r="P144" s="161"/>
      <c r="Q144" s="188"/>
      <c r="R144" s="6"/>
      <c r="S144" s="121"/>
      <c r="T144" s="121"/>
      <c r="U144" s="188"/>
      <c r="V144" s="6"/>
      <c r="W144" s="121"/>
      <c r="X144" s="82"/>
      <c r="Y144" s="135"/>
      <c r="Z144" s="120"/>
    </row>
    <row r="145" spans="2:26" s="134" customFormat="1" ht="20.100000000000001" customHeight="1" x14ac:dyDescent="0.25">
      <c r="B145" s="312" t="s">
        <v>377</v>
      </c>
      <c r="C145" s="353"/>
      <c r="D145" s="353"/>
      <c r="E145" s="353"/>
      <c r="F145" s="353"/>
      <c r="G145" s="353"/>
      <c r="H145" s="313"/>
      <c r="I145" s="468" t="s">
        <v>384</v>
      </c>
      <c r="J145" s="279">
        <f>ROUND(J129/2-0.1,2)</f>
        <v>1.34</v>
      </c>
      <c r="K145" s="153" t="s">
        <v>3</v>
      </c>
      <c r="L145" s="360"/>
      <c r="M145" s="361"/>
      <c r="N145" s="361"/>
      <c r="O145" s="362"/>
      <c r="P145" s="161"/>
      <c r="Q145" s="188"/>
      <c r="R145" s="6"/>
      <c r="S145" s="121"/>
      <c r="T145" s="121"/>
      <c r="U145" s="188"/>
      <c r="V145" s="6"/>
      <c r="W145" s="121"/>
      <c r="X145" s="82"/>
      <c r="Y145" s="135"/>
      <c r="Z145" s="120"/>
    </row>
    <row r="146" spans="2:26" s="134" customFormat="1" ht="20.100000000000001" customHeight="1" x14ac:dyDescent="0.25">
      <c r="B146" s="312" t="s">
        <v>378</v>
      </c>
      <c r="C146" s="353"/>
      <c r="D146" s="353"/>
      <c r="E146" s="353"/>
      <c r="F146" s="353"/>
      <c r="G146" s="353"/>
      <c r="H146" s="313"/>
      <c r="I146" s="467" t="s">
        <v>385</v>
      </c>
      <c r="J146" s="279">
        <v>0.2</v>
      </c>
      <c r="K146" s="153" t="s">
        <v>3</v>
      </c>
      <c r="L146" s="360"/>
      <c r="M146" s="361"/>
      <c r="N146" s="361"/>
      <c r="O146" s="362"/>
      <c r="P146" s="161"/>
      <c r="Q146" s="188"/>
      <c r="R146" s="6"/>
      <c r="S146" s="121"/>
      <c r="T146" s="121"/>
      <c r="U146" s="290"/>
      <c r="V146" s="6"/>
      <c r="W146" s="121"/>
      <c r="X146" s="82"/>
      <c r="Y146" s="135"/>
      <c r="Z146" s="120"/>
    </row>
    <row r="147" spans="2:26" s="134" customFormat="1" ht="20.100000000000001" customHeight="1" x14ac:dyDescent="0.25">
      <c r="B147" s="312" t="s">
        <v>379</v>
      </c>
      <c r="C147" s="353"/>
      <c r="D147" s="353"/>
      <c r="E147" s="353"/>
      <c r="F147" s="353"/>
      <c r="G147" s="353"/>
      <c r="H147" s="313"/>
      <c r="I147" s="466" t="s">
        <v>386</v>
      </c>
      <c r="J147" s="286">
        <f>IF(J145&lt;1,2,IF(J145&lt;1.5,2.5,IF(J145&lt;2,3)))</f>
        <v>2.5</v>
      </c>
      <c r="K147" s="153" t="s">
        <v>375</v>
      </c>
      <c r="L147" s="360"/>
      <c r="M147" s="361"/>
      <c r="N147" s="361"/>
      <c r="O147" s="362"/>
      <c r="P147" s="161"/>
      <c r="Q147" s="188"/>
      <c r="R147" s="6"/>
      <c r="S147" s="121"/>
      <c r="T147" s="121"/>
      <c r="U147" s="290"/>
      <c r="V147" s="6"/>
      <c r="W147" s="121"/>
      <c r="X147" s="82"/>
      <c r="Y147" s="135"/>
      <c r="Z147" s="120"/>
    </row>
    <row r="148" spans="2:26" s="134" customFormat="1" ht="17.100000000000001" customHeight="1" x14ac:dyDescent="0.25">
      <c r="B148" s="444" t="s">
        <v>389</v>
      </c>
      <c r="C148" s="445"/>
      <c r="D148" s="445"/>
      <c r="E148" s="445"/>
      <c r="F148" s="445"/>
      <c r="G148" s="445"/>
      <c r="H148" s="446"/>
      <c r="I148" s="371" t="s">
        <v>388</v>
      </c>
      <c r="J148" s="450">
        <f>ROUNDDOWN(2*(J129/J146),0)</f>
        <v>28</v>
      </c>
      <c r="K148" s="371"/>
      <c r="L148" s="452"/>
      <c r="M148" s="453"/>
      <c r="N148" s="453"/>
      <c r="O148" s="454"/>
      <c r="P148" s="161"/>
      <c r="Q148" s="290"/>
      <c r="R148" s="6"/>
      <c r="S148" s="83"/>
      <c r="T148" s="469"/>
      <c r="U148" s="290"/>
      <c r="V148" s="6"/>
      <c r="W148" s="121"/>
      <c r="X148" s="278"/>
      <c r="Y148" s="135"/>
      <c r="Z148" s="120"/>
    </row>
    <row r="149" spans="2:26" s="134" customFormat="1" ht="17.100000000000001" customHeight="1" x14ac:dyDescent="0.25">
      <c r="B149" s="447"/>
      <c r="C149" s="448"/>
      <c r="D149" s="448"/>
      <c r="E149" s="448"/>
      <c r="F149" s="448"/>
      <c r="G149" s="448"/>
      <c r="H149" s="449"/>
      <c r="I149" s="372"/>
      <c r="J149" s="451"/>
      <c r="K149" s="372"/>
      <c r="L149" s="455"/>
      <c r="M149" s="456"/>
      <c r="N149" s="456"/>
      <c r="O149" s="457"/>
      <c r="P149" s="161"/>
      <c r="Q149" s="280"/>
      <c r="R149" s="6"/>
      <c r="S149" s="83"/>
      <c r="T149" s="469"/>
      <c r="U149" s="290"/>
      <c r="V149" s="6"/>
      <c r="W149" s="121"/>
      <c r="X149" s="278"/>
      <c r="Y149" s="135"/>
      <c r="Z149" s="120"/>
    </row>
    <row r="150" spans="2:26" s="134" customFormat="1" ht="17.100000000000001" customHeight="1" x14ac:dyDescent="0.25">
      <c r="B150" s="444" t="s">
        <v>390</v>
      </c>
      <c r="C150" s="445"/>
      <c r="D150" s="445"/>
      <c r="E150" s="445"/>
      <c r="F150" s="445"/>
      <c r="G150" s="445"/>
      <c r="H150" s="446"/>
      <c r="I150" s="371" t="s">
        <v>387</v>
      </c>
      <c r="J150" s="450">
        <f>J148*ROUND(J145/J144,0)*2</f>
        <v>1008</v>
      </c>
      <c r="K150" s="371"/>
      <c r="L150" s="452"/>
      <c r="M150" s="453"/>
      <c r="N150" s="453"/>
      <c r="O150" s="454"/>
      <c r="P150" s="161"/>
      <c r="Q150" s="290"/>
      <c r="R150" s="6"/>
      <c r="S150" s="83"/>
      <c r="T150" s="469"/>
      <c r="U150" s="290"/>
      <c r="V150" s="6"/>
      <c r="W150" s="121"/>
      <c r="X150" s="278"/>
      <c r="Y150" s="135"/>
      <c r="Z150" s="120"/>
    </row>
    <row r="151" spans="2:26" s="134" customFormat="1" ht="17.100000000000001" customHeight="1" x14ac:dyDescent="0.25">
      <c r="B151" s="447"/>
      <c r="C151" s="448"/>
      <c r="D151" s="448"/>
      <c r="E151" s="448"/>
      <c r="F151" s="448"/>
      <c r="G151" s="448"/>
      <c r="H151" s="449"/>
      <c r="I151" s="372"/>
      <c r="J151" s="451"/>
      <c r="K151" s="372"/>
      <c r="L151" s="455"/>
      <c r="M151" s="456"/>
      <c r="N151" s="456"/>
      <c r="O151" s="457"/>
      <c r="P151" s="161"/>
      <c r="Q151" s="280"/>
      <c r="R151" s="6"/>
      <c r="S151" s="83"/>
      <c r="T151" s="469"/>
      <c r="U151" s="290"/>
      <c r="V151" s="6"/>
      <c r="W151" s="121"/>
      <c r="X151" s="278"/>
      <c r="Y151" s="135"/>
      <c r="Z151" s="120"/>
    </row>
    <row r="152" spans="2:26" s="134" customFormat="1" ht="17.100000000000001" customHeight="1" x14ac:dyDescent="0.25">
      <c r="B152" s="444" t="s">
        <v>392</v>
      </c>
      <c r="C152" s="445"/>
      <c r="D152" s="445"/>
      <c r="E152" s="445"/>
      <c r="F152" s="445"/>
      <c r="G152" s="445"/>
      <c r="H152" s="446"/>
      <c r="I152" s="371" t="s">
        <v>391</v>
      </c>
      <c r="J152" s="463">
        <f>J150*PI()*(((J143*0.0254)^2)/4)</f>
        <v>3.1922571183142359E-2</v>
      </c>
      <c r="K152" s="371" t="s">
        <v>393</v>
      </c>
      <c r="L152" s="452"/>
      <c r="M152" s="453"/>
      <c r="N152" s="453"/>
      <c r="O152" s="454"/>
      <c r="P152" s="161"/>
      <c r="Q152" s="290"/>
      <c r="R152" s="6"/>
      <c r="S152" s="83"/>
      <c r="T152" s="469"/>
      <c r="U152" s="290"/>
      <c r="V152" s="6"/>
      <c r="W152" s="121"/>
      <c r="X152" s="278"/>
      <c r="Y152" s="135"/>
      <c r="Z152" s="120"/>
    </row>
    <row r="153" spans="2:26" s="134" customFormat="1" ht="17.100000000000001" customHeight="1" x14ac:dyDescent="0.25">
      <c r="B153" s="447"/>
      <c r="C153" s="448"/>
      <c r="D153" s="448"/>
      <c r="E153" s="448"/>
      <c r="F153" s="448"/>
      <c r="G153" s="448"/>
      <c r="H153" s="449"/>
      <c r="I153" s="372"/>
      <c r="J153" s="462"/>
      <c r="K153" s="372"/>
      <c r="L153" s="455"/>
      <c r="M153" s="456"/>
      <c r="N153" s="456"/>
      <c r="O153" s="457"/>
      <c r="P153" s="161"/>
      <c r="Q153" s="290"/>
      <c r="R153" s="6"/>
      <c r="S153" s="83"/>
      <c r="T153" s="469"/>
      <c r="U153" s="290"/>
      <c r="V153" s="6"/>
      <c r="W153" s="121"/>
      <c r="X153" s="278"/>
      <c r="Y153" s="135"/>
      <c r="Z153" s="120"/>
    </row>
    <row r="154" spans="2:26" s="134" customFormat="1" ht="17.100000000000001" customHeight="1" x14ac:dyDescent="0.25">
      <c r="B154" s="444" t="s">
        <v>394</v>
      </c>
      <c r="C154" s="445"/>
      <c r="D154" s="445"/>
      <c r="E154" s="445"/>
      <c r="F154" s="445"/>
      <c r="G154" s="445"/>
      <c r="H154" s="446"/>
      <c r="I154" s="371" t="s">
        <v>395</v>
      </c>
      <c r="J154" s="463">
        <f>J152/0.4</f>
        <v>7.9806427957855891E-2</v>
      </c>
      <c r="K154" s="371" t="s">
        <v>393</v>
      </c>
      <c r="L154" s="452"/>
      <c r="M154" s="453"/>
      <c r="N154" s="453"/>
      <c r="O154" s="454"/>
      <c r="P154" s="161"/>
      <c r="Q154" s="290"/>
      <c r="R154" s="6"/>
      <c r="S154" s="83"/>
      <c r="T154" s="469"/>
      <c r="U154" s="290"/>
      <c r="V154" s="6"/>
      <c r="W154" s="121"/>
      <c r="X154" s="278"/>
      <c r="Y154" s="135"/>
      <c r="Z154" s="120"/>
    </row>
    <row r="155" spans="2:26" s="134" customFormat="1" ht="17.100000000000001" customHeight="1" x14ac:dyDescent="0.25">
      <c r="B155" s="447"/>
      <c r="C155" s="448"/>
      <c r="D155" s="448"/>
      <c r="E155" s="448"/>
      <c r="F155" s="448"/>
      <c r="G155" s="448"/>
      <c r="H155" s="449"/>
      <c r="I155" s="372"/>
      <c r="J155" s="462"/>
      <c r="K155" s="372"/>
      <c r="L155" s="455"/>
      <c r="M155" s="456"/>
      <c r="N155" s="456"/>
      <c r="O155" s="457"/>
      <c r="P155" s="161"/>
      <c r="Q155" s="280"/>
      <c r="R155" s="6"/>
      <c r="S155" s="83"/>
      <c r="T155" s="469"/>
      <c r="U155" s="290"/>
      <c r="V155" s="6"/>
      <c r="W155" s="121"/>
      <c r="X155" s="278"/>
      <c r="Y155" s="135"/>
      <c r="Z155" s="120"/>
    </row>
    <row r="156" spans="2:26" s="134" customFormat="1" ht="17.100000000000001" customHeight="1" x14ac:dyDescent="0.25">
      <c r="B156" s="312" t="s">
        <v>396</v>
      </c>
      <c r="C156" s="353"/>
      <c r="D156" s="353"/>
      <c r="E156" s="353"/>
      <c r="F156" s="353"/>
      <c r="G156" s="353"/>
      <c r="H156" s="313"/>
      <c r="I156" s="291"/>
      <c r="J156" s="461" t="str">
        <f>INDEX(AL8:AL16,MATCH(J154,AM8:AM16,1),1)</f>
        <v>10 X 10</v>
      </c>
      <c r="K156" s="153" t="s">
        <v>408</v>
      </c>
      <c r="L156" s="458"/>
      <c r="M156" s="459"/>
      <c r="N156" s="459"/>
      <c r="O156" s="460"/>
      <c r="P156" s="161"/>
      <c r="Q156" s="290"/>
      <c r="R156" s="6"/>
      <c r="S156" s="83"/>
      <c r="T156" s="469"/>
      <c r="U156" s="290"/>
      <c r="V156" s="6"/>
      <c r="W156" s="121"/>
      <c r="X156" s="278"/>
      <c r="Y156" s="135"/>
      <c r="Z156" s="120"/>
    </row>
    <row r="157" spans="2:26" s="134" customFormat="1" ht="17.100000000000001" customHeight="1" x14ac:dyDescent="0.25">
      <c r="B157" s="309" t="s">
        <v>410</v>
      </c>
      <c r="C157" s="309"/>
      <c r="D157" s="309"/>
      <c r="E157" s="309"/>
      <c r="F157" s="309"/>
      <c r="G157" s="309"/>
      <c r="H157" s="309"/>
      <c r="I157" s="468" t="s">
        <v>395</v>
      </c>
      <c r="J157" s="289">
        <f>VLOOKUP(J156,AL8:AM16,2,FALSE)</f>
        <v>6.4516000000000004E-2</v>
      </c>
      <c r="K157" s="153" t="s">
        <v>393</v>
      </c>
      <c r="L157" s="360"/>
      <c r="M157" s="361"/>
      <c r="N157" s="361"/>
      <c r="O157" s="362"/>
      <c r="P157" s="161"/>
      <c r="Q157" s="290"/>
      <c r="R157" s="6"/>
      <c r="S157" s="160"/>
      <c r="T157" s="121"/>
      <c r="U157" s="290"/>
      <c r="V157" s="6"/>
      <c r="W157" s="121"/>
      <c r="X157" s="278"/>
      <c r="Y157" s="135"/>
      <c r="Z157" s="120"/>
    </row>
    <row r="158" spans="2:26" s="134" customFormat="1" ht="17.100000000000001" customHeight="1" x14ac:dyDescent="0.25">
      <c r="B158" s="312" t="s">
        <v>409</v>
      </c>
      <c r="C158" s="353"/>
      <c r="D158" s="353"/>
      <c r="E158" s="353"/>
      <c r="F158" s="353"/>
      <c r="G158" s="353"/>
      <c r="H158" s="313"/>
      <c r="I158" s="468"/>
      <c r="J158" s="289">
        <f>J152/J126</f>
        <v>3.8740984445561114E-3</v>
      </c>
      <c r="K158" s="291"/>
      <c r="L158" s="470" t="str">
        <f>IF(AND(J158&gt;0.0015,J158&lt;0.005),"¡ok!","¡error!")</f>
        <v>¡ok!</v>
      </c>
      <c r="M158" s="471"/>
      <c r="N158" s="471"/>
      <c r="O158" s="472"/>
      <c r="P158" s="161"/>
      <c r="Q158" s="290"/>
      <c r="R158" s="6"/>
      <c r="S158" s="160"/>
      <c r="T158" s="121"/>
      <c r="U158" s="290"/>
      <c r="V158" s="6"/>
      <c r="W158" s="121"/>
      <c r="X158" s="278"/>
      <c r="Y158" s="135"/>
      <c r="Z158" s="120"/>
    </row>
    <row r="159" spans="2:26" s="134" customFormat="1" ht="17.100000000000001" customHeight="1" x14ac:dyDescent="0.25">
      <c r="B159" s="312" t="s">
        <v>411</v>
      </c>
      <c r="C159" s="353"/>
      <c r="D159" s="353"/>
      <c r="E159" s="353"/>
      <c r="F159" s="353"/>
      <c r="G159" s="353"/>
      <c r="H159" s="313"/>
      <c r="I159" s="468"/>
      <c r="J159" s="289">
        <f>((0.0254*J147)^2)/(J152/J148)</f>
        <v>3.5367765131532298</v>
      </c>
      <c r="K159" s="291"/>
      <c r="L159" s="470" t="str">
        <f>IF(AND(J159&gt;2,J159&lt;4),"¡ok!","¡error!")</f>
        <v>¡ok!</v>
      </c>
      <c r="M159" s="471"/>
      <c r="N159" s="471"/>
      <c r="O159" s="472"/>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12" t="s">
        <v>232</v>
      </c>
      <c r="C162" s="353"/>
      <c r="D162" s="353"/>
      <c r="E162" s="353"/>
      <c r="F162" s="353"/>
      <c r="G162" s="353"/>
      <c r="H162" s="313"/>
      <c r="I162" s="153" t="s">
        <v>88</v>
      </c>
      <c r="J162" s="143">
        <f>J74</f>
        <v>0.6</v>
      </c>
      <c r="K162" s="156" t="s">
        <v>3</v>
      </c>
      <c r="L162" s="356"/>
      <c r="M162" s="356"/>
      <c r="N162" s="356"/>
      <c r="O162" s="356"/>
      <c r="P162" s="121"/>
      <c r="Q162" s="121"/>
      <c r="R162" s="121"/>
      <c r="S162" s="160"/>
      <c r="T162" s="121"/>
      <c r="U162" s="290"/>
      <c r="V162" s="6"/>
      <c r="W162" s="121"/>
      <c r="X162" s="82"/>
      <c r="Y162" s="135"/>
      <c r="Z162" s="120"/>
    </row>
    <row r="163" spans="2:26" s="134" customFormat="1" ht="17.100000000000001" customHeight="1" x14ac:dyDescent="0.25">
      <c r="B163" s="312" t="s">
        <v>231</v>
      </c>
      <c r="C163" s="353"/>
      <c r="D163" s="353"/>
      <c r="E163" s="353"/>
      <c r="F163" s="353"/>
      <c r="G163" s="353"/>
      <c r="H163" s="313"/>
      <c r="I163" s="153" t="s">
        <v>11</v>
      </c>
      <c r="J163" s="143">
        <f>J76</f>
        <v>0.45</v>
      </c>
      <c r="K163" s="156"/>
      <c r="L163" s="356"/>
      <c r="M163" s="356"/>
      <c r="N163" s="356"/>
      <c r="O163" s="356"/>
      <c r="P163" s="121"/>
      <c r="Q163" s="121"/>
      <c r="R163" s="121"/>
      <c r="S163" s="121"/>
      <c r="T163" s="121"/>
      <c r="U163" s="290"/>
      <c r="V163" s="6"/>
      <c r="W163" s="121"/>
      <c r="X163" s="82"/>
      <c r="Y163" s="135"/>
      <c r="Z163" s="120"/>
    </row>
    <row r="164" spans="2:26" s="134" customFormat="1" ht="17.100000000000001" customHeight="1" x14ac:dyDescent="0.25">
      <c r="B164" s="312" t="s">
        <v>233</v>
      </c>
      <c r="C164" s="353"/>
      <c r="D164" s="353"/>
      <c r="E164" s="353"/>
      <c r="F164" s="353"/>
      <c r="G164" s="353"/>
      <c r="H164" s="313"/>
      <c r="I164" s="153" t="s">
        <v>234</v>
      </c>
      <c r="J164" s="143">
        <f>J75</f>
        <v>2.65</v>
      </c>
      <c r="K164" s="156"/>
      <c r="L164" s="356"/>
      <c r="M164" s="356"/>
      <c r="N164" s="356"/>
      <c r="O164" s="356"/>
      <c r="P164" s="121"/>
      <c r="Q164" s="121"/>
      <c r="R164" s="121"/>
      <c r="S164" s="160"/>
      <c r="T164" s="121"/>
      <c r="U164" s="144"/>
      <c r="V164" s="6"/>
      <c r="W164" s="121"/>
      <c r="X164" s="82"/>
      <c r="Y164" s="135"/>
      <c r="Z164" s="120"/>
    </row>
    <row r="165" spans="2:26" s="134" customFormat="1" ht="17.100000000000001" customHeight="1" x14ac:dyDescent="0.25">
      <c r="B165" s="309" t="s">
        <v>236</v>
      </c>
      <c r="C165" s="309"/>
      <c r="D165" s="309"/>
      <c r="E165" s="309"/>
      <c r="F165" s="309"/>
      <c r="G165" s="309"/>
      <c r="H165" s="309"/>
      <c r="I165" s="153" t="s">
        <v>235</v>
      </c>
      <c r="J165" s="143">
        <f>J162*(1-J163)*(J164-1)</f>
        <v>0.54449999999999998</v>
      </c>
      <c r="K165" s="156" t="s">
        <v>3</v>
      </c>
      <c r="L165" s="356"/>
      <c r="M165" s="356"/>
      <c r="N165" s="356"/>
      <c r="O165" s="356"/>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110"/>
      <c r="C168" s="82"/>
      <c r="D168" s="130"/>
      <c r="E168" s="149"/>
      <c r="F168" s="130"/>
      <c r="G168" s="137"/>
      <c r="H168" s="131"/>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23"/>
      <c r="C170" s="423"/>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05" t="s">
        <v>34</v>
      </c>
      <c r="C174" s="305"/>
      <c r="D174" s="305"/>
      <c r="E174" s="305"/>
      <c r="F174" s="305"/>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292" t="s">
        <v>202</v>
      </c>
      <c r="D176" s="292"/>
      <c r="E176" s="292"/>
      <c r="F176" s="292"/>
      <c r="G176" s="292"/>
      <c r="H176" s="292"/>
      <c r="I176" s="292"/>
      <c r="J176" s="292"/>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292" t="s">
        <v>64</v>
      </c>
      <c r="D177" s="292"/>
      <c r="E177" s="292"/>
      <c r="F177" s="292"/>
      <c r="G177" s="292"/>
      <c r="H177" s="292"/>
      <c r="I177" s="292"/>
      <c r="J177" s="292"/>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22" t="s">
        <v>40</v>
      </c>
      <c r="D178" s="422"/>
      <c r="E178" s="422"/>
      <c r="F178" s="422"/>
      <c r="G178" s="422"/>
      <c r="H178" s="422"/>
      <c r="I178" s="422"/>
      <c r="J178" s="422"/>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292" t="s">
        <v>65</v>
      </c>
      <c r="D179" s="292"/>
      <c r="E179" s="292"/>
      <c r="F179" s="292"/>
      <c r="G179" s="292"/>
      <c r="H179" s="292"/>
      <c r="I179" s="292"/>
      <c r="J179" s="292"/>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292" t="s">
        <v>66</v>
      </c>
      <c r="D180" s="292"/>
      <c r="E180" s="292"/>
      <c r="F180" s="292"/>
      <c r="G180" s="292"/>
      <c r="H180" s="292"/>
      <c r="I180" s="292"/>
      <c r="J180" s="292"/>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04" t="s">
        <v>56</v>
      </c>
      <c r="D181" s="304"/>
      <c r="E181" s="304"/>
      <c r="F181" s="304"/>
      <c r="G181" s="304"/>
      <c r="H181" s="304"/>
      <c r="I181" s="304"/>
      <c r="J181" s="304"/>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22" t="s">
        <v>78</v>
      </c>
      <c r="D182" s="422"/>
      <c r="E182" s="422"/>
      <c r="F182" s="422"/>
      <c r="G182" s="422"/>
      <c r="H182" s="422"/>
      <c r="I182" s="422"/>
      <c r="J182" s="422"/>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292" t="s">
        <v>83</v>
      </c>
      <c r="D183" s="292"/>
      <c r="E183" s="292"/>
      <c r="F183" s="292"/>
      <c r="G183" s="292"/>
      <c r="H183" s="292"/>
      <c r="I183" s="292"/>
      <c r="J183" s="292"/>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292" t="s">
        <v>169</v>
      </c>
      <c r="D184" s="292"/>
      <c r="E184" s="292"/>
      <c r="F184" s="292"/>
      <c r="G184" s="292"/>
      <c r="H184" s="292"/>
      <c r="I184" s="292"/>
      <c r="J184" s="292"/>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1">
    <mergeCell ref="B156:H156"/>
    <mergeCell ref="B158:H158"/>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B148:H149"/>
    <mergeCell ref="I148:I149"/>
    <mergeCell ref="J148:J149"/>
    <mergeCell ref="K148:K149"/>
    <mergeCell ref="L148:O149"/>
    <mergeCell ref="B150:H151"/>
    <mergeCell ref="I150:I151"/>
    <mergeCell ref="J150:J151"/>
    <mergeCell ref="K150:K151"/>
    <mergeCell ref="L150:O151"/>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B170:C170"/>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C184:J184"/>
    <mergeCell ref="B174:F174"/>
    <mergeCell ref="C179:J179"/>
    <mergeCell ref="C180:J180"/>
    <mergeCell ref="C181:J181"/>
    <mergeCell ref="C182:J182"/>
    <mergeCell ref="C183:J183"/>
    <mergeCell ref="C176:J176"/>
    <mergeCell ref="C177:J177"/>
    <mergeCell ref="C178:J178"/>
    <mergeCell ref="L139:O139"/>
    <mergeCell ref="H18:I18"/>
    <mergeCell ref="J85:J87"/>
    <mergeCell ref="B27:G27"/>
    <mergeCell ref="H27:I27"/>
    <mergeCell ref="H53:J55"/>
    <mergeCell ref="B73:H73"/>
    <mergeCell ref="B80:H80"/>
    <mergeCell ref="B79:H79"/>
    <mergeCell ref="B53:C55"/>
    <mergeCell ref="F53:F55"/>
    <mergeCell ref="B78:H78"/>
    <mergeCell ref="B75:H75"/>
    <mergeCell ref="B93:C93"/>
    <mergeCell ref="B94:C94"/>
    <mergeCell ref="B122:H123"/>
    <mergeCell ref="I122:I123"/>
    <mergeCell ref="J122:J123"/>
    <mergeCell ref="K122:K123"/>
    <mergeCell ref="L122:O123"/>
    <mergeCell ref="K124:K125"/>
    <mergeCell ref="L124:O125"/>
    <mergeCell ref="B95:C95"/>
    <mergeCell ref="B96:C96"/>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G60:G62"/>
    <mergeCell ref="K60:K62"/>
    <mergeCell ref="H60:J62"/>
    <mergeCell ref="B45:C45"/>
    <mergeCell ref="B46:C46"/>
    <mergeCell ref="B47:C47"/>
    <mergeCell ref="B48:C48"/>
    <mergeCell ref="B49:C49"/>
    <mergeCell ref="B50:C50"/>
    <mergeCell ref="B38:C41"/>
    <mergeCell ref="F38:F41"/>
    <mergeCell ref="G38:G41"/>
    <mergeCell ref="B134:H134"/>
    <mergeCell ref="L134:O134"/>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I124:I125"/>
    <mergeCell ref="J124:J125"/>
    <mergeCell ref="L126:O126"/>
    <mergeCell ref="B126:H126"/>
    <mergeCell ref="B127:H128"/>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H25:I25"/>
    <mergeCell ref="H26:I26"/>
    <mergeCell ref="B15:G15"/>
    <mergeCell ref="B16:G16"/>
    <mergeCell ref="B17:G17"/>
    <mergeCell ref="B19:G19"/>
    <mergeCell ref="B21:G21"/>
    <mergeCell ref="B22:G22"/>
    <mergeCell ref="B23:G23"/>
    <mergeCell ref="B20:G20"/>
    <mergeCell ref="H20:I20"/>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Ariel Puerto</cp:lastModifiedBy>
  <dcterms:created xsi:type="dcterms:W3CDTF">2021-03-13T14:20:49Z</dcterms:created>
  <dcterms:modified xsi:type="dcterms:W3CDTF">2021-11-26T03:02:06Z</dcterms:modified>
</cp:coreProperties>
</file>