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co V\Desktop\Proyecto\Aplicacion\GitHub\Excel\"/>
    </mc:Choice>
  </mc:AlternateContent>
  <bookViews>
    <workbookView xWindow="0" yWindow="0" windowWidth="20400" windowHeight="7350" activeTab="2"/>
  </bookViews>
  <sheets>
    <sheet name="Sedimentador alta tasa" sheetId="1" r:id="rId1"/>
    <sheet name="Sedimentador alta tasa (Romero)" sheetId="2" r:id="rId2"/>
    <sheet name="Filtro rápido" sheetId="6"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16" i="6" l="1"/>
  <c r="AM15" i="6"/>
  <c r="AM14" i="6"/>
  <c r="AM13" i="6"/>
  <c r="AM12" i="6"/>
  <c r="AM11" i="6"/>
  <c r="AM10" i="6"/>
  <c r="AM9" i="6"/>
  <c r="AM8" i="6"/>
  <c r="H19" i="6" l="1"/>
  <c r="J144" i="6"/>
  <c r="J11" i="6" l="1"/>
  <c r="J119" i="6" s="1"/>
  <c r="H27" i="6"/>
  <c r="H26" i="6"/>
  <c r="H25" i="6"/>
  <c r="B27" i="6"/>
  <c r="B26" i="6"/>
  <c r="B25" i="6"/>
  <c r="H24" i="6"/>
  <c r="H23" i="6"/>
  <c r="H22" i="6"/>
  <c r="H21" i="6"/>
  <c r="H20" i="6"/>
  <c r="J121" i="6" s="1"/>
  <c r="J73" i="6" l="1"/>
  <c r="J113" i="6"/>
  <c r="J124" i="6"/>
  <c r="J134" i="6"/>
  <c r="J27" i="6"/>
  <c r="H16" i="6"/>
  <c r="H17" i="6"/>
  <c r="J120" i="6" l="1"/>
  <c r="J122" i="6" s="1"/>
  <c r="J126" i="6" s="1"/>
  <c r="J12" i="6"/>
  <c r="J114" i="6"/>
  <c r="J164" i="6"/>
  <c r="B135" i="6"/>
  <c r="B32" i="6"/>
  <c r="B33" i="6"/>
  <c r="B139" i="6"/>
  <c r="J32" i="6"/>
  <c r="J135" i="6" s="1"/>
  <c r="J31" i="6"/>
  <c r="B31" i="6"/>
  <c r="J127" i="6" l="1"/>
  <c r="J129" i="6"/>
  <c r="J115" i="6"/>
  <c r="J162" i="6"/>
  <c r="J163" i="6"/>
  <c r="B140" i="6"/>
  <c r="B138"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35" i="6"/>
  <c r="J148" i="6" l="1"/>
  <c r="J145" i="6"/>
  <c r="J147" i="6" s="1"/>
  <c r="J33" i="6"/>
  <c r="J150" i="6" l="1"/>
  <c r="J152" i="6" s="1"/>
  <c r="J158" i="6" l="1"/>
  <c r="L158" i="6" s="1"/>
  <c r="J154" i="6"/>
  <c r="J156" i="6" s="1"/>
  <c r="J157" i="6" s="1"/>
  <c r="J159" i="6"/>
  <c r="L159" i="6" s="1"/>
  <c r="I43" i="6"/>
  <c r="I44" i="6"/>
  <c r="I45" i="6"/>
  <c r="I46" i="6"/>
  <c r="I47" i="6"/>
  <c r="I48" i="6"/>
  <c r="I49" i="6"/>
  <c r="I50" i="6"/>
  <c r="I42" i="6"/>
  <c r="F89" i="6"/>
  <c r="F90" i="6"/>
  <c r="F91" i="6"/>
  <c r="F92" i="6"/>
  <c r="F93" i="6"/>
  <c r="F94" i="6"/>
  <c r="F95" i="6"/>
  <c r="F96" i="6"/>
  <c r="F88" i="6"/>
  <c r="B89" i="6"/>
  <c r="B90" i="6"/>
  <c r="B91" i="6"/>
  <c r="B92" i="6"/>
  <c r="B93" i="6"/>
  <c r="B94" i="6"/>
  <c r="B95" i="6"/>
  <c r="B96" i="6"/>
  <c r="B88" i="6"/>
  <c r="E50" i="6"/>
  <c r="D50" i="6"/>
  <c r="E49" i="6"/>
  <c r="D49" i="6"/>
  <c r="E48" i="6"/>
  <c r="D48" i="6"/>
  <c r="E47" i="6"/>
  <c r="D47" i="6"/>
  <c r="E46" i="6"/>
  <c r="D46" i="6"/>
  <c r="E45" i="6"/>
  <c r="D45" i="6"/>
  <c r="E44" i="6"/>
  <c r="D44" i="6"/>
  <c r="E43" i="6"/>
  <c r="D43" i="6"/>
  <c r="E42" i="6"/>
  <c r="D42" i="6"/>
  <c r="G50" i="6"/>
  <c r="G49" i="6"/>
  <c r="H49" i="6" s="1"/>
  <c r="G48" i="6"/>
  <c r="H48" i="6" s="1"/>
  <c r="G47" i="6"/>
  <c r="H47" i="6" s="1"/>
  <c r="G46" i="6"/>
  <c r="H46" i="6" s="1"/>
  <c r="G45" i="6"/>
  <c r="G44" i="6"/>
  <c r="G43" i="6"/>
  <c r="H43" i="6" s="1"/>
  <c r="G42" i="6"/>
  <c r="H42" i="6" s="1"/>
  <c r="J165" i="6" l="1"/>
  <c r="H50" i="6"/>
  <c r="J42" i="6" s="1"/>
  <c r="J45" i="6"/>
  <c r="H45" i="6"/>
  <c r="J47" i="6" s="1"/>
  <c r="H44" i="6"/>
  <c r="J48" i="6" s="1"/>
  <c r="J49" i="6"/>
  <c r="J46" i="6"/>
  <c r="J44" i="6"/>
  <c r="J43" i="6"/>
  <c r="J50" i="6"/>
  <c r="E88" i="6"/>
  <c r="H88" i="6" s="1"/>
  <c r="F97" i="6" l="1"/>
  <c r="E89" i="6" l="1"/>
  <c r="H89" i="6" s="1"/>
  <c r="E90" i="6"/>
  <c r="H90" i="6" s="1"/>
  <c r="E91" i="6"/>
  <c r="H91" i="6" s="1"/>
  <c r="E92" i="6"/>
  <c r="H92" i="6" s="1"/>
  <c r="E93" i="6"/>
  <c r="H93" i="6" s="1"/>
  <c r="E94" i="6"/>
  <c r="H94" i="6" s="1"/>
  <c r="E95" i="6"/>
  <c r="H95" i="6" s="1"/>
  <c r="E96" i="6"/>
  <c r="H96" i="6" s="1"/>
  <c r="D89" i="6"/>
  <c r="G89" i="6" s="1"/>
  <c r="D90" i="6"/>
  <c r="G90" i="6" s="1"/>
  <c r="D91" i="6"/>
  <c r="G91" i="6" s="1"/>
  <c r="D92" i="6"/>
  <c r="G92" i="6" s="1"/>
  <c r="D93" i="6"/>
  <c r="G93" i="6" s="1"/>
  <c r="D94" i="6"/>
  <c r="G94" i="6" s="1"/>
  <c r="D95" i="6"/>
  <c r="G95" i="6" s="1"/>
  <c r="D96" i="6"/>
  <c r="G96" i="6" s="1"/>
  <c r="D88" i="6"/>
  <c r="G88" i="6" l="1"/>
  <c r="I88" i="6" s="1"/>
  <c r="I89" i="6"/>
  <c r="I96" i="6"/>
  <c r="I90" i="6"/>
  <c r="I93" i="6"/>
  <c r="I95" i="6"/>
  <c r="I92" i="6"/>
  <c r="I94" i="6"/>
  <c r="I91" i="6"/>
  <c r="S91" i="6" l="1"/>
  <c r="T91" i="6" s="1"/>
  <c r="U91" i="6" s="1"/>
  <c r="N91" i="6"/>
  <c r="O91" i="6" s="1"/>
  <c r="N94" i="6"/>
  <c r="O94" i="6" s="1"/>
  <c r="Q94" i="6" s="1"/>
  <c r="S94" i="6"/>
  <c r="T94" i="6" s="1"/>
  <c r="U94" i="6" s="1"/>
  <c r="N95" i="6"/>
  <c r="O95" i="6" s="1"/>
  <c r="S95" i="6"/>
  <c r="T95" i="6" s="1"/>
  <c r="U95" i="6" s="1"/>
  <c r="S93" i="6"/>
  <c r="T93" i="6" s="1"/>
  <c r="U93" i="6" s="1"/>
  <c r="N93" i="6"/>
  <c r="O93" i="6" s="1"/>
  <c r="S90" i="6"/>
  <c r="T90" i="6" s="1"/>
  <c r="U90" i="6" s="1"/>
  <c r="N90" i="6"/>
  <c r="O90" i="6" s="1"/>
  <c r="S96" i="6"/>
  <c r="T96" i="6" s="1"/>
  <c r="U96" i="6" s="1"/>
  <c r="N96" i="6"/>
  <c r="O96" i="6" s="1"/>
  <c r="S92" i="6"/>
  <c r="T92" i="6" s="1"/>
  <c r="U92" i="6" s="1"/>
  <c r="N92" i="6"/>
  <c r="O92" i="6" s="1"/>
  <c r="S88" i="6"/>
  <c r="N88" i="6"/>
  <c r="O88" i="6" s="1"/>
  <c r="S89" i="6"/>
  <c r="T89" i="6" s="1"/>
  <c r="U89" i="6" s="1"/>
  <c r="N89" i="6"/>
  <c r="O89" i="6" s="1"/>
  <c r="J95" i="6"/>
  <c r="J90" i="6"/>
  <c r="J92" i="6"/>
  <c r="J94" i="6"/>
  <c r="J89" i="6"/>
  <c r="J96" i="6"/>
  <c r="J91" i="6"/>
  <c r="J93" i="6"/>
  <c r="J88" i="6"/>
  <c r="Q95" i="6" l="1"/>
  <c r="Q96" i="6"/>
  <c r="J97" i="6"/>
  <c r="K88" i="6" s="1"/>
  <c r="Q93" i="6" l="1"/>
  <c r="Q90" i="6"/>
  <c r="Q92" i="6"/>
  <c r="Q91" i="6" l="1"/>
  <c r="Q89" i="6"/>
  <c r="T88" i="6"/>
  <c r="U88" i="6" s="1"/>
  <c r="U97" i="6" s="1"/>
  <c r="V88" i="6" s="1"/>
  <c r="Q88" i="6"/>
  <c r="Q97" i="6" l="1"/>
  <c r="R88" i="6" s="1"/>
  <c r="F44" i="1" l="1"/>
  <c r="S50" i="1" l="1"/>
  <c r="Q47" i="1"/>
  <c r="Q48" i="1" s="1"/>
  <c r="Q49" i="1" s="1"/>
  <c r="Q50" i="1" s="1"/>
  <c r="V6" i="1"/>
  <c r="V8" i="1"/>
  <c r="S8" i="1"/>
  <c r="T8" i="1"/>
  <c r="R8" i="1"/>
  <c r="R10" i="1" s="1"/>
  <c r="Q2" i="1" l="1"/>
  <c r="F17" i="2" l="1"/>
  <c r="F16" i="2"/>
  <c r="B15" i="2" l="1"/>
  <c r="B13" i="1"/>
  <c r="F18" i="2"/>
  <c r="F19" i="2"/>
  <c r="F46" i="2"/>
  <c r="F32" i="2"/>
  <c r="F12" i="2"/>
  <c r="F54" i="1"/>
  <c r="F52" i="1"/>
  <c r="F70" i="2" l="1"/>
  <c r="F71" i="2" s="1"/>
  <c r="F43" i="1"/>
  <c r="F47" i="1" s="1"/>
  <c r="F10" i="1"/>
  <c r="F68" i="1" l="1"/>
  <c r="F55" i="1"/>
  <c r="F16" i="1"/>
  <c r="F39" i="1" s="1"/>
  <c r="F40" i="1" l="1"/>
  <c r="J9" i="1"/>
  <c r="F17" i="1"/>
  <c r="V13" i="1"/>
  <c r="F41" i="1" l="1"/>
  <c r="F42" i="1" s="1"/>
  <c r="K9" i="1"/>
  <c r="L9" i="1" s="1"/>
  <c r="J10" i="1" s="1"/>
  <c r="K10" i="1" s="1"/>
  <c r="L10" i="1" s="1"/>
  <c r="M10" i="1" s="1"/>
  <c r="F37" i="1"/>
  <c r="F58" i="1" l="1"/>
  <c r="F45" i="1"/>
  <c r="F46" i="1" s="1"/>
  <c r="F71" i="1"/>
  <c r="F60" i="1"/>
  <c r="F51" i="1"/>
  <c r="F31" i="2"/>
  <c r="F66" i="2" s="1"/>
  <c r="F72" i="2" s="1"/>
  <c r="F48" i="1"/>
  <c r="F49" i="1" s="1"/>
  <c r="F50" i="1"/>
  <c r="F53" i="1"/>
  <c r="J11" i="1"/>
  <c r="M9" i="1"/>
  <c r="F69" i="1" l="1"/>
  <c r="F61" i="1"/>
  <c r="F62" i="1" s="1"/>
  <c r="F63" i="1" s="1"/>
  <c r="K11" i="1"/>
  <c r="L11" i="1" s="1"/>
  <c r="J12" i="1" s="1"/>
  <c r="K12" i="1" s="1"/>
  <c r="L12" i="1" s="1"/>
  <c r="F40" i="2"/>
  <c r="F42" i="2" s="1"/>
  <c r="F41" i="2"/>
  <c r="F36" i="2"/>
  <c r="M11" i="1" l="1"/>
  <c r="M12" i="1"/>
  <c r="J13" i="1"/>
  <c r="F73" i="2"/>
  <c r="F58" i="2"/>
  <c r="F47" i="2"/>
  <c r="F48" i="2" s="1"/>
  <c r="F52" i="2" s="1"/>
  <c r="F62" i="2"/>
  <c r="F64" i="1" l="1"/>
  <c r="F65" i="1" s="1"/>
  <c r="K13" i="1"/>
  <c r="L13" i="1" s="1"/>
  <c r="J14" i="1" s="1"/>
  <c r="K14" i="1" s="1"/>
  <c r="L14" i="1" s="1"/>
  <c r="M14" i="1" s="1"/>
  <c r="F66" i="1" l="1"/>
  <c r="J15" i="1"/>
  <c r="K15" i="1" s="1"/>
  <c r="L15" i="1" s="1"/>
  <c r="M13" i="1"/>
  <c r="F67" i="1" l="1"/>
  <c r="F70" i="1"/>
  <c r="M15" i="1"/>
  <c r="J16" i="1"/>
  <c r="K16" i="1" l="1"/>
  <c r="L16" i="1" s="1"/>
  <c r="J17" i="1" s="1"/>
  <c r="M16" i="1" l="1"/>
  <c r="K17" i="1"/>
  <c r="L17" i="1" s="1"/>
  <c r="M17" i="1" s="1"/>
  <c r="J18" i="1" l="1"/>
  <c r="K18" i="1" l="1"/>
  <c r="L18" i="1" s="1"/>
  <c r="J19" i="1" l="1"/>
  <c r="M18" i="1"/>
  <c r="K19" i="1" l="1"/>
  <c r="L19" i="1" s="1"/>
  <c r="J20" i="1" l="1"/>
  <c r="M19" i="1"/>
  <c r="K20" i="1" l="1"/>
  <c r="L20" i="1" s="1"/>
  <c r="J21" i="1" l="1"/>
  <c r="K21" i="1" s="1"/>
  <c r="L21" i="1" s="1"/>
  <c r="M20" i="1"/>
  <c r="M21" i="1" l="1"/>
  <c r="J22" i="1"/>
  <c r="K22" i="1" s="1"/>
  <c r="L22" i="1" s="1"/>
  <c r="M22" i="1" l="1"/>
  <c r="J23" i="1"/>
  <c r="K23" i="1" s="1"/>
  <c r="L23" i="1" s="1"/>
  <c r="M23" i="1" l="1"/>
  <c r="J24" i="1"/>
  <c r="K24" i="1" s="1"/>
  <c r="L24" i="1" s="1"/>
  <c r="J25" i="1" l="1"/>
  <c r="K25" i="1" s="1"/>
  <c r="L25" i="1" s="1"/>
  <c r="M24" i="1"/>
  <c r="M25" i="1" l="1"/>
  <c r="J26" i="1"/>
  <c r="K26" i="1" s="1"/>
  <c r="L26" i="1" s="1"/>
  <c r="M26" i="1" l="1"/>
  <c r="J27" i="1"/>
  <c r="K27" i="1" s="1"/>
  <c r="L27" i="1" s="1"/>
  <c r="M27" i="1" l="1"/>
  <c r="J28" i="1"/>
  <c r="K28" i="1" s="1"/>
  <c r="L28" i="1" s="1"/>
  <c r="M28" i="1" l="1"/>
  <c r="J29" i="1"/>
  <c r="K29" i="1" s="1"/>
  <c r="L29" i="1" s="1"/>
  <c r="M29" i="1" l="1"/>
  <c r="J30" i="1"/>
  <c r="F38" i="1" l="1"/>
  <c r="K30" i="1"/>
  <c r="L30" i="1" s="1"/>
  <c r="M30" i="1" s="1"/>
  <c r="K50" i="6"/>
  <c r="K49" i="6"/>
  <c r="K43" i="6"/>
  <c r="K44" i="6"/>
  <c r="F57" i="6"/>
  <c r="G57" i="6" s="1"/>
  <c r="F64" i="6"/>
  <c r="K45" i="6"/>
  <c r="K47" i="6"/>
  <c r="K42" i="6"/>
  <c r="K46" i="6"/>
  <c r="F56" i="6" s="1"/>
  <c r="G56" i="6" s="1"/>
  <c r="K48" i="6"/>
  <c r="G64" i="6" l="1"/>
  <c r="F63" i="6"/>
  <c r="G63" i="6" s="1"/>
  <c r="H56" i="6"/>
  <c r="K56" i="6" s="1"/>
  <c r="H63" i="6" l="1"/>
  <c r="B70" i="6"/>
  <c r="K63" i="6" l="1"/>
  <c r="F70" i="6" s="1"/>
  <c r="G70" i="6" s="1"/>
  <c r="J136" i="6" s="1"/>
  <c r="J137" i="6" l="1"/>
  <c r="J138" i="6" s="1"/>
  <c r="J139" i="6" l="1"/>
  <c r="J140" i="6" l="1"/>
</calcChain>
</file>

<file path=xl/comments1.xml><?xml version="1.0" encoding="utf-8"?>
<comments xmlns="http://schemas.openxmlformats.org/spreadsheetml/2006/main">
  <authors>
    <author>Ariel Puerto</author>
  </authors>
  <commentList>
    <comment ref="K8" authorId="0" shapeId="0">
      <text>
        <r>
          <rPr>
            <b/>
            <sz val="9"/>
            <color indexed="81"/>
            <rFont val="Tahoma"/>
            <family val="2"/>
          </rPr>
          <t>Ariel Puerto:</t>
        </r>
        <r>
          <rPr>
            <sz val="9"/>
            <color indexed="81"/>
            <rFont val="Tahoma"/>
            <family val="2"/>
          </rPr>
          <t xml:space="preserve">
Entre 100 y 500, preferiblemente &lt;250 (Lozano Rivas)</t>
        </r>
      </text>
    </comment>
    <comment ref="F14" authorId="0" shapeId="0">
      <text>
        <r>
          <rPr>
            <b/>
            <sz val="9"/>
            <color indexed="81"/>
            <rFont val="Tahoma"/>
            <family val="2"/>
          </rPr>
          <t>Ariel Puerto:</t>
        </r>
        <r>
          <rPr>
            <sz val="9"/>
            <color indexed="81"/>
            <rFont val="Tahoma"/>
            <family val="2"/>
          </rPr>
          <t xml:space="preserve">
0,05 m (Lozano Rivas)</t>
        </r>
      </text>
    </comment>
    <comment ref="F18" authorId="0" shapeId="0">
      <text>
        <r>
          <rPr>
            <b/>
            <sz val="9"/>
            <color indexed="81"/>
            <rFont val="Tahoma"/>
            <family val="2"/>
          </rPr>
          <t>Ariel Puerto:</t>
        </r>
        <r>
          <rPr>
            <sz val="9"/>
            <color indexed="81"/>
            <rFont val="Tahoma"/>
            <family val="2"/>
          </rPr>
          <t xml:space="preserve">
Sujeto a dimensiones comerciales de placas</t>
        </r>
      </text>
    </comment>
    <comment ref="F21" authorId="0" shapeId="0">
      <text>
        <r>
          <rPr>
            <b/>
            <sz val="9"/>
            <color indexed="81"/>
            <rFont val="Tahoma"/>
            <family val="2"/>
          </rPr>
          <t>Ariel Puerto:</t>
        </r>
        <r>
          <rPr>
            <sz val="9"/>
            <color indexed="81"/>
            <rFont val="Tahoma"/>
            <family val="2"/>
          </rPr>
          <t xml:space="preserve">
Entre 0,45° y 0,60° (Lozano Rivas) </t>
        </r>
      </text>
    </comment>
    <comment ref="F39" authorId="0" shapeId="0">
      <text>
        <r>
          <rPr>
            <b/>
            <sz val="9"/>
            <color indexed="81"/>
            <rFont val="Tahoma"/>
            <family val="2"/>
          </rPr>
          <t>Ariel Puerto:</t>
        </r>
        <r>
          <rPr>
            <sz val="9"/>
            <color indexed="81"/>
            <rFont val="Tahoma"/>
            <family val="2"/>
          </rPr>
          <t xml:space="preserve">
Entre 0,20 y 0,22 cm/s (Lozano Rivas, Arboleda)</t>
        </r>
      </text>
    </comment>
    <comment ref="F49" authorId="0" shapeId="0">
      <text>
        <r>
          <rPr>
            <b/>
            <sz val="9"/>
            <color indexed="81"/>
            <rFont val="Tahoma"/>
            <family val="2"/>
          </rPr>
          <t>Ariel Puerto:</t>
        </r>
        <r>
          <rPr>
            <sz val="9"/>
            <color indexed="81"/>
            <rFont val="Tahoma"/>
            <family val="2"/>
          </rPr>
          <t xml:space="preserve">
Entre 15 y
 20 minutos (Romero)</t>
        </r>
      </text>
    </comment>
    <comment ref="F50" authorId="0" shapeId="0">
      <text>
        <r>
          <rPr>
            <b/>
            <sz val="9"/>
            <color indexed="81"/>
            <rFont val="Tahoma"/>
            <family val="2"/>
          </rPr>
          <t>Ariel Puerto:</t>
        </r>
        <r>
          <rPr>
            <sz val="9"/>
            <color indexed="81"/>
            <rFont val="Tahoma"/>
            <family val="2"/>
          </rPr>
          <t xml:space="preserve">
Entre 120 y
 185 m3/m2/dia para placas angotas (Lozano Rivas)
</t>
        </r>
      </text>
    </comment>
    <comment ref="F51" authorId="0" shapeId="0">
      <text>
        <r>
          <rPr>
            <b/>
            <sz val="9"/>
            <color indexed="81"/>
            <rFont val="Tahoma"/>
            <family val="2"/>
          </rPr>
          <t>Ariel Puerto:</t>
        </r>
        <r>
          <rPr>
            <sz val="9"/>
            <color indexed="81"/>
            <rFont val="Tahoma"/>
            <family val="2"/>
          </rPr>
          <t xml:space="preserve">
Entre 1:3 y 1:10; preferiblemente 1:4 y 1:5 (Lozano Rivas)</t>
        </r>
      </text>
    </comment>
    <comment ref="F55" authorId="0" shapeId="0">
      <text>
        <r>
          <rPr>
            <b/>
            <sz val="9"/>
            <color indexed="81"/>
            <rFont val="Tahoma"/>
            <family val="2"/>
          </rPr>
          <t>Ariel Puerto:</t>
        </r>
        <r>
          <rPr>
            <sz val="9"/>
            <color indexed="81"/>
            <rFont val="Tahoma"/>
            <family val="2"/>
          </rPr>
          <t xml:space="preserve">
Entre 3,5 y
 5,5 m (Lozano Rivas)</t>
        </r>
      </text>
    </comment>
  </commentList>
</comments>
</file>

<file path=xl/comments2.xml><?xml version="1.0" encoding="utf-8"?>
<comments xmlns="http://schemas.openxmlformats.org/spreadsheetml/2006/main">
  <authors>
    <author>Ariel Puerto</author>
  </authors>
  <commentList>
    <comment ref="F48" authorId="0" shapeId="0">
      <text>
        <r>
          <rPr>
            <b/>
            <sz val="9"/>
            <color indexed="81"/>
            <rFont val="Tahoma"/>
            <family val="2"/>
          </rPr>
          <t>Ariel Puerto:</t>
        </r>
        <r>
          <rPr>
            <sz val="9"/>
            <color indexed="81"/>
            <rFont val="Tahoma"/>
            <family val="2"/>
          </rPr>
          <t xml:space="preserve">
&gt;20 y preferiblemente &gt;24 (Lozano Rivas)</t>
        </r>
      </text>
    </comment>
  </commentList>
</comments>
</file>

<file path=xl/sharedStrings.xml><?xml version="1.0" encoding="utf-8"?>
<sst xmlns="http://schemas.openxmlformats.org/spreadsheetml/2006/main" count="634" uniqueCount="413">
  <si>
    <t>Q</t>
  </si>
  <si>
    <t>Re</t>
  </si>
  <si>
    <t>v</t>
  </si>
  <si>
    <t>m</t>
  </si>
  <si>
    <t>m/d</t>
  </si>
  <si>
    <t>m/s</t>
  </si>
  <si>
    <t>cm/s</t>
  </si>
  <si>
    <t xml:space="preserve"> </t>
  </si>
  <si>
    <t>cm</t>
  </si>
  <si>
    <t>s</t>
  </si>
  <si>
    <t>Viscosidad cinemática</t>
  </si>
  <si>
    <t>e</t>
  </si>
  <si>
    <t>l</t>
  </si>
  <si>
    <t>w</t>
  </si>
  <si>
    <t>a</t>
  </si>
  <si>
    <t>Velocidad de sedimentación crítica</t>
  </si>
  <si>
    <t>Largo de la placa</t>
  </si>
  <si>
    <t>Espesor de la placa</t>
  </si>
  <si>
    <t>Ancho de placa</t>
  </si>
  <si>
    <t xml:space="preserve">Ángulo de inclinación de la placa </t>
  </si>
  <si>
    <r>
      <t>m</t>
    </r>
    <r>
      <rPr>
        <vertAlign val="superscript"/>
        <sz val="11"/>
        <color theme="1"/>
        <rFont val="Calibri"/>
        <family val="2"/>
        <scheme val="minor"/>
      </rPr>
      <t>3</t>
    </r>
    <r>
      <rPr>
        <sz val="11"/>
        <color theme="1"/>
        <rFont val="Calibri"/>
        <family val="2"/>
        <scheme val="minor"/>
      </rPr>
      <t>/s</t>
    </r>
  </si>
  <si>
    <r>
      <t>m</t>
    </r>
    <r>
      <rPr>
        <vertAlign val="superscript"/>
        <sz val="11"/>
        <color theme="1"/>
        <rFont val="Calibri"/>
        <family val="2"/>
        <scheme val="minor"/>
      </rPr>
      <t>2</t>
    </r>
    <r>
      <rPr>
        <sz val="11"/>
        <color theme="1"/>
        <rFont val="Calibri"/>
        <family val="2"/>
        <scheme val="minor"/>
      </rPr>
      <t>/s</t>
    </r>
  </si>
  <si>
    <t>Espacio entre placas</t>
  </si>
  <si>
    <t>°</t>
  </si>
  <si>
    <t>θ</t>
  </si>
  <si>
    <t>Diferencia</t>
  </si>
  <si>
    <t>Tiempo de retención en cada canal</t>
  </si>
  <si>
    <t>N</t>
  </si>
  <si>
    <t>und</t>
  </si>
  <si>
    <t>Longitud ocupada por las placas</t>
  </si>
  <si>
    <t>Altura de las placas</t>
  </si>
  <si>
    <t>Número de módulos</t>
  </si>
  <si>
    <t>Caudal por módulo</t>
  </si>
  <si>
    <t>Caudal de diseño (QMD)</t>
  </si>
  <si>
    <t>Referencias bibliográficas:</t>
  </si>
  <si>
    <t>1.</t>
  </si>
  <si>
    <t>Referencia 1</t>
  </si>
  <si>
    <t xml:space="preserve">2. </t>
  </si>
  <si>
    <t>Referencia 2, Referencia 3</t>
  </si>
  <si>
    <t>3.</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</si>
  <si>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191.</t>
    </r>
  </si>
  <si>
    <r>
      <t>Iteraciones para el calculo de V</t>
    </r>
    <r>
      <rPr>
        <b/>
        <vertAlign val="subscript"/>
        <sz val="11"/>
        <color theme="1"/>
        <rFont val="Calibri"/>
        <family val="2"/>
        <scheme val="minor"/>
      </rPr>
      <t>0</t>
    </r>
  </si>
  <si>
    <t>Velocidad promedio de flujo correjida (iteración)</t>
  </si>
  <si>
    <t>Velocidad promedio de flujo correjida (despeje)</t>
  </si>
  <si>
    <t>Número de canales por módulo</t>
  </si>
  <si>
    <t>DATOS DE ENTRADA:</t>
  </si>
  <si>
    <r>
      <t>h</t>
    </r>
    <r>
      <rPr>
        <i/>
        <vertAlign val="subscript"/>
        <sz val="11"/>
        <color theme="1"/>
        <rFont val="Cambria"/>
        <family val="1"/>
      </rPr>
      <t>a</t>
    </r>
  </si>
  <si>
    <t>DETERMINACIÓN DE LOS PARÁMETROS BÁSICOS DE DISEÑO:</t>
  </si>
  <si>
    <t>Distancia entre canaletas de recolección</t>
  </si>
  <si>
    <t>Referencia 4</t>
  </si>
  <si>
    <t>4.</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</si>
  <si>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206.</t>
    </r>
  </si>
  <si>
    <t>Nivel del agua sobre las placas</t>
  </si>
  <si>
    <t>Borde libre</t>
  </si>
  <si>
    <t>bl</t>
  </si>
  <si>
    <t>Referencia 5</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</si>
  <si>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192.</t>
    </r>
  </si>
  <si>
    <t>5.</t>
  </si>
  <si>
    <t>Distancia vertical orificios de distribución a placas</t>
  </si>
  <si>
    <t>Referencia 6</t>
  </si>
  <si>
    <t>6.</t>
  </si>
  <si>
    <r>
      <t>h</t>
    </r>
    <r>
      <rPr>
        <i/>
        <vertAlign val="subscript"/>
        <sz val="11"/>
        <color theme="1"/>
        <rFont val="Cambria"/>
        <family val="1"/>
      </rPr>
      <t>d</t>
    </r>
  </si>
  <si>
    <t>Altura de sedimentación</t>
  </si>
  <si>
    <r>
      <t>w</t>
    </r>
    <r>
      <rPr>
        <i/>
        <vertAlign val="subscript"/>
        <sz val="11"/>
        <color theme="1"/>
        <rFont val="Cambria"/>
        <family val="1"/>
      </rPr>
      <t>d</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</si>
  <si>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207.</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</si>
  <si>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215.</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</si>
  <si>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210.</t>
    </r>
  </si>
  <si>
    <t>Ancho interno de canales de distribución</t>
  </si>
  <si>
    <t>Tiempo de retención total en el tanque</t>
  </si>
  <si>
    <t>Volumen de cada tanque de sedimentación</t>
  </si>
  <si>
    <t>min</t>
  </si>
  <si>
    <r>
      <t>v</t>
    </r>
    <r>
      <rPr>
        <b/>
        <i/>
        <vertAlign val="subscript"/>
        <sz val="11"/>
        <color theme="1"/>
        <rFont val="Cambria"/>
        <family val="1"/>
      </rPr>
      <t>0</t>
    </r>
  </si>
  <si>
    <t>L_c=L-L´</t>
  </si>
  <si>
    <t>L : A</t>
  </si>
  <si>
    <t>Espesor de muros y placas de concreto</t>
  </si>
  <si>
    <r>
      <t>e</t>
    </r>
    <r>
      <rPr>
        <i/>
        <vertAlign val="subscript"/>
        <sz val="11"/>
        <color theme="1"/>
        <rFont val="Cambria"/>
        <family val="1"/>
      </rPr>
      <t>c</t>
    </r>
  </si>
  <si>
    <t>Pendiente tranversal de la tolva de lodos</t>
  </si>
  <si>
    <t>Referencia 7</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</si>
  <si>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186.</t>
    </r>
  </si>
  <si>
    <t>7.</t>
  </si>
  <si>
    <t>Altura de la tolva de lodos</t>
  </si>
  <si>
    <t>Longitud de la sección plana de la tolva de lodos</t>
  </si>
  <si>
    <t>Referencia 8</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</si>
  <si>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216.</t>
    </r>
  </si>
  <si>
    <r>
      <t>p</t>
    </r>
    <r>
      <rPr>
        <i/>
        <vertAlign val="subscript"/>
        <sz val="11"/>
        <color theme="1"/>
        <rFont val="Cambria"/>
        <family val="1"/>
      </rPr>
      <t>t</t>
    </r>
  </si>
  <si>
    <t>α</t>
  </si>
  <si>
    <t>Altura total del sedimentador</t>
  </si>
  <si>
    <t>Largo total del sedimentador</t>
  </si>
  <si>
    <t>L</t>
  </si>
  <si>
    <t>Ancho total del sedimentador</t>
  </si>
  <si>
    <t>Carga superficial</t>
  </si>
  <si>
    <t>CS</t>
  </si>
  <si>
    <r>
      <t>Q</t>
    </r>
    <r>
      <rPr>
        <i/>
        <vertAlign val="subscript"/>
        <sz val="11"/>
        <color theme="1"/>
        <rFont val="Cambria"/>
        <family val="1"/>
      </rPr>
      <t>mod</t>
    </r>
  </si>
  <si>
    <t>8.</t>
  </si>
  <si>
    <t>Velocidad promedio del flujo</t>
  </si>
  <si>
    <t>Largo de placa</t>
  </si>
  <si>
    <t>Ancho de la placa</t>
  </si>
  <si>
    <t>Longitud efectiva ocupada por las placas</t>
  </si>
  <si>
    <t>Número de placas</t>
  </si>
  <si>
    <t>Longitud relativa del sedimentador</t>
  </si>
  <si>
    <t>Longitud relativa para la region de transición</t>
  </si>
  <si>
    <t>L´</t>
  </si>
  <si>
    <t>Longitud relativa del sedimentador corregida</t>
  </si>
  <si>
    <t>Se calcula la carga superficial</t>
  </si>
  <si>
    <t xml:space="preserve">Velocidad de sedimentación crítica </t>
  </si>
  <si>
    <r>
      <rPr>
        <sz val="11"/>
        <color theme="1"/>
        <rFont val="Cambria"/>
        <family val="1"/>
      </rPr>
      <t>v</t>
    </r>
    <r>
      <rPr>
        <i/>
        <vertAlign val="subscript"/>
        <sz val="11"/>
        <color theme="1"/>
        <rFont val="Cambria"/>
        <family val="1"/>
      </rPr>
      <t>sc</t>
    </r>
  </si>
  <si>
    <t>Tipo de sedimentador de alta tasa</t>
  </si>
  <si>
    <t>Placas paralelas</t>
  </si>
  <si>
    <r>
      <t>S</t>
    </r>
    <r>
      <rPr>
        <i/>
        <vertAlign val="subscript"/>
        <sz val="11"/>
        <color theme="1"/>
        <rFont val="Cambria"/>
        <family val="1"/>
      </rPr>
      <t>c</t>
    </r>
  </si>
  <si>
    <t>Número de Reynolds</t>
  </si>
  <si>
    <t>OTROS DATOS PARA EL DIMENSIONAMIENTO:</t>
  </si>
  <si>
    <t>PROCEDIMIENTO:</t>
  </si>
  <si>
    <t>Se asume longitud y ancho para cada tanque. A fin de encontrar una comparación didáctica de los cálculos arrojados se usará el mismo largo del tanque calculado siguiendo el procedimiento dictado en clase.</t>
  </si>
  <si>
    <t>CONCLUSIÓN:</t>
  </si>
  <si>
    <t>Utilizando la separación entre placas asignada, se calcula la longitud relativa de sedimentación:</t>
  </si>
  <si>
    <t>Se calcula la velocidad crítica de asentamiento o carga superficial de sedimentación de alta tasa según la ecuación de Yao:</t>
  </si>
  <si>
    <t>Se verifica ahora el número de Reynolds para el flujo laminar:</t>
  </si>
  <si>
    <t>Se calcula el tiempo de retención en los canales lamelares:</t>
  </si>
  <si>
    <t>Se calcula el tiempo de retención total en el tanque. En esta caso también se descontará el volumen ocupado por cada lámina:</t>
  </si>
  <si>
    <t>UNIVERSIDAD MANUEL BELTRÁN</t>
  </si>
  <si>
    <t>ESPECIALIZACIÓN EN AGUAS Y SANEAMIENTO AMBIENTAL</t>
  </si>
  <si>
    <t>DISEÑOS II DE PLANTAS DE POTABILIZACIÓN (0EAS0201-101_A1)</t>
  </si>
  <si>
    <t>INTEGRANTES DEL GRUPO 01:</t>
  </si>
  <si>
    <t>Luis Feiver Fonseca</t>
  </si>
  <si>
    <t>Hernando Ariel Puerto Cárdenas</t>
  </si>
  <si>
    <t>PROCEDIMIENTO SEGÚN ROMERO ROJAS, J. A. EN EL LIBRO "PURIFICACIÓN DEL AGUA", 2DA EDICIÓN</t>
  </si>
  <si>
    <t>FECHA DE ENTREGA:</t>
  </si>
  <si>
    <t>DISEÑO DE SEDIMENTADOR DE ALTA TASA</t>
  </si>
  <si>
    <t>Velocidad promedio de flujo</t>
  </si>
  <si>
    <t>Fórmula ajustada para cálculo de longitud de zona de placas que corresponde a la forma de un poliedro rectangular inclinado</t>
  </si>
  <si>
    <t>Para un cálculo más exacto se descuenta el volumen ocupado por la placas</t>
  </si>
  <si>
    <t>N-1</t>
  </si>
  <si>
    <t xml:space="preserve">A partir del área transversal efectiva se calcula velocidad promedio del flujo. Se ajustan algunas de las fórmulas de cálculo de la longitud de zona de placas que corresponde a la forma de un poliedro rectangular inclinado. En esta propuesta geométrica del sedimentador la longitud ocupada por las placas realmente efectiva viene siendo igual a la totalidad de la longitud interna del tanque, por lo cual no es necesario descontar la proyección horizontal de la primera placa como se haría tratándose de un tanque de muros verticales en su totalidad. Para una mayor exactitud del cálculo se descontará también el volumen que ocupa cada placa. </t>
  </si>
  <si>
    <t>Se calcula el número de placas despejando N de la longitud ocupada por las placas, puede usarse la fórmula indicada o simplemente sumar una unidad a la número de placas ya calculado. En la propuesta de una zona de placas que corresponde a la forma de un poliedro rectangular inclinado, el número de placas es menor en una unidad que el número de canales ya que no es necesario colocar placas directamente sobre las caras internas de los muros inclinados ya que estas superficies de concreto, de igual ángulo de inclinación que las placas, sirven para delimitar el primero y el último canal</t>
  </si>
  <si>
    <t>Longitud de cada tanque (longitud de las placas)</t>
  </si>
  <si>
    <r>
      <t>v</t>
    </r>
    <r>
      <rPr>
        <vertAlign val="subscript"/>
        <sz val="11"/>
        <rFont val="Cambria"/>
        <family val="1"/>
      </rPr>
      <t>0</t>
    </r>
  </si>
  <si>
    <r>
      <t>t</t>
    </r>
    <r>
      <rPr>
        <i/>
        <vertAlign val="subscript"/>
        <sz val="11"/>
        <rFont val="Cambria"/>
        <family val="1"/>
      </rPr>
      <t>c</t>
    </r>
  </si>
  <si>
    <r>
      <t>L</t>
    </r>
    <r>
      <rPr>
        <i/>
        <vertAlign val="subscript"/>
        <sz val="11"/>
        <rFont val="Cambria"/>
        <family val="1"/>
      </rPr>
      <t>p</t>
    </r>
  </si>
  <si>
    <r>
      <t>h</t>
    </r>
    <r>
      <rPr>
        <i/>
        <vertAlign val="subscript"/>
        <sz val="11"/>
        <rFont val="Cambria"/>
        <family val="1"/>
      </rPr>
      <t>p</t>
    </r>
  </si>
  <si>
    <r>
      <t>h</t>
    </r>
    <r>
      <rPr>
        <i/>
        <vertAlign val="subscript"/>
        <sz val="11"/>
        <rFont val="Cambria"/>
        <family val="1"/>
      </rPr>
      <t>s</t>
    </r>
  </si>
  <si>
    <r>
      <t>V</t>
    </r>
    <r>
      <rPr>
        <i/>
        <vertAlign val="subscript"/>
        <sz val="11"/>
        <rFont val="Cambria"/>
        <family val="1"/>
      </rPr>
      <t>t</t>
    </r>
  </si>
  <si>
    <r>
      <t>m</t>
    </r>
    <r>
      <rPr>
        <vertAlign val="superscript"/>
        <sz val="11"/>
        <rFont val="Calibri"/>
        <family val="2"/>
        <scheme val="minor"/>
      </rPr>
      <t>3</t>
    </r>
  </si>
  <si>
    <r>
      <t>t</t>
    </r>
    <r>
      <rPr>
        <i/>
        <vertAlign val="subscript"/>
        <sz val="11"/>
        <rFont val="Cambria"/>
        <family val="1"/>
      </rPr>
      <t>t</t>
    </r>
  </si>
  <si>
    <r>
      <t>m</t>
    </r>
    <r>
      <rPr>
        <vertAlign val="superscript"/>
        <sz val="11"/>
        <rFont val="Calibri"/>
        <family val="2"/>
        <scheme val="minor"/>
      </rPr>
      <t>3</t>
    </r>
    <r>
      <rPr>
        <sz val="11"/>
        <rFont val="Calibri"/>
        <family val="2"/>
        <scheme val="minor"/>
      </rPr>
      <t>/m</t>
    </r>
    <r>
      <rPr>
        <vertAlign val="superscript"/>
        <sz val="11"/>
        <rFont val="Calibri"/>
        <family val="2"/>
        <scheme val="minor"/>
      </rPr>
      <t>2</t>
    </r>
    <r>
      <rPr>
        <sz val="11"/>
        <rFont val="Calibri"/>
        <family val="2"/>
        <scheme val="minor"/>
      </rPr>
      <t>/dia</t>
    </r>
  </si>
  <si>
    <r>
      <t>L</t>
    </r>
    <r>
      <rPr>
        <i/>
        <vertAlign val="subscript"/>
        <sz val="11"/>
        <rFont val="Cambria"/>
        <family val="1"/>
      </rPr>
      <t>ep</t>
    </r>
  </si>
  <si>
    <r>
      <t>L</t>
    </r>
    <r>
      <rPr>
        <i/>
        <vertAlign val="subscript"/>
        <sz val="11"/>
        <rFont val="Cambria"/>
        <family val="1"/>
      </rPr>
      <t>c</t>
    </r>
  </si>
  <si>
    <r>
      <rPr>
        <sz val="11"/>
        <rFont val="Cambria"/>
        <family val="1"/>
      </rPr>
      <t>v</t>
    </r>
    <r>
      <rPr>
        <i/>
        <vertAlign val="subscript"/>
        <sz val="11"/>
        <rFont val="Cambria"/>
        <family val="1"/>
      </rPr>
      <t>sc</t>
    </r>
  </si>
  <si>
    <r>
      <t xml:space="preserve">El valor de </t>
    </r>
    <r>
      <rPr>
        <sz val="11"/>
        <rFont val="Cambria"/>
        <family val="1"/>
      </rPr>
      <t>v</t>
    </r>
    <r>
      <rPr>
        <vertAlign val="subscript"/>
        <sz val="11"/>
        <rFont val="Cambria"/>
        <family val="1"/>
      </rPr>
      <t>sc</t>
    </r>
    <r>
      <rPr>
        <sz val="11"/>
        <rFont val="Calibri"/>
        <family val="2"/>
        <scheme val="minor"/>
      </rPr>
      <t xml:space="preserve"> es comparable con la velocidad de sedimentación convencional de diseño la cual según Lozano - Rivas para floc de alumbre es de 12 - 23 m/d.</t>
    </r>
  </si>
  <si>
    <r>
      <t xml:space="preserve">Para iguales datos de entrada los parámetros básicos de diseño del sedimentador de alta tasa calculados son iguales siguiendo el método descrito por libro </t>
    </r>
    <r>
      <rPr>
        <i/>
        <sz val="11"/>
        <color theme="1"/>
        <rFont val="Calibri"/>
        <family val="2"/>
        <scheme val="minor"/>
      </rPr>
      <t>Purificación de agua</t>
    </r>
    <r>
      <rPr>
        <sz val="11"/>
        <color theme="1"/>
        <rFont val="Calibri"/>
        <family val="2"/>
        <scheme val="minor"/>
      </rPr>
      <t xml:space="preserve">, 2a Edición, de autor Romero Rojas, J.A. En este procedimiento en específico no se requiere iteraciones para encontrar la velocidad, </t>
    </r>
    <r>
      <rPr>
        <sz val="11"/>
        <color theme="1"/>
        <rFont val="Cambria"/>
        <family val="1"/>
      </rPr>
      <t>v</t>
    </r>
    <r>
      <rPr>
        <vertAlign val="subscript"/>
        <sz val="11"/>
        <color theme="1"/>
        <rFont val="Cambria"/>
        <family val="1"/>
      </rPr>
      <t xml:space="preserve">0 </t>
    </r>
    <r>
      <rPr>
        <sz val="11"/>
        <color theme="1"/>
        <rFont val="Calibri"/>
        <family val="2"/>
        <scheme val="minor"/>
      </rPr>
      <t>, promedio del flujo. Si no se tratase de  la comparación de resultados entre los dos métodos como es este caso, el diseño siguiendo el método  de Romero parte estimando una longitud para el tanque de sedimentación la cual habrá de ajustarse hasta encontrar valores ideales de parámetros del diseño tales como la carga superificial, la velocidad crítica de sedimentación y número de Reynolds.</t>
    </r>
  </si>
  <si>
    <t xml:space="preserve">Relación ancho / largo de cada tanque </t>
  </si>
  <si>
    <t>DATOS DE ENTRADA PARA PARÁMETROS BÁSICOS</t>
  </si>
  <si>
    <t>OTROS DATOS PARA EL DIMENSIONAMIENTO DE LA ESTRUCTURA:</t>
  </si>
  <si>
    <t>DATOS PARA EL DISEÑO DE LA EVACUACIÓN DE LODOS</t>
  </si>
  <si>
    <t>pulg</t>
  </si>
  <si>
    <t>DISEÑO DEL SISTEMA DE EVACUACIÓN DE LODOS</t>
  </si>
  <si>
    <t>Diámetro nominal del múltiple de descarga</t>
  </si>
  <si>
    <t>Longitud del múltiple de descarga</t>
  </si>
  <si>
    <r>
      <t>n</t>
    </r>
    <r>
      <rPr>
        <i/>
        <vertAlign val="subscript"/>
        <sz val="11"/>
        <color theme="1"/>
        <rFont val="Cambria"/>
        <family val="1"/>
      </rPr>
      <t>o</t>
    </r>
  </si>
  <si>
    <r>
      <t>h</t>
    </r>
    <r>
      <rPr>
        <i/>
        <vertAlign val="subscript"/>
        <sz val="11"/>
        <color theme="1"/>
        <rFont val="Cambria"/>
        <family val="1"/>
      </rPr>
      <t>e</t>
    </r>
  </si>
  <si>
    <t>Relación longitud del múltiple y número de orificios</t>
  </si>
  <si>
    <t>Tirante sobre el orificio</t>
  </si>
  <si>
    <t>Diámetro interno de los orificios del múltiple de descarga</t>
  </si>
  <si>
    <t>Número de orificios del múltiple de descarga por módulo</t>
  </si>
  <si>
    <t>Diámetro nominal más cercano de los orificios del múltiple de descarga</t>
  </si>
  <si>
    <t>Cuadrado de la relación entre el diámetro de orificios  y el del múltiple por el número de orificios</t>
  </si>
  <si>
    <t>Velocidad mínima de arrastre asignada</t>
  </si>
  <si>
    <r>
      <rPr>
        <sz val="11"/>
        <color theme="1"/>
        <rFont val="Cambria"/>
        <family val="1"/>
      </rPr>
      <t>v</t>
    </r>
    <r>
      <rPr>
        <i/>
        <vertAlign val="subscript"/>
        <sz val="11"/>
        <color theme="1"/>
        <rFont val="Cambria"/>
        <family val="1"/>
      </rPr>
      <t>a</t>
    </r>
  </si>
  <si>
    <t>Referencia 9</t>
  </si>
  <si>
    <t>9.</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</si>
  <si>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217.</t>
    </r>
  </si>
  <si>
    <t>Separación entre orificios del múltiple</t>
  </si>
  <si>
    <t>Se tiene en cuenta la longitud del sedimentador, no la longitud del múltiple ya que este es algo más corto</t>
  </si>
  <si>
    <t>Diámetro interno de los orificios del múltiple de descarga en PVC Presión (ajustado)</t>
  </si>
  <si>
    <t xml:space="preserve">Cuadrado de la relación entre el diámetro de orificios  y el del múltiple por el número de orificios </t>
  </si>
  <si>
    <t>Diámetro nominal más cercano de los orificios del múltiple de descarga (ajustado)</t>
  </si>
  <si>
    <t>Diámetro interno de los orificios del múltiple de descarga en PVC Presión (ajustado nuevamente)</t>
  </si>
  <si>
    <t>Separación entre orificios del múltiple (confirmada)</t>
  </si>
  <si>
    <t>Número de canaletas de recolección por módulo</t>
  </si>
  <si>
    <t>Diametro interno del múltiple de descarga en PVC Presión</t>
  </si>
  <si>
    <t>Distancia entre canaletas de recolección (ajustado)</t>
  </si>
  <si>
    <t>Tasa de filtración</t>
  </si>
  <si>
    <r>
      <t>v</t>
    </r>
    <r>
      <rPr>
        <vertAlign val="subscript"/>
        <sz val="11"/>
        <rFont val="Cambria"/>
        <family val="1"/>
      </rPr>
      <t>a</t>
    </r>
  </si>
  <si>
    <t>Fair - Hatch</t>
  </si>
  <si>
    <t>Carmen - Kozeny</t>
  </si>
  <si>
    <t>Rose</t>
  </si>
  <si>
    <t>Tamaño de tamiz estándar</t>
  </si>
  <si>
    <t>Tamaño de abertura del tamiz (mm)</t>
  </si>
  <si>
    <r>
      <t>(m</t>
    </r>
    <r>
      <rPr>
        <b/>
        <vertAlign val="superscript"/>
        <sz val="11"/>
        <color theme="1"/>
        <rFont val="Calibri"/>
        <family val="2"/>
        <scheme val="minor"/>
      </rPr>
      <t>-2</t>
    </r>
    <r>
      <rPr>
        <b/>
        <sz val="11"/>
        <color theme="1"/>
        <rFont val="Calibri"/>
        <family val="2"/>
        <scheme val="minor"/>
      </rPr>
      <t>)</t>
    </r>
  </si>
  <si>
    <r>
      <t>(m</t>
    </r>
    <r>
      <rPr>
        <b/>
        <vertAlign val="superscript"/>
        <sz val="11"/>
        <color theme="1"/>
        <rFont val="Calibri"/>
        <family val="2"/>
        <scheme val="minor"/>
      </rPr>
      <t>-1</t>
    </r>
    <r>
      <rPr>
        <b/>
        <sz val="11"/>
        <color theme="1"/>
        <rFont val="Calibri"/>
        <family val="2"/>
        <scheme val="minor"/>
      </rPr>
      <t>)</t>
    </r>
  </si>
  <si>
    <t>φ</t>
  </si>
  <si>
    <t>Constante de filtración (Fair-Hatch)</t>
  </si>
  <si>
    <t>k</t>
  </si>
  <si>
    <t>Número de tamiz</t>
  </si>
  <si>
    <t>14-20</t>
  </si>
  <si>
    <t>20-25</t>
  </si>
  <si>
    <t>25-30</t>
  </si>
  <si>
    <t>35-40</t>
  </si>
  <si>
    <t>40-50</t>
  </si>
  <si>
    <t>50-60</t>
  </si>
  <si>
    <t>60-70</t>
  </si>
  <si>
    <t>70-100</t>
  </si>
  <si>
    <t>30-35</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</si>
  <si>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265.</t>
    </r>
  </si>
  <si>
    <t>Número de tamiz que retiene</t>
  </si>
  <si>
    <t>Arena retenida (%)</t>
  </si>
  <si>
    <r>
      <t>Tamaño de abertura del tamiz superior, d</t>
    </r>
    <r>
      <rPr>
        <b/>
        <vertAlign val="subscript"/>
        <sz val="11"/>
        <rFont val="Calibri"/>
        <family val="2"/>
        <scheme val="minor"/>
      </rPr>
      <t>1</t>
    </r>
    <r>
      <rPr>
        <b/>
        <sz val="11"/>
        <rFont val="Calibri"/>
        <family val="2"/>
        <scheme val="minor"/>
      </rPr>
      <t xml:space="preserve"> (mm)</t>
    </r>
  </si>
  <si>
    <r>
      <t>Tamaño de abertura del tamiz inferior, d</t>
    </r>
    <r>
      <rPr>
        <b/>
        <vertAlign val="subscript"/>
        <sz val="11"/>
        <rFont val="Calibri"/>
        <family val="2"/>
        <scheme val="minor"/>
      </rPr>
      <t>2</t>
    </r>
    <r>
      <rPr>
        <b/>
        <sz val="11"/>
        <rFont val="Calibri"/>
        <family val="2"/>
        <scheme val="minor"/>
      </rPr>
      <t xml:space="preserve"> (mm)</t>
    </r>
  </si>
  <si>
    <t>Acumulado de arena que pasa (%)</t>
  </si>
  <si>
    <t>Tamaño promedio geométrico</t>
  </si>
  <si>
    <t>Orden ascendente</t>
  </si>
  <si>
    <t>Orden descendente</t>
  </si>
  <si>
    <t>Coeficiente de uniformidad</t>
  </si>
  <si>
    <r>
      <t>v</t>
    </r>
    <r>
      <rPr>
        <vertAlign val="subscript"/>
        <sz val="11"/>
        <rFont val="Cambria"/>
        <family val="1"/>
      </rPr>
      <t>f</t>
    </r>
  </si>
  <si>
    <t>µ</t>
  </si>
  <si>
    <t>Septiembre de 2021</t>
  </si>
  <si>
    <t>MEDIO FILTRANTE</t>
  </si>
  <si>
    <t>Profundidad de la capa (m)</t>
  </si>
  <si>
    <t>3/4</t>
  </si>
  <si>
    <t>1/2</t>
  </si>
  <si>
    <t>1/4</t>
  </si>
  <si>
    <t>1/8</t>
  </si>
  <si>
    <t>1/16</t>
  </si>
  <si>
    <t>Tamaño de abertura de malla pasando (pulg)</t>
  </si>
  <si>
    <t>Tamaño de abertura de malla retenida (pulg)</t>
  </si>
  <si>
    <t>Número de capa</t>
  </si>
  <si>
    <t>HIDRÁULICA DEL SISTEMA DE LAVADO</t>
  </si>
  <si>
    <t>COEFICIENTE DE UNIFORMIDAD CU</t>
  </si>
  <si>
    <t>PÉRDIDA DE CARGA A TRAVÉS DEL LECHO EXPANDIDO</t>
  </si>
  <si>
    <t>m/h</t>
  </si>
  <si>
    <t>Factor de forma (Fair-Hatch)</t>
  </si>
  <si>
    <t>Factor de forma (Carmen - Kozeny)</t>
  </si>
  <si>
    <t>Porosidad del lecho fijo</t>
  </si>
  <si>
    <t xml:space="preserve">Profundidad del lecho fijo </t>
  </si>
  <si>
    <t>Densidad relativa del arena</t>
  </si>
  <si>
    <r>
      <t>S</t>
    </r>
    <r>
      <rPr>
        <vertAlign val="subscript"/>
        <sz val="11"/>
        <color theme="1"/>
        <rFont val="Cambria"/>
        <family val="1"/>
      </rPr>
      <t>s</t>
    </r>
  </si>
  <si>
    <r>
      <t>h</t>
    </r>
    <r>
      <rPr>
        <vertAlign val="subscript"/>
        <sz val="11"/>
        <color theme="1"/>
        <rFont val="Cambria"/>
        <family val="1"/>
      </rPr>
      <t>1</t>
    </r>
  </si>
  <si>
    <t xml:space="preserve">Pérdida de carga a través del lecho expandido </t>
  </si>
  <si>
    <t>Factor de forma (Rose)</t>
  </si>
  <si>
    <t>α/β</t>
  </si>
  <si>
    <t>0,4782 m</t>
  </si>
  <si>
    <t>ε, e</t>
  </si>
  <si>
    <t>VELOCIDAD DE LAVADO</t>
  </si>
  <si>
    <t>m/min</t>
  </si>
  <si>
    <t>Percentil 60 del análisis granulométrico</t>
  </si>
  <si>
    <t>mm</t>
  </si>
  <si>
    <t>Temperatura</t>
  </si>
  <si>
    <r>
      <t xml:space="preserve">Viscocidad cinemática </t>
    </r>
    <r>
      <rPr>
        <b/>
        <i/>
        <sz val="11"/>
        <color theme="1"/>
        <rFont val="Cambria"/>
        <family val="1"/>
      </rPr>
      <t xml:space="preserve">v </t>
    </r>
    <r>
      <rPr>
        <b/>
        <sz val="11"/>
        <color theme="1"/>
        <rFont val="Cambria"/>
        <family val="1"/>
      </rPr>
      <t/>
    </r>
  </si>
  <si>
    <t>(°C)</t>
  </si>
  <si>
    <r>
      <t xml:space="preserve">Viscocidad dinámica </t>
    </r>
    <r>
      <rPr>
        <b/>
        <i/>
        <sz val="11"/>
        <color theme="1"/>
        <rFont val="Calibri"/>
        <family val="2"/>
        <scheme val="minor"/>
      </rPr>
      <t>µ</t>
    </r>
  </si>
  <si>
    <r>
      <t>N.s/m</t>
    </r>
    <r>
      <rPr>
        <b/>
        <vertAlign val="superscript"/>
        <sz val="11"/>
        <color theme="1"/>
        <rFont val="Cambria"/>
        <family val="1"/>
      </rPr>
      <t>2</t>
    </r>
  </si>
  <si>
    <t>ρ</t>
  </si>
  <si>
    <t>T</t>
  </si>
  <si>
    <r>
      <t>(kg/m</t>
    </r>
    <r>
      <rPr>
        <b/>
        <vertAlign val="superscript"/>
        <sz val="11"/>
        <color theme="1"/>
        <rFont val="Calibri"/>
        <family val="2"/>
        <scheme val="minor"/>
      </rPr>
      <t>3</t>
    </r>
    <r>
      <rPr>
        <b/>
        <sz val="11"/>
        <color theme="1"/>
        <rFont val="Calibri"/>
        <family val="2"/>
        <scheme val="minor"/>
      </rPr>
      <t>)</t>
    </r>
  </si>
  <si>
    <r>
      <t>(m</t>
    </r>
    <r>
      <rPr>
        <b/>
        <vertAlign val="superscript"/>
        <sz val="11"/>
        <color theme="1"/>
        <rFont val="Calibri"/>
        <family val="2"/>
        <scheme val="minor"/>
      </rPr>
      <t>2</t>
    </r>
    <r>
      <rPr>
        <b/>
        <sz val="11"/>
        <color theme="1"/>
        <rFont val="Calibri"/>
        <family val="2"/>
        <scheme val="minor"/>
      </rPr>
      <t>/s)</t>
    </r>
  </si>
  <si>
    <t>Temperatura del agua a tratar</t>
  </si>
  <si>
    <t>°C</t>
  </si>
  <si>
    <t>…</t>
  </si>
  <si>
    <r>
      <t>D</t>
    </r>
    <r>
      <rPr>
        <vertAlign val="subscript"/>
        <sz val="11"/>
        <color theme="1"/>
        <rFont val="Cambria"/>
        <family val="1"/>
      </rPr>
      <t>60</t>
    </r>
  </si>
  <si>
    <r>
      <t>v</t>
    </r>
    <r>
      <rPr>
        <vertAlign val="subscript"/>
        <sz val="11"/>
        <color theme="1"/>
        <rFont val="Cambria"/>
        <family val="1"/>
      </rPr>
      <t>0</t>
    </r>
  </si>
  <si>
    <r>
      <t>t</t>
    </r>
    <r>
      <rPr>
        <vertAlign val="subscript"/>
        <sz val="11"/>
        <rFont val="Cambria"/>
        <family val="1"/>
      </rPr>
      <t>c</t>
    </r>
  </si>
  <si>
    <r>
      <t>L</t>
    </r>
    <r>
      <rPr>
        <vertAlign val="subscript"/>
        <sz val="11"/>
        <rFont val="Cambria"/>
        <family val="1"/>
      </rPr>
      <t>p</t>
    </r>
  </si>
  <si>
    <r>
      <t>h</t>
    </r>
    <r>
      <rPr>
        <vertAlign val="subscript"/>
        <sz val="11"/>
        <rFont val="Cambria"/>
        <family val="1"/>
      </rPr>
      <t>p</t>
    </r>
  </si>
  <si>
    <r>
      <t>x</t>
    </r>
    <r>
      <rPr>
        <vertAlign val="subscript"/>
        <sz val="11"/>
        <rFont val="Cambria"/>
        <family val="1"/>
      </rPr>
      <t>c</t>
    </r>
  </si>
  <si>
    <r>
      <t>n</t>
    </r>
    <r>
      <rPr>
        <vertAlign val="subscript"/>
        <sz val="11"/>
        <rFont val="Cambria"/>
        <family val="1"/>
      </rPr>
      <t>c</t>
    </r>
  </si>
  <si>
    <r>
      <t>h</t>
    </r>
    <r>
      <rPr>
        <vertAlign val="subscript"/>
        <sz val="11"/>
        <rFont val="Cambria"/>
        <family val="1"/>
      </rPr>
      <t>s</t>
    </r>
  </si>
  <si>
    <r>
      <t>V</t>
    </r>
    <r>
      <rPr>
        <vertAlign val="subscript"/>
        <sz val="11"/>
        <rFont val="Cambria"/>
        <family val="1"/>
      </rPr>
      <t>t</t>
    </r>
  </si>
  <si>
    <r>
      <t>t</t>
    </r>
    <r>
      <rPr>
        <vertAlign val="subscript"/>
        <sz val="11"/>
        <rFont val="Cambria"/>
        <family val="1"/>
      </rPr>
      <t>t</t>
    </r>
  </si>
  <si>
    <r>
      <t>h</t>
    </r>
    <r>
      <rPr>
        <vertAlign val="subscript"/>
        <sz val="11"/>
        <rFont val="Cambria"/>
        <family val="1"/>
      </rPr>
      <t>t</t>
    </r>
  </si>
  <si>
    <r>
      <t>L</t>
    </r>
    <r>
      <rPr>
        <vertAlign val="subscript"/>
        <sz val="11"/>
        <rFont val="Cambria"/>
        <family val="1"/>
      </rPr>
      <t>T</t>
    </r>
  </si>
  <si>
    <r>
      <t>A</t>
    </r>
    <r>
      <rPr>
        <vertAlign val="subscript"/>
        <sz val="11"/>
        <rFont val="Cambria"/>
        <family val="1"/>
      </rPr>
      <t>T</t>
    </r>
  </si>
  <si>
    <r>
      <t>H</t>
    </r>
    <r>
      <rPr>
        <vertAlign val="subscript"/>
        <sz val="11"/>
        <rFont val="Cambria"/>
        <family val="1"/>
      </rPr>
      <t>T</t>
    </r>
  </si>
  <si>
    <r>
      <t>L</t>
    </r>
    <r>
      <rPr>
        <vertAlign val="subscript"/>
        <sz val="11"/>
        <rFont val="Cambria"/>
        <family val="1"/>
      </rPr>
      <t>m</t>
    </r>
  </si>
  <si>
    <r>
      <t>DN</t>
    </r>
    <r>
      <rPr>
        <vertAlign val="subscript"/>
        <sz val="11"/>
        <rFont val="Cambria"/>
        <family val="1"/>
      </rPr>
      <t>m</t>
    </r>
  </si>
  <si>
    <r>
      <t>D</t>
    </r>
    <r>
      <rPr>
        <vertAlign val="subscript"/>
        <sz val="11"/>
        <rFont val="Cambria"/>
        <family val="1"/>
      </rPr>
      <t>m</t>
    </r>
  </si>
  <si>
    <r>
      <t>D</t>
    </r>
    <r>
      <rPr>
        <vertAlign val="subscript"/>
        <sz val="11"/>
        <color theme="1"/>
        <rFont val="Cambria"/>
        <family val="1"/>
      </rPr>
      <t>o</t>
    </r>
  </si>
  <si>
    <r>
      <t>DN</t>
    </r>
    <r>
      <rPr>
        <vertAlign val="subscript"/>
        <sz val="11"/>
        <color theme="1"/>
        <rFont val="Cambria"/>
        <family val="1"/>
      </rPr>
      <t>o</t>
    </r>
  </si>
  <si>
    <r>
      <t>T</t>
    </r>
    <r>
      <rPr>
        <vertAlign val="subscript"/>
        <sz val="11"/>
        <rFont val="Cambria"/>
        <family val="1"/>
      </rPr>
      <t>o</t>
    </r>
  </si>
  <si>
    <r>
      <t>L</t>
    </r>
    <r>
      <rPr>
        <vertAlign val="subscript"/>
        <sz val="11"/>
        <rFont val="Cambria"/>
        <family val="1"/>
      </rPr>
      <t>m</t>
    </r>
    <r>
      <rPr>
        <sz val="11"/>
        <rFont val="Cambria"/>
        <family val="1"/>
      </rPr>
      <t>/n</t>
    </r>
    <r>
      <rPr>
        <vertAlign val="subscript"/>
        <sz val="11"/>
        <rFont val="Cambria"/>
        <family val="1"/>
      </rPr>
      <t>o</t>
    </r>
  </si>
  <si>
    <r>
      <t>X</t>
    </r>
    <r>
      <rPr>
        <vertAlign val="subscript"/>
        <sz val="11"/>
        <rFont val="Cambria"/>
        <family val="1"/>
      </rPr>
      <t>o</t>
    </r>
  </si>
  <si>
    <r>
      <t>v</t>
    </r>
    <r>
      <rPr>
        <vertAlign val="subscript"/>
        <sz val="11"/>
        <color theme="1"/>
        <rFont val="Cambria"/>
        <family val="1"/>
      </rPr>
      <t>t20</t>
    </r>
  </si>
  <si>
    <t>Velocidad de arrastre del medio filtrante a 20 °C</t>
  </si>
  <si>
    <r>
      <t>v</t>
    </r>
    <r>
      <rPr>
        <vertAlign val="subscript"/>
        <sz val="11"/>
        <color theme="1"/>
        <rFont val="Cambria"/>
        <family val="1"/>
      </rPr>
      <t>bT</t>
    </r>
  </si>
  <si>
    <t>PROPIEDADES FÍSICAS DEL AGUA A TRATAR</t>
  </si>
  <si>
    <t>Densidad relativa de la arena</t>
  </si>
  <si>
    <r>
      <t>S</t>
    </r>
    <r>
      <rPr>
        <vertAlign val="subscript"/>
        <sz val="11"/>
        <rFont val="Cambria"/>
        <family val="1"/>
      </rPr>
      <t>s</t>
    </r>
  </si>
  <si>
    <t>CARACTERÍSTICAS DEL LECHO FILTRANTE DE ARENA</t>
  </si>
  <si>
    <t>GRANULOMETRIA DEL MEDIO FILTRANTE DE ARENA</t>
  </si>
  <si>
    <t>Profundidad del lecho fijo de arena</t>
  </si>
  <si>
    <r>
      <t>v</t>
    </r>
    <r>
      <rPr>
        <vertAlign val="subscript"/>
        <sz val="11"/>
        <color theme="1"/>
        <rFont val="Cambria"/>
        <family val="1"/>
      </rPr>
      <t>f T</t>
    </r>
  </si>
  <si>
    <r>
      <t>v</t>
    </r>
    <r>
      <rPr>
        <vertAlign val="subscript"/>
        <sz val="11"/>
        <color theme="1"/>
        <rFont val="Cambria"/>
        <family val="1"/>
      </rPr>
      <t>t T</t>
    </r>
  </si>
  <si>
    <t>cP</t>
  </si>
  <si>
    <r>
      <t>m</t>
    </r>
    <r>
      <rPr>
        <vertAlign val="superscript"/>
        <sz val="11"/>
        <rFont val="Cambria"/>
        <family val="1"/>
      </rPr>
      <t>3</t>
    </r>
    <r>
      <rPr>
        <sz val="11"/>
        <rFont val="Cambria"/>
        <family val="1"/>
      </rPr>
      <t>/s</t>
    </r>
  </si>
  <si>
    <r>
      <t>kg/m</t>
    </r>
    <r>
      <rPr>
        <vertAlign val="superscript"/>
        <sz val="11"/>
        <rFont val="Cambria"/>
        <family val="1"/>
      </rPr>
      <t>3</t>
    </r>
  </si>
  <si>
    <r>
      <t>N.s/m</t>
    </r>
    <r>
      <rPr>
        <vertAlign val="superscript"/>
        <sz val="11"/>
        <rFont val="Cambria"/>
        <family val="1"/>
      </rPr>
      <t>2</t>
    </r>
  </si>
  <si>
    <r>
      <t>m</t>
    </r>
    <r>
      <rPr>
        <vertAlign val="superscript"/>
        <sz val="11"/>
        <rFont val="Cambria"/>
        <family val="1"/>
      </rPr>
      <t>2</t>
    </r>
    <r>
      <rPr>
        <sz val="11"/>
        <rFont val="Cambria"/>
        <family val="1"/>
      </rPr>
      <t>/s</t>
    </r>
  </si>
  <si>
    <t>Profundidad del lecho de grava</t>
  </si>
  <si>
    <r>
      <t>L</t>
    </r>
    <r>
      <rPr>
        <vertAlign val="subscript"/>
        <sz val="11"/>
        <rFont val="Cambria"/>
        <family val="1"/>
      </rPr>
      <t>g</t>
    </r>
  </si>
  <si>
    <t>ESTIMACIÓN DE LA PÉRDIDA DE ENERGIA EN EL LECHO FILTRANTE DE ARENA LIMPIO</t>
  </si>
  <si>
    <t>Pérdida de energía en el lecho de grava durante la filtración</t>
  </si>
  <si>
    <r>
      <t>h</t>
    </r>
    <r>
      <rPr>
        <vertAlign val="subscript"/>
        <sz val="11"/>
        <color theme="1"/>
        <rFont val="Cambria"/>
        <family val="1"/>
      </rPr>
      <t>g</t>
    </r>
  </si>
  <si>
    <t>DRENAJE DEL FILTRO - TUBERÍAS PERFORADAS</t>
  </si>
  <si>
    <t>CARÁCTERÍSTICAS DEL LECHO DE GRAVA PARA DRENAJE POR TUBERÍAS</t>
  </si>
  <si>
    <t>QMD</t>
  </si>
  <si>
    <t>Caudal máximo diario</t>
  </si>
  <si>
    <t>Caudal medio diario</t>
  </si>
  <si>
    <t>Qmd</t>
  </si>
  <si>
    <t>Caudal máximo horario</t>
  </si>
  <si>
    <t>CAUDALES DE DISEÑO:</t>
  </si>
  <si>
    <t>Factor de mayoración del caudal máximo diario</t>
  </si>
  <si>
    <t>Factor de mayoración del caudal máximo horario</t>
  </si>
  <si>
    <t>k1</t>
  </si>
  <si>
    <t>k2</t>
  </si>
  <si>
    <t>Densidad</t>
  </si>
  <si>
    <t>Filtro rápido de arena</t>
  </si>
  <si>
    <t xml:space="preserve">DISEÑO DE FILTRO </t>
  </si>
  <si>
    <t>Tipo de filtro</t>
  </si>
  <si>
    <t>Medio filtrante</t>
  </si>
  <si>
    <t>Distribución del medio</t>
  </si>
  <si>
    <t>Duración de carrera</t>
  </si>
  <si>
    <t>Pérdida de carga inicial</t>
  </si>
  <si>
    <t>Pérdida de carga final</t>
  </si>
  <si>
    <t>Profundidad del medio</t>
  </si>
  <si>
    <t>Profundidad de grava</t>
  </si>
  <si>
    <t>Drenaje</t>
  </si>
  <si>
    <t>PRINCIPALES CARACTERÍSTICAS DEL FILTRO</t>
  </si>
  <si>
    <t>Principales características del filtro</t>
  </si>
  <si>
    <t>Arena</t>
  </si>
  <si>
    <t>Estratificado fino a grueso</t>
  </si>
  <si>
    <t>Tubería Perforada</t>
  </si>
  <si>
    <t>Falsos fondos</t>
  </si>
  <si>
    <t>Uso de agua tratada en lavado</t>
  </si>
  <si>
    <t>horas</t>
  </si>
  <si>
    <t>%</t>
  </si>
  <si>
    <t>12 - 36</t>
  </si>
  <si>
    <t>2,4 - 3,0</t>
  </si>
  <si>
    <t>2 - 4</t>
  </si>
  <si>
    <t>0,60 - 0,75</t>
  </si>
  <si>
    <t>0,30 - 0,45</t>
  </si>
  <si>
    <t>Filtro de alta tasa</t>
  </si>
  <si>
    <t>Arena y antracita</t>
  </si>
  <si>
    <t>Estratificado grueso a fino</t>
  </si>
  <si>
    <t>180 - 480</t>
  </si>
  <si>
    <t>0,4 - 0,6</t>
  </si>
  <si>
    <t>0,15 - 0,30</t>
  </si>
  <si>
    <t>PREDIMENSIONAMIENTO DE LOS FILTROS</t>
  </si>
  <si>
    <t>Número de filtros</t>
  </si>
  <si>
    <t>QMH</t>
  </si>
  <si>
    <t>Tasa de filtración en operación normal</t>
  </si>
  <si>
    <r>
      <t>TAMAÑO EFECTIVO d</t>
    </r>
    <r>
      <rPr>
        <b/>
        <vertAlign val="subscript"/>
        <sz val="11"/>
        <rFont val="Calibri"/>
        <family val="2"/>
        <scheme val="minor"/>
      </rPr>
      <t>10</t>
    </r>
    <r>
      <rPr>
        <b/>
        <sz val="11"/>
        <rFont val="Calibri"/>
        <family val="2"/>
        <scheme val="minor"/>
      </rPr>
      <t xml:space="preserve"> DEL MEDIO FILTRANTE</t>
    </r>
  </si>
  <si>
    <r>
      <t>Tamaño d</t>
    </r>
    <r>
      <rPr>
        <b/>
        <vertAlign val="subscript"/>
        <sz val="11"/>
        <rFont val="Calibri"/>
        <family val="2"/>
        <scheme val="minor"/>
      </rPr>
      <t xml:space="preserve">10 </t>
    </r>
    <r>
      <rPr>
        <b/>
        <sz val="11"/>
        <rFont val="Calibri"/>
        <family val="2"/>
        <scheme val="minor"/>
      </rPr>
      <t>(mm)</t>
    </r>
  </si>
  <si>
    <r>
      <t>(x</t>
    </r>
    <r>
      <rPr>
        <vertAlign val="subscript"/>
        <sz val="11"/>
        <rFont val="Calibri"/>
        <family val="2"/>
        <scheme val="minor"/>
      </rPr>
      <t>1</t>
    </r>
    <r>
      <rPr>
        <sz val="11"/>
        <rFont val="Calibri"/>
        <family val="2"/>
        <scheme val="minor"/>
      </rPr>
      <t>, y</t>
    </r>
    <r>
      <rPr>
        <vertAlign val="subscript"/>
        <sz val="11"/>
        <rFont val="Calibri"/>
        <family val="2"/>
        <scheme val="minor"/>
      </rPr>
      <t>1</t>
    </r>
    <r>
      <rPr>
        <sz val="11"/>
        <rFont val="Calibri"/>
        <family val="2"/>
        <scheme val="minor"/>
      </rPr>
      <t>)</t>
    </r>
  </si>
  <si>
    <r>
      <t>(x</t>
    </r>
    <r>
      <rPr>
        <vertAlign val="subscript"/>
        <sz val="11"/>
        <rFont val="Calibri"/>
        <family val="2"/>
        <scheme val="minor"/>
      </rPr>
      <t>2</t>
    </r>
    <r>
      <rPr>
        <sz val="11"/>
        <rFont val="Calibri"/>
        <family val="2"/>
        <scheme val="minor"/>
      </rPr>
      <t>, y</t>
    </r>
    <r>
      <rPr>
        <vertAlign val="subscript"/>
        <sz val="11"/>
        <rFont val="Calibri"/>
        <family val="2"/>
        <scheme val="minor"/>
      </rPr>
      <t>2</t>
    </r>
    <r>
      <rPr>
        <sz val="11"/>
        <rFont val="Calibri"/>
        <family val="2"/>
        <scheme val="minor"/>
      </rPr>
      <t>)</t>
    </r>
  </si>
  <si>
    <r>
      <t>TAMAÑO d</t>
    </r>
    <r>
      <rPr>
        <b/>
        <vertAlign val="subscript"/>
        <sz val="11"/>
        <rFont val="Calibri"/>
        <family val="2"/>
        <scheme val="minor"/>
      </rPr>
      <t>60</t>
    </r>
    <r>
      <rPr>
        <b/>
        <sz val="11"/>
        <rFont val="Calibri"/>
        <family val="2"/>
        <scheme val="minor"/>
      </rPr>
      <t xml:space="preserve"> DEL MEDIO FILTRANTE</t>
    </r>
  </si>
  <si>
    <r>
      <t>Tamaño d</t>
    </r>
    <r>
      <rPr>
        <b/>
        <vertAlign val="subscript"/>
        <sz val="11"/>
        <rFont val="Calibri"/>
        <family val="2"/>
        <scheme val="minor"/>
      </rPr>
      <t xml:space="preserve">60 </t>
    </r>
    <r>
      <rPr>
        <b/>
        <sz val="11"/>
        <rFont val="Calibri"/>
        <family val="2"/>
        <scheme val="minor"/>
      </rPr>
      <t>(mm)</t>
    </r>
  </si>
  <si>
    <r>
      <t>Tamaño efectivo, d</t>
    </r>
    <r>
      <rPr>
        <b/>
        <vertAlign val="subscript"/>
        <sz val="11"/>
        <rFont val="Calibri"/>
        <family val="2"/>
        <scheme val="minor"/>
      </rPr>
      <t xml:space="preserve">10 </t>
    </r>
    <r>
      <rPr>
        <b/>
        <sz val="11"/>
        <rFont val="Calibri"/>
        <family val="2"/>
        <scheme val="minor"/>
      </rPr>
      <t>(mm)</t>
    </r>
  </si>
  <si>
    <t>Tasa de filtración con un filtro fuera de servicio por lavado</t>
  </si>
  <si>
    <r>
      <t>v</t>
    </r>
    <r>
      <rPr>
        <vertAlign val="subscript"/>
        <sz val="11"/>
        <rFont val="Cambria"/>
        <family val="1"/>
      </rPr>
      <t>fmax</t>
    </r>
  </si>
  <si>
    <t>Tasa media de filtración</t>
  </si>
  <si>
    <t>Velocidad máxima de filtración</t>
  </si>
  <si>
    <t>Tasa máxima de filtración</t>
  </si>
  <si>
    <t>Caudales de diseño</t>
  </si>
  <si>
    <t>Caudal de diseño (QMH)</t>
  </si>
  <si>
    <t>Caudal de diseño (Qmd )</t>
  </si>
  <si>
    <r>
      <t>m</t>
    </r>
    <r>
      <rPr>
        <vertAlign val="superscript"/>
        <sz val="11"/>
        <rFont val="Cambria"/>
        <family val="1"/>
      </rPr>
      <t>2</t>
    </r>
  </si>
  <si>
    <t>m/día</t>
  </si>
  <si>
    <t>Área de filtración en operación normal</t>
  </si>
  <si>
    <t>Área de filtración con un filtro fuera de servicio por lavado</t>
  </si>
  <si>
    <t>Área máxima de un filtro</t>
  </si>
  <si>
    <r>
      <t>A</t>
    </r>
    <r>
      <rPr>
        <vertAlign val="subscript"/>
        <sz val="11"/>
        <rFont val="Cambria"/>
        <family val="1"/>
      </rPr>
      <t>f</t>
    </r>
  </si>
  <si>
    <r>
      <t>A</t>
    </r>
    <r>
      <rPr>
        <vertAlign val="subscript"/>
        <sz val="11"/>
        <rFont val="Cambria"/>
        <family val="1"/>
      </rPr>
      <t>t</t>
    </r>
  </si>
  <si>
    <r>
      <t>L</t>
    </r>
    <r>
      <rPr>
        <vertAlign val="subscript"/>
        <sz val="11"/>
        <rFont val="Cambria"/>
        <family val="1"/>
      </rPr>
      <t>f</t>
    </r>
  </si>
  <si>
    <t>Lado de cada filtro</t>
  </si>
  <si>
    <t>ESTIMACIÓN DE LA PÉRDIDA DE ENERGÍA EN EL LECHO DE GRAVA</t>
  </si>
  <si>
    <t>Diámetros de oficios</t>
  </si>
  <si>
    <t>Diámetro de los orificios</t>
  </si>
  <si>
    <t>pulgadas</t>
  </si>
  <si>
    <t>Distancia entre orificios</t>
  </si>
  <si>
    <t>Longitud de los laterales</t>
  </si>
  <si>
    <t>Distancia entre laterales</t>
  </si>
  <si>
    <t>Diámetro de los laterales</t>
  </si>
  <si>
    <t>^</t>
  </si>
  <si>
    <r>
      <t>N</t>
    </r>
    <r>
      <rPr>
        <vertAlign val="subscript"/>
        <sz val="11"/>
        <rFont val="Cambria"/>
        <family val="1"/>
      </rPr>
      <t>f</t>
    </r>
  </si>
  <si>
    <r>
      <t>φ</t>
    </r>
    <r>
      <rPr>
        <sz val="6"/>
        <color theme="1"/>
        <rFont val="Calibri"/>
        <family val="2"/>
      </rPr>
      <t xml:space="preserve"> </t>
    </r>
    <r>
      <rPr>
        <vertAlign val="subscript"/>
        <sz val="11"/>
        <color theme="1"/>
        <rFont val="Cambria"/>
        <family val="1"/>
      </rPr>
      <t>ori</t>
    </r>
  </si>
  <si>
    <r>
      <rPr>
        <sz val="11"/>
        <color theme="1"/>
        <rFont val="Cambria"/>
        <family val="1"/>
      </rPr>
      <t>D</t>
    </r>
    <r>
      <rPr>
        <sz val="6"/>
        <color theme="1"/>
        <rFont val="Cambria"/>
        <family val="1"/>
      </rPr>
      <t xml:space="preserve"> </t>
    </r>
    <r>
      <rPr>
        <vertAlign val="subscript"/>
        <sz val="11"/>
        <color theme="1"/>
        <rFont val="Cambria"/>
        <family val="1"/>
      </rPr>
      <t>ori</t>
    </r>
  </si>
  <si>
    <r>
      <t>L</t>
    </r>
    <r>
      <rPr>
        <sz val="6"/>
        <color theme="1"/>
        <rFont val="Cambria"/>
        <family val="1"/>
      </rPr>
      <t xml:space="preserve"> </t>
    </r>
    <r>
      <rPr>
        <vertAlign val="subscript"/>
        <sz val="11"/>
        <color theme="1"/>
        <rFont val="Cambria"/>
        <family val="1"/>
      </rPr>
      <t>lat</t>
    </r>
  </si>
  <si>
    <r>
      <rPr>
        <sz val="11"/>
        <color theme="1"/>
        <rFont val="Cambria"/>
        <family val="1"/>
      </rPr>
      <t>D</t>
    </r>
    <r>
      <rPr>
        <sz val="6"/>
        <color theme="1"/>
        <rFont val="Cambria"/>
        <family val="1"/>
      </rPr>
      <t xml:space="preserve"> </t>
    </r>
    <r>
      <rPr>
        <vertAlign val="subscript"/>
        <sz val="11"/>
        <color theme="1"/>
        <rFont val="Cambria"/>
        <family val="1"/>
      </rPr>
      <t>lat</t>
    </r>
  </si>
  <si>
    <r>
      <t>φ</t>
    </r>
    <r>
      <rPr>
        <sz val="6"/>
        <color theme="1"/>
        <rFont val="Calibri"/>
        <family val="2"/>
      </rPr>
      <t xml:space="preserve"> </t>
    </r>
    <r>
      <rPr>
        <vertAlign val="subscript"/>
        <sz val="11"/>
        <color theme="1"/>
        <rFont val="Cambria"/>
        <family val="1"/>
      </rPr>
      <t>lat</t>
    </r>
  </si>
  <si>
    <r>
      <t>N</t>
    </r>
    <r>
      <rPr>
        <sz val="6"/>
        <color theme="1"/>
        <rFont val="Cambria"/>
        <family val="1"/>
      </rPr>
      <t xml:space="preserve"> </t>
    </r>
    <r>
      <rPr>
        <vertAlign val="subscript"/>
        <sz val="11"/>
        <color theme="1"/>
        <rFont val="Cambria"/>
        <family val="1"/>
      </rPr>
      <t>ori</t>
    </r>
  </si>
  <si>
    <r>
      <t>N</t>
    </r>
    <r>
      <rPr>
        <vertAlign val="subscript"/>
        <sz val="6"/>
        <color theme="1"/>
        <rFont val="Cambria"/>
        <family val="1"/>
      </rPr>
      <t xml:space="preserve"> </t>
    </r>
    <r>
      <rPr>
        <vertAlign val="subscript"/>
        <sz val="11"/>
        <color theme="1"/>
        <rFont val="Cambria"/>
        <family val="1"/>
      </rPr>
      <t>lat</t>
    </r>
  </si>
  <si>
    <t>Número de laterales por unidad de filtración</t>
  </si>
  <si>
    <t>Número de orificios por unidad de filtración</t>
  </si>
  <si>
    <r>
      <t>A</t>
    </r>
    <r>
      <rPr>
        <sz val="6"/>
        <color theme="1"/>
        <rFont val="Cambria"/>
        <family val="1"/>
      </rPr>
      <t xml:space="preserve"> </t>
    </r>
    <r>
      <rPr>
        <vertAlign val="subscript"/>
        <sz val="11"/>
        <color theme="1"/>
        <rFont val="Cambria"/>
        <family val="1"/>
      </rPr>
      <t>ori</t>
    </r>
  </si>
  <si>
    <t>Área total de orificios por unidad de filtración</t>
  </si>
  <si>
    <r>
      <t>m</t>
    </r>
    <r>
      <rPr>
        <vertAlign val="superscript"/>
        <sz val="11"/>
        <color theme="1"/>
        <rFont val="Cambria"/>
        <family val="1"/>
      </rPr>
      <t>2</t>
    </r>
  </si>
  <si>
    <t>Área del múltiple</t>
  </si>
  <si>
    <r>
      <t>A</t>
    </r>
    <r>
      <rPr>
        <sz val="6"/>
        <color theme="1"/>
        <rFont val="Cambria"/>
        <family val="1"/>
      </rPr>
      <t xml:space="preserve"> </t>
    </r>
    <r>
      <rPr>
        <vertAlign val="subscript"/>
        <sz val="11"/>
        <color theme="1"/>
        <rFont val="Cambria"/>
        <family val="1"/>
      </rPr>
      <t>mul</t>
    </r>
  </si>
  <si>
    <t>Sección transversal del múltiple</t>
  </si>
  <si>
    <t>4 X 4</t>
  </si>
  <si>
    <t>6 X 6</t>
  </si>
  <si>
    <t>8 X 8</t>
  </si>
  <si>
    <t>Seccion tubería</t>
  </si>
  <si>
    <t>10 X 10</t>
  </si>
  <si>
    <t>12 X 12</t>
  </si>
  <si>
    <t>14 X 14</t>
  </si>
  <si>
    <t>16 X 16</t>
  </si>
  <si>
    <t>18 X 18</t>
  </si>
  <si>
    <t>20 X 20</t>
  </si>
  <si>
    <t>Área</t>
  </si>
  <si>
    <r>
      <t>pulgadas</t>
    </r>
    <r>
      <rPr>
        <vertAlign val="superscript"/>
        <sz val="11"/>
        <color theme="1"/>
        <rFont val="Cambria"/>
        <family val="1"/>
      </rPr>
      <t>2</t>
    </r>
  </si>
  <si>
    <t>Área total de orificios / área filtrante</t>
  </si>
  <si>
    <t>Área del múltiple (corregida)</t>
  </si>
  <si>
    <t>Área del lateral / área de orificios del lateral</t>
  </si>
  <si>
    <t>Pérdidad de carga a través del lecho de grava</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</si>
</sst>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0000"/>
    <numFmt numFmtId="165" formatCode="0.000000000"/>
    <numFmt numFmtId="166" formatCode="0.00000000"/>
    <numFmt numFmtId="167" formatCode="0.00000"/>
    <numFmt numFmtId="168" formatCode="0.000000"/>
    <numFmt numFmtId="169" formatCode="0.000000000000000"/>
    <numFmt numFmtId="170" formatCode="0.0000000000"/>
    <numFmt numFmtId="171" formatCode="0.00000000000"/>
    <numFmt numFmtId="172" formatCode="0.0"/>
    <numFmt numFmtId="173" formatCode="0.0000"/>
    <numFmt numFmtId="174" formatCode="0.000"/>
    <numFmt numFmtId="175" formatCode="0.000E+00"/>
  </numFmts>
  <fonts count="43"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bscript"/>
      <sz val="11"/>
      <color theme="1"/>
      <name val="Calibri"/>
      <family val="2"/>
      <scheme val="minor"/>
    </font>
    <font>
      <i/>
      <sz val="11"/>
      <color theme="1"/>
      <name val="Cambria"/>
      <family val="1"/>
    </font>
    <font>
      <i/>
      <vertAlign val="subscript"/>
      <sz val="11"/>
      <color theme="1"/>
      <name val="Cambria"/>
      <family val="1"/>
    </font>
    <font>
      <sz val="11"/>
      <color theme="1"/>
      <name val="Cambria Math"/>
      <family val="1"/>
    </font>
    <font>
      <sz val="11"/>
      <color theme="1"/>
      <name val="Cambria"/>
      <family val="1"/>
    </font>
    <font>
      <b/>
      <i/>
      <sz val="11"/>
      <color theme="1"/>
      <name val="Cambria"/>
      <family val="1"/>
    </font>
    <font>
      <b/>
      <i/>
      <vertAlign val="subscript"/>
      <sz val="11"/>
      <color theme="1"/>
      <name val="Cambria"/>
      <family val="1"/>
    </font>
    <font>
      <vertAlign val="subscript"/>
      <sz val="11"/>
      <color theme="1"/>
      <name val="Cambria"/>
      <family val="1"/>
    </font>
    <font>
      <sz val="11"/>
      <name val="Calibri"/>
      <family val="2"/>
      <scheme val="minor"/>
    </font>
    <font>
      <sz val="11"/>
      <name val="Cambria"/>
      <family val="1"/>
    </font>
    <font>
      <vertAlign val="subscript"/>
      <sz val="11"/>
      <name val="Cambria"/>
      <family val="1"/>
    </font>
    <font>
      <i/>
      <sz val="11"/>
      <name val="Cambria"/>
      <family val="1"/>
    </font>
    <font>
      <i/>
      <vertAlign val="subscript"/>
      <sz val="11"/>
      <name val="Cambria"/>
      <family val="1"/>
    </font>
    <font>
      <vertAlign val="superscript"/>
      <sz val="11"/>
      <name val="Calibri"/>
      <family val="2"/>
      <scheme val="minor"/>
    </font>
    <font>
      <i/>
      <sz val="11"/>
      <name val="Calibri"/>
      <family val="2"/>
      <scheme val="minor"/>
    </font>
    <font>
      <sz val="9"/>
      <color indexed="81"/>
      <name val="Tahoma"/>
      <family val="2"/>
    </font>
    <font>
      <b/>
      <sz val="9"/>
      <color indexed="81"/>
      <name val="Tahoma"/>
      <family val="2"/>
    </font>
    <font>
      <sz val="12"/>
      <color rgb="FF202124"/>
      <name val="Arial"/>
      <family val="2"/>
    </font>
    <font>
      <sz val="11"/>
      <color rgb="FFFF0000"/>
      <name val="Calibri"/>
      <family val="2"/>
      <scheme val="minor"/>
    </font>
    <font>
      <b/>
      <sz val="11"/>
      <name val="Calibri"/>
      <family val="2"/>
      <scheme val="minor"/>
    </font>
    <font>
      <i/>
      <sz val="11"/>
      <name val="Calibri"/>
      <family val="2"/>
    </font>
    <font>
      <sz val="11"/>
      <color theme="4" tint="-0.249977111117893"/>
      <name val="Calibri"/>
      <family val="2"/>
      <scheme val="minor"/>
    </font>
    <font>
      <sz val="11"/>
      <color theme="1"/>
      <name val="Calibri"/>
      <family val="2"/>
    </font>
    <font>
      <sz val="11"/>
      <color theme="4" tint="-0.249977111117893"/>
      <name val="Cambria"/>
      <family val="1"/>
    </font>
    <font>
      <b/>
      <vertAlign val="subscript"/>
      <sz val="11"/>
      <name val="Calibri"/>
      <family val="2"/>
      <scheme val="minor"/>
    </font>
    <font>
      <b/>
      <vertAlign val="superscript"/>
      <sz val="11"/>
      <color theme="1"/>
      <name val="Calibri"/>
      <family val="2"/>
      <scheme val="minor"/>
    </font>
    <font>
      <sz val="11"/>
      <name val="Calibri"/>
      <family val="2"/>
    </font>
    <font>
      <b/>
      <sz val="11"/>
      <color theme="1"/>
      <name val="Cambria"/>
      <family val="1"/>
    </font>
    <font>
      <b/>
      <vertAlign val="superscript"/>
      <sz val="11"/>
      <color theme="1"/>
      <name val="Cambria"/>
      <family val="1"/>
    </font>
    <font>
      <b/>
      <i/>
      <sz val="11"/>
      <color theme="1"/>
      <name val="Calibri"/>
      <family val="2"/>
      <scheme val="minor"/>
    </font>
    <font>
      <vertAlign val="superscript"/>
      <sz val="11"/>
      <name val="Cambria"/>
      <family val="1"/>
    </font>
    <font>
      <sz val="11"/>
      <color rgb="FF7030A0"/>
      <name val="Calibri"/>
      <family val="2"/>
      <scheme val="minor"/>
    </font>
    <font>
      <vertAlign val="subscript"/>
      <sz val="11"/>
      <name val="Calibri"/>
      <family val="2"/>
      <scheme val="minor"/>
    </font>
    <font>
      <b/>
      <sz val="11"/>
      <color rgb="FF7030A0"/>
      <name val="Calibri"/>
      <family val="2"/>
      <scheme val="minor"/>
    </font>
    <font>
      <sz val="6"/>
      <color theme="1"/>
      <name val="Cambria"/>
      <family val="1"/>
    </font>
    <font>
      <sz val="6"/>
      <color theme="1"/>
      <name val="Calibri"/>
      <family val="2"/>
    </font>
    <font>
      <vertAlign val="subscript"/>
      <sz val="6"/>
      <color theme="1"/>
      <name val="Cambria"/>
      <family val="1"/>
    </font>
    <font>
      <vertAlign val="superscript"/>
      <sz val="11"/>
      <color theme="1"/>
      <name val="Cambria"/>
      <family val="1"/>
    </font>
    <font>
      <u/>
      <sz val="11"/>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B0F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499">
    <xf numFmtId="0" fontId="0" fillId="0" borderId="0" xfId="0"/>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0" xfId="0" applyFont="1" applyFill="1" applyBorder="1" applyAlignment="1">
      <alignment horizontal="center" vertical="center"/>
    </xf>
    <xf numFmtId="0" fontId="0" fillId="2" borderId="0" xfId="0" applyFont="1" applyFill="1" applyBorder="1" applyAlignment="1">
      <alignment horizontal="right" vertical="center"/>
    </xf>
    <xf numFmtId="9"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ont="1" applyFill="1" applyBorder="1" applyAlignment="1">
      <alignment horizontal="left" vertical="center"/>
    </xf>
    <xf numFmtId="9" fontId="8" fillId="2" borderId="0" xfId="0" applyNumberFormat="1" applyFont="1" applyFill="1" applyBorder="1" applyAlignment="1">
      <alignment horizontal="center" vertical="center"/>
    </xf>
    <xf numFmtId="0" fontId="0" fillId="2" borderId="0" xfId="0" applyFill="1" applyAlignment="1">
      <alignment vertical="center"/>
    </xf>
    <xf numFmtId="0" fontId="0" fillId="2" borderId="1" xfId="0" applyFill="1" applyBorder="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horizontal="center" vertical="center"/>
    </xf>
    <xf numFmtId="166" fontId="0" fillId="2" borderId="1" xfId="0" applyNumberFormat="1" applyFill="1" applyBorder="1" applyAlignment="1">
      <alignment vertical="center"/>
    </xf>
    <xf numFmtId="165" fontId="0" fillId="2" borderId="1" xfId="0" applyNumberFormat="1" applyFill="1" applyBorder="1" applyAlignment="1">
      <alignment vertical="center"/>
    </xf>
    <xf numFmtId="167" fontId="0" fillId="2" borderId="1" xfId="0" applyNumberFormat="1" applyFont="1" applyFill="1" applyBorder="1" applyAlignment="1">
      <alignment horizontal="right" vertical="center"/>
    </xf>
    <xf numFmtId="164" fontId="0" fillId="2" borderId="1" xfId="0" applyNumberFormat="1" applyFont="1" applyFill="1" applyBorder="1" applyAlignment="1">
      <alignment horizontal="right" vertical="center"/>
    </xf>
    <xf numFmtId="0" fontId="0" fillId="2" borderId="1" xfId="0" applyFill="1" applyBorder="1" applyAlignment="1">
      <alignment vertical="center" wrapText="1"/>
    </xf>
    <xf numFmtId="166" fontId="0" fillId="2" borderId="1" xfId="0" applyNumberFormat="1" applyFont="1" applyFill="1" applyBorder="1" applyAlignment="1">
      <alignment horizontal="right" vertical="center"/>
    </xf>
    <xf numFmtId="166" fontId="0" fillId="2" borderId="0" xfId="0" applyNumberFormat="1" applyFill="1" applyBorder="1" applyAlignment="1">
      <alignment vertical="center"/>
    </xf>
    <xf numFmtId="0" fontId="0" fillId="2" borderId="0" xfId="0" applyFill="1" applyBorder="1" applyAlignment="1">
      <alignment vertical="center"/>
    </xf>
    <xf numFmtId="165" fontId="0" fillId="2" borderId="0" xfId="0" applyNumberFormat="1" applyFill="1" applyBorder="1" applyAlignment="1">
      <alignment vertical="center"/>
    </xf>
    <xf numFmtId="0" fontId="5" fillId="2" borderId="3" xfId="0" applyFont="1" applyFill="1" applyBorder="1" applyAlignment="1">
      <alignment horizontal="center" vertical="center"/>
    </xf>
    <xf numFmtId="0" fontId="0" fillId="2" borderId="3" xfId="0" applyFont="1" applyFill="1" applyBorder="1" applyAlignment="1">
      <alignment horizontal="center" vertical="center"/>
    </xf>
    <xf numFmtId="2" fontId="0" fillId="2" borderId="1" xfId="0" applyNumberFormat="1" applyFont="1" applyFill="1" applyBorder="1" applyAlignment="1">
      <alignment horizontal="right" vertical="center"/>
    </xf>
    <xf numFmtId="0" fontId="5" fillId="2" borderId="4" xfId="0" applyFont="1" applyFill="1" applyBorder="1" applyAlignment="1">
      <alignment horizontal="center" vertical="center"/>
    </xf>
    <xf numFmtId="1" fontId="0" fillId="2" borderId="1" xfId="0" applyNumberFormat="1" applyFont="1" applyFill="1" applyBorder="1" applyAlignment="1">
      <alignment horizontal="right" vertical="center"/>
    </xf>
    <xf numFmtId="0" fontId="1" fillId="2" borderId="5" xfId="0" applyFont="1" applyFill="1" applyBorder="1" applyAlignment="1">
      <alignment vertical="center"/>
    </xf>
    <xf numFmtId="167" fontId="0" fillId="2" borderId="1" xfId="0" applyNumberFormat="1" applyFill="1" applyBorder="1" applyAlignment="1">
      <alignment horizontal="right" vertical="center"/>
    </xf>
    <xf numFmtId="0" fontId="0" fillId="3" borderId="1" xfId="0" applyFont="1" applyFill="1" applyBorder="1" applyAlignment="1">
      <alignment horizontal="right" vertical="center"/>
    </xf>
    <xf numFmtId="0" fontId="0" fillId="3" borderId="3" xfId="0" applyFont="1" applyFill="1" applyBorder="1" applyAlignment="1">
      <alignment horizontal="right" vertical="center"/>
    </xf>
    <xf numFmtId="0" fontId="0" fillId="2" borderId="0" xfId="0" applyFont="1" applyFill="1" applyBorder="1" applyAlignment="1">
      <alignment horizontal="left" vertical="center"/>
    </xf>
    <xf numFmtId="0" fontId="5" fillId="2" borderId="0" xfId="0" applyFont="1" applyFill="1" applyBorder="1" applyAlignment="1">
      <alignment horizontal="center" vertical="center"/>
    </xf>
    <xf numFmtId="0" fontId="0" fillId="2" borderId="1" xfId="0" applyFont="1" applyFill="1" applyBorder="1" applyAlignment="1">
      <alignment vertical="center"/>
    </xf>
    <xf numFmtId="2" fontId="0" fillId="2" borderId="0" xfId="0" applyNumberFormat="1" applyFont="1" applyFill="1" applyBorder="1" applyAlignment="1">
      <alignment horizontal="right" vertical="center"/>
    </xf>
    <xf numFmtId="0" fontId="8" fillId="2" borderId="4" xfId="0" applyFont="1" applyFill="1" applyBorder="1" applyAlignment="1">
      <alignment horizontal="center" vertical="center"/>
    </xf>
    <xf numFmtId="9" fontId="5"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Alignment="1">
      <alignment vertical="center"/>
    </xf>
    <xf numFmtId="0" fontId="0" fillId="2" borderId="0" xfId="0" applyFill="1" applyAlignment="1">
      <alignment vertical="justify"/>
    </xf>
    <xf numFmtId="0" fontId="0" fillId="2" borderId="0" xfId="0" applyFont="1" applyFill="1" applyAlignment="1">
      <alignment vertical="center"/>
    </xf>
    <xf numFmtId="2" fontId="12" fillId="2" borderId="1" xfId="0" applyNumberFormat="1" applyFont="1" applyFill="1" applyBorder="1" applyAlignment="1">
      <alignment vertical="center"/>
    </xf>
    <xf numFmtId="0" fontId="13" fillId="2" borderId="4" xfId="0" applyFont="1" applyFill="1" applyBorder="1" applyAlignment="1">
      <alignment horizontal="center" vertical="center"/>
    </xf>
    <xf numFmtId="0" fontId="12" fillId="2" borderId="1" xfId="0" applyFont="1" applyFill="1" applyBorder="1" applyAlignment="1">
      <alignment horizontal="center" vertical="center"/>
    </xf>
    <xf numFmtId="167" fontId="12" fillId="2" borderId="1" xfId="0" applyNumberFormat="1" applyFont="1" applyFill="1" applyBorder="1" applyAlignment="1">
      <alignment horizontal="right" vertical="center"/>
    </xf>
    <xf numFmtId="0" fontId="15" fillId="2" borderId="4" xfId="0" applyFont="1" applyFill="1" applyBorder="1" applyAlignment="1">
      <alignment horizontal="center" vertical="center"/>
    </xf>
    <xf numFmtId="0" fontId="12" fillId="2" borderId="1" xfId="0" applyFont="1" applyFill="1" applyBorder="1" applyAlignment="1">
      <alignment vertical="center"/>
    </xf>
    <xf numFmtId="167" fontId="12" fillId="2" borderId="1" xfId="0" applyNumberFormat="1" applyFont="1" applyFill="1" applyBorder="1" applyAlignment="1">
      <alignment vertical="center"/>
    </xf>
    <xf numFmtId="0" fontId="15" fillId="2" borderId="1" xfId="0" applyFont="1" applyFill="1" applyBorder="1" applyAlignment="1">
      <alignment horizontal="center" vertical="center"/>
    </xf>
    <xf numFmtId="2" fontId="12" fillId="2" borderId="1" xfId="0" applyNumberFormat="1" applyFont="1" applyFill="1" applyBorder="1" applyAlignment="1">
      <alignment horizontal="right" vertical="center"/>
    </xf>
    <xf numFmtId="0" fontId="12" fillId="2" borderId="0" xfId="0" applyFont="1" applyFill="1" applyAlignment="1">
      <alignment vertical="center"/>
    </xf>
    <xf numFmtId="2" fontId="12"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0" fontId="13" fillId="2" borderId="1" xfId="0" applyFont="1" applyFill="1" applyBorder="1" applyAlignment="1">
      <alignment horizontal="center" vertical="center"/>
    </xf>
    <xf numFmtId="2" fontId="12" fillId="4" borderId="1" xfId="0" applyNumberFormat="1" applyFont="1" applyFill="1" applyBorder="1" applyAlignment="1">
      <alignment vertical="center"/>
    </xf>
    <xf numFmtId="167" fontId="12" fillId="4" borderId="1" xfId="0" applyNumberFormat="1" applyFont="1" applyFill="1" applyBorder="1" applyAlignment="1">
      <alignment horizontal="right" vertical="center"/>
    </xf>
    <xf numFmtId="0" fontId="0" fillId="0" borderId="1" xfId="0" applyFont="1" applyFill="1" applyBorder="1" applyAlignment="1">
      <alignment horizontal="right" vertical="center"/>
    </xf>
    <xf numFmtId="165" fontId="0" fillId="2" borderId="1" xfId="0" applyNumberFormat="1" applyFont="1" applyFill="1" applyBorder="1" applyAlignment="1">
      <alignment horizontal="right" vertical="center"/>
    </xf>
    <xf numFmtId="1" fontId="12" fillId="5" borderId="1" xfId="0" applyNumberFormat="1" applyFont="1" applyFill="1" applyBorder="1" applyAlignment="1">
      <alignment horizontal="right" vertical="center"/>
    </xf>
    <xf numFmtId="0" fontId="21" fillId="0" borderId="0" xfId="0" applyFont="1"/>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justify" vertical="center" wrapText="1"/>
    </xf>
    <xf numFmtId="0" fontId="1" fillId="2" borderId="0" xfId="0" applyFont="1" applyFill="1" applyAlignment="1">
      <alignment horizontal="lef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168" fontId="12" fillId="4" borderId="1" xfId="0" applyNumberFormat="1" applyFont="1" applyFill="1" applyBorder="1" applyAlignment="1">
      <alignment vertical="center"/>
    </xf>
    <xf numFmtId="164" fontId="12" fillId="2" borderId="1" xfId="0" applyNumberFormat="1" applyFont="1" applyFill="1" applyBorder="1" applyAlignment="1">
      <alignment horizontal="right" vertical="center"/>
    </xf>
    <xf numFmtId="164" fontId="12" fillId="2" borderId="1" xfId="0" applyNumberFormat="1" applyFont="1" applyFill="1" applyBorder="1" applyAlignment="1">
      <alignment vertical="center"/>
    </xf>
    <xf numFmtId="166" fontId="12" fillId="2" borderId="1" xfId="0" applyNumberFormat="1" applyFont="1" applyFill="1" applyBorder="1" applyAlignment="1">
      <alignment vertical="center"/>
    </xf>
    <xf numFmtId="169" fontId="0" fillId="2" borderId="0" xfId="0" applyNumberFormat="1" applyFill="1" applyAlignment="1">
      <alignment vertical="center"/>
    </xf>
    <xf numFmtId="164" fontId="0" fillId="2" borderId="0" xfId="0" applyNumberFormat="1" applyFill="1" applyAlignment="1">
      <alignmen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justify" vertical="center" wrapText="1"/>
    </xf>
    <xf numFmtId="0" fontId="12" fillId="2" borderId="0" xfId="0" applyFont="1" applyFill="1" applyBorder="1" applyAlignment="1">
      <alignment horizontal="left" vertical="center"/>
    </xf>
    <xf numFmtId="0" fontId="15"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0" fillId="2" borderId="0" xfId="0" applyFill="1" applyBorder="1" applyAlignment="1">
      <alignment horizontal="center" vertical="center"/>
    </xf>
    <xf numFmtId="168" fontId="12" fillId="2" borderId="0" xfId="0" applyNumberFormat="1" applyFont="1" applyFill="1" applyBorder="1" applyAlignment="1">
      <alignment vertical="center"/>
    </xf>
    <xf numFmtId="168" fontId="12" fillId="2" borderId="1" xfId="0" applyNumberFormat="1" applyFont="1" applyFill="1" applyBorder="1" applyAlignment="1">
      <alignment vertical="center"/>
    </xf>
    <xf numFmtId="0" fontId="23" fillId="2" borderId="0" xfId="0" applyFont="1" applyFill="1" applyBorder="1" applyAlignment="1">
      <alignment horizontal="left" vertical="center"/>
    </xf>
    <xf numFmtId="0" fontId="0" fillId="6" borderId="1" xfId="0" applyFont="1" applyFill="1" applyBorder="1" applyAlignment="1">
      <alignment horizontal="right" vertical="center"/>
    </xf>
    <xf numFmtId="2" fontId="0" fillId="3" borderId="1" xfId="0" applyNumberFormat="1" applyFont="1" applyFill="1" applyBorder="1" applyAlignment="1">
      <alignment horizontal="right" vertical="center"/>
    </xf>
    <xf numFmtId="168" fontId="12" fillId="7" borderId="1" xfId="0" applyNumberFormat="1" applyFont="1" applyFill="1" applyBorder="1" applyAlignment="1">
      <alignment vertical="center"/>
    </xf>
    <xf numFmtId="0" fontId="0" fillId="2" borderId="0" xfId="0" applyFill="1" applyBorder="1" applyAlignment="1">
      <alignment vertical="center" wrapText="1"/>
    </xf>
    <xf numFmtId="168" fontId="0" fillId="2" borderId="0" xfId="0" applyNumberFormat="1" applyFill="1" applyBorder="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1" fontId="12" fillId="2" borderId="1" xfId="0" applyNumberFormat="1" applyFont="1" applyFill="1" applyBorder="1" applyAlignment="1">
      <alignment vertical="center"/>
    </xf>
    <xf numFmtId="0" fontId="26" fillId="2" borderId="0" xfId="0" applyFont="1" applyFill="1" applyAlignment="1">
      <alignment vertical="center"/>
    </xf>
    <xf numFmtId="166" fontId="26" fillId="2" borderId="0" xfId="0" applyNumberFormat="1" applyFont="1" applyFill="1" applyBorder="1" applyAlignment="1">
      <alignment vertical="center"/>
    </xf>
    <xf numFmtId="0" fontId="22" fillId="2" borderId="6" xfId="0" applyFont="1" applyFill="1" applyBorder="1" applyAlignment="1">
      <alignment horizontal="center" vertical="center"/>
    </xf>
    <xf numFmtId="165" fontId="12" fillId="2" borderId="1" xfId="0" applyNumberFormat="1" applyFont="1" applyFill="1" applyBorder="1" applyAlignment="1">
      <alignment vertical="center"/>
    </xf>
    <xf numFmtId="170" fontId="12" fillId="2" borderId="1" xfId="0" applyNumberFormat="1" applyFont="1" applyFill="1" applyBorder="1" applyAlignment="1">
      <alignment vertical="center"/>
    </xf>
    <xf numFmtId="0" fontId="0" fillId="0" borderId="7" xfId="0" applyFill="1" applyBorder="1" applyAlignment="1">
      <alignment horizontal="center" vertical="center"/>
    </xf>
    <xf numFmtId="172" fontId="12" fillId="2" borderId="1" xfId="0" applyNumberFormat="1" applyFont="1" applyFill="1" applyBorder="1" applyAlignment="1">
      <alignment vertical="center"/>
    </xf>
    <xf numFmtId="173" fontId="0" fillId="2" borderId="1" xfId="0" applyNumberFormat="1" applyFill="1" applyBorder="1" applyAlignment="1">
      <alignment horizontal="right" vertical="center"/>
    </xf>
    <xf numFmtId="0" fontId="25" fillId="2" borderId="0" xfId="0" applyFont="1" applyFill="1" applyBorder="1" applyAlignment="1">
      <alignment horizontal="left" vertical="center"/>
    </xf>
    <xf numFmtId="0" fontId="27" fillId="2" borderId="0" xfId="0" applyFont="1" applyFill="1" applyBorder="1" applyAlignment="1">
      <alignment horizontal="center" vertical="center"/>
    </xf>
    <xf numFmtId="0" fontId="25" fillId="2" borderId="0" xfId="0" applyFont="1" applyFill="1" applyBorder="1" applyAlignment="1">
      <alignment horizontal="center" vertical="center"/>
    </xf>
    <xf numFmtId="1" fontId="25" fillId="2" borderId="0" xfId="0" applyNumberFormat="1" applyFont="1" applyFill="1" applyBorder="1" applyAlignment="1">
      <alignment horizontal="right" vertical="center"/>
    </xf>
    <xf numFmtId="0" fontId="0" fillId="2" borderId="0" xfId="0" applyFill="1"/>
    <xf numFmtId="0" fontId="0" fillId="2" borderId="0" xfId="0" applyFill="1" applyAlignment="1">
      <alignment wrapText="1"/>
    </xf>
    <xf numFmtId="0" fontId="1" fillId="2" borderId="0" xfId="0" applyFont="1" applyFill="1"/>
    <xf numFmtId="0" fontId="12" fillId="2" borderId="1" xfId="0" applyFont="1" applyFill="1" applyBorder="1"/>
    <xf numFmtId="0" fontId="0" fillId="2" borderId="0" xfId="0" applyFill="1" applyAlignment="1">
      <alignment horizontal="justify"/>
    </xf>
    <xf numFmtId="0" fontId="0" fillId="2" borderId="0" xfId="0" applyFill="1" applyBorder="1"/>
    <xf numFmtId="174" fontId="12" fillId="2" borderId="1" xfId="0" applyNumberFormat="1" applyFont="1" applyFill="1" applyBorder="1" applyAlignment="1">
      <alignment horizontal="center" vertical="center"/>
    </xf>
    <xf numFmtId="173" fontId="0" fillId="2" borderId="3" xfId="0" applyNumberFormat="1" applyFill="1" applyBorder="1" applyAlignment="1">
      <alignment horizontal="right" vertical="center"/>
    </xf>
    <xf numFmtId="0" fontId="0" fillId="2" borderId="1" xfId="0" applyFill="1" applyBorder="1"/>
    <xf numFmtId="173" fontId="0" fillId="2" borderId="1" xfId="0" applyNumberFormat="1" applyFill="1" applyBorder="1"/>
    <xf numFmtId="173" fontId="0" fillId="2" borderId="1" xfId="0" applyNumberFormat="1" applyFill="1" applyBorder="1" applyAlignment="1">
      <alignment horizontal="center" vertical="center"/>
    </xf>
    <xf numFmtId="174" fontId="0" fillId="2" borderId="0" xfId="0" applyNumberFormat="1" applyFill="1" applyBorder="1" applyAlignment="1">
      <alignment horizontal="center" vertical="center"/>
    </xf>
    <xf numFmtId="174" fontId="25" fillId="2" borderId="0" xfId="0" applyNumberFormat="1" applyFont="1" applyFill="1" applyBorder="1" applyAlignment="1">
      <alignment horizontal="center" vertical="center"/>
    </xf>
    <xf numFmtId="0" fontId="0" fillId="2" borderId="0" xfId="0" applyFont="1" applyFill="1" applyBorder="1" applyAlignment="1">
      <alignment vertical="center"/>
    </xf>
    <xf numFmtId="0" fontId="3" fillId="2" borderId="0"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2" fontId="3" fillId="2" borderId="0" xfId="0" applyNumberFormat="1" applyFont="1" applyFill="1" applyBorder="1" applyAlignment="1">
      <alignment horizontal="center" vertical="center"/>
    </xf>
    <xf numFmtId="172" fontId="0" fillId="2" borderId="0" xfId="0" applyNumberFormat="1" applyFill="1" applyBorder="1" applyAlignment="1">
      <alignment horizontal="center" vertical="center"/>
    </xf>
    <xf numFmtId="2" fontId="0" fillId="2" borderId="0" xfId="0" applyNumberFormat="1" applyFill="1" applyBorder="1" applyAlignment="1">
      <alignment horizontal="center" vertical="center"/>
    </xf>
    <xf numFmtId="172" fontId="12" fillId="2" borderId="1" xfId="0" applyNumberFormat="1" applyFont="1" applyFill="1" applyBorder="1" applyAlignment="1">
      <alignment horizontal="center" vertical="center"/>
    </xf>
    <xf numFmtId="174" fontId="12" fillId="2" borderId="6" xfId="0" applyNumberFormat="1" applyFont="1" applyFill="1" applyBorder="1" applyAlignment="1">
      <alignment horizontal="center" vertical="center"/>
    </xf>
    <xf numFmtId="2" fontId="0" fillId="2" borderId="0" xfId="0" applyNumberFormat="1" applyFont="1" applyFill="1" applyBorder="1" applyAlignment="1">
      <alignment horizontal="center" vertical="center"/>
    </xf>
    <xf numFmtId="174" fontId="0" fillId="2" borderId="0" xfId="0" applyNumberFormat="1" applyFont="1" applyFill="1" applyBorder="1" applyAlignment="1">
      <alignment horizontal="center" vertical="center"/>
    </xf>
    <xf numFmtId="0" fontId="0" fillId="2" borderId="1" xfId="0" applyFont="1" applyFill="1" applyBorder="1" applyAlignment="1">
      <alignment horizontal="center" vertical="center" wrapText="1"/>
    </xf>
    <xf numFmtId="49" fontId="0" fillId="2" borderId="1" xfId="0" applyNumberFormat="1" applyFont="1" applyFill="1" applyBorder="1" applyAlignment="1">
      <alignment horizontal="center" vertical="center"/>
    </xf>
    <xf numFmtId="0" fontId="0" fillId="2" borderId="0" xfId="0" applyFont="1" applyFill="1"/>
    <xf numFmtId="174" fontId="12" fillId="2" borderId="0" xfId="0" applyNumberFormat="1" applyFont="1" applyFill="1" applyBorder="1" applyAlignment="1">
      <alignment horizontal="center" vertical="center"/>
    </xf>
    <xf numFmtId="0" fontId="0" fillId="2" borderId="0" xfId="0" applyFont="1" applyFill="1" applyBorder="1" applyAlignment="1">
      <alignment horizontal="center" vertical="center"/>
    </xf>
    <xf numFmtId="1" fontId="0" fillId="2" borderId="0" xfId="0" applyNumberFormat="1" applyFont="1" applyFill="1" applyBorder="1" applyAlignment="1">
      <alignment horizontal="center" vertical="center"/>
    </xf>
    <xf numFmtId="2" fontId="0" fillId="2" borderId="0" xfId="0" applyNumberFormat="1" applyFont="1" applyFill="1" applyBorder="1" applyAlignment="1">
      <alignment horizontal="right" vertical="center" indent="2"/>
    </xf>
    <xf numFmtId="0" fontId="12" fillId="2" borderId="0" xfId="0" applyFont="1" applyFill="1" applyBorder="1" applyAlignment="1">
      <alignment vertical="center"/>
    </xf>
    <xf numFmtId="0" fontId="0" fillId="2" borderId="0" xfId="0" applyFont="1" applyFill="1" applyBorder="1" applyAlignment="1">
      <alignment horizontal="center" vertical="center"/>
    </xf>
    <xf numFmtId="0" fontId="0" fillId="2" borderId="0" xfId="0" applyFill="1" applyAlignment="1">
      <alignment horizontal="center" vertical="center"/>
    </xf>
    <xf numFmtId="0" fontId="12" fillId="2" borderId="1" xfId="0" applyFont="1" applyFill="1" applyBorder="1" applyAlignment="1">
      <alignment horizontal="center" vertical="center"/>
    </xf>
    <xf numFmtId="174"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2" fontId="1" fillId="2" borderId="1" xfId="0" applyNumberFormat="1" applyFont="1" applyFill="1" applyBorder="1" applyAlignment="1">
      <alignment horizontal="center" vertical="center" wrapText="1"/>
    </xf>
    <xf numFmtId="2" fontId="0" fillId="2" borderId="1" xfId="0" applyNumberFormat="1" applyFont="1" applyFill="1" applyBorder="1" applyAlignment="1">
      <alignment horizontal="center" vertical="center" wrapText="1"/>
    </xf>
    <xf numFmtId="174" fontId="0" fillId="2" borderId="1" xfId="0" applyNumberFormat="1" applyFont="1" applyFill="1" applyBorder="1" applyAlignment="1">
      <alignment horizontal="center" vertical="center" wrapText="1"/>
    </xf>
    <xf numFmtId="49" fontId="0" fillId="2" borderId="1" xfId="0" applyNumberFormat="1" applyFont="1" applyFill="1" applyBorder="1" applyAlignment="1">
      <alignment horizontal="center" vertical="center" wrapText="1"/>
    </xf>
    <xf numFmtId="0" fontId="0" fillId="2" borderId="0" xfId="0" applyFont="1" applyFill="1" applyBorder="1" applyAlignment="1">
      <alignment horizontal="center" vertical="center"/>
    </xf>
    <xf numFmtId="0" fontId="23" fillId="2" borderId="0" xfId="0" applyFont="1" applyFill="1" applyBorder="1" applyAlignment="1">
      <alignment vertical="center" wrapText="1"/>
    </xf>
    <xf numFmtId="0" fontId="30" fillId="2" borderId="1" xfId="0" applyFont="1" applyFill="1" applyBorder="1" applyAlignment="1">
      <alignment horizontal="center" vertical="center"/>
    </xf>
    <xf numFmtId="0" fontId="12" fillId="2" borderId="0" xfId="0" applyFont="1" applyFill="1" applyBorder="1"/>
    <xf numFmtId="2" fontId="8" fillId="2" borderId="1" xfId="0" applyNumberFormat="1" applyFont="1" applyFill="1" applyBorder="1" applyAlignment="1">
      <alignment horizontal="center" vertical="center"/>
    </xf>
    <xf numFmtId="0" fontId="26" fillId="2" borderId="0" xfId="0" applyFont="1" applyFill="1"/>
    <xf numFmtId="11" fontId="0" fillId="2" borderId="0" xfId="0" applyNumberFormat="1" applyFill="1"/>
    <xf numFmtId="2" fontId="0" fillId="2" borderId="1" xfId="0" applyNumberFormat="1" applyFont="1" applyFill="1" applyBorder="1" applyAlignment="1">
      <alignment horizontal="center" vertical="center"/>
    </xf>
    <xf numFmtId="0" fontId="0" fillId="2" borderId="0" xfId="0"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26" fillId="2" borderId="0" xfId="0" applyFont="1" applyFill="1" applyBorder="1" applyAlignment="1">
      <alignment vertical="center"/>
    </xf>
    <xf numFmtId="2" fontId="0" fillId="2" borderId="0" xfId="0" applyNumberFormat="1" applyFont="1" applyFill="1" applyBorder="1" applyAlignment="1">
      <alignment vertical="center"/>
    </xf>
    <xf numFmtId="0" fontId="0" fillId="2" borderId="3" xfId="0" applyFill="1" applyBorder="1"/>
    <xf numFmtId="0" fontId="0" fillId="2" borderId="0" xfId="0" applyFill="1" applyBorder="1" applyAlignment="1">
      <alignment horizontal="justify"/>
    </xf>
    <xf numFmtId="0" fontId="0" fillId="2" borderId="0" xfId="0" applyFill="1" applyBorder="1" applyAlignment="1">
      <alignment wrapText="1"/>
    </xf>
    <xf numFmtId="0" fontId="0" fillId="2" borderId="1" xfId="0" applyFill="1" applyBorder="1" applyAlignment="1">
      <alignment horizontal="center" vertical="center"/>
    </xf>
    <xf numFmtId="0" fontId="31" fillId="2" borderId="3" xfId="0" applyFont="1" applyFill="1" applyBorder="1" applyAlignment="1">
      <alignment horizontal="center" vertical="center" wrapText="1"/>
    </xf>
    <xf numFmtId="0" fontId="0" fillId="8" borderId="1" xfId="0" applyFill="1" applyBorder="1" applyAlignment="1">
      <alignment horizontal="center" vertical="center"/>
    </xf>
    <xf numFmtId="0" fontId="0" fillId="8" borderId="1" xfId="0" applyFill="1" applyBorder="1" applyAlignment="1">
      <alignment horizontal="center"/>
    </xf>
    <xf numFmtId="0" fontId="1" fillId="2" borderId="0" xfId="0" applyFont="1" applyFill="1" applyBorder="1" applyAlignment="1">
      <alignment horizontal="center" vertical="center" wrapText="1"/>
    </xf>
    <xf numFmtId="0" fontId="0" fillId="2" borderId="3" xfId="0" applyFill="1" applyBorder="1" applyAlignment="1">
      <alignment horizontal="center" vertical="center"/>
    </xf>
    <xf numFmtId="165" fontId="0" fillId="2" borderId="3" xfId="0" applyNumberFormat="1" applyFill="1" applyBorder="1" applyAlignment="1">
      <alignment horizontal="center"/>
    </xf>
    <xf numFmtId="173" fontId="0" fillId="2" borderId="0" xfId="0" applyNumberFormat="1" applyFill="1"/>
    <xf numFmtId="165" fontId="0" fillId="2" borderId="0" xfId="0" applyNumberFormat="1" applyFill="1"/>
    <xf numFmtId="165" fontId="0" fillId="2" borderId="0" xfId="0" applyNumberFormat="1" applyFill="1" applyBorder="1"/>
    <xf numFmtId="168" fontId="0" fillId="2" borderId="1" xfId="0" applyNumberFormat="1" applyFill="1" applyBorder="1"/>
    <xf numFmtId="9" fontId="8" fillId="2" borderId="1" xfId="0" applyNumberFormat="1" applyFont="1" applyFill="1" applyBorder="1" applyAlignment="1">
      <alignment horizontal="center" vertical="center"/>
    </xf>
    <xf numFmtId="0" fontId="8" fillId="2" borderId="3" xfId="0" applyFont="1" applyFill="1" applyBorder="1" applyAlignment="1">
      <alignment horizontal="center" vertical="center"/>
    </xf>
    <xf numFmtId="165" fontId="12" fillId="2" borderId="0" xfId="0" applyNumberFormat="1" applyFont="1" applyFill="1" applyBorder="1" applyAlignment="1">
      <alignment horizontal="center" vertical="center"/>
    </xf>
    <xf numFmtId="168" fontId="0" fillId="2" borderId="3" xfId="0" applyNumberFormat="1" applyFill="1" applyBorder="1"/>
    <xf numFmtId="168" fontId="0" fillId="8" borderId="1" xfId="0" applyNumberFormat="1" applyFill="1" applyBorder="1"/>
    <xf numFmtId="0" fontId="1" fillId="2" borderId="0" xfId="0" applyFont="1" applyFill="1" applyBorder="1" applyAlignment="1">
      <alignment horizontal="center" vertical="center" wrapText="1"/>
    </xf>
    <xf numFmtId="2" fontId="0" fillId="2" borderId="1" xfId="0" applyNumberFormat="1"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2" borderId="1" xfId="0" applyFont="1" applyFill="1" applyBorder="1" applyAlignment="1">
      <alignment horizontal="left" vertical="center"/>
    </xf>
    <xf numFmtId="0" fontId="0" fillId="2" borderId="0" xfId="0" applyFill="1" applyAlignment="1">
      <alignment horizontal="center" vertical="center"/>
    </xf>
    <xf numFmtId="2"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3" fillId="2" borderId="0" xfId="0" applyFont="1" applyFill="1" applyBorder="1" applyAlignment="1">
      <alignment horizontal="center" vertical="center"/>
    </xf>
    <xf numFmtId="0" fontId="12" fillId="2" borderId="0" xfId="0" applyFont="1" applyFill="1" applyBorder="1" applyAlignment="1">
      <alignment horizontal="right" vertical="center"/>
    </xf>
    <xf numFmtId="0" fontId="12" fillId="2" borderId="1" xfId="0" applyFont="1" applyFill="1" applyBorder="1" applyAlignment="1">
      <alignment horizontal="right" vertical="center"/>
    </xf>
    <xf numFmtId="1" fontId="12" fillId="2" borderId="1" xfId="0" applyNumberFormat="1" applyFont="1" applyFill="1" applyBorder="1" applyAlignment="1">
      <alignment horizontal="right" vertical="center"/>
    </xf>
    <xf numFmtId="2" fontId="8" fillId="2" borderId="0" xfId="0" applyNumberFormat="1" applyFont="1" applyFill="1" applyBorder="1" applyAlignment="1">
      <alignment horizontal="center" vertical="center"/>
    </xf>
    <xf numFmtId="0" fontId="1" fillId="2" borderId="2" xfId="0" applyFont="1" applyFill="1" applyBorder="1" applyAlignment="1">
      <alignment vertical="center" wrapText="1"/>
    </xf>
    <xf numFmtId="174" fontId="0" fillId="2" borderId="1" xfId="0" applyNumberFormat="1" applyFill="1" applyBorder="1" applyAlignment="1">
      <alignment horizontal="center" vertical="center"/>
    </xf>
    <xf numFmtId="0" fontId="13" fillId="2" borderId="1" xfId="0" applyFont="1" applyFill="1" applyBorder="1"/>
    <xf numFmtId="11" fontId="13" fillId="2" borderId="1" xfId="0" applyNumberFormat="1" applyFont="1" applyFill="1" applyBorder="1" applyAlignment="1">
      <alignment horizontal="center" vertical="center"/>
    </xf>
    <xf numFmtId="2" fontId="12" fillId="2" borderId="1" xfId="0" applyNumberFormat="1" applyFont="1" applyFill="1" applyBorder="1"/>
    <xf numFmtId="0" fontId="13" fillId="2" borderId="1" xfId="0" applyFont="1" applyFill="1" applyBorder="1" applyAlignment="1">
      <alignment horizontal="center"/>
    </xf>
    <xf numFmtId="0" fontId="1" fillId="2" borderId="0" xfId="0" applyFont="1" applyFill="1" applyBorder="1" applyAlignment="1">
      <alignment vertical="center" wrapText="1"/>
    </xf>
    <xf numFmtId="1" fontId="12" fillId="2" borderId="1" xfId="0" applyNumberFormat="1" applyFont="1" applyFill="1" applyBorder="1" applyAlignment="1">
      <alignment horizontal="center" vertical="center"/>
    </xf>
    <xf numFmtId="167" fontId="12" fillId="2" borderId="1" xfId="0" applyNumberFormat="1" applyFont="1" applyFill="1" applyBorder="1" applyAlignment="1">
      <alignment horizontal="center" vertical="center"/>
    </xf>
    <xf numFmtId="0" fontId="12" fillId="2" borderId="0" xfId="0" applyFont="1" applyFill="1" applyBorder="1" applyAlignment="1">
      <alignment horizontal="left" vertical="center"/>
    </xf>
    <xf numFmtId="0" fontId="1" fillId="2" borderId="0" xfId="0" applyFont="1" applyFill="1" applyBorder="1"/>
    <xf numFmtId="0" fontId="0" fillId="2" borderId="0" xfId="0" applyFill="1" applyBorder="1" applyAlignment="1">
      <alignment horizontal="left"/>
    </xf>
    <xf numFmtId="0" fontId="0" fillId="2" borderId="0" xfId="0" applyFont="1" applyFill="1" applyBorder="1" applyAlignment="1">
      <alignment horizontal="center" vertical="center"/>
    </xf>
    <xf numFmtId="0" fontId="1" fillId="2" borderId="1" xfId="0" applyFont="1" applyFill="1" applyBorder="1" applyAlignment="1">
      <alignment vertical="center" wrapText="1"/>
    </xf>
    <xf numFmtId="0" fontId="1" fillId="2" borderId="8" xfId="0" applyFont="1" applyFill="1" applyBorder="1" applyAlignment="1">
      <alignment vertical="center" wrapText="1"/>
    </xf>
    <xf numFmtId="0" fontId="1" fillId="2" borderId="3" xfId="0" applyFont="1" applyFill="1" applyBorder="1" applyAlignment="1">
      <alignment vertical="center" wrapText="1"/>
    </xf>
    <xf numFmtId="0" fontId="0" fillId="2" borderId="0" xfId="0" applyFill="1" applyAlignment="1"/>
    <xf numFmtId="0" fontId="0" fillId="2" borderId="9" xfId="0" applyFill="1" applyBorder="1" applyAlignment="1">
      <alignment horizontal="left" vertical="center"/>
    </xf>
    <xf numFmtId="0" fontId="12" fillId="2" borderId="14" xfId="0" applyFont="1" applyFill="1" applyBorder="1" applyAlignment="1">
      <alignment horizontal="left" vertical="center"/>
    </xf>
    <xf numFmtId="0" fontId="12" fillId="2" borderId="15" xfId="0" applyFont="1" applyFill="1" applyBorder="1" applyAlignment="1">
      <alignment horizontal="left" vertical="center"/>
    </xf>
    <xf numFmtId="0" fontId="0" fillId="2" borderId="14" xfId="0" applyFill="1" applyBorder="1" applyAlignment="1">
      <alignment horizontal="left" vertical="center"/>
    </xf>
    <xf numFmtId="0" fontId="0" fillId="2" borderId="0" xfId="0" applyFill="1" applyBorder="1" applyAlignment="1">
      <alignment horizontal="left" vertical="center"/>
    </xf>
    <xf numFmtId="0" fontId="0" fillId="2" borderId="11" xfId="0" applyFill="1" applyBorder="1" applyAlignment="1">
      <alignment horizontal="left" vertical="center"/>
    </xf>
    <xf numFmtId="1" fontId="12" fillId="2" borderId="0" xfId="0" applyNumberFormat="1" applyFont="1" applyFill="1" applyBorder="1" applyAlignment="1">
      <alignment horizontal="center" vertical="center"/>
    </xf>
    <xf numFmtId="0" fontId="0" fillId="2" borderId="2" xfId="0" applyFill="1" applyBorder="1" applyAlignment="1">
      <alignment vertical="center"/>
    </xf>
    <xf numFmtId="0" fontId="0" fillId="2" borderId="0" xfId="0" applyFill="1" applyBorder="1" applyAlignment="1"/>
    <xf numFmtId="0" fontId="0" fillId="2" borderId="8" xfId="0" applyFill="1" applyBorder="1" applyAlignment="1">
      <alignment vertical="center"/>
    </xf>
    <xf numFmtId="0" fontId="0" fillId="2" borderId="3" xfId="0" applyFill="1" applyBorder="1" applyAlignment="1"/>
    <xf numFmtId="0" fontId="0" fillId="2" borderId="2" xfId="0" applyFill="1" applyBorder="1" applyAlignment="1">
      <alignment horizontal="center" vertical="center"/>
    </xf>
    <xf numFmtId="49" fontId="0" fillId="2" borderId="1" xfId="0" applyNumberFormat="1" applyFill="1" applyBorder="1" applyAlignment="1">
      <alignment horizontal="center" vertical="center"/>
    </xf>
    <xf numFmtId="49" fontId="0" fillId="2" borderId="0" xfId="0" applyNumberFormat="1" applyFill="1" applyAlignment="1">
      <alignment horizontal="center" vertical="center"/>
    </xf>
    <xf numFmtId="0" fontId="22" fillId="2" borderId="1" xfId="0" applyFont="1" applyFill="1" applyBorder="1"/>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12" fillId="2" borderId="1" xfId="0" applyFont="1" applyFill="1" applyBorder="1" applyAlignment="1">
      <alignment horizontal="left" vertical="center"/>
    </xf>
    <xf numFmtId="0" fontId="0" fillId="2" borderId="0" xfId="0" applyFill="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2" borderId="2" xfId="0" applyFont="1" applyFill="1" applyBorder="1" applyAlignment="1">
      <alignment horizontal="left" vertical="center"/>
    </xf>
    <xf numFmtId="0" fontId="0" fillId="2" borderId="0" xfId="0" applyFont="1" applyFill="1" applyBorder="1" applyAlignment="1">
      <alignment horizontal="center" vertical="center"/>
    </xf>
    <xf numFmtId="0" fontId="12" fillId="2" borderId="9"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12" xfId="0" applyFont="1" applyFill="1" applyBorder="1" applyAlignment="1">
      <alignment horizontal="left" vertical="center"/>
    </xf>
    <xf numFmtId="0" fontId="12" fillId="2" borderId="0" xfId="0" applyFont="1" applyFill="1" applyBorder="1" applyAlignment="1">
      <alignment horizontal="left"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12" fillId="2" borderId="0" xfId="0" applyFont="1" applyFill="1" applyBorder="1" applyAlignment="1">
      <alignment horizontal="center" vertical="center"/>
    </xf>
    <xf numFmtId="2"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top"/>
    </xf>
    <xf numFmtId="0" fontId="12" fillId="2" borderId="1" xfId="0" applyFont="1" applyFill="1" applyBorder="1" applyAlignment="1">
      <alignment horizontal="center" vertical="top"/>
    </xf>
    <xf numFmtId="0" fontId="12" fillId="2" borderId="0" xfId="0" applyFont="1" applyFill="1"/>
    <xf numFmtId="0" fontId="23" fillId="2" borderId="0" xfId="0" applyFont="1" applyFill="1" applyAlignment="1">
      <alignment vertical="center"/>
    </xf>
    <xf numFmtId="175" fontId="12" fillId="2" borderId="1" xfId="0" applyNumberFormat="1" applyFont="1" applyFill="1" applyBorder="1"/>
    <xf numFmtId="0" fontId="23" fillId="2" borderId="0" xfId="0" applyFont="1" applyFill="1"/>
    <xf numFmtId="2" fontId="12" fillId="2" borderId="0" xfId="0" applyNumberFormat="1" applyFont="1" applyFill="1" applyBorder="1" applyAlignment="1">
      <alignment horizontal="center" vertical="center"/>
    </xf>
    <xf numFmtId="2" fontId="12" fillId="2" borderId="1" xfId="0" applyNumberFormat="1" applyFont="1" applyFill="1" applyBorder="1" applyAlignment="1">
      <alignment horizontal="right" vertical="center" indent="2"/>
    </xf>
    <xf numFmtId="2" fontId="12" fillId="2" borderId="0" xfId="0" applyNumberFormat="1" applyFont="1" applyFill="1"/>
    <xf numFmtId="174" fontId="12" fillId="2" borderId="0" xfId="0" applyNumberFormat="1" applyFont="1" applyFill="1" applyBorder="1" applyAlignment="1">
      <alignment vertical="center"/>
    </xf>
    <xf numFmtId="174" fontId="12" fillId="2" borderId="0" xfId="0" applyNumberFormat="1" applyFont="1" applyFill="1" applyBorder="1" applyAlignment="1">
      <alignment horizontal="right" vertical="center"/>
    </xf>
    <xf numFmtId="2" fontId="12" fillId="2" borderId="0" xfId="0" applyNumberFormat="1" applyFont="1" applyFill="1" applyBorder="1" applyAlignment="1">
      <alignment horizontal="right" vertical="center" indent="2"/>
    </xf>
    <xf numFmtId="174" fontId="23" fillId="2" borderId="0" xfId="0" applyNumberFormat="1" applyFont="1" applyFill="1" applyBorder="1" applyAlignment="1">
      <alignment horizontal="left" vertical="center"/>
    </xf>
    <xf numFmtId="0" fontId="1" fillId="2" borderId="10" xfId="0" applyFont="1" applyFill="1" applyBorder="1" applyAlignment="1">
      <alignment vertical="center" wrapText="1"/>
    </xf>
    <xf numFmtId="0" fontId="12" fillId="2" borderId="8" xfId="0" applyFont="1" applyFill="1" applyBorder="1" applyAlignment="1">
      <alignment horizontal="left" vertical="center"/>
    </xf>
    <xf numFmtId="1" fontId="13" fillId="2" borderId="1" xfId="0" applyNumberFormat="1" applyFont="1" applyFill="1" applyBorder="1" applyAlignment="1">
      <alignment horizontal="center" vertical="center"/>
    </xf>
    <xf numFmtId="1" fontId="13" fillId="2" borderId="4" xfId="0" applyNumberFormat="1" applyFont="1" applyFill="1" applyBorder="1" applyAlignment="1">
      <alignment horizontal="center" vertical="center"/>
    </xf>
    <xf numFmtId="0" fontId="35" fillId="2" borderId="1" xfId="0" applyFont="1" applyFill="1" applyBorder="1" applyAlignment="1">
      <alignment horizontal="left" vertical="center"/>
    </xf>
    <xf numFmtId="0" fontId="37" fillId="2" borderId="1" xfId="0" applyFont="1" applyFill="1" applyBorder="1" applyAlignment="1">
      <alignment vertical="center" wrapText="1"/>
    </xf>
    <xf numFmtId="0" fontId="35" fillId="2" borderId="1" xfId="0" applyFont="1" applyFill="1" applyBorder="1" applyAlignment="1">
      <alignment horizontal="center" vertical="center"/>
    </xf>
    <xf numFmtId="0" fontId="35" fillId="2" borderId="1" xfId="0" applyNumberFormat="1" applyFont="1" applyFill="1" applyBorder="1" applyAlignment="1">
      <alignment horizontal="center" vertical="center"/>
    </xf>
    <xf numFmtId="0" fontId="1" fillId="2" borderId="0" xfId="0" applyFont="1" applyFill="1" applyBorder="1" applyAlignment="1"/>
    <xf numFmtId="0" fontId="0" fillId="2" borderId="6" xfId="0" applyFill="1" applyBorder="1" applyAlignment="1">
      <alignment vertical="center"/>
    </xf>
    <xf numFmtId="0" fontId="0" fillId="2" borderId="4" xfId="0" applyFill="1" applyBorder="1" applyAlignment="1">
      <alignment vertical="center"/>
    </xf>
    <xf numFmtId="0" fontId="13" fillId="2" borderId="1" xfId="0" applyFont="1" applyFill="1" applyBorder="1" applyAlignment="1">
      <alignment horizontal="center" vertical="center"/>
    </xf>
    <xf numFmtId="0" fontId="0" fillId="2" borderId="0" xfId="0" applyFont="1" applyFill="1" applyBorder="1" applyAlignment="1">
      <alignment horizontal="center" vertical="center"/>
    </xf>
    <xf numFmtId="2" fontId="12" fillId="2" borderId="1" xfId="0" applyNumberFormat="1" applyFont="1" applyFill="1" applyBorder="1" applyAlignment="1">
      <alignment horizontal="center" vertical="center"/>
    </xf>
    <xf numFmtId="0" fontId="12" fillId="2" borderId="0" xfId="0" applyFont="1" applyFill="1" applyBorder="1" applyAlignment="1">
      <alignment horizontal="center" vertical="center"/>
    </xf>
    <xf numFmtId="2"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3" fillId="2" borderId="3" xfId="0" applyFont="1" applyFill="1" applyBorder="1" applyAlignment="1">
      <alignment horizontal="center" vertical="center"/>
    </xf>
    <xf numFmtId="1" fontId="12" fillId="2" borderId="2" xfId="0" applyNumberFormat="1" applyFont="1" applyFill="1" applyBorder="1" applyAlignment="1">
      <alignment horizontal="center" vertical="center"/>
    </xf>
    <xf numFmtId="0" fontId="1" fillId="2" borderId="0" xfId="0" applyFont="1" applyFill="1" applyAlignment="1"/>
    <xf numFmtId="12" fontId="0" fillId="2" borderId="0" xfId="0" applyNumberFormat="1" applyFill="1" applyAlignment="1"/>
    <xf numFmtId="12" fontId="0" fillId="2" borderId="1" xfId="0" applyNumberFormat="1" applyFill="1" applyBorder="1" applyAlignment="1">
      <alignment horizontal="center" vertical="center"/>
    </xf>
    <xf numFmtId="12" fontId="0" fillId="2" borderId="1" xfId="0" applyNumberFormat="1" applyFont="1" applyFill="1" applyBorder="1" applyAlignment="1">
      <alignment horizontal="center" vertical="center"/>
    </xf>
    <xf numFmtId="0" fontId="0" fillId="2" borderId="1" xfId="0" applyFill="1" applyBorder="1" applyAlignment="1"/>
    <xf numFmtId="2" fontId="0" fillId="2" borderId="1" xfId="0" applyNumberFormat="1" applyFill="1" applyBorder="1" applyAlignment="1"/>
    <xf numFmtId="173"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2" fontId="8" fillId="2" borderId="3" xfId="0" applyNumberFormat="1" applyFont="1" applyFill="1" applyBorder="1" applyAlignment="1">
      <alignment horizontal="center" vertical="center"/>
    </xf>
    <xf numFmtId="2" fontId="0" fillId="2" borderId="11" xfId="0" applyNumberFormat="1" applyFont="1" applyFill="1" applyBorder="1" applyAlignment="1">
      <alignment horizontal="center" vertical="center"/>
    </xf>
    <xf numFmtId="2" fontId="0" fillId="2" borderId="5" xfId="0" applyNumberFormat="1" applyFont="1" applyFill="1" applyBorder="1" applyAlignment="1">
      <alignment horizontal="center" vertical="center"/>
    </xf>
    <xf numFmtId="2" fontId="0" fillId="2" borderId="12" xfId="0" applyNumberFormat="1" applyFont="1" applyFill="1" applyBorder="1" applyAlignment="1">
      <alignment horizontal="center" vertical="center"/>
    </xf>
    <xf numFmtId="173" fontId="0" fillId="2" borderId="3" xfId="0" applyNumberFormat="1" applyFont="1" applyFill="1" applyBorder="1" applyAlignment="1">
      <alignment horizontal="center" vertical="center"/>
    </xf>
    <xf numFmtId="0" fontId="1" fillId="2" borderId="0" xfId="0" applyFont="1" applyFill="1" applyAlignment="1">
      <alignment horizontal="center"/>
    </xf>
    <xf numFmtId="164" fontId="0" fillId="2" borderId="1" xfId="0" applyNumberFormat="1" applyFill="1" applyBorder="1" applyAlignment="1">
      <alignment horizontal="center" vertical="center"/>
    </xf>
    <xf numFmtId="2" fontId="26" fillId="2" borderId="1" xfId="0" applyNumberFormat="1" applyFont="1" applyFill="1" applyBorder="1" applyAlignment="1">
      <alignment horizontal="center" vertical="top"/>
    </xf>
    <xf numFmtId="2" fontId="11" fillId="2" borderId="1" xfId="0" applyNumberFormat="1" applyFont="1" applyFill="1" applyBorder="1" applyAlignment="1">
      <alignment horizontal="center" vertical="top"/>
    </xf>
    <xf numFmtId="2" fontId="8" fillId="2" borderId="1" xfId="0" applyNumberFormat="1" applyFont="1" applyFill="1" applyBorder="1" applyAlignment="1">
      <alignment horizontal="center" vertical="top"/>
    </xf>
    <xf numFmtId="164" fontId="0" fillId="2" borderId="0" xfId="0" applyNumberFormat="1" applyFill="1" applyBorder="1" applyAlignment="1">
      <alignment horizontal="center" vertical="center"/>
    </xf>
    <xf numFmtId="2" fontId="12" fillId="9" borderId="1" xfId="0" applyNumberFormat="1" applyFont="1" applyFill="1" applyBorder="1"/>
    <xf numFmtId="1" fontId="12" fillId="9" borderId="1" xfId="0" applyNumberFormat="1" applyFont="1" applyFill="1" applyBorder="1" applyAlignment="1">
      <alignment horizontal="center" vertical="center"/>
    </xf>
    <xf numFmtId="0" fontId="1" fillId="9" borderId="0" xfId="0" applyFont="1" applyFill="1"/>
    <xf numFmtId="0" fontId="12" fillId="9" borderId="0" xfId="0" applyFont="1" applyFill="1" applyBorder="1" applyAlignment="1">
      <alignment horizontal="center" vertical="center"/>
    </xf>
    <xf numFmtId="2" fontId="0" fillId="9" borderId="0" xfId="0" applyNumberFormat="1" applyFont="1" applyFill="1" applyBorder="1" applyAlignment="1">
      <alignment horizontal="center" vertical="center"/>
    </xf>
    <xf numFmtId="0" fontId="0" fillId="9" borderId="0" xfId="0" applyFont="1" applyFill="1" applyBorder="1" applyAlignment="1">
      <alignment horizontal="center" vertical="center"/>
    </xf>
    <xf numFmtId="1" fontId="0" fillId="9" borderId="0" xfId="0" applyNumberFormat="1" applyFont="1" applyFill="1" applyBorder="1" applyAlignment="1">
      <alignment horizontal="center" vertical="center"/>
    </xf>
    <xf numFmtId="0" fontId="0" fillId="2" borderId="0" xfId="0" applyFill="1" applyAlignment="1">
      <alignment horizontal="justify" vertical="center" wrapText="1"/>
    </xf>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22" fillId="2" borderId="6" xfId="0" applyFont="1" applyFill="1" applyBorder="1" applyAlignment="1">
      <alignment horizontal="center" vertical="center"/>
    </xf>
    <xf numFmtId="0" fontId="22" fillId="2" borderId="4" xfId="0" applyFont="1"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12" fillId="2" borderId="1" xfId="0" applyFont="1" applyFill="1" applyBorder="1" applyAlignment="1">
      <alignment horizontal="left" vertical="center" wrapText="1"/>
    </xf>
    <xf numFmtId="0" fontId="24" fillId="2" borderId="6" xfId="0" applyFont="1" applyFill="1" applyBorder="1" applyAlignment="1">
      <alignment horizontal="left" vertical="center"/>
    </xf>
    <xf numFmtId="0" fontId="24" fillId="2" borderId="7" xfId="0" applyFont="1" applyFill="1" applyBorder="1" applyAlignment="1">
      <alignment horizontal="left" vertical="center"/>
    </xf>
    <xf numFmtId="0" fontId="24" fillId="2" borderId="4" xfId="0" applyFont="1" applyFill="1" applyBorder="1" applyAlignment="1">
      <alignment horizontal="left" vertical="center"/>
    </xf>
    <xf numFmtId="0" fontId="0" fillId="2" borderId="0" xfId="0" applyFill="1" applyAlignment="1">
      <alignment horizontal="left" vertical="center"/>
    </xf>
    <xf numFmtId="0" fontId="1" fillId="2" borderId="0" xfId="0" applyFont="1" applyFill="1" applyAlignment="1">
      <alignment horizontal="left" vertical="center"/>
    </xf>
    <xf numFmtId="0" fontId="0" fillId="2" borderId="6" xfId="0" applyFill="1" applyBorder="1" applyAlignment="1">
      <alignment horizontal="justify" vertical="center"/>
    </xf>
    <xf numFmtId="0" fontId="0" fillId="2" borderId="7" xfId="0" applyFill="1" applyBorder="1" applyAlignment="1">
      <alignment horizontal="justify" vertical="center"/>
    </xf>
    <xf numFmtId="0" fontId="0" fillId="2" borderId="4" xfId="0" applyFill="1" applyBorder="1" applyAlignment="1">
      <alignment horizontal="justify" vertical="center"/>
    </xf>
    <xf numFmtId="0" fontId="0" fillId="2" borderId="1" xfId="0" applyFont="1" applyFill="1" applyBorder="1" applyAlignment="1">
      <alignment horizontal="left" vertical="center"/>
    </xf>
    <xf numFmtId="0" fontId="0" fillId="2" borderId="0" xfId="0" applyFill="1" applyAlignment="1">
      <alignment horizontal="center" vertical="center"/>
    </xf>
    <xf numFmtId="0" fontId="12" fillId="2" borderId="1" xfId="0" applyFont="1" applyFill="1" applyBorder="1" applyAlignment="1">
      <alignment horizontal="left" vertical="center"/>
    </xf>
    <xf numFmtId="0" fontId="0" fillId="2" borderId="6" xfId="0" applyFont="1" applyFill="1" applyBorder="1" applyAlignment="1">
      <alignment horizontal="left" vertical="center"/>
    </xf>
    <xf numFmtId="0" fontId="0" fillId="2" borderId="4" xfId="0" applyFont="1" applyFill="1" applyBorder="1" applyAlignment="1">
      <alignment horizontal="left" vertical="center"/>
    </xf>
    <xf numFmtId="0" fontId="25" fillId="2" borderId="1" xfId="0" applyFont="1" applyFill="1" applyBorder="1" applyAlignment="1">
      <alignment horizontal="left" vertical="center"/>
    </xf>
    <xf numFmtId="0" fontId="25" fillId="2" borderId="6" xfId="0" applyFont="1" applyFill="1" applyBorder="1" applyAlignment="1">
      <alignment horizontal="left" vertical="center"/>
    </xf>
    <xf numFmtId="0" fontId="25" fillId="2" borderId="4" xfId="0" applyFont="1" applyFill="1" applyBorder="1" applyAlignment="1">
      <alignment horizontal="left" vertical="center"/>
    </xf>
    <xf numFmtId="0" fontId="12" fillId="2" borderId="6"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4" xfId="0" applyFont="1" applyFill="1" applyBorder="1" applyAlignment="1">
      <alignment horizontal="center"/>
    </xf>
    <xf numFmtId="0" fontId="1" fillId="2" borderId="5" xfId="0" applyFont="1" applyFill="1" applyBorder="1" applyAlignment="1">
      <alignment horizontal="center" vertical="center"/>
    </xf>
    <xf numFmtId="0" fontId="1" fillId="2" borderId="5" xfId="0" applyFont="1"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171" fontId="0" fillId="2" borderId="0" xfId="0" applyNumberFormat="1" applyFill="1" applyBorder="1" applyAlignment="1">
      <alignment horizontal="center" vertical="center"/>
    </xf>
    <xf numFmtId="0" fontId="12" fillId="2" borderId="0" xfId="0" applyFont="1" applyFill="1" applyAlignment="1">
      <alignment horizontal="justify" vertical="center" wrapText="1"/>
    </xf>
    <xf numFmtId="0" fontId="1" fillId="2" borderId="0" xfId="0" applyFont="1" applyFill="1" applyAlignment="1">
      <alignment horizontal="center" vertical="center"/>
    </xf>
    <xf numFmtId="0" fontId="0" fillId="2" borderId="0" xfId="0" applyFill="1" applyAlignment="1">
      <alignment horizontal="justify" vertical="justify"/>
    </xf>
    <xf numFmtId="0" fontId="0" fillId="2" borderId="6" xfId="0" applyFont="1" applyFill="1" applyBorder="1" applyAlignment="1">
      <alignment vertical="center"/>
    </xf>
    <xf numFmtId="0" fontId="0" fillId="2" borderId="4" xfId="0" applyFont="1" applyFill="1" applyBorder="1" applyAlignment="1">
      <alignment vertical="center"/>
    </xf>
    <xf numFmtId="0" fontId="0" fillId="2" borderId="0" xfId="0" applyFill="1" applyBorder="1" applyAlignment="1">
      <alignment horizontal="left"/>
    </xf>
    <xf numFmtId="0" fontId="12" fillId="2" borderId="0" xfId="0" applyFont="1" applyFill="1" applyBorder="1" applyAlignment="1">
      <alignment horizontal="left" vertical="center"/>
    </xf>
    <xf numFmtId="0" fontId="0" fillId="2" borderId="1" xfId="0" applyFill="1" applyBorder="1" applyAlignment="1">
      <alignment horizontal="right" vertical="center"/>
    </xf>
    <xf numFmtId="0" fontId="0" fillId="2" borderId="1" xfId="0" applyFont="1" applyFill="1" applyBorder="1" applyAlignment="1">
      <alignment horizontal="center" vertical="center"/>
    </xf>
    <xf numFmtId="0" fontId="23" fillId="2" borderId="2"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0" fillId="2" borderId="2" xfId="0" applyFont="1" applyFill="1" applyBorder="1" applyAlignment="1">
      <alignment horizontal="center" vertical="center"/>
    </xf>
    <xf numFmtId="0" fontId="0" fillId="2" borderId="8" xfId="0" applyFont="1" applyFill="1" applyBorder="1" applyAlignment="1">
      <alignment horizontal="center" vertical="center"/>
    </xf>
    <xf numFmtId="0" fontId="0" fillId="2" borderId="3" xfId="0" applyFont="1" applyFill="1" applyBorder="1" applyAlignment="1">
      <alignment horizontal="center" vertical="center"/>
    </xf>
    <xf numFmtId="0" fontId="1" fillId="2" borderId="1" xfId="0" applyFont="1" applyFill="1" applyBorder="1" applyAlignment="1">
      <alignment horizontal="center"/>
    </xf>
    <xf numFmtId="0" fontId="0" fillId="2" borderId="2" xfId="0" applyFill="1" applyBorder="1" applyAlignment="1">
      <alignment horizontal="center"/>
    </xf>
    <xf numFmtId="0" fontId="0" fillId="2" borderId="8" xfId="0" applyFill="1" applyBorder="1" applyAlignment="1">
      <alignment horizontal="center"/>
    </xf>
    <xf numFmtId="0" fontId="0" fillId="2" borderId="3" xfId="0" applyFill="1" applyBorder="1" applyAlignment="1">
      <alignment horizontal="center"/>
    </xf>
    <xf numFmtId="0" fontId="1" fillId="2" borderId="2" xfId="0" applyFont="1" applyFill="1" applyBorder="1" applyAlignment="1">
      <alignment horizontal="center"/>
    </xf>
    <xf numFmtId="0" fontId="1" fillId="2" borderId="8" xfId="0" applyFont="1" applyFill="1" applyBorder="1" applyAlignment="1">
      <alignment horizontal="center"/>
    </xf>
    <xf numFmtId="0" fontId="1" fillId="2" borderId="3" xfId="0" applyFont="1" applyFill="1" applyBorder="1" applyAlignment="1">
      <alignment horizontal="center"/>
    </xf>
    <xf numFmtId="0" fontId="12" fillId="2" borderId="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7" xfId="0" applyFont="1" applyFill="1" applyBorder="1" applyAlignment="1">
      <alignment horizontal="left" vertical="center"/>
    </xf>
    <xf numFmtId="0" fontId="0" fillId="2" borderId="7" xfId="0" applyFont="1" applyFill="1" applyBorder="1" applyAlignment="1">
      <alignment horizontal="left" vertical="center"/>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2" fontId="0" fillId="2" borderId="1" xfId="0" applyNumberFormat="1" applyFont="1" applyFill="1" applyBorder="1" applyAlignment="1">
      <alignment horizontal="center" vertical="center"/>
    </xf>
    <xf numFmtId="0" fontId="0" fillId="9" borderId="6" xfId="0" applyFont="1" applyFill="1" applyBorder="1" applyAlignment="1">
      <alignment horizontal="left" vertical="center"/>
    </xf>
    <xf numFmtId="0" fontId="0" fillId="9" borderId="7" xfId="0" applyFont="1" applyFill="1" applyBorder="1" applyAlignment="1">
      <alignment horizontal="left" vertical="center"/>
    </xf>
    <xf numFmtId="0" fontId="0" fillId="9" borderId="4" xfId="0" applyFont="1" applyFill="1" applyBorder="1" applyAlignment="1">
      <alignment horizontal="left" vertical="center"/>
    </xf>
    <xf numFmtId="2" fontId="0" fillId="2" borderId="6" xfId="0" applyNumberFormat="1" applyFont="1" applyFill="1" applyBorder="1" applyAlignment="1">
      <alignment horizontal="center" vertical="center"/>
    </xf>
    <xf numFmtId="2" fontId="0" fillId="2" borderId="7" xfId="0" applyNumberFormat="1" applyFont="1" applyFill="1" applyBorder="1" applyAlignment="1">
      <alignment horizontal="center" vertical="center"/>
    </xf>
    <xf numFmtId="2" fontId="0" fillId="2" borderId="4" xfId="0" applyNumberFormat="1" applyFont="1" applyFill="1" applyBorder="1" applyAlignment="1">
      <alignment horizontal="center" vertical="center"/>
    </xf>
    <xf numFmtId="2" fontId="12" fillId="2" borderId="2" xfId="0" applyNumberFormat="1" applyFont="1" applyFill="1" applyBorder="1" applyAlignment="1">
      <alignment horizontal="center" vertical="center"/>
    </xf>
    <xf numFmtId="2" fontId="12" fillId="2" borderId="3" xfId="0" applyNumberFormat="1" applyFont="1" applyFill="1" applyBorder="1" applyAlignment="1">
      <alignment horizontal="center" vertical="center"/>
    </xf>
    <xf numFmtId="167" fontId="0" fillId="2" borderId="6" xfId="0" applyNumberFormat="1" applyFill="1" applyBorder="1" applyAlignment="1">
      <alignment horizontal="right" vertical="center"/>
    </xf>
    <xf numFmtId="167" fontId="0" fillId="2" borderId="4" xfId="0" applyNumberFormat="1" applyFill="1" applyBorder="1" applyAlignment="1">
      <alignment horizontal="right" vertical="center"/>
    </xf>
    <xf numFmtId="0" fontId="12" fillId="2" borderId="9"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5" xfId="0" applyFont="1" applyFill="1" applyBorder="1" applyAlignment="1">
      <alignment horizontal="left" vertical="center"/>
    </xf>
    <xf numFmtId="0" fontId="12" fillId="2" borderId="12" xfId="0" applyFont="1" applyFill="1" applyBorder="1" applyAlignment="1">
      <alignment horizontal="left" vertical="center"/>
    </xf>
    <xf numFmtId="2" fontId="8" fillId="2" borderId="2"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174" fontId="0" fillId="9" borderId="2" xfId="0" applyNumberFormat="1" applyFont="1" applyFill="1" applyBorder="1" applyAlignment="1">
      <alignment horizontal="center" vertical="center"/>
    </xf>
    <xf numFmtId="174" fontId="0" fillId="9" borderId="3" xfId="0" applyNumberFormat="1" applyFont="1" applyFill="1" applyBorder="1" applyAlignment="1">
      <alignment horizontal="center" vertical="center"/>
    </xf>
    <xf numFmtId="0" fontId="0" fillId="2" borderId="9" xfId="0" applyFont="1" applyFill="1" applyBorder="1" applyAlignment="1">
      <alignment horizontal="center" vertical="center"/>
    </xf>
    <xf numFmtId="0" fontId="0" fillId="2" borderId="13" xfId="0" applyFont="1" applyFill="1" applyBorder="1" applyAlignment="1">
      <alignment horizontal="center" vertical="center"/>
    </xf>
    <xf numFmtId="0" fontId="0" fillId="2" borderId="10" xfId="0" applyFont="1" applyFill="1" applyBorder="1" applyAlignment="1">
      <alignment horizontal="center" vertical="center"/>
    </xf>
    <xf numFmtId="0" fontId="0" fillId="2" borderId="11" xfId="0" applyFont="1" applyFill="1" applyBorder="1" applyAlignment="1">
      <alignment horizontal="center" vertical="center"/>
    </xf>
    <xf numFmtId="0" fontId="0" fillId="2" borderId="5" xfId="0" applyFont="1" applyFill="1" applyBorder="1" applyAlignment="1">
      <alignment horizontal="center" vertical="center"/>
    </xf>
    <xf numFmtId="0" fontId="0" fillId="2" borderId="12"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9" borderId="1" xfId="0" applyFont="1" applyFill="1" applyBorder="1" applyAlignment="1">
      <alignment horizontal="left" vertical="center"/>
    </xf>
    <xf numFmtId="0" fontId="23" fillId="2" borderId="9" xfId="0" applyFont="1" applyFill="1" applyBorder="1" applyAlignment="1">
      <alignment horizontal="center" vertical="center" wrapText="1"/>
    </xf>
    <xf numFmtId="0" fontId="23" fillId="2" borderId="10"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15"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23" fillId="2" borderId="12" xfId="0" applyFont="1" applyFill="1" applyBorder="1" applyAlignment="1">
      <alignment horizontal="center" vertical="center" wrapText="1"/>
    </xf>
    <xf numFmtId="0" fontId="12" fillId="2" borderId="6" xfId="0" applyFont="1" applyFill="1" applyBorder="1" applyAlignment="1">
      <alignment horizontal="left"/>
    </xf>
    <xf numFmtId="0" fontId="12" fillId="2" borderId="7" xfId="0" applyFont="1" applyFill="1" applyBorder="1" applyAlignment="1">
      <alignment horizontal="left"/>
    </xf>
    <xf numFmtId="0" fontId="12" fillId="2" borderId="4" xfId="0" applyFont="1" applyFill="1" applyBorder="1" applyAlignment="1">
      <alignment horizontal="left"/>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12" fillId="9" borderId="9" xfId="0" applyFont="1" applyFill="1" applyBorder="1" applyAlignment="1">
      <alignment horizontal="left" vertical="center"/>
    </xf>
    <xf numFmtId="0" fontId="12" fillId="9" borderId="13" xfId="0" applyFont="1" applyFill="1" applyBorder="1" applyAlignment="1">
      <alignment horizontal="left" vertical="center"/>
    </xf>
    <xf numFmtId="0" fontId="12" fillId="9" borderId="10" xfId="0" applyFont="1" applyFill="1" applyBorder="1" applyAlignment="1">
      <alignment horizontal="left" vertical="center"/>
    </xf>
    <xf numFmtId="0" fontId="12" fillId="9" borderId="11" xfId="0" applyFont="1" applyFill="1" applyBorder="1" applyAlignment="1">
      <alignment horizontal="left" vertical="center"/>
    </xf>
    <xf numFmtId="0" fontId="12" fillId="9" borderId="5" xfId="0" applyFont="1" applyFill="1" applyBorder="1" applyAlignment="1">
      <alignment horizontal="left" vertical="center"/>
    </xf>
    <xf numFmtId="0" fontId="12" fillId="9" borderId="12" xfId="0" applyFont="1" applyFill="1" applyBorder="1" applyAlignment="1">
      <alignment horizontal="left"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12" fillId="9" borderId="6" xfId="0" applyFont="1" applyFill="1" applyBorder="1" applyAlignment="1">
      <alignment horizontal="left" vertical="center"/>
    </xf>
    <xf numFmtId="0" fontId="12" fillId="9" borderId="7" xfId="0" applyFont="1" applyFill="1" applyBorder="1" applyAlignment="1">
      <alignment horizontal="left" vertical="center"/>
    </xf>
    <xf numFmtId="0" fontId="12" fillId="9" borderId="4" xfId="0" applyFont="1" applyFill="1" applyBorder="1" applyAlignment="1">
      <alignment horizontal="left" vertical="center"/>
    </xf>
    <xf numFmtId="0" fontId="23" fillId="2" borderId="1" xfId="0" applyFont="1" applyFill="1" applyBorder="1" applyAlignment="1">
      <alignment horizontal="center" vertical="center" wrapText="1"/>
    </xf>
    <xf numFmtId="0" fontId="23" fillId="2" borderId="1" xfId="0" applyFont="1" applyFill="1" applyBorder="1" applyAlignment="1">
      <alignment horizontal="center" vertical="top" wrapText="1"/>
    </xf>
    <xf numFmtId="174" fontId="12" fillId="2" borderId="1" xfId="0" applyNumberFormat="1" applyFont="1" applyFill="1" applyBorder="1" applyAlignment="1">
      <alignment horizontal="center" vertical="center"/>
    </xf>
    <xf numFmtId="0" fontId="23" fillId="2" borderId="6"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0" fillId="2" borderId="9" xfId="0" applyFill="1" applyBorder="1" applyAlignment="1">
      <alignment horizontal="center"/>
    </xf>
    <xf numFmtId="0" fontId="0" fillId="2" borderId="10"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applyAlignment="1">
      <alignment horizontal="center"/>
    </xf>
    <xf numFmtId="0" fontId="12" fillId="2" borderId="1" xfId="0" applyFont="1" applyFill="1" applyBorder="1" applyAlignment="1">
      <alignment horizontal="center" vertical="center"/>
    </xf>
    <xf numFmtId="0" fontId="0" fillId="2" borderId="0" xfId="0" applyFill="1" applyAlignment="1">
      <alignment horizontal="justify" vertical="center"/>
    </xf>
    <xf numFmtId="0" fontId="0" fillId="2" borderId="0" xfId="0" applyFont="1" applyFill="1" applyBorder="1" applyAlignment="1">
      <alignment horizontal="center" vertical="center"/>
    </xf>
    <xf numFmtId="0" fontId="23" fillId="2" borderId="2" xfId="0" applyFont="1" applyFill="1" applyBorder="1" applyAlignment="1">
      <alignment horizontal="center" vertical="top" wrapText="1"/>
    </xf>
    <xf numFmtId="0" fontId="23" fillId="2" borderId="8" xfId="0" applyFont="1" applyFill="1" applyBorder="1" applyAlignment="1">
      <alignment horizontal="center" vertical="top" wrapText="1"/>
    </xf>
    <xf numFmtId="0" fontId="23" fillId="2" borderId="3" xfId="0" applyFont="1" applyFill="1" applyBorder="1" applyAlignment="1">
      <alignment horizontal="center" vertical="top" wrapText="1"/>
    </xf>
    <xf numFmtId="0" fontId="0" fillId="2" borderId="9" xfId="0" applyFill="1" applyBorder="1" applyAlignment="1">
      <alignment horizontal="right" vertical="center"/>
    </xf>
    <xf numFmtId="0" fontId="0" fillId="2" borderId="13" xfId="0" applyFill="1" applyBorder="1" applyAlignment="1">
      <alignment horizontal="right" vertical="center"/>
    </xf>
    <xf numFmtId="0" fontId="0" fillId="2" borderId="10" xfId="0" applyFill="1" applyBorder="1" applyAlignment="1">
      <alignment horizontal="right" vertical="center"/>
    </xf>
    <xf numFmtId="0" fontId="0" fillId="2" borderId="14" xfId="0" applyFill="1" applyBorder="1" applyAlignment="1">
      <alignment horizontal="right" vertical="center"/>
    </xf>
    <xf numFmtId="0" fontId="0" fillId="2" borderId="0" xfId="0" applyFill="1" applyBorder="1" applyAlignment="1">
      <alignment horizontal="right" vertical="center"/>
    </xf>
    <xf numFmtId="0" fontId="0" fillId="2" borderId="15" xfId="0" applyFill="1" applyBorder="1" applyAlignment="1">
      <alignment horizontal="right" vertical="center"/>
    </xf>
    <xf numFmtId="0" fontId="0" fillId="2" borderId="11" xfId="0" applyFill="1" applyBorder="1" applyAlignment="1">
      <alignment horizontal="right" vertical="center"/>
    </xf>
    <xf numFmtId="0" fontId="0" fillId="2" borderId="5" xfId="0" applyFill="1" applyBorder="1" applyAlignment="1">
      <alignment horizontal="right" vertical="center"/>
    </xf>
    <xf numFmtId="0" fontId="0" fillId="2" borderId="12" xfId="0" applyFill="1" applyBorder="1" applyAlignment="1">
      <alignment horizontal="right" vertical="center"/>
    </xf>
    <xf numFmtId="2" fontId="23" fillId="2" borderId="1" xfId="0" applyNumberFormat="1" applyFont="1" applyFill="1" applyBorder="1" applyAlignment="1">
      <alignment horizontal="center" vertical="top" wrapText="1"/>
    </xf>
    <xf numFmtId="2" fontId="12" fillId="2" borderId="1" xfId="0" applyNumberFormat="1" applyFont="1" applyFill="1" applyBorder="1" applyAlignment="1">
      <alignment horizontal="center" vertical="center"/>
    </xf>
    <xf numFmtId="0" fontId="12" fillId="2" borderId="0" xfId="0" applyFont="1" applyFill="1" applyBorder="1" applyAlignment="1">
      <alignment horizontal="center"/>
    </xf>
    <xf numFmtId="173" fontId="0" fillId="2" borderId="1" xfId="0" applyNumberFormat="1" applyFont="1" applyFill="1" applyBorder="1" applyAlignment="1">
      <alignment horizontal="center" vertical="center"/>
    </xf>
    <xf numFmtId="0" fontId="12" fillId="2" borderId="1" xfId="0" applyFont="1" applyFill="1" applyBorder="1" applyAlignment="1">
      <alignment horizontal="left"/>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4" xfId="0" applyFont="1" applyFill="1" applyBorder="1" applyAlignment="1">
      <alignment horizontal="center"/>
    </xf>
    <xf numFmtId="0" fontId="0" fillId="9" borderId="9" xfId="0" applyFont="1" applyFill="1" applyBorder="1" applyAlignment="1">
      <alignment horizontal="left" vertical="center"/>
    </xf>
    <xf numFmtId="0" fontId="0" fillId="9" borderId="13" xfId="0" applyFont="1" applyFill="1" applyBorder="1" applyAlignment="1">
      <alignment horizontal="left" vertical="center"/>
    </xf>
    <xf numFmtId="0" fontId="0" fillId="9" borderId="10" xfId="0" applyFont="1" applyFill="1" applyBorder="1" applyAlignment="1">
      <alignment horizontal="left" vertical="center"/>
    </xf>
    <xf numFmtId="0" fontId="0" fillId="9" borderId="11" xfId="0" applyFont="1" applyFill="1" applyBorder="1" applyAlignment="1">
      <alignment horizontal="left" vertical="center"/>
    </xf>
    <xf numFmtId="0" fontId="0" fillId="9" borderId="5" xfId="0" applyFont="1" applyFill="1" applyBorder="1" applyAlignment="1">
      <alignment horizontal="left" vertical="center"/>
    </xf>
    <xf numFmtId="0" fontId="0" fillId="9" borderId="12" xfId="0" applyFont="1" applyFill="1" applyBorder="1" applyAlignment="1">
      <alignment horizontal="left" vertical="center"/>
    </xf>
    <xf numFmtId="1" fontId="0" fillId="2" borderId="2" xfId="0" applyNumberFormat="1" applyFont="1" applyFill="1" applyBorder="1" applyAlignment="1">
      <alignment horizontal="center" vertical="center"/>
    </xf>
    <xf numFmtId="1" fontId="0" fillId="2" borderId="3" xfId="0" applyNumberFormat="1" applyFont="1" applyFill="1" applyBorder="1" applyAlignment="1">
      <alignment horizontal="center" vertical="center"/>
    </xf>
    <xf numFmtId="2" fontId="0" fillId="2" borderId="9" xfId="0" applyNumberFormat="1" applyFont="1" applyFill="1" applyBorder="1" applyAlignment="1">
      <alignment horizontal="center" vertical="center"/>
    </xf>
    <xf numFmtId="2" fontId="0" fillId="2" borderId="13" xfId="0" applyNumberFormat="1" applyFont="1" applyFill="1" applyBorder="1" applyAlignment="1">
      <alignment horizontal="center" vertical="center"/>
    </xf>
    <xf numFmtId="2" fontId="0" fillId="2" borderId="10" xfId="0" applyNumberFormat="1" applyFont="1" applyFill="1" applyBorder="1" applyAlignment="1">
      <alignment horizontal="center" vertical="center"/>
    </xf>
    <xf numFmtId="2" fontId="0" fillId="2" borderId="11" xfId="0" applyNumberFormat="1" applyFont="1" applyFill="1" applyBorder="1" applyAlignment="1">
      <alignment horizontal="center" vertical="center"/>
    </xf>
    <xf numFmtId="2" fontId="0" fillId="2" borderId="5" xfId="0" applyNumberFormat="1" applyFont="1" applyFill="1" applyBorder="1" applyAlignment="1">
      <alignment horizontal="center" vertical="center"/>
    </xf>
    <xf numFmtId="2" fontId="0" fillId="2" borderId="12" xfId="0" applyNumberFormat="1" applyFont="1" applyFill="1" applyBorder="1" applyAlignment="1">
      <alignment horizontal="center" vertical="center"/>
    </xf>
    <xf numFmtId="2" fontId="0" fillId="2" borderId="6" xfId="0" applyNumberFormat="1" applyFont="1" applyFill="1" applyBorder="1" applyAlignment="1">
      <alignment horizontal="left" vertical="center" indent="1"/>
    </xf>
    <xf numFmtId="2" fontId="0" fillId="2" borderId="7" xfId="0" applyNumberFormat="1" applyFont="1" applyFill="1" applyBorder="1" applyAlignment="1">
      <alignment horizontal="left" vertical="center" indent="1"/>
    </xf>
    <xf numFmtId="2" fontId="0" fillId="2" borderId="4" xfId="0" applyNumberFormat="1" applyFont="1" applyFill="1" applyBorder="1" applyAlignment="1">
      <alignment horizontal="left" vertical="center" indent="1"/>
    </xf>
    <xf numFmtId="173" fontId="0" fillId="2" borderId="2" xfId="0" applyNumberFormat="1" applyFont="1" applyFill="1" applyBorder="1" applyAlignment="1">
      <alignment horizontal="center" vertical="center"/>
    </xf>
    <xf numFmtId="173" fontId="0" fillId="2" borderId="3" xfId="0" applyNumberFormat="1" applyFont="1" applyFill="1" applyBorder="1" applyAlignment="1">
      <alignment horizontal="center" vertical="center"/>
    </xf>
    <xf numFmtId="0" fontId="0" fillId="9" borderId="1" xfId="0" applyFont="1" applyFill="1" applyBorder="1" applyAlignment="1">
      <alignment horizontal="left" vertical="center"/>
    </xf>
    <xf numFmtId="0" fontId="13" fillId="10" borderId="0" xfId="0" applyFont="1" applyFill="1" applyBorder="1" applyAlignment="1">
      <alignment horizontal="center" vertical="center"/>
    </xf>
    <xf numFmtId="0" fontId="0" fillId="10" borderId="0" xfId="0" applyFont="1" applyFill="1" applyBorder="1" applyAlignment="1">
      <alignment vertical="center"/>
    </xf>
    <xf numFmtId="0" fontId="12" fillId="10" borderId="0" xfId="0" applyFont="1" applyFill="1"/>
    <xf numFmtId="0" fontId="12" fillId="10" borderId="0" xfId="0" applyFont="1" applyFill="1" applyBorder="1" applyAlignment="1">
      <alignment horizontal="center" vertical="center"/>
    </xf>
    <xf numFmtId="0" fontId="42" fillId="2" borderId="0" xfId="0" applyFont="1" applyFill="1"/>
  </cellXfs>
  <cellStyles count="1">
    <cellStyle name="Normal" xfId="0" builtinId="0"/>
  </cellStyles>
  <dxfs count="5">
    <dxf>
      <border>
        <bottom style="thin">
          <color auto="1"/>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14</xdr:col>
      <xdr:colOff>126206</xdr:colOff>
      <xdr:row>40</xdr:row>
      <xdr:rowOff>9525</xdr:rowOff>
    </xdr:from>
    <xdr:ext cx="714376" cy="315792"/>
    <mc:AlternateContent xmlns:mc="http://schemas.openxmlformats.org/markup-compatibility/2006" xmlns:a14="http://schemas.microsoft.com/office/drawing/2010/main">
      <mc:Choice Requires="a14">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𝑅𝑒</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𝑅𝑒</a:t>
              </a:r>
              <a:r>
                <a:rPr lang="es-MX" sz="1100" b="0" i="0">
                  <a:latin typeface="Cambria Math" panose="02040503050406030204" pitchFamily="18" charset="0"/>
                  <a:ea typeface="Cambria Math" panose="02040503050406030204" pitchFamily="18" charset="0"/>
                </a:rPr>
                <a:t>=(𝑉_0  .𝑒)/𝑣</a:t>
              </a:r>
              <a:endParaRPr lang="es-CO" sz="1100"/>
            </a:p>
          </xdr:txBody>
        </xdr:sp>
      </mc:Fallback>
    </mc:AlternateContent>
    <xdr:clientData/>
  </xdr:oneCellAnchor>
  <xdr:oneCellAnchor>
    <xdr:from>
      <xdr:col>6</xdr:col>
      <xdr:colOff>1171575</xdr:colOff>
      <xdr:row>40</xdr:row>
      <xdr:rowOff>38100</xdr:rowOff>
    </xdr:from>
    <xdr:ext cx="65" cy="172227"/>
    <xdr:sp macro="" textlink="">
      <xdr:nvSpPr>
        <xdr:cNvPr id="4" name="CuadroTexto 3"/>
        <xdr:cNvSpPr txBox="1"/>
      </xdr:nvSpPr>
      <xdr:spPr>
        <a:xfrm>
          <a:off x="5991225" y="404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95250</xdr:colOff>
      <xdr:row>39</xdr:row>
      <xdr:rowOff>77753</xdr:rowOff>
    </xdr:from>
    <xdr:ext cx="590550" cy="350096"/>
    <mc:AlternateContent xmlns:mc="http://schemas.openxmlformats.org/markup-compatibility/2006" xmlns:a14="http://schemas.microsoft.com/office/drawing/2010/main">
      <mc:Choice Requires="a14">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161925</xdr:colOff>
      <xdr:row>40</xdr:row>
      <xdr:rowOff>47625</xdr:rowOff>
    </xdr:from>
    <xdr:ext cx="771525" cy="350096"/>
    <mc:AlternateContent xmlns:mc="http://schemas.openxmlformats.org/markup-compatibility/2006" xmlns:a14="http://schemas.microsoft.com/office/drawing/2010/main">
      <mc:Choice Requires="a14">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=𝑄_𝑚𝑜𝑑/〖𝑎 .𝑒 .v〗_0 </a:t>
              </a:r>
              <a:endParaRPr lang="es-CO" sz="1100"/>
            </a:p>
          </xdr:txBody>
        </xdr:sp>
      </mc:Fallback>
    </mc:AlternateContent>
    <xdr:clientData/>
  </xdr:oneCellAnchor>
  <xdr:oneCellAnchor>
    <xdr:from>
      <xdr:col>6</xdr:col>
      <xdr:colOff>140493</xdr:colOff>
      <xdr:row>41</xdr:row>
      <xdr:rowOff>102394</xdr:rowOff>
    </xdr:from>
    <xdr:ext cx="1562099" cy="328488"/>
    <mc:AlternateContent xmlns:mc="http://schemas.openxmlformats.org/markup-compatibility/2006" xmlns:a14="http://schemas.microsoft.com/office/drawing/2010/main">
      <mc:Choice Requires="a14">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28575</xdr:colOff>
      <xdr:row>36</xdr:row>
      <xdr:rowOff>76200</xdr:rowOff>
    </xdr:from>
    <xdr:ext cx="3086100" cy="380361"/>
    <mc:AlternateContent xmlns:mc="http://schemas.openxmlformats.org/markup-compatibility/2006" xmlns:a14="http://schemas.microsoft.com/office/drawing/2010/main">
      <mc:Choice Requires="a14">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𝐿𝑐𝑜𝑠</m:t>
                        </m:r>
                        <m:r>
                          <a:rPr lang="es-MX" sz="1100" b="0" i="1">
                            <a:solidFill>
                              <a:schemeClr val="tx1"/>
                            </a:solidFill>
                            <a:effectLst/>
                            <a:latin typeface="Cambria Math" panose="02040503050406030204" pitchFamily="18" charset="0"/>
                            <a:ea typeface="+mn-ea"/>
                            <a:cs typeface="+mn-cs"/>
                          </a:rPr>
                          <m:t>𝜃</m:t>
                        </m:r>
                      </m:e>
                    </m:d>
                    <m:r>
                      <a:rPr lang="es-CO" sz="1100" b="0" i="0">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r>
                          <a:rPr lang="es-MX" sz="1100" b="0" i="1">
                            <a:solidFill>
                              <a:schemeClr val="tx1"/>
                            </a:solidFill>
                            <a:effectLst/>
                            <a:latin typeface="Cambria Math" panose="02040503050406030204" pitchFamily="18" charset="0"/>
                            <a:ea typeface="+mn-ea"/>
                            <a:cs typeface="+mn-cs"/>
                          </a:rPr>
                          <m:t>𝑆</m:t>
                        </m:r>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oMath>
                </m:oMathPara>
              </a14:m>
              <a:endParaRPr lang="es-CO" sz="1100"/>
            </a:p>
          </xdr:txBody>
        </xdr:sp>
      </mc:Choice>
      <mc:Fallback xmlns="">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mn-lt"/>
                </a:rPr>
                <a:t>v</a:t>
              </a:r>
              <a:r>
                <a:rPr lang="es-CO" sz="1100" b="0" i="0">
                  <a:latin typeface="Cambria Math" panose="02040503050406030204" pitchFamily="18" charset="0"/>
                </a:rPr>
                <a:t>_</a:t>
              </a:r>
              <a:r>
                <a:rPr lang="es-MX" sz="1100" b="0" i="0">
                  <a:latin typeface="Cambria Math" panose="02040503050406030204" pitchFamily="18" charset="0"/>
                </a:rPr>
                <a:t>0=v_𝑠𝑐/𝑆_𝑐  (</a:t>
              </a:r>
              <a:r>
                <a:rPr lang="es-MX" sz="1100" b="0" i="0">
                  <a:solidFill>
                    <a:schemeClr val="tx1"/>
                  </a:solidFill>
                  <a:effectLst/>
                  <a:latin typeface="Cambria Math" panose="02040503050406030204" pitchFamily="18" charset="0"/>
                  <a:ea typeface="+mn-ea"/>
                  <a:cs typeface="+mn-cs"/>
                </a:rPr>
                <a:t>𝑠𝑒𝑛𝜃+𝐿𝑐𝑜𝑠𝜃)</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v_𝑠𝑐/𝑆 (𝑠𝑒𝑛𝜃+𝑙/𝑒 𝑐𝑜𝑠𝜃)</a:t>
              </a:r>
              <a:endParaRPr lang="es-CO" sz="1100"/>
            </a:p>
          </xdr:txBody>
        </xdr:sp>
      </mc:Fallback>
    </mc:AlternateContent>
    <xdr:clientData/>
  </xdr:oneCellAnchor>
  <xdr:oneCellAnchor>
    <xdr:from>
      <xdr:col>5</xdr:col>
      <xdr:colOff>1925638</xdr:colOff>
      <xdr:row>38</xdr:row>
      <xdr:rowOff>183621</xdr:rowOff>
    </xdr:from>
    <xdr:ext cx="1952625" cy="597599"/>
    <mc:AlternateContent xmlns:mc="http://schemas.openxmlformats.org/markup-compatibility/2006" xmlns:a14="http://schemas.microsoft.com/office/drawing/2010/main">
      <mc:Choice Requires="a14">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f>
                          <m:fPr>
                            <m:ctrlPr>
                              <a:rPr lang="es-MX" sz="1100" b="0" i="1">
                                <a:latin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num>
                      <m:den>
                        <m:r>
                          <a:rPr lang="es-MX" sz="1100" b="0" i="1">
                            <a:latin typeface="Cambria Math" panose="02040503050406030204" pitchFamily="18" charset="0"/>
                          </a:rPr>
                          <m:t>1+</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Cambria Math" panose="02040503050406030204" pitchFamily="18" charset="0"/>
                            <a:cs typeface="+mn-cs"/>
                          </a:rPr>
                          <m:t>𝜃</m:t>
                        </m:r>
                      </m:den>
                    </m:f>
                  </m:oMath>
                </m:oMathPara>
              </a14:m>
              <a:endParaRPr lang="es-CO" sz="1100"/>
            </a:p>
          </xdr:txBody>
        </xdr:sp>
      </mc:Choice>
      <mc:Fallback xmlns="">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v_𝑠𝑐/𝑆_𝑐  (𝑠𝑒𝑛𝜃+𝑙/𝑒 𝑐𝑜𝑠𝜃))/(</a:t>
              </a:r>
              <a:r>
                <a:rPr lang="es-MX" sz="1100" b="0" i="0">
                  <a:latin typeface="Cambria Math" panose="02040503050406030204" pitchFamily="18" charset="0"/>
                </a:rPr>
                <a:t>1+</a:t>
              </a:r>
              <a:r>
                <a:rPr lang="es-MX" sz="1100" b="0" i="0">
                  <a:solidFill>
                    <a:schemeClr val="tx1"/>
                  </a:solidFill>
                  <a:effectLst/>
                  <a:latin typeface="Cambria Math" panose="02040503050406030204" pitchFamily="18" charset="0"/>
                  <a:ea typeface="+mn-ea"/>
                  <a:cs typeface="+mn-cs"/>
                </a:rPr>
                <a:t>0,058 v_𝑠𝑐/𝑆_𝑐   𝑒/𝑣 𝑐𝑜𝑠</a:t>
              </a:r>
              <a:r>
                <a:rPr lang="es-MX" sz="1100" b="0" i="0">
                  <a:solidFill>
                    <a:schemeClr val="tx1"/>
                  </a:solidFill>
                  <a:effectLst/>
                  <a:latin typeface="Cambria Math" panose="02040503050406030204" pitchFamily="18" charset="0"/>
                  <a:ea typeface="Cambria Math" panose="02040503050406030204" pitchFamily="18" charset="0"/>
                  <a:cs typeface="+mn-cs"/>
                </a:rPr>
                <a:t>𝜃)</a:t>
              </a:r>
              <a:endParaRPr lang="es-CO" sz="1100"/>
            </a:p>
          </xdr:txBody>
        </xdr:sp>
      </mc:Fallback>
    </mc:AlternateContent>
    <xdr:clientData/>
  </xdr:oneCellAnchor>
  <xdr:oneCellAnchor>
    <xdr:from>
      <xdr:col>6</xdr:col>
      <xdr:colOff>66675</xdr:colOff>
      <xdr:row>37</xdr:row>
      <xdr:rowOff>476250</xdr:rowOff>
    </xdr:from>
    <xdr:ext cx="2600325" cy="380361"/>
    <mc:AlternateContent xmlns:mc="http://schemas.openxmlformats.org/markup-compatibility/2006" xmlns:a14="http://schemas.microsoft.com/office/drawing/2010/main">
      <mc:Choice Requires="a14">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begChr m:val="["/>
                        <m:endChr m:val="]"/>
                        <m:ctrlPr>
                          <a:rPr lang="es-MX" sz="1100" b="0" i="1">
                            <a:latin typeface="Cambria Math" panose="02040503050406030204" pitchFamily="18" charset="0"/>
                          </a:rPr>
                        </m:ctrlPr>
                      </m:dPr>
                      <m:e>
                        <m:r>
                          <a:rPr lang="es-MX" sz="1100" b="0" i="1">
                            <a:latin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r>
                              <a:rPr lang="es-MX" sz="1100" b="0" i="1">
                                <a:latin typeface="Cambria Math" panose="02040503050406030204" pitchFamily="18" charset="0"/>
                                <a:ea typeface="Cambria Math" panose="02040503050406030204" pitchFamily="18" charset="0"/>
                              </a:rPr>
                              <m:t>−0,058</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e>
                        </m:d>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e>
                    </m:d>
                  </m:oMath>
                </m:oMathPara>
              </a14:m>
              <a:endParaRPr lang="es-CO" sz="1100"/>
            </a:p>
          </xdr:txBody>
        </xdr:sp>
      </mc:Choice>
      <mc:Fallback xmlns="">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[𝑠𝑒𝑛</a:t>
              </a:r>
              <a:r>
                <a:rPr lang="es-MX" sz="1100" b="0" i="0">
                  <a:latin typeface="Cambria Math" panose="02040503050406030204" pitchFamily="18" charset="0"/>
                  <a:ea typeface="Cambria Math" panose="02040503050406030204" pitchFamily="18" charset="0"/>
                </a:rPr>
                <a:t>𝜃+(𝑙/𝑒−0,058 (v_0  .𝑒)/𝑣)𝑐𝑜𝑠𝜃]</a:t>
              </a:r>
              <a:endParaRPr lang="es-CO" sz="1100"/>
            </a:p>
          </xdr:txBody>
        </xdr:sp>
      </mc:Fallback>
    </mc:AlternateContent>
    <xdr:clientData/>
  </xdr:oneCellAnchor>
  <xdr:oneCellAnchor>
    <xdr:from>
      <xdr:col>6</xdr:col>
      <xdr:colOff>161925</xdr:colOff>
      <xdr:row>42</xdr:row>
      <xdr:rowOff>104775</xdr:rowOff>
    </xdr:from>
    <xdr:ext cx="766813" cy="182614"/>
    <mc:AlternateContent xmlns:mc="http://schemas.openxmlformats.org/markup-compatibility/2006" xmlns:a14="http://schemas.microsoft.com/office/drawing/2010/main">
      <mc:Choice Requires="a14">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oneCellAnchor>
    <xdr:from>
      <xdr:col>6</xdr:col>
      <xdr:colOff>247650</xdr:colOff>
      <xdr:row>46</xdr:row>
      <xdr:rowOff>352425</xdr:rowOff>
    </xdr:from>
    <xdr:ext cx="65" cy="172227"/>
    <xdr:sp macro="" textlink="">
      <xdr:nvSpPr>
        <xdr:cNvPr id="13" name="CuadroTexto 12"/>
        <xdr:cNvSpPr txBox="1"/>
      </xdr:nvSpPr>
      <xdr:spPr>
        <a:xfrm>
          <a:off x="5943600" y="953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112181</xdr:colOff>
      <xdr:row>43</xdr:row>
      <xdr:rowOff>100014</xdr:rowOff>
    </xdr:from>
    <xdr:ext cx="2438401" cy="346698"/>
    <mc:AlternateContent xmlns:mc="http://schemas.openxmlformats.org/markup-compatibility/2006" xmlns:a14="http://schemas.microsoft.com/office/drawing/2010/main">
      <mc:Choice Requires="a14">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num>
                      <m:den>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𝑎</m:t>
                            </m:r>
                          </m:sub>
                        </m:sSub>
                      </m:den>
                    </m:f>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432</m:t>
                        </m:r>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r>
                      <a:rPr lang="es-MX" sz="1100" b="0" i="1">
                        <a:latin typeface="Cambria Math" panose="02040503050406030204" pitchFamily="18" charset="0"/>
                        <a:ea typeface="Cambria Math" panose="02040503050406030204" pitchFamily="18" charset="0"/>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=1,5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sub>
                    </m:sSub>
                    <m:r>
                      <a:rPr lang="es-MX" sz="1100" b="0" i="1">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=0,9 </m:t>
                    </m:r>
                    <m:r>
                      <a:rPr lang="es-MX" sz="1100" b="0" i="1">
                        <a:latin typeface="Cambria Math" panose="02040503050406030204" pitchFamily="18" charset="0"/>
                        <a:ea typeface="Cambria Math" panose="02040503050406030204" pitchFamily="18" charset="0"/>
                      </a:rPr>
                      <m:t>𝑚</m:t>
                    </m:r>
                  </m:oMath>
                </m:oMathPara>
              </a14:m>
              <a:endParaRPr lang="es-CO" sz="1100"/>
            </a:p>
          </xdr:txBody>
        </xdr:sp>
      </mc:Choice>
      <mc:Fallback xmlns="">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b="0" i="0">
                  <a:latin typeface="Cambria Math" panose="02040503050406030204" pitchFamily="18" charset="0"/>
                </a:rPr>
                <a:t>/</a:t>
              </a: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𝑎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432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=1,5 ℎ_(𝑎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=0,9 𝑚</a:t>
              </a:r>
              <a:endParaRPr lang="es-CO" sz="1100"/>
            </a:p>
          </xdr:txBody>
        </xdr:sp>
      </mc:Fallback>
    </mc:AlternateContent>
    <xdr:clientData/>
  </xdr:oneCellAnchor>
  <xdr:oneCellAnchor>
    <xdr:from>
      <xdr:col>6</xdr:col>
      <xdr:colOff>142875</xdr:colOff>
      <xdr:row>46</xdr:row>
      <xdr:rowOff>104775</xdr:rowOff>
    </xdr:from>
    <xdr:ext cx="1169872" cy="182614"/>
    <mc:AlternateContent xmlns:mc="http://schemas.openxmlformats.org/markup-compatibility/2006" xmlns:a14="http://schemas.microsoft.com/office/drawing/2010/main">
      <mc:Choice Requires="a14">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𝑒+ℎ_𝑝+ℎ_𝑎</a:t>
              </a:r>
              <a:endParaRPr lang="es-CO" sz="1100"/>
            </a:p>
          </xdr:txBody>
        </xdr:sp>
      </mc:Fallback>
    </mc:AlternateContent>
    <xdr:clientData/>
  </xdr:oneCellAnchor>
  <xdr:oneCellAnchor>
    <xdr:from>
      <xdr:col>6</xdr:col>
      <xdr:colOff>171450</xdr:colOff>
      <xdr:row>48</xdr:row>
      <xdr:rowOff>85725</xdr:rowOff>
    </xdr:from>
    <xdr:ext cx="645946" cy="345544"/>
    <mc:AlternateContent xmlns:mc="http://schemas.openxmlformats.org/markup-compatibility/2006" xmlns:a14="http://schemas.microsoft.com/office/drawing/2010/main">
      <mc:Choice Requires="a14">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latin typeface="Bernard MT Condensed" panose="02050806060905020404" pitchFamily="18" charset="0"/>
              </a:endParaRPr>
            </a:p>
          </xdr:txBody>
        </xdr:sp>
      </mc:Choice>
      <mc:Fallback xmlns="">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 </a:t>
              </a:r>
              <a:endParaRPr lang="es-CO" sz="1100">
                <a:latin typeface="Bernard MT Condensed" panose="02050806060905020404" pitchFamily="18" charset="0"/>
              </a:endParaRPr>
            </a:p>
          </xdr:txBody>
        </xdr:sp>
      </mc:Fallback>
    </mc:AlternateContent>
    <xdr:clientData/>
  </xdr:oneCellAnchor>
  <xdr:oneCellAnchor>
    <xdr:from>
      <xdr:col>6</xdr:col>
      <xdr:colOff>47625</xdr:colOff>
      <xdr:row>37</xdr:row>
      <xdr:rowOff>95250</xdr:rowOff>
    </xdr:from>
    <xdr:ext cx="3667126" cy="318485"/>
    <mc:AlternateContent xmlns:mc="http://schemas.openxmlformats.org/markup-compatibility/2006" xmlns:a14="http://schemas.microsoft.com/office/drawing/2010/main">
      <mc:Choice Requires="a14">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solidFill>
                          <a:schemeClr val="tx1"/>
                        </a:solidFill>
                        <a:effectLst/>
                        <a:latin typeface="Cambria Math" panose="02040503050406030204" pitchFamily="18" charset="0"/>
                        <a:ea typeface="+mn-ea"/>
                        <a:cs typeface="+mn-cs"/>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oMath>
                </m:oMathPara>
              </a14:m>
              <a:endParaRPr lang="es-CO" sz="1100"/>
            </a:p>
          </xdr:txBody>
        </xdr:sp>
      </mc:Choice>
      <mc:Fallback xmlns="">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(𝑠𝑒𝑛𝜃+𝐿_𝑐 𝑐𝑜𝑠𝜃)   ; </a:t>
              </a:r>
              <a:r>
                <a:rPr lang="es-MX" sz="1100" b="0" i="0">
                  <a:solidFill>
                    <a:schemeClr val="tx1"/>
                  </a:solidFill>
                  <a:effectLst/>
                  <a:latin typeface="+mn-lt"/>
                  <a:ea typeface="+mn-ea"/>
                  <a:cs typeface="+mn-cs"/>
                </a:rPr>
                <a:t>𝐿</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𝐿−𝐿´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𝐿´=0,058 (v_0  .𝑒)/𝑣</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152400</xdr:colOff>
      <xdr:row>47</xdr:row>
      <xdr:rowOff>114300</xdr:rowOff>
    </xdr:from>
    <xdr:ext cx="1866665" cy="182294"/>
    <mc:AlternateContent xmlns:mc="http://schemas.openxmlformats.org/markup-compatibility/2006" xmlns:a14="http://schemas.microsoft.com/office/drawing/2010/main">
      <mc:Choice Requires="a14">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(𝑁−1).𝑙.𝑎.𝑤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171450</xdr:colOff>
      <xdr:row>50</xdr:row>
      <xdr:rowOff>104775</xdr:rowOff>
    </xdr:from>
    <xdr:ext cx="591893" cy="321114"/>
    <mc:AlternateContent xmlns:mc="http://schemas.openxmlformats.org/markup-compatibility/2006" xmlns:a14="http://schemas.microsoft.com/office/drawing/2010/main">
      <mc:Choice Requires="a14">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𝐴</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𝐿:𝐴</a:t>
              </a:r>
              <a:r>
                <a:rPr lang="es-MX" sz="1100" b="0" i="0">
                  <a:latin typeface="Cambria Math" panose="02040503050406030204" pitchFamily="18" charset="0"/>
                  <a:ea typeface="Cambria Math" panose="02040503050406030204" pitchFamily="18" charset="0"/>
                </a:rPr>
                <a:t>=𝐿_𝑝/𝑎</a:t>
              </a:r>
              <a:endParaRPr lang="es-CO" sz="1100"/>
            </a:p>
          </xdr:txBody>
        </xdr:sp>
      </mc:Fallback>
    </mc:AlternateContent>
    <xdr:clientData/>
  </xdr:oneCellAnchor>
  <xdr:oneCellAnchor>
    <xdr:from>
      <xdr:col>6</xdr:col>
      <xdr:colOff>184149</xdr:colOff>
      <xdr:row>51</xdr:row>
      <xdr:rowOff>122237</xdr:rowOff>
    </xdr:from>
    <xdr:ext cx="1209675" cy="390525"/>
    <mc:AlternateContent xmlns:mc="http://schemas.openxmlformats.org/markup-compatibility/2006" xmlns:a14="http://schemas.microsoft.com/office/drawing/2010/main">
      <mc:Choice Requires="a14">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d>
                      <m:dPr>
                        <m:ctrlPr>
                          <a:rPr lang="es-CO" sz="1100" i="1">
                            <a:latin typeface="Cambria Math" panose="02040503050406030204" pitchFamily="18" charset="0"/>
                            <a:ea typeface="Cambria Math" panose="02040503050406030204" pitchFamily="18" charset="0"/>
                          </a:rPr>
                        </m:ctrlPr>
                      </m:dPr>
                      <m:e>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𝑎</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𝑝</m:t>
                                </m:r>
                              </m:e>
                              <m:sub>
                                <m:r>
                                  <a:rPr lang="es-MX" sz="1100" b="0" i="1">
                                    <a:solidFill>
                                      <a:schemeClr val="tx1"/>
                                    </a:solidFill>
                                    <a:effectLst/>
                                    <a:latin typeface="Cambria Math" panose="02040503050406030204" pitchFamily="18" charset="0"/>
                                    <a:ea typeface="+mn-ea"/>
                                    <a:cs typeface="+mn-cs"/>
                                  </a:rPr>
                                  <m:t>𝑡</m:t>
                                </m:r>
                              </m:sub>
                            </m:sSub>
                          </m:num>
                          <m:den>
                            <m:r>
                              <a:rPr lang="es-MX" sz="1100" b="0" i="1">
                                <a:solidFill>
                                  <a:schemeClr val="tx1"/>
                                </a:solidFill>
                                <a:effectLst/>
                                <a:latin typeface="Cambria Math" panose="02040503050406030204" pitchFamily="18" charset="0"/>
                                <a:ea typeface="+mn-ea"/>
                                <a:cs typeface="+mn-cs"/>
                              </a:rPr>
                              <m:t>2</m:t>
                            </m:r>
                          </m:den>
                        </m:f>
                      </m:e>
                    </m:d>
                    <m:r>
                      <a:rPr lang="es-MX" sz="1100" b="0" i="1">
                        <a:latin typeface="Cambria Math" panose="02040503050406030204" pitchFamily="18" charset="0"/>
                        <a:ea typeface="Cambria Math" panose="02040503050406030204" pitchFamily="18" charset="0"/>
                      </a:rPr>
                      <m:t>.</m:t>
                    </m:r>
                    <m:func>
                      <m:funcPr>
                        <m:ctrlPr>
                          <a:rPr lang="es-MX" sz="1100" b="0" i="1">
                            <a:latin typeface="Cambria Math" panose="02040503050406030204" pitchFamily="18" charset="0"/>
                            <a:ea typeface="Cambria Math" panose="02040503050406030204" pitchFamily="18" charset="0"/>
                          </a:rPr>
                        </m:ctrlPr>
                      </m:funcPr>
                      <m:fName>
                        <m:r>
                          <a:rPr lang="es-MX" sz="1100" b="0" i="1">
                            <a:latin typeface="Cambria Math" panose="02040503050406030204" pitchFamily="18" charset="0"/>
                            <a:ea typeface="Cambria Math" panose="02040503050406030204" pitchFamily="18" charset="0"/>
                          </a:rPr>
                          <m:t>𝑡𝑎𝑛</m:t>
                        </m:r>
                      </m:fName>
                      <m:e>
                        <m:r>
                          <a:rPr lang="es-MX" sz="1100" b="0" i="1">
                            <a:latin typeface="Cambria Math" panose="02040503050406030204" pitchFamily="18" charset="0"/>
                            <a:ea typeface="Cambria Math" panose="02040503050406030204" pitchFamily="18" charset="0"/>
                          </a:rPr>
                          <m:t>𝛼</m:t>
                        </m:r>
                      </m:e>
                    </m:func>
                  </m:oMath>
                </m:oMathPara>
              </a14:m>
              <a:endParaRPr lang="es-CO" sz="1100" i="1"/>
            </a:p>
          </xdr:txBody>
        </xdr:sp>
      </mc:Choice>
      <mc:Fallback xmlns="">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𝑎−</a:t>
              </a:r>
              <a:r>
                <a:rPr lang="es-MX" sz="1100" b="0" i="0">
                  <a:solidFill>
                    <a:schemeClr val="tx1"/>
                  </a:solidFill>
                  <a:effectLst/>
                  <a:latin typeface="Cambria Math" panose="02040503050406030204" pitchFamily="18" charset="0"/>
                  <a:ea typeface="+mn-ea"/>
                  <a:cs typeface="+mn-cs"/>
                </a:rPr>
                <a:t>𝑝</a:t>
              </a:r>
              <a:r>
                <a:rPr lang="es-MX" sz="1100" b="0" i="0">
                  <a:solidFill>
                    <a:schemeClr val="tx1"/>
                  </a:solidFill>
                  <a:effectLst/>
                  <a:latin typeface="+mn-lt"/>
                  <a:ea typeface="+mn-ea"/>
                  <a:cs typeface="+mn-cs"/>
                </a:rPr>
                <a:t>_𝑡</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2</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.𝑡𝑎𝑛⁡𝛼</a:t>
              </a:r>
              <a:endParaRPr lang="es-CO" sz="1100" i="1"/>
            </a:p>
          </xdr:txBody>
        </xdr:sp>
      </mc:Fallback>
    </mc:AlternateContent>
    <xdr:clientData/>
  </xdr:oneCellAnchor>
  <xdr:oneCellAnchor>
    <xdr:from>
      <xdr:col>6</xdr:col>
      <xdr:colOff>151606</xdr:colOff>
      <xdr:row>54</xdr:row>
      <xdr:rowOff>107950</xdr:rowOff>
    </xdr:from>
    <xdr:ext cx="2066207" cy="182614"/>
    <mc:AlternateContent xmlns:mc="http://schemas.openxmlformats.org/markup-compatibility/2006" xmlns:a14="http://schemas.microsoft.com/office/drawing/2010/main">
      <mc:Choice Requires="a14">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𝐻</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𝑏𝑙</m:t>
                    </m:r>
                  </m:oMath>
                </m:oMathPara>
              </a14:m>
              <a:endParaRPr lang="es-CO" sz="1100"/>
            </a:p>
          </xdr:txBody>
        </xdr:sp>
      </mc:Choice>
      <mc:Fallback xmlns="">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𝐻_𝑇</a:t>
              </a:r>
              <a:r>
                <a:rPr lang="es-MX" sz="1100" b="0" i="0">
                  <a:latin typeface="Cambria Math" panose="02040503050406030204" pitchFamily="18" charset="0"/>
                  <a:ea typeface="Cambria Math" panose="02040503050406030204" pitchFamily="18" charset="0"/>
                </a:rPr>
                <a:t>=𝑒_𝑐+ℎ_𝑡+ℎ_𝑑+ℎ_𝑝+ℎ_𝑎+𝑏𝑙</a:t>
              </a:r>
              <a:endParaRPr lang="es-CO" sz="1100"/>
            </a:p>
          </xdr:txBody>
        </xdr:sp>
      </mc:Fallback>
    </mc:AlternateContent>
    <xdr:clientData/>
  </xdr:oneCellAnchor>
  <xdr:oneCellAnchor>
    <xdr:from>
      <xdr:col>6</xdr:col>
      <xdr:colOff>165894</xdr:colOff>
      <xdr:row>52</xdr:row>
      <xdr:rowOff>169862</xdr:rowOff>
    </xdr:from>
    <xdr:ext cx="887935" cy="182614"/>
    <mc:AlternateContent xmlns:mc="http://schemas.openxmlformats.org/markup-compatibility/2006" xmlns:a14="http://schemas.microsoft.com/office/drawing/2010/main">
      <mc:Choice Requires="a14">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=2</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𝐿_𝑇</a:t>
              </a:r>
              <a:r>
                <a:rPr lang="es-MX" sz="1100" b="0" i="0">
                  <a:latin typeface="Cambria Math" panose="02040503050406030204" pitchFamily="18" charset="0"/>
                  <a:ea typeface="Cambria Math" panose="02040503050406030204" pitchFamily="18" charset="0"/>
                </a:rPr>
                <a:t>=2𝑒_𝑐+𝐿_𝑝</a:t>
              </a:r>
              <a:endParaRPr lang="es-CO" sz="1100"/>
            </a:p>
          </xdr:txBody>
        </xdr:sp>
      </mc:Fallback>
    </mc:AlternateContent>
    <xdr:clientData/>
  </xdr:oneCellAnchor>
  <xdr:oneCellAnchor>
    <xdr:from>
      <xdr:col>6</xdr:col>
      <xdr:colOff>157955</xdr:colOff>
      <xdr:row>53</xdr:row>
      <xdr:rowOff>118267</xdr:rowOff>
    </xdr:from>
    <xdr:ext cx="2006511" cy="172227"/>
    <mc:AlternateContent xmlns:mc="http://schemas.openxmlformats.org/markup-compatibility/2006" xmlns:a14="http://schemas.microsoft.com/office/drawing/2010/main">
      <mc:Choice Requires="a14">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𝐴</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2</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𝑒</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𝑎</m:t>
                        </m:r>
                      </m:e>
                    </m:d>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−1</m:t>
                        </m:r>
                      </m:e>
                    </m:d>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e>
                      <m:sub>
                        <m:r>
                          <a:rPr lang="es-MX" sz="1100" b="0" i="1">
                            <a:latin typeface="Cambria Math" panose="02040503050406030204" pitchFamily="18" charset="0"/>
                            <a:ea typeface="Cambria Math" panose="02040503050406030204" pitchFamily="18" charset="0"/>
                          </a:rPr>
                          <m:t>𝑑</m:t>
                        </m:r>
                      </m:sub>
                    </m:sSub>
                  </m:oMath>
                </m:oMathPara>
              </a14:m>
              <a:endParaRPr lang="es-CO" sz="1100"/>
            </a:p>
          </xdr:txBody>
        </xdr:sp>
      </mc:Choice>
      <mc:Fallback xmlns="">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𝐴_𝑇</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2𝑒_𝑐+𝑎)</a:t>
              </a:r>
              <a:r>
                <a:rPr lang="es-MX" sz="1100" b="0" i="0">
                  <a:latin typeface="Cambria Math" panose="02040503050406030204" pitchFamily="18" charset="0"/>
                  <a:ea typeface="Cambria Math" panose="02040503050406030204" pitchFamily="18" charset="0"/>
                </a:rPr>
                <a:t>.𝑚+(𝑚−1) 〖.𝑤〗_𝑑</a:t>
              </a:r>
              <a:endParaRPr lang="es-CO" sz="1100"/>
            </a:p>
          </xdr:txBody>
        </xdr:sp>
      </mc:Fallback>
    </mc:AlternateContent>
    <xdr:clientData/>
  </xdr:oneCellAnchor>
  <xdr:oneCellAnchor>
    <xdr:from>
      <xdr:col>6</xdr:col>
      <xdr:colOff>146049</xdr:colOff>
      <xdr:row>49</xdr:row>
      <xdr:rowOff>74612</xdr:rowOff>
    </xdr:from>
    <xdr:ext cx="700000" cy="365165"/>
    <mc:AlternateContent xmlns:mc="http://schemas.openxmlformats.org/markup-compatibility/2006" xmlns:a14="http://schemas.microsoft.com/office/drawing/2010/main">
      <mc:Choice Requires="a14">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=𝑄_𝑚𝑜𝑑/(𝐿_𝑝.𝑎)</a:t>
              </a:r>
              <a:endParaRPr lang="es-CO" sz="1100"/>
            </a:p>
          </xdr:txBody>
        </xdr:sp>
      </mc:Fallback>
    </mc:AlternateContent>
    <xdr:clientData/>
  </xdr:oneCellAnchor>
  <xdr:twoCellAnchor editAs="oneCell">
    <xdr:from>
      <xdr:col>2</xdr:col>
      <xdr:colOff>0</xdr:colOff>
      <xdr:row>2</xdr:row>
      <xdr:rowOff>0</xdr:rowOff>
    </xdr:from>
    <xdr:to>
      <xdr:col>2</xdr:col>
      <xdr:colOff>304800</xdr:colOff>
      <xdr:row>3</xdr:row>
      <xdr:rowOff>114300</xdr:rowOff>
    </xdr:to>
    <xdr:sp macro="" textlink="">
      <xdr:nvSpPr>
        <xdr:cNvPr id="1025" name="AutoShape 1" descr="Inicio de Sesion"/>
        <xdr:cNvSpPr>
          <a:spLocks noChangeAspect="1" noChangeArrowheads="1"/>
        </xdr:cNvSpPr>
      </xdr:nvSpPr>
      <xdr:spPr bwMode="auto">
        <a:xfrm>
          <a:off x="62865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2079627</xdr:colOff>
      <xdr:row>1</xdr:row>
      <xdr:rowOff>55563</xdr:rowOff>
    </xdr:from>
    <xdr:to>
      <xdr:col>2</xdr:col>
      <xdr:colOff>2821427</xdr:colOff>
      <xdr:row>5</xdr:row>
      <xdr:rowOff>39688</xdr:rowOff>
    </xdr:to>
    <xdr:pic>
      <xdr:nvPicPr>
        <xdr:cNvPr id="29" name="Imagen 28"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7" y="246063"/>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150021</xdr:colOff>
      <xdr:row>57</xdr:row>
      <xdr:rowOff>161925</xdr:rowOff>
    </xdr:from>
    <xdr:ext cx="836576" cy="182614"/>
    <mc:AlternateContent xmlns:mc="http://schemas.openxmlformats.org/markup-compatibility/2006" xmlns:a14="http://schemas.microsoft.com/office/drawing/2010/main">
      <mc:Choice Requires="a14">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oMath>
                </m:oMathPara>
              </a14:m>
              <a:endParaRPr lang="es-CO" sz="1100"/>
            </a:p>
          </xdr:txBody>
        </xdr:sp>
      </mc:Choice>
      <mc:Fallback xmlns="">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𝑝+𝑒_𝑐</a:t>
              </a:r>
              <a:endParaRPr lang="es-CO" sz="1100"/>
            </a:p>
          </xdr:txBody>
        </xdr:sp>
      </mc:Fallback>
    </mc:AlternateContent>
    <xdr:clientData/>
  </xdr:oneCellAnchor>
  <xdr:oneCellAnchor>
    <xdr:from>
      <xdr:col>6</xdr:col>
      <xdr:colOff>150020</xdr:colOff>
      <xdr:row>58</xdr:row>
      <xdr:rowOff>102394</xdr:rowOff>
    </xdr:from>
    <xdr:ext cx="1925592" cy="172227"/>
    <mc:AlternateContent xmlns:mc="http://schemas.openxmlformats.org/markup-compatibility/2006" xmlns:a14="http://schemas.microsoft.com/office/drawing/2010/main">
      <mc:Choice Requires="a14">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4"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&lt;3,5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&lt;𝐿〗_𝑚&lt;3,5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154781</xdr:colOff>
      <xdr:row>58</xdr:row>
      <xdr:rowOff>369094</xdr:rowOff>
    </xdr:from>
    <xdr:ext cx="2032608" cy="172227"/>
    <mc:AlternateContent xmlns:mc="http://schemas.openxmlformats.org/markup-compatibility/2006" xmlns:a14="http://schemas.microsoft.com/office/drawing/2010/main">
      <mc:Choice Requires="a14">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6"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3,5 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&lt;6,5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6" 𝑠𝑖 〖3,5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&lt;𝐿〗_𝑚&lt;6,5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107156</xdr:colOff>
      <xdr:row>58</xdr:row>
      <xdr:rowOff>619126</xdr:rowOff>
    </xdr:from>
    <xdr:ext cx="2071687" cy="172227"/>
    <mc:AlternateContent xmlns:mc="http://schemas.openxmlformats.org/markup-compatibility/2006" xmlns:a14="http://schemas.microsoft.com/office/drawing/2010/main">
      <mc:Choice Requires="a14">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8"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&lt;12,0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8"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&lt;𝐿〗_𝑚&lt;12,0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150018</xdr:colOff>
      <xdr:row>63</xdr:row>
      <xdr:rowOff>30956</xdr:rowOff>
    </xdr:from>
    <xdr:ext cx="1537216" cy="413831"/>
    <mc:AlternateContent xmlns:mc="http://schemas.openxmlformats.org/markup-compatibility/2006" xmlns:a14="http://schemas.microsoft.com/office/drawing/2010/main">
      <mc:Choice Requires="a14">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mn-lt"/>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173831</xdr:colOff>
      <xdr:row>60</xdr:row>
      <xdr:rowOff>57151</xdr:rowOff>
    </xdr:from>
    <xdr:ext cx="859979" cy="500137"/>
    <mc:AlternateContent xmlns:mc="http://schemas.openxmlformats.org/markup-compatibility/2006" xmlns:a14="http://schemas.microsoft.com/office/drawing/2010/main">
      <mc:Choice Requires="a14">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𝑚</m:t>
                        </m:r>
                      </m:sub>
                    </m:sSub>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0,4</m:t>
                            </m:r>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den>
                        </m:f>
                      </m:e>
                    </m:rad>
                  </m:oMath>
                </m:oMathPara>
              </a14:m>
              <a:endParaRPr lang="es-CO" sz="1100">
                <a:latin typeface="Calibri" panose="020F0502020204030204" pitchFamily="34" charset="0"/>
                <a:cs typeface="Calibri" panose="020F0502020204030204" pitchFamily="34" charset="0"/>
              </a:endParaRPr>
            </a:p>
          </xdr:txBody>
        </xdr:sp>
      </mc:Choice>
      <mc:Fallback xmlns="">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𝐷_𝑜=𝐷_𝑚 √(0,4/𝑛_𝑜 )</a:t>
              </a:r>
              <a:endParaRPr lang="es-CO" sz="1100">
                <a:latin typeface="Calibri" panose="020F0502020204030204" pitchFamily="34" charset="0"/>
                <a:cs typeface="Calibri" panose="020F0502020204030204" pitchFamily="34" charset="0"/>
              </a:endParaRPr>
            </a:p>
          </xdr:txBody>
        </xdr:sp>
      </mc:Fallback>
    </mc:AlternateContent>
    <xdr:clientData/>
  </xdr:oneCellAnchor>
  <xdr:oneCellAnchor>
    <xdr:from>
      <xdr:col>8</xdr:col>
      <xdr:colOff>95249</xdr:colOff>
      <xdr:row>60</xdr:row>
      <xdr:rowOff>95250</xdr:rowOff>
    </xdr:from>
    <xdr:ext cx="2640531" cy="413831"/>
    <mc:AlternateContent xmlns:mc="http://schemas.openxmlformats.org/markup-compatibility/2006" xmlns:a14="http://schemas.microsoft.com/office/drawing/2010/main">
      <mc:Choice Requires="a14">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left"/>
                  </m:oMathParaPr>
                  <m:oMath xmlns:m="http://schemas.openxmlformats.org/officeDocument/2006/math">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Se</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asumen</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una</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relaci</m:t>
                        </m:r>
                        <m:r>
                          <a:rPr lang="es-MX" sz="1100" b="0" i="0">
                            <a:latin typeface="Cambria Math" panose="02040503050406030204" pitchFamily="18" charset="0"/>
                            <a:ea typeface="Cambria Math" panose="02040503050406030204" pitchFamily="18" charset="0"/>
                          </a:rPr>
                          <m:t>ó</m:t>
                        </m:r>
                        <m:r>
                          <m:rPr>
                            <m:sty m:val="p"/>
                          </m:rPr>
                          <a:rPr lang="es-MX" sz="1100" b="0" i="0">
                            <a:latin typeface="Cambria Math" panose="02040503050406030204" pitchFamily="18" charset="0"/>
                            <a:ea typeface="Cambria Math" panose="02040503050406030204" pitchFamily="18" charset="0"/>
                          </a:rPr>
                          <m:t>n</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=0,40</m:t>
                    </m:r>
                  </m:oMath>
                </m:oMathPara>
              </a14:m>
              <a:endParaRPr lang="es-CO" sz="1100">
                <a:latin typeface="Bernard MT Condensed" panose="02050806060905020404" pitchFamily="18" charset="0"/>
                <a:cs typeface="Calibri" panose="020F0502020204030204" pitchFamily="34" charset="0"/>
              </a:endParaRPr>
            </a:p>
          </xdr:txBody>
        </xdr:sp>
      </mc:Choice>
      <mc:Fallback xmlns="">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〖Se asumen una relación(</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𝐷_𝑚</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2.𝑛_𝑜=0,40</a:t>
              </a:r>
              <a:endParaRPr lang="es-CO" sz="1100">
                <a:latin typeface="Bernard MT Condensed" panose="02050806060905020404" pitchFamily="18" charset="0"/>
                <a:cs typeface="Calibri" panose="020F0502020204030204" pitchFamily="34" charset="0"/>
              </a:endParaRPr>
            </a:p>
          </xdr:txBody>
        </xdr:sp>
      </mc:Fallback>
    </mc:AlternateContent>
    <xdr:clientData/>
  </xdr:oneCellAnchor>
  <xdr:oneCellAnchor>
    <xdr:from>
      <xdr:col>6</xdr:col>
      <xdr:colOff>142876</xdr:colOff>
      <xdr:row>69</xdr:row>
      <xdr:rowOff>71436</xdr:rowOff>
    </xdr:from>
    <xdr:ext cx="1545102" cy="500137"/>
    <mc:AlternateContent xmlns:mc="http://schemas.openxmlformats.org/markup-compatibility/2006" xmlns:a14="http://schemas.microsoft.com/office/drawing/2010/main">
      <mc:Choice Requires="a14">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𝑋</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=1,16 </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r>
                      <a:rPr lang="es-MX" sz="1100" b="0" i="1">
                        <a:latin typeface="Cambria Math" panose="02040503050406030204" pitchFamily="18" charset="0"/>
                        <a:ea typeface="Cambria Math" panose="02040503050406030204" pitchFamily="18" charset="0"/>
                      </a:rPr>
                      <m:t> </m:t>
                    </m:r>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𝑇</m:t>
                                </m:r>
                              </m:e>
                              <m:sup>
                                <m:r>
                                  <a:rPr lang="es-MX" sz="1100" b="0" i="1">
                                    <a:latin typeface="Cambria Math" panose="02040503050406030204" pitchFamily="18" charset="0"/>
                                    <a:ea typeface="Cambria Math" panose="02040503050406030204" pitchFamily="18" charset="0"/>
                                  </a:rPr>
                                  <m:t>0,5</m:t>
                                </m:r>
                              </m:sup>
                            </m:sSup>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𝑎</m:t>
                                </m:r>
                              </m:sub>
                            </m:sSub>
                          </m:den>
                        </m:f>
                      </m:e>
                    </m:rad>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𝑚</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𝑋_𝑜=1,16 </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√(𝑇^0,5/v_𝑎 )</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𝐿_𝑚</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114300</xdr:colOff>
      <xdr:row>67</xdr:row>
      <xdr:rowOff>150019</xdr:rowOff>
    </xdr:from>
    <xdr:ext cx="1465465" cy="182614"/>
    <mc:AlternateContent xmlns:mc="http://schemas.openxmlformats.org/markup-compatibility/2006" xmlns:a14="http://schemas.microsoft.com/office/drawing/2010/main">
      <mc:Choice Requires="a14">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𝑇</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𝑇_𝑜=ℎ_𝑡+ℎ_𝑒+ℎ_𝑝+ℎ_𝑎</a:t>
              </a:r>
              <a:endParaRPr lang="es-CO" sz="1100"/>
            </a:p>
          </xdr:txBody>
        </xdr:sp>
      </mc:Fallback>
    </mc:AlternateContent>
    <xdr:clientData/>
  </xdr:oneCellAnchor>
  <xdr:oneCellAnchor>
    <xdr:from>
      <xdr:col>6</xdr:col>
      <xdr:colOff>14552</xdr:colOff>
      <xdr:row>70</xdr:row>
      <xdr:rowOff>84666</xdr:rowOff>
    </xdr:from>
    <xdr:ext cx="933449" cy="349711"/>
    <mc:AlternateContent xmlns:mc="http://schemas.openxmlformats.org/markup-compatibility/2006" xmlns:a14="http://schemas.microsoft.com/office/drawing/2010/main">
      <mc:Choice Requires="a14">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𝑋</m:t>
                        </m:r>
                      </m:e>
                      <m:sub>
                        <m:r>
                          <a:rPr lang="es-MX" sz="1100" b="0" i="1">
                            <a:latin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𝑋</a:t>
              </a:r>
              <a:r>
                <a:rPr lang="es-CO" sz="1100" b="0" i="0">
                  <a:latin typeface="Cambria Math" panose="02040503050406030204" pitchFamily="18" charset="0"/>
                </a:rPr>
                <a:t>_</a:t>
              </a:r>
              <a:r>
                <a:rPr lang="es-MX" sz="1100" b="0" i="0">
                  <a:latin typeface="Cambria Math" panose="02040503050406030204" pitchFamily="18" charset="0"/>
                </a:rPr>
                <a:t>𝑜</a:t>
              </a:r>
              <a:r>
                <a:rPr lang="es-MX" sz="1100" b="0" i="0">
                  <a:latin typeface="Cambria Math" panose="02040503050406030204" pitchFamily="18" charset="0"/>
                  <a:ea typeface="Cambria Math" panose="02040503050406030204" pitchFamily="18" charset="0"/>
                </a:rPr>
                <a:t>=𝐿_𝑝/</a:t>
              </a:r>
              <a:r>
                <a:rPr lang="es-MX" sz="1100" b="0" i="0">
                  <a:solidFill>
                    <a:schemeClr val="tx1"/>
                  </a:solidFill>
                  <a:effectLst/>
                  <a:latin typeface="Cambria Math" panose="02040503050406030204" pitchFamily="18" charset="0"/>
                  <a:ea typeface="+mn-ea"/>
                  <a:cs typeface="+mn-cs"/>
                </a:rPr>
                <a:t>𝑛</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𝑜 </a:t>
              </a:r>
              <a:endParaRPr lang="es-CO" sz="1100"/>
            </a:p>
          </xdr:txBody>
        </xdr:sp>
      </mc:Fallback>
    </mc:AlternateContent>
    <xdr:clientData/>
  </xdr:oneCellAnchor>
  <xdr:oneCellAnchor>
    <xdr:from>
      <xdr:col>6</xdr:col>
      <xdr:colOff>150018</xdr:colOff>
      <xdr:row>66</xdr:row>
      <xdr:rowOff>30956</xdr:rowOff>
    </xdr:from>
    <xdr:ext cx="1537216" cy="413831"/>
    <mc:AlternateContent xmlns:mc="http://schemas.openxmlformats.org/markup-compatibility/2006" xmlns:a14="http://schemas.microsoft.com/office/drawing/2010/main">
      <mc:Choice Requires="a14">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Cambria Math" panose="02040503050406030204" pitchFamily="18" charset="0"/>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190500</xdr:colOff>
      <xdr:row>44</xdr:row>
      <xdr:rowOff>76200</xdr:rowOff>
    </xdr:from>
    <xdr:ext cx="504625" cy="349711"/>
    <mc:AlternateContent xmlns:mc="http://schemas.openxmlformats.org/markup-compatibility/2006" xmlns:a14="http://schemas.microsoft.com/office/drawing/2010/main">
      <mc:Choice Requires="a14">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𝑛</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𝑛</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161925</xdr:colOff>
      <xdr:row>45</xdr:row>
      <xdr:rowOff>66675</xdr:rowOff>
    </xdr:from>
    <xdr:ext cx="504625" cy="349711"/>
    <mc:AlternateContent xmlns:mc="http://schemas.openxmlformats.org/markup-compatibility/2006" xmlns:a14="http://schemas.microsoft.com/office/drawing/2010/main">
      <mc:Choice Requires="a14">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𝑛</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133350</xdr:colOff>
      <xdr:row>35</xdr:row>
      <xdr:rowOff>76199</xdr:rowOff>
    </xdr:from>
    <xdr:ext cx="700000" cy="390525"/>
    <mc:AlternateContent xmlns:mc="http://schemas.openxmlformats.org/markup-compatibility/2006" xmlns:a14="http://schemas.microsoft.com/office/drawing/2010/main">
      <mc:Choice Requires="a14">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m:t>
                        </m:r>
                      </m:den>
                    </m:f>
                  </m:oMath>
                </m:oMathPara>
              </a14:m>
              <a:endParaRPr lang="es-CO" sz="1100"/>
            </a:p>
          </xdr:txBody>
        </xdr:sp>
      </mc:Choice>
      <mc:Fallback xmlns="">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=𝑄_𝑚𝑜𝑑/(𝑎 𝐿 )</a:t>
              </a:r>
              <a:endParaRPr lang="es-CO" sz="1100"/>
            </a:p>
          </xdr:txBody>
        </xdr:sp>
      </mc:Fallback>
    </mc:AlternateContent>
    <xdr:clientData/>
  </xdr:oneCellAnchor>
  <xdr:oneCellAnchor>
    <xdr:from>
      <xdr:col>6</xdr:col>
      <xdr:colOff>28573</xdr:colOff>
      <xdr:row>40</xdr:row>
      <xdr:rowOff>95250</xdr:rowOff>
    </xdr:from>
    <xdr:ext cx="885827" cy="182614"/>
    <mc:AlternateContent xmlns:mc="http://schemas.openxmlformats.org/markup-compatibility/2006" xmlns:a14="http://schemas.microsoft.com/office/drawing/2010/main">
      <mc:Choice Requires="a14">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𝑒𝑝</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𝑒𝑝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endParaRPr lang="es-CO" sz="1100"/>
            </a:p>
          </xdr:txBody>
        </xdr:sp>
      </mc:Fallback>
    </mc:AlternateContent>
    <xdr:clientData/>
  </xdr:oneCellAnchor>
  <xdr:oneCellAnchor>
    <xdr:from>
      <xdr:col>6</xdr:col>
      <xdr:colOff>161925</xdr:colOff>
      <xdr:row>45</xdr:row>
      <xdr:rowOff>95250</xdr:rowOff>
    </xdr:from>
    <xdr:ext cx="366575" cy="321370"/>
    <mc:AlternateContent xmlns:mc="http://schemas.openxmlformats.org/markup-compatibility/2006" xmlns:a14="http://schemas.microsoft.com/office/drawing/2010/main">
      <mc:Choice Requires="a14">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oMath>
                </m:oMathPara>
              </a14:m>
              <a:endParaRPr lang="es-CO" sz="1100"/>
            </a:p>
          </xdr:txBody>
        </xdr:sp>
      </mc:Choice>
      <mc:Fallback xmlns="">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=𝑙/𝑒</a:t>
              </a:r>
              <a:endParaRPr lang="es-CO" sz="1100"/>
            </a:p>
          </xdr:txBody>
        </xdr:sp>
      </mc:Fallback>
    </mc:AlternateContent>
    <xdr:clientData/>
  </xdr:oneCellAnchor>
  <xdr:oneCellAnchor>
    <xdr:from>
      <xdr:col>6</xdr:col>
      <xdr:colOff>114300</xdr:colOff>
      <xdr:row>46</xdr:row>
      <xdr:rowOff>95250</xdr:rowOff>
    </xdr:from>
    <xdr:ext cx="3085717" cy="321498"/>
    <mc:AlternateContent xmlns:mc="http://schemas.openxmlformats.org/markup-compatibility/2006" xmlns:a14="http://schemas.microsoft.com/office/drawing/2010/main">
      <mc:Choice Requires="a14">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b="0" i="1">
                            <a:latin typeface="Cambria Math" panose="02040503050406030204" pitchFamily="18" charset="0"/>
                          </a:rPr>
                        </m:ctrlPr>
                      </m:sSupPr>
                      <m:e>
                        <m:r>
                          <a:rPr lang="es-MX" sz="1100" b="0" i="1">
                            <a:latin typeface="Cambria Math" panose="02040503050406030204" pitchFamily="18" charset="0"/>
                          </a:rPr>
                          <m:t>𝐿</m:t>
                        </m:r>
                      </m:e>
                      <m:sup>
                        <m:r>
                          <a:rPr lang="es-MX" sz="1100" b="0" i="1">
                            <a:latin typeface="Cambria Math" panose="02040503050406030204" pitchFamily="18" charset="0"/>
                          </a:rPr>
                          <m:t>′</m:t>
                        </m:r>
                      </m:sup>
                    </m:sSup>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0,058</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Yao</m:t>
                        </m:r>
                      </m:e>
                    </m:d>
                    <m:sSup>
                      <m:sSupPr>
                        <m:ctrlPr>
                          <a:rPr lang="es-MX" sz="1100" b="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e>
                      <m:sup>
                        <m:r>
                          <a:rPr lang="es-MX" sz="1100" b="0" i="1">
                            <a:solidFill>
                              <a:schemeClr val="tx1"/>
                            </a:solidFill>
                            <a:effectLst/>
                            <a:latin typeface="Cambria Math" panose="02040503050406030204" pitchFamily="18" charset="0"/>
                            <a:ea typeface="+mn-ea"/>
                            <a:cs typeface="+mn-cs"/>
                          </a:rPr>
                          <m:t>′</m:t>
                        </m:r>
                      </m:sup>
                    </m:sSup>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0,013</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d>
                      <m:dPr>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Schulze</m:t>
                        </m:r>
                      </m:e>
                    </m:d>
                  </m:oMath>
                </m:oMathPara>
              </a14:m>
              <a:endParaRPr lang="es-CO" sz="1100"/>
            </a:p>
          </xdr:txBody>
        </xdr:sp>
      </mc:Choice>
      <mc:Fallback xmlns="">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=(0,058〖 v〗_0  𝑒)/𝑣   (Yao)</a:t>
              </a:r>
              <a:r>
                <a:rPr lang="es-MX" sz="1100" b="0" i="0">
                  <a:solidFill>
                    <a:schemeClr val="tx1"/>
                  </a:solidFill>
                  <a:effectLst/>
                  <a:latin typeface="+mn-lt"/>
                  <a:ea typeface="+mn-ea"/>
                  <a:cs typeface="+mn-cs"/>
                </a:rPr>
                <a:t>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a:t>
              </a:r>
              <a:r>
                <a:rPr lang="es-MX" sz="1100" b="0" i="0">
                  <a:solidFill>
                    <a:schemeClr val="tx1"/>
                  </a:solidFill>
                  <a:effectLst/>
                  <a:latin typeface="Cambria Math" panose="02040503050406030204" pitchFamily="18" charset="0"/>
                  <a:ea typeface="+mn-ea"/>
                  <a:cs typeface="+mn-cs"/>
                </a:rPr>
                <a:t>13</a:t>
              </a:r>
              <a:r>
                <a:rPr lang="es-MX" sz="1100" b="0" i="0">
                  <a:solidFill>
                    <a:schemeClr val="tx1"/>
                  </a:solidFill>
                  <a:effectLst/>
                  <a:latin typeface="+mn-lt"/>
                  <a:ea typeface="+mn-ea"/>
                  <a:cs typeface="+mn-cs"/>
                </a:rPr>
                <a:t>〖 v〗_0</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𝑒)/𝑣   (</a:t>
              </a:r>
              <a:r>
                <a:rPr lang="es-MX" sz="1100" b="0" i="0">
                  <a:solidFill>
                    <a:schemeClr val="tx1"/>
                  </a:solidFill>
                  <a:effectLst/>
                  <a:latin typeface="Cambria Math" panose="02040503050406030204" pitchFamily="18" charset="0"/>
                  <a:ea typeface="+mn-ea"/>
                  <a:cs typeface="+mn-cs"/>
                </a:rPr>
                <a:t>Schulze</a:t>
              </a:r>
              <a:r>
                <a:rPr lang="es-MX" sz="1100" b="0" i="0">
                  <a:solidFill>
                    <a:schemeClr val="tx1"/>
                  </a:solidFill>
                  <a:effectLst/>
                  <a:latin typeface="+mn-lt"/>
                  <a:ea typeface="+mn-ea"/>
                  <a:cs typeface="+mn-cs"/>
                </a:rPr>
                <a:t>)</a:t>
              </a:r>
              <a:endParaRPr lang="es-CO" sz="1100"/>
            </a:p>
          </xdr:txBody>
        </xdr:sp>
      </mc:Fallback>
    </mc:AlternateContent>
    <xdr:clientData/>
  </xdr:oneCellAnchor>
  <xdr:oneCellAnchor>
    <xdr:from>
      <xdr:col>6</xdr:col>
      <xdr:colOff>123825</xdr:colOff>
      <xdr:row>47</xdr:row>
      <xdr:rowOff>85725</xdr:rowOff>
    </xdr:from>
    <xdr:ext cx="1351459" cy="172227"/>
    <mc:AlternateContent xmlns:mc="http://schemas.openxmlformats.org/markup-compatibility/2006" xmlns:a14="http://schemas.microsoft.com/office/drawing/2010/main">
      <mc:Choice Requires="a14">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oMath>
                </m:oMathPara>
              </a14:m>
              <a:endParaRPr lang="es-CO" sz="1100"/>
            </a:p>
          </xdr:txBody>
        </xdr:sp>
      </mc:Choice>
      <mc:Fallback xmlns="">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&lt;𝐿 ∴ 𝐿_𝑐=𝐿−𝐿´</a:t>
              </a:r>
              <a:endParaRPr lang="es-CO" sz="1100"/>
            </a:p>
          </xdr:txBody>
        </xdr:sp>
      </mc:Fallback>
    </mc:AlternateContent>
    <xdr:clientData/>
  </xdr:oneCellAnchor>
  <xdr:oneCellAnchor>
    <xdr:from>
      <xdr:col>6</xdr:col>
      <xdr:colOff>161925</xdr:colOff>
      <xdr:row>51</xdr:row>
      <xdr:rowOff>47625</xdr:rowOff>
    </xdr:from>
    <xdr:ext cx="1380441" cy="346570"/>
    <mc:AlternateContent xmlns:mc="http://schemas.openxmlformats.org/markup-compatibility/2006" xmlns:a14="http://schemas.microsoft.com/office/drawing/2010/main">
      <mc:Choice Requires="a14">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sSub>
                          <m:sSubPr>
                            <m:ctrlPr>
                              <a:rPr lang="es-MX" sz="1100" b="0" i="1">
                                <a:latin typeface="Cambria Math" panose="02040503050406030204" pitchFamily="18" charset="0"/>
                              </a:rPr>
                            </m:ctrlPr>
                          </m:sSubPr>
                          <m:e>
                            <m:r>
                              <a:rPr lang="es-MX" sz="1100" b="0" i="0">
                                <a:latin typeface="Cambria Math" panose="02040503050406030204" pitchFamily="18" charset="0"/>
                              </a:rPr>
                              <m:t> </m:t>
                            </m:r>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num>
                      <m:den>
                        <m:r>
                          <a:rPr lang="es-MX" sz="1100" b="0" i="1">
                            <a:latin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den>
                    </m:f>
                  </m:oMath>
                </m:oMathPara>
              </a14:m>
              <a:endParaRPr lang="es-CO" sz="1100"/>
            </a:p>
          </xdr:txBody>
        </xdr:sp>
      </mc:Choice>
      <mc:Fallback xmlns="">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𝑠𝑐=(𝑆_𝑐 〖 v〗_0)/(𝑆𝑒𝑛</a:t>
              </a:r>
              <a:r>
                <a:rPr lang="es-MX" sz="1100" b="0" i="0">
                  <a:latin typeface="Cambria Math" panose="02040503050406030204" pitchFamily="18" charset="0"/>
                  <a:ea typeface="Cambria Math" panose="02040503050406030204" pitchFamily="18" charset="0"/>
                </a:rPr>
                <a:t>𝜃+𝐿_𝑐  𝑐𝑜𝑠𝜃)</a:t>
              </a:r>
              <a:endParaRPr lang="es-CO" sz="1100"/>
            </a:p>
          </xdr:txBody>
        </xdr:sp>
      </mc:Fallback>
    </mc:AlternateContent>
    <xdr:clientData/>
  </xdr:oneCellAnchor>
  <xdr:oneCellAnchor>
    <xdr:from>
      <xdr:col>6</xdr:col>
      <xdr:colOff>180975</xdr:colOff>
      <xdr:row>57</xdr:row>
      <xdr:rowOff>123825</xdr:rowOff>
    </xdr:from>
    <xdr:ext cx="647613" cy="289951"/>
    <mc:AlternateContent xmlns:mc="http://schemas.openxmlformats.org/markup-compatibility/2006" xmlns:a14="http://schemas.microsoft.com/office/drawing/2010/main">
      <mc:Choice Requires="a14">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 v〗_0  𝑒)/𝑣</a:t>
              </a:r>
              <a:endParaRPr lang="es-CO" sz="1100"/>
            </a:p>
          </xdr:txBody>
        </xdr:sp>
      </mc:Fallback>
    </mc:AlternateContent>
    <xdr:clientData/>
  </xdr:oneCellAnchor>
  <xdr:oneCellAnchor>
    <xdr:from>
      <xdr:col>6</xdr:col>
      <xdr:colOff>95250</xdr:colOff>
      <xdr:row>61</xdr:row>
      <xdr:rowOff>77753</xdr:rowOff>
    </xdr:from>
    <xdr:ext cx="590550" cy="350096"/>
    <mc:AlternateContent xmlns:mc="http://schemas.openxmlformats.org/markup-compatibility/2006" xmlns:a14="http://schemas.microsoft.com/office/drawing/2010/main">
      <mc:Choice Requires="a14">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247650</xdr:colOff>
      <xdr:row>70</xdr:row>
      <xdr:rowOff>352425</xdr:rowOff>
    </xdr:from>
    <xdr:ext cx="65" cy="172227"/>
    <xdr:sp macro="" textlink="">
      <xdr:nvSpPr>
        <xdr:cNvPr id="17" name="CuadroTexto 16"/>
        <xdr:cNvSpPr txBox="1"/>
      </xdr:nvSpPr>
      <xdr:spPr>
        <a:xfrm>
          <a:off x="6457950" y="11001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142875</xdr:colOff>
      <xdr:row>70</xdr:row>
      <xdr:rowOff>104775</xdr:rowOff>
    </xdr:from>
    <xdr:ext cx="1169872" cy="182614"/>
    <mc:AlternateContent xmlns:mc="http://schemas.openxmlformats.org/markup-compatibility/2006" xmlns:a14="http://schemas.microsoft.com/office/drawing/2010/main">
      <mc:Choice Requires="a14">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𝑑+ℎ_𝑝+ℎ_𝑎</a:t>
              </a:r>
              <a:endParaRPr lang="es-CO" sz="1100"/>
            </a:p>
          </xdr:txBody>
        </xdr:sp>
      </mc:Fallback>
    </mc:AlternateContent>
    <xdr:clientData/>
  </xdr:oneCellAnchor>
  <xdr:oneCellAnchor>
    <xdr:from>
      <xdr:col>6</xdr:col>
      <xdr:colOff>171450</xdr:colOff>
      <xdr:row>72</xdr:row>
      <xdr:rowOff>85725</xdr:rowOff>
    </xdr:from>
    <xdr:ext cx="645946" cy="345544"/>
    <mc:AlternateContent xmlns:mc="http://schemas.openxmlformats.org/markup-compatibility/2006" xmlns:a14="http://schemas.microsoft.com/office/drawing/2010/main">
      <mc:Choice Requires="a14">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p>
          </xdr:txBody>
        </xdr:sp>
      </mc:Choice>
      <mc:Fallback xmlns="">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71</xdr:row>
      <xdr:rowOff>114300</xdr:rowOff>
    </xdr:from>
    <xdr:ext cx="1736053" cy="182294"/>
    <mc:AlternateContent xmlns:mc="http://schemas.openxmlformats.org/markup-compatibility/2006" xmlns:a14="http://schemas.microsoft.com/office/drawing/2010/main">
      <mc:Choice Requires="a14">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 </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  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  𝑙 𝑎 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161925</xdr:colOff>
      <xdr:row>69</xdr:row>
      <xdr:rowOff>104775</xdr:rowOff>
    </xdr:from>
    <xdr:ext cx="745396" cy="182614"/>
    <mc:AlternateContent xmlns:mc="http://schemas.openxmlformats.org/markup-compatibility/2006" xmlns:a14="http://schemas.microsoft.com/office/drawing/2010/main">
      <mc:Choice Requires="a14">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twoCellAnchor editAs="oneCell">
    <xdr:from>
      <xdr:col>1</xdr:col>
      <xdr:colOff>1095375</xdr:colOff>
      <xdr:row>1</xdr:row>
      <xdr:rowOff>28575</xdr:rowOff>
    </xdr:from>
    <xdr:to>
      <xdr:col>1</xdr:col>
      <xdr:colOff>1837175</xdr:colOff>
      <xdr:row>5</xdr:row>
      <xdr:rowOff>12700</xdr:rowOff>
    </xdr:to>
    <xdr:pic>
      <xdr:nvPicPr>
        <xdr:cNvPr id="22" name="Imagen 21"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7325" y="219075"/>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161925</xdr:colOff>
      <xdr:row>39</xdr:row>
      <xdr:rowOff>47625</xdr:rowOff>
    </xdr:from>
    <xdr:ext cx="1562099" cy="328488"/>
    <mc:AlternateContent xmlns:mc="http://schemas.openxmlformats.org/markup-compatibility/2006" xmlns:a14="http://schemas.microsoft.com/office/drawing/2010/main">
      <mc:Choice Requires="a14">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39</xdr:row>
      <xdr:rowOff>523875</xdr:rowOff>
    </xdr:from>
    <xdr:ext cx="1537729" cy="326500"/>
    <mc:AlternateContent xmlns:mc="http://schemas.openxmlformats.org/markup-compatibility/2006" xmlns:a14="http://schemas.microsoft.com/office/drawing/2010/main">
      <mc:Choice Requires="a14">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−1=</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r>
                      <a:rPr lang="es-MX" sz="1100" b="0" i="1">
                        <a:latin typeface="Cambria Math" panose="02040503050406030204" pitchFamily="18" charset="0"/>
                        <a:ea typeface="Cambria Math" panose="02040503050406030204" pitchFamily="18" charset="0"/>
                      </a:rPr>
                      <m:t>−1</m:t>
                    </m:r>
                  </m:oMath>
                </m:oMathPara>
              </a14:m>
              <a:endParaRPr lang="es-CO" sz="1100"/>
            </a:p>
          </xdr:txBody>
        </xdr:sp>
      </mc:Choice>
      <mc:Fallback xmlns="">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𝑁−1</a:t>
              </a:r>
              <a:r>
                <a:rPr lang="es-MX" sz="1100" b="0" i="0">
                  <a:latin typeface="Cambria Math" panose="02040503050406030204" pitchFamily="18" charset="0"/>
                  <a:ea typeface="Cambria Math" panose="02040503050406030204" pitchFamily="18" charset="0"/>
                </a:rPr>
                <a:t>=(𝐿_𝑝 𝑠𝑒𝑛𝜃+𝑤)/(𝑒+𝑤)−1</a:t>
              </a:r>
              <a:endParaRPr lang="es-CO" sz="1100"/>
            </a:p>
          </xdr:txBody>
        </xdr:sp>
      </mc:Fallback>
    </mc:AlternateContent>
    <xdr:clientData/>
  </xdr:oneCellAnchor>
  <xdr:oneCellAnchor>
    <xdr:from>
      <xdr:col>6</xdr:col>
      <xdr:colOff>85726</xdr:colOff>
      <xdr:row>41</xdr:row>
      <xdr:rowOff>85725</xdr:rowOff>
    </xdr:from>
    <xdr:ext cx="857250" cy="409575"/>
    <mc:AlternateContent xmlns:mc="http://schemas.openxmlformats.org/markup-compatibility/2006" xmlns:a14="http://schemas.microsoft.com/office/drawing/2010/main">
      <mc:Choice Requires="a14">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𝑁.𝑒.𝑎</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oneCellAnchor>
    <xdr:from>
      <xdr:col>6</xdr:col>
      <xdr:colOff>171450</xdr:colOff>
      <xdr:row>65</xdr:row>
      <xdr:rowOff>104775</xdr:rowOff>
    </xdr:from>
    <xdr:ext cx="1045286" cy="326500"/>
    <mc:AlternateContent xmlns:mc="http://schemas.openxmlformats.org/markup-compatibility/2006" xmlns:a14="http://schemas.microsoft.com/office/drawing/2010/main">
      <mc:Choice Requires="a14">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oMath>
                </m:oMathPara>
              </a14:m>
              <a:endParaRPr lang="es-CO" sz="1100"/>
            </a:p>
          </xdr:txBody>
        </xdr:sp>
      </mc:Choice>
      <mc:Fallback xmlns="">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=(𝐿_𝑝 𝑠𝑒𝑛𝜃+𝑤)/(𝑒+𝑤)</a:t>
              </a:r>
              <a:endParaRPr lang="es-CO"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xdr:row>
      <xdr:rowOff>19050</xdr:rowOff>
    </xdr:from>
    <xdr:to>
      <xdr:col>5</xdr:col>
      <xdr:colOff>741800</xdr:colOff>
      <xdr:row>4</xdr:row>
      <xdr:rowOff>136525</xdr:rowOff>
    </xdr:to>
    <xdr:pic>
      <xdr:nvPicPr>
        <xdr:cNvPr id="30" name="Imagen 29"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8175"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26</xdr:col>
      <xdr:colOff>0</xdr:colOff>
      <xdr:row>181</xdr:row>
      <xdr:rowOff>28574</xdr:rowOff>
    </xdr:from>
    <xdr:ext cx="742951" cy="390525"/>
    <mc:AlternateContent xmlns:mc="http://schemas.openxmlformats.org/markup-compatibility/2006" xmlns:a14="http://schemas.microsoft.com/office/drawing/2010/main">
      <mc:Choice Requires="a14">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8</xdr:col>
      <xdr:colOff>9525</xdr:colOff>
      <xdr:row>85</xdr:row>
      <xdr:rowOff>171450</xdr:rowOff>
    </xdr:from>
    <xdr:ext cx="967509" cy="195631"/>
    <mc:AlternateContent xmlns:mc="http://schemas.openxmlformats.org/markup-compatibility/2006" xmlns:a14="http://schemas.microsoft.com/office/drawing/2010/main">
      <mc:Choice Requires="a14">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9</xdr:col>
      <xdr:colOff>438150</xdr:colOff>
      <xdr:row>84</xdr:row>
      <xdr:rowOff>57150</xdr:rowOff>
    </xdr:from>
    <xdr:ext cx="185627" cy="352661"/>
    <mc:AlternateContent xmlns:mc="http://schemas.openxmlformats.org/markup-compatibility/2006" xmlns:a14="http://schemas.microsoft.com/office/drawing/2010/main">
      <mc:Choice Requires="a14">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8</xdr:col>
      <xdr:colOff>552450</xdr:colOff>
      <xdr:row>96</xdr:row>
      <xdr:rowOff>152400</xdr:rowOff>
    </xdr:from>
    <xdr:ext cx="383503" cy="409920"/>
    <mc:AlternateContent xmlns:mc="http://schemas.openxmlformats.org/markup-compatibility/2006" xmlns:a14="http://schemas.microsoft.com/office/drawing/2010/main">
      <mc:Choice Requires="a14">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latin typeface="Cambria Math" panose="02040503050406030204" pitchFamily="18" charset="0"/>
                          </a:rPr>
                        </m:ctrlPr>
                      </m:naryPr>
                      <m:sub/>
                      <m:sup/>
                      <m:e>
                        <m:f>
                          <m:fPr>
                            <m:ctrlPr>
                              <a:rPr lang="es-CO" sz="110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Sup>
                              <m:sSubSupPr>
                                <m:ctrlPr>
                                  <a:rPr lang="es-CO" sz="1100" i="1">
                                    <a:solidFill>
                                      <a:schemeClr val="tx1"/>
                                    </a:solidFill>
                                    <a:effectLst/>
                                    <a:latin typeface="Cambria Math" panose="02040503050406030204" pitchFamily="18" charset="0"/>
                                    <a:ea typeface="+mn-ea"/>
                                    <a:cs typeface="+mn-cs"/>
                                  </a:rPr>
                                </m:ctrlPr>
                              </m:sSubSup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up>
                                <m:r>
                                  <a:rPr lang="es-MX" sz="1100" b="0" i="0">
                                    <a:solidFill>
                                      <a:schemeClr val="tx1"/>
                                    </a:solidFill>
                                    <a:effectLst/>
                                    <a:latin typeface="Cambria Math" panose="02040503050406030204" pitchFamily="18" charset="0"/>
                                    <a:ea typeface="+mn-ea"/>
                                    <a:cs typeface="+mn-cs"/>
                                  </a:rPr>
                                  <m:t>2</m:t>
                                </m:r>
                              </m:sup>
                            </m:sSubSup>
                          </m:den>
                        </m:f>
                      </m:e>
                    </m:nary>
                  </m:oMath>
                </m:oMathPara>
              </a14:m>
              <a:endParaRPr lang="es-CO" sz="1100" i="0"/>
            </a:p>
          </xdr:txBody>
        </xdr:sp>
      </mc:Choice>
      <mc:Fallback xmlns="">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g^2 </a:t>
              </a:r>
              <a:r>
                <a:rPr lang="es-CO" sz="1100" b="0" i="0">
                  <a:solidFill>
                    <a:schemeClr val="tx1"/>
                  </a:solidFill>
                  <a:effectLst/>
                  <a:latin typeface="Cambria Math" panose="02040503050406030204" pitchFamily="18" charset="0"/>
                  <a:ea typeface="+mn-ea"/>
                  <a:cs typeface="+mn-cs"/>
                </a:rPr>
                <a:t>)</a:t>
              </a:r>
              <a:endParaRPr lang="es-CO" sz="1100" i="0"/>
            </a:p>
          </xdr:txBody>
        </xdr:sp>
      </mc:Fallback>
    </mc:AlternateContent>
    <xdr:clientData/>
  </xdr:oneCellAnchor>
  <xdr:oneCellAnchor>
    <xdr:from>
      <xdr:col>10</xdr:col>
      <xdr:colOff>342900</xdr:colOff>
      <xdr:row>84</xdr:row>
      <xdr:rowOff>85725</xdr:rowOff>
    </xdr:from>
    <xdr:ext cx="2096536" cy="458395"/>
    <mc:AlternateContent xmlns:mc="http://schemas.openxmlformats.org/markup-compatibility/2006" xmlns:a14="http://schemas.microsoft.com/office/drawing/2010/main">
      <mc:Choice Requires="a14">
        <xdr:sp macro="" textlink="">
          <xdr:nvSpPr>
            <xdr:cNvPr id="13" name="CuadroTexto 12"/>
            <xdr:cNvSpPr txBox="1"/>
          </xdr:nvSpPr>
          <xdr:spPr>
            <a:xfrm>
              <a:off x="6460067" y="17654058"/>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𝒌</m:t>
                    </m:r>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e>
                            </m:d>
                          </m:e>
                          <m:sup>
                            <m:r>
                              <a:rPr lang="es-MX" sz="1100" b="1" i="1">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13" name="CuadroTexto 12"/>
            <xdr:cNvSpPr txBox="1"/>
          </xdr:nvSpPr>
          <xdr:spPr>
            <a:xfrm>
              <a:off x="6460067" y="17654058"/>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𝒌 𝒗 (𝟏−𝜺)^𝟐/</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16</xdr:col>
      <xdr:colOff>285750</xdr:colOff>
      <xdr:row>84</xdr:row>
      <xdr:rowOff>76200</xdr:rowOff>
    </xdr:from>
    <xdr:ext cx="282641" cy="342594"/>
    <mc:AlternateContent xmlns:mc="http://schemas.openxmlformats.org/markup-compatibility/2006" xmlns:a14="http://schemas.microsoft.com/office/drawing/2010/main">
      <mc:Choice Requires="a14">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15</xdr:col>
      <xdr:colOff>342900</xdr:colOff>
      <xdr:row>96</xdr:row>
      <xdr:rowOff>142875</xdr:rowOff>
    </xdr:from>
    <xdr:ext cx="482633" cy="409920"/>
    <mc:AlternateContent xmlns:mc="http://schemas.openxmlformats.org/markup-compatibility/2006" xmlns:a14="http://schemas.microsoft.com/office/drawing/2010/main">
      <mc:Choice Requires="a14">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0" i="1">
                            <a:latin typeface="Cambria Math" panose="02040503050406030204" pitchFamily="18" charset="0"/>
                          </a:rPr>
                        </m:ctrlPr>
                      </m:naryPr>
                      <m:sub/>
                      <m:sup/>
                      <m:e>
                        <m:r>
                          <a:rPr lang="es-MX" sz="1100" b="0" i="1">
                            <a:latin typeface="Cambria Math" panose="02040503050406030204" pitchFamily="18" charset="0"/>
                          </a:rPr>
                          <m:t>𝑓</m:t>
                        </m:r>
                        <m:f>
                          <m:fPr>
                            <m:ctrlPr>
                              <a:rPr lang="es-CO" sz="1100" b="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
                              <m:sSubPr>
                                <m:ctrlPr>
                                  <a:rPr lang="es-CO"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Sub>
                          </m:den>
                        </m:f>
                      </m:e>
                    </m:nary>
                  </m:oMath>
                </m:oMathPara>
              </a14:m>
              <a:endParaRPr lang="es-CO" sz="1100" b="0" i="0"/>
            </a:p>
          </xdr:txBody>
        </xdr:sp>
      </mc:Choice>
      <mc:Fallback xmlns="">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a:t>
              </a:r>
              <a:r>
                <a:rPr lang="es-MX" sz="1100" b="0" i="0">
                  <a:latin typeface="Cambria Math" panose="02040503050406030204" pitchFamily="18" charset="0"/>
                </a:rPr>
                <a:t>𝑓</a:t>
              </a:r>
              <a:r>
                <a:rPr lang="es-MX" sz="1100" b="0" i="0">
                  <a:solidFill>
                    <a:schemeClr val="tx1"/>
                  </a:solidFill>
                  <a:effectLst/>
                  <a:latin typeface="Cambria Math" panose="02040503050406030204" pitchFamily="18" charset="0"/>
                  <a:ea typeface="+mn-ea"/>
                  <a:cs typeface="+mn-cs"/>
                </a:rPr>
                <a:t> 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 </a:t>
              </a:r>
              <a:r>
                <a:rPr lang="es-CO" sz="1100" b="0" i="0">
                  <a:solidFill>
                    <a:schemeClr val="tx1"/>
                  </a:solidFill>
                  <a:effectLst/>
                  <a:latin typeface="Cambria Math" panose="02040503050406030204" pitchFamily="18" charset="0"/>
                  <a:ea typeface="+mn-ea"/>
                  <a:cs typeface="+mn-cs"/>
                </a:rPr>
                <a:t>〗</a:t>
              </a:r>
              <a:endParaRPr lang="es-CO" sz="1100" b="0" i="0"/>
            </a:p>
          </xdr:txBody>
        </xdr:sp>
      </mc:Fallback>
    </mc:AlternateContent>
    <xdr:clientData/>
  </xdr:oneCellAnchor>
  <xdr:oneCellAnchor>
    <xdr:from>
      <xdr:col>17</xdr:col>
      <xdr:colOff>114300</xdr:colOff>
      <xdr:row>84</xdr:row>
      <xdr:rowOff>142875</xdr:rowOff>
    </xdr:from>
    <xdr:ext cx="1623072" cy="428387"/>
    <mc:AlternateContent xmlns:mc="http://schemas.openxmlformats.org/markup-compatibility/2006" xmlns:a14="http://schemas.microsoft.com/office/drawing/2010/main">
      <mc:Choice Requires="a14">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num>
                      <m:den>
                        <m:r>
                          <a:rPr lang="es-MX" sz="1100" b="1" i="1">
                            <a:solidFill>
                              <a:schemeClr val="tx1"/>
                            </a:solidFill>
                            <a:effectLst/>
                            <a:latin typeface="Cambria Math" panose="02040503050406030204" pitchFamily="18" charset="0"/>
                            <a:ea typeface="+mn-ea"/>
                            <a:cs typeface="+mn-cs"/>
                          </a:rPr>
                          <m:t>∅</m:t>
                        </m:r>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1">
                            <a:solidFill>
                              <a:schemeClr val="tx1"/>
                            </a:solidFill>
                            <a:effectLst/>
                            <a:latin typeface="Cambria Math" panose="02040503050406030204" pitchFamily="18" charset="0"/>
                            <a:ea typeface="+mn-ea"/>
                            <a:cs typeface="+mn-cs"/>
                          </a:rPr>
                          <m:t>𝟏</m:t>
                        </m:r>
                        <m:r>
                          <a:rPr lang="es-MX" sz="1100" b="1" i="1">
                            <a:solidFill>
                              <a:schemeClr val="tx1"/>
                            </a:solidFill>
                            <a:effectLst/>
                            <a:latin typeface="Cambria Math" panose="02040503050406030204" pitchFamily="18" charset="0"/>
                            <a:ea typeface="+mn-ea"/>
                            <a:cs typeface="+mn-cs"/>
                          </a:rPr>
                          <m:t>−</m:t>
                        </m:r>
                        <m:r>
                          <a:rPr lang="es-MX" sz="1100" b="1" i="1">
                            <a:solidFill>
                              <a:schemeClr val="tx1"/>
                            </a:solidFill>
                            <a:effectLst/>
                            <a:latin typeface="Cambria Math" panose="02040503050406030204" pitchFamily="18" charset="0"/>
                            <a:ea typeface="+mn-ea"/>
                            <a:cs typeface="+mn-cs"/>
                          </a:rPr>
                          <m:t>𝜺</m:t>
                        </m:r>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1">
                            <a:solidFill>
                              <a:schemeClr val="tx1"/>
                            </a:solidFill>
                            <a:effectLst/>
                            <a:latin typeface="Cambria Math" panose="02040503050406030204" pitchFamily="18" charset="0"/>
                            <a:ea typeface="+mn-ea"/>
                            <a:cs typeface="+mn-cs"/>
                          </a:rPr>
                          <m:t>𝒇</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𝒇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13</xdr:col>
      <xdr:colOff>28575</xdr:colOff>
      <xdr:row>84</xdr:row>
      <xdr:rowOff>152400</xdr:rowOff>
    </xdr:from>
    <xdr:ext cx="770181" cy="322909"/>
    <mc:AlternateContent xmlns:mc="http://schemas.openxmlformats.org/markup-compatibility/2006" xmlns:a14="http://schemas.microsoft.com/office/drawing/2010/main">
      <mc:Choice Requires="a14">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𝐝</m:t>
                        </m:r>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 𝐯_𝐚  )/𝒗</a:t>
              </a:r>
              <a:endParaRPr lang="es-CO" sz="1100" b="1"/>
            </a:p>
          </xdr:txBody>
        </xdr:sp>
      </mc:Fallback>
    </mc:AlternateContent>
    <xdr:clientData/>
  </xdr:oneCellAnchor>
  <xdr:oneCellAnchor>
    <xdr:from>
      <xdr:col>14</xdr:col>
      <xdr:colOff>95250</xdr:colOff>
      <xdr:row>84</xdr:row>
      <xdr:rowOff>133350</xdr:rowOff>
    </xdr:from>
    <xdr:ext cx="1370696" cy="316882"/>
    <mc:AlternateContent xmlns:mc="http://schemas.openxmlformats.org/markup-compatibility/2006" xmlns:a14="http://schemas.microsoft.com/office/drawing/2010/main">
      <mc:Choice Requires="a14">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num>
                      <m:den>
                        <m:r>
                          <a:rPr lang="es-MX" sz="1100" b="1" i="1">
                            <a:latin typeface="Cambria Math" panose="02040503050406030204" pitchFamily="18" charset="0"/>
                            <a:ea typeface="Cambria Math" panose="02040503050406030204" pitchFamily="18" charset="0"/>
                          </a:rPr>
                          <m:t>𝑹</m:t>
                        </m:r>
                      </m:den>
                    </m:f>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𝟕𝟓</m:t>
                    </m:r>
                  </m:oMath>
                </m:oMathPara>
              </a14:m>
              <a:endParaRPr lang="es-CO" sz="1100" b="1"/>
            </a:p>
          </xdr:txBody>
        </xdr:sp>
      </mc:Choice>
      <mc:Fallback xmlns="">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a:t>
              </a:r>
              <a:r>
                <a:rPr lang="es-MX" sz="1100" b="1" i="0">
                  <a:latin typeface="Cambria Math" panose="02040503050406030204" pitchFamily="18" charset="0"/>
                  <a:ea typeface="Cambria Math" panose="02040503050406030204" pitchFamily="18" charset="0"/>
                </a:rPr>
                <a:t>=𝟏𝟓𝟎 (𝟏−𝜺)/𝑹+𝟏,𝟕𝟓</a:t>
              </a:r>
              <a:endParaRPr lang="es-CO" sz="1100" b="1"/>
            </a:p>
          </xdr:txBody>
        </xdr:sp>
      </mc:Fallback>
    </mc:AlternateContent>
    <xdr:clientData/>
  </xdr:oneCellAnchor>
  <xdr:oneCellAnchor>
    <xdr:from>
      <xdr:col>18</xdr:col>
      <xdr:colOff>209550</xdr:colOff>
      <xdr:row>84</xdr:row>
      <xdr:rowOff>85725</xdr:rowOff>
    </xdr:from>
    <xdr:ext cx="653256" cy="328808"/>
    <mc:AlternateContent xmlns:mc="http://schemas.openxmlformats.org/markup-compatibility/2006" xmlns:a14="http://schemas.microsoft.com/office/drawing/2010/main">
      <mc:Choice Requires="a14">
        <xdr:sp macro="" textlink="">
          <xdr:nvSpPr>
            <xdr:cNvPr id="19" name="CuadroTexto 18"/>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9" name="CuadroTexto 18"/>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=(𝐝_𝐠  𝐯_𝐚  )/𝒗</a:t>
              </a:r>
              <a:endParaRPr lang="es-CO" sz="1100" b="1"/>
            </a:p>
          </xdr:txBody>
        </xdr:sp>
      </mc:Fallback>
    </mc:AlternateContent>
    <xdr:clientData/>
  </xdr:oneCellAnchor>
  <xdr:oneCellAnchor>
    <xdr:from>
      <xdr:col>19</xdr:col>
      <xdr:colOff>47625</xdr:colOff>
      <xdr:row>84</xdr:row>
      <xdr:rowOff>123825</xdr:rowOff>
    </xdr:from>
    <xdr:ext cx="1464568" cy="319062"/>
    <mc:AlternateContent xmlns:mc="http://schemas.openxmlformats.org/markup-compatibility/2006" xmlns:a14="http://schemas.microsoft.com/office/drawing/2010/main">
      <mc:Choice Requires="a14">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20</xdr:col>
      <xdr:colOff>142876</xdr:colOff>
      <xdr:row>84</xdr:row>
      <xdr:rowOff>38100</xdr:rowOff>
    </xdr:from>
    <xdr:ext cx="466724" cy="372025"/>
    <mc:AlternateContent xmlns:mc="http://schemas.openxmlformats.org/markup-compatibility/2006" xmlns:a14="http://schemas.microsoft.com/office/drawing/2010/main">
      <mc:Choice Requires="a14">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96</xdr:row>
      <xdr:rowOff>161925</xdr:rowOff>
    </xdr:from>
    <xdr:ext cx="742951" cy="390525"/>
    <mc:AlternateContent xmlns:mc="http://schemas.openxmlformats.org/markup-compatibility/2006" xmlns:a14="http://schemas.microsoft.com/office/drawing/2010/main">
      <mc:Choice Requires="a14">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21</xdr:col>
      <xdr:colOff>104775</xdr:colOff>
      <xdr:row>84</xdr:row>
      <xdr:rowOff>85725</xdr:rowOff>
    </xdr:from>
    <xdr:ext cx="1702004" cy="428387"/>
    <mc:AlternateContent xmlns:mc="http://schemas.openxmlformats.org/markup-compatibility/2006" xmlns:a14="http://schemas.microsoft.com/office/drawing/2010/main">
      <mc:Choice Requires="a14">
        <xdr:sp macro="" textlink="">
          <xdr:nvSpPr>
            <xdr:cNvPr id="24" name="CuadroTexto 23"/>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1">
                            <a:solidFill>
                              <a:sysClr val="windowText" lastClr="000000"/>
                            </a:solidFill>
                            <a:latin typeface="Cambria Math" panose="02040503050406030204" pitchFamily="18" charset="0"/>
                          </a:rPr>
                          <m:t>𝒉</m:t>
                        </m:r>
                      </m:e>
                      <m:sub>
                        <m:r>
                          <a:rPr lang="es-MX" sz="1100" b="1" i="1">
                            <a:solidFill>
                              <a:sysClr val="windowText" lastClr="000000"/>
                            </a:solidFill>
                            <a:latin typeface="Cambria Math" panose="02040503050406030204" pitchFamily="18" charset="0"/>
                          </a:rPr>
                          <m:t>𝑳</m:t>
                        </m:r>
                      </m:sub>
                    </m:sSub>
                    <m:r>
                      <a:rPr lang="es-CO"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𝟎</m:t>
                    </m:r>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𝟏𝟕𝟖</m:t>
                    </m:r>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1">
                            <a:solidFill>
                              <a:sysClr val="windowText" lastClr="000000"/>
                            </a:solidFill>
                            <a:latin typeface="Cambria Math" panose="02040503050406030204" pitchFamily="18" charset="0"/>
                            <a:ea typeface="Cambria Math" panose="02040503050406030204" pitchFamily="18" charset="0"/>
                          </a:rPr>
                          <m:t>𝑳</m:t>
                        </m:r>
                      </m:num>
                      <m:den>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1">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𝒆</m:t>
                            </m:r>
                          </m:e>
                          <m:sup>
                            <m:r>
                              <a:rPr lang="es-MX" sz="1100" b="1" i="1">
                                <a:solidFill>
                                  <a:sysClr val="windowText" lastClr="000000"/>
                                </a:solidFill>
                                <a:latin typeface="Cambria Math" panose="02040503050406030204" pitchFamily="18" charset="0"/>
                                <a:ea typeface="Cambria Math" panose="02040503050406030204" pitchFamily="18" charset="0"/>
                              </a:rPr>
                              <m:t>𝟒</m:t>
                            </m:r>
                          </m:sup>
                        </m:sSup>
                      </m:den>
                    </m:f>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𝜶</m:t>
                        </m:r>
                      </m:num>
                      <m:den>
                        <m:r>
                          <a:rPr lang="es-MX" sz="1100" b="1" i="1">
                            <a:solidFill>
                              <a:sysClr val="windowText" lastClr="000000"/>
                            </a:solidFill>
                            <a:latin typeface="Cambria Math" panose="02040503050406030204" pitchFamily="18" charset="0"/>
                            <a:ea typeface="Cambria Math" panose="02040503050406030204" pitchFamily="18" charset="0"/>
                          </a:rPr>
                          <m:t>𝜷</m:t>
                        </m:r>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24" name="CuadroTexto 23"/>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𝒉</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𝑳</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𝟎,𝟏𝟕𝟖  (𝐯_𝐚^𝟐  𝑳)/(𝐠 𝒆^𝟒 )   𝜶/𝜷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a:p>
          </xdr:txBody>
        </xdr:sp>
      </mc:Fallback>
    </mc:AlternateContent>
    <xdr:clientData/>
  </xdr:oneCellAnchor>
  <xdr:twoCellAnchor editAs="oneCell">
    <xdr:from>
      <xdr:col>0</xdr:col>
      <xdr:colOff>0</xdr:colOff>
      <xdr:row>4</xdr:row>
      <xdr:rowOff>104775</xdr:rowOff>
    </xdr:from>
    <xdr:to>
      <xdr:col>0</xdr:col>
      <xdr:colOff>304800</xdr:colOff>
      <xdr:row>5</xdr:row>
      <xdr:rowOff>200025</xdr:rowOff>
    </xdr:to>
    <xdr:sp macro="" textlink="">
      <xdr:nvSpPr>
        <xdr:cNvPr id="26" name="AutoShape 1" descr="Inicio de Sesion"/>
        <xdr:cNvSpPr>
          <a:spLocks noChangeAspect="1" noChangeArrowheads="1"/>
        </xdr:cNvSpPr>
      </xdr:nvSpPr>
      <xdr:spPr bwMode="auto">
        <a:xfrm>
          <a:off x="355282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2</xdr:row>
      <xdr:rowOff>0</xdr:rowOff>
    </xdr:from>
    <xdr:ext cx="304800" cy="304800"/>
    <xdr:sp macro="" textlink="">
      <xdr:nvSpPr>
        <xdr:cNvPr id="28"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xdr:row>
      <xdr:rowOff>0</xdr:rowOff>
    </xdr:from>
    <xdr:ext cx="304800" cy="304800"/>
    <xdr:sp macro="" textlink="">
      <xdr:nvSpPr>
        <xdr:cNvPr id="29"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352425</xdr:colOff>
      <xdr:row>169</xdr:row>
      <xdr:rowOff>0</xdr:rowOff>
    </xdr:from>
    <xdr:ext cx="65" cy="172227"/>
    <xdr:sp macro="" textlink="">
      <xdr:nvSpPr>
        <xdr:cNvPr id="27" name="CuadroTexto 26"/>
        <xdr:cNvSpPr txBox="1"/>
      </xdr:nvSpPr>
      <xdr:spPr>
        <a:xfrm>
          <a:off x="6553200" y="1219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7</xdr:col>
      <xdr:colOff>228601</xdr:colOff>
      <xdr:row>52</xdr:row>
      <xdr:rowOff>85725</xdr:rowOff>
    </xdr:from>
    <xdr:ext cx="2562224" cy="380361"/>
    <mc:AlternateContent xmlns:mc="http://schemas.openxmlformats.org/markup-compatibility/2006" xmlns:a14="http://schemas.microsoft.com/office/drawing/2010/main">
      <mc:Choice Requires="a14">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(d_10)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352425</xdr:colOff>
      <xdr:row>62</xdr:row>
      <xdr:rowOff>38100</xdr:rowOff>
    </xdr:from>
    <xdr:ext cx="65" cy="172227"/>
    <xdr:sp macro="" textlink="">
      <xdr:nvSpPr>
        <xdr:cNvPr id="38" name="CuadroTexto 37"/>
        <xdr:cNvSpPr txBox="1"/>
      </xdr:nvSpPr>
      <xdr:spPr>
        <a:xfrm>
          <a:off x="6460331" y="306847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10</xdr:col>
      <xdr:colOff>95250</xdr:colOff>
      <xdr:row>54</xdr:row>
      <xdr:rowOff>0</xdr:rowOff>
    </xdr:from>
    <xdr:ext cx="820033" cy="183384"/>
    <mc:AlternateContent xmlns:mc="http://schemas.openxmlformats.org/markup-compatibility/2006" xmlns:a14="http://schemas.microsoft.com/office/drawing/2010/main">
      <mc:Choice Requires="a14">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d_10=〖10〗^log⁡𝑥 </a:t>
              </a:r>
              <a:endParaRPr lang="es-CO" sz="1100"/>
            </a:p>
          </xdr:txBody>
        </xdr:sp>
      </mc:Fallback>
    </mc:AlternateContent>
    <xdr:clientData/>
  </xdr:oneCellAnchor>
  <xdr:oneCellAnchor>
    <xdr:from>
      <xdr:col>7</xdr:col>
      <xdr:colOff>228601</xdr:colOff>
      <xdr:row>59</xdr:row>
      <xdr:rowOff>85725</xdr:rowOff>
    </xdr:from>
    <xdr:ext cx="2562224" cy="380361"/>
    <mc:AlternateContent xmlns:mc="http://schemas.openxmlformats.org/markup-compatibility/2006" xmlns:a14="http://schemas.microsoft.com/office/drawing/2010/main">
      <mc:Choice Requires="a14">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(d_60)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95250</xdr:colOff>
      <xdr:row>61</xdr:row>
      <xdr:rowOff>0</xdr:rowOff>
    </xdr:from>
    <xdr:ext cx="819776" cy="183384"/>
    <mc:AlternateContent xmlns:mc="http://schemas.openxmlformats.org/markup-compatibility/2006" xmlns:a14="http://schemas.microsoft.com/office/drawing/2010/main">
      <mc:Choice Requires="a14">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d_60=〖10〗^log⁡𝑥 </a:t>
              </a:r>
              <a:endParaRPr lang="es-CO" sz="1100"/>
            </a:p>
          </xdr:txBody>
        </xdr:sp>
      </mc:Fallback>
    </mc:AlternateContent>
    <xdr:clientData/>
  </xdr:oneCellAnchor>
  <xdr:oneCellAnchor>
    <xdr:from>
      <xdr:col>6</xdr:col>
      <xdr:colOff>542925</xdr:colOff>
      <xdr:row>67</xdr:row>
      <xdr:rowOff>11903</xdr:rowOff>
    </xdr:from>
    <xdr:ext cx="589584" cy="393022"/>
    <mc:AlternateContent xmlns:mc="http://schemas.openxmlformats.org/markup-compatibility/2006" xmlns:a14="http://schemas.microsoft.com/office/drawing/2010/main">
      <mc:Choice Requires="a14">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CU</m:t>
                    </m:r>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den>
                    </m:f>
                  </m:oMath>
                </m:oMathPara>
              </a14:m>
              <a:endParaRPr lang="es-CO" sz="1100" i="0"/>
            </a:p>
          </xdr:txBody>
        </xdr:sp>
      </mc:Choice>
      <mc:Fallback xmlns="">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CU=d_60/d_10 </a:t>
              </a:r>
              <a:endParaRPr lang="es-CO" sz="1100" i="0"/>
            </a:p>
          </xdr:txBody>
        </xdr:sp>
      </mc:Fallback>
    </mc:AlternateContent>
    <xdr:clientData/>
  </xdr:oneCellAnchor>
  <xdr:oneCellAnchor>
    <xdr:from>
      <xdr:col>11</xdr:col>
      <xdr:colOff>779727</xdr:colOff>
      <xdr:row>164</xdr:row>
      <xdr:rowOff>40215</xdr:rowOff>
    </xdr:from>
    <xdr:ext cx="1390765" cy="172227"/>
    <mc:AlternateContent xmlns:mc="http://schemas.openxmlformats.org/markup-compatibility/2006" xmlns:a14="http://schemas.microsoft.com/office/drawing/2010/main">
      <mc:Choice Requires="a14">
        <xdr:sp macro="" textlink="">
          <xdr:nvSpPr>
            <xdr:cNvPr id="4" name="CuadroTexto 3"/>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1</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1−</m:t>
                        </m:r>
                        <m:r>
                          <a:rPr lang="es-MX" sz="1100" b="0" i="1">
                            <a:latin typeface="Cambria Math" panose="02040503050406030204" pitchFamily="18" charset="0"/>
                            <a:ea typeface="Cambria Math" panose="02040503050406030204" pitchFamily="18" charset="0"/>
                          </a:rPr>
                          <m:t>𝑒</m:t>
                        </m:r>
                      </m:e>
                    </m:d>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𝑆</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−1</m:t>
                        </m:r>
                      </m:e>
                    </m:d>
                  </m:oMath>
                </m:oMathPara>
              </a14:m>
              <a:endParaRPr lang="es-CO" sz="1100"/>
            </a:p>
          </xdr:txBody>
        </xdr:sp>
      </mc:Choice>
      <mc:Fallback xmlns="">
        <xdr:sp macro="" textlink="">
          <xdr:nvSpPr>
            <xdr:cNvPr id="4" name="CuadroTexto 3"/>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1</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𝐿(1−𝑒)  (𝑆_𝑠−1)</a:t>
              </a:r>
              <a:endParaRPr lang="es-CO" sz="1100"/>
            </a:p>
          </xdr:txBody>
        </xdr:sp>
      </mc:Fallback>
    </mc:AlternateContent>
    <xdr:clientData/>
  </xdr:oneCellAnchor>
  <xdr:oneCellAnchor>
    <xdr:from>
      <xdr:col>10</xdr:col>
      <xdr:colOff>781050</xdr:colOff>
      <xdr:row>135</xdr:row>
      <xdr:rowOff>29826</xdr:rowOff>
    </xdr:from>
    <xdr:ext cx="1452033" cy="172227"/>
    <mc:AlternateContent xmlns:mc="http://schemas.openxmlformats.org/markup-compatibility/2006" xmlns:a14="http://schemas.microsoft.com/office/drawing/2010/main">
      <mc:Choice Requires="a14">
        <xdr:sp macro="" textlink="">
          <xdr:nvSpPr>
            <xdr:cNvPr id="3" name="CuadroTexto 2"/>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CU</m:t>
                    </m:r>
                  </m:oMath>
                </m:oMathPara>
              </a14:m>
              <a:endParaRPr lang="es-CO" sz="1100" i="0"/>
            </a:p>
          </xdr:txBody>
        </xdr:sp>
      </mc:Choice>
      <mc:Fallback xmlns="">
        <xdr:sp macro="" textlink="">
          <xdr:nvSpPr>
            <xdr:cNvPr id="3" name="CuadroTexto 2"/>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D</a:t>
              </a:r>
              <a:r>
                <a:rPr lang="es-CO" sz="1100" b="0" i="0">
                  <a:latin typeface="Cambria Math" panose="02040503050406030204" pitchFamily="18" charset="0"/>
                </a:rPr>
                <a:t>_</a:t>
              </a:r>
              <a:r>
                <a:rPr lang="es-MX" sz="1100" b="0" i="0">
                  <a:latin typeface="Cambria Math" panose="02040503050406030204" pitchFamily="18" charset="0"/>
                </a:rPr>
                <a:t>60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10∙CU</a:t>
              </a:r>
              <a:endParaRPr lang="es-CO" sz="1100" i="0"/>
            </a:p>
          </xdr:txBody>
        </xdr:sp>
      </mc:Fallback>
    </mc:AlternateContent>
    <xdr:clientData/>
  </xdr:oneCellAnchor>
  <xdr:oneCellAnchor>
    <xdr:from>
      <xdr:col>11</xdr:col>
      <xdr:colOff>157595</xdr:colOff>
      <xdr:row>136</xdr:row>
      <xdr:rowOff>17318</xdr:rowOff>
    </xdr:from>
    <xdr:ext cx="1643495" cy="190501"/>
    <mc:AlternateContent xmlns:mc="http://schemas.openxmlformats.org/markup-compatibility/2006" xmlns:a14="http://schemas.microsoft.com/office/drawing/2010/main">
      <mc:Choice Requires="a14">
        <xdr:sp macro="" textlink="">
          <xdr:nvSpPr>
            <xdr:cNvPr id="5" name="CuadroTexto 4"/>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m:t>
                      </m:r>
                      <m:r>
                        <a:rPr lang="es-MX" sz="1100" b="0" i="0">
                          <a:latin typeface="Cambria Math" panose="02040503050406030204" pitchFamily="18" charset="0"/>
                        </a:rPr>
                        <m:t>20</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10</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oMath>
              </a14:m>
              <a:r>
                <a:rPr lang="es-CO" sz="1100" i="0"/>
                <a:t> ; </a:t>
              </a:r>
              <a14:m>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D</m:t>
                      </m:r>
                    </m:e>
                    <m:sub>
                      <m:r>
                        <a:rPr lang="es-MX" sz="1100" b="0" i="0">
                          <a:solidFill>
                            <a:schemeClr val="tx1"/>
                          </a:solidFill>
                          <a:effectLst/>
                          <a:latin typeface="Cambria Math" panose="02040503050406030204" pitchFamily="18" charset="0"/>
                          <a:ea typeface="+mn-ea"/>
                          <a:cs typeface="+mn-cs"/>
                        </a:rPr>
                        <m:t>60</m:t>
                      </m:r>
                    </m:sub>
                  </m:sSub>
                  <m:d>
                    <m:dPr>
                      <m:begChr m:val="["/>
                      <m:endChr m:val="]"/>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mm</m:t>
                      </m:r>
                    </m:e>
                  </m:d>
                </m:oMath>
              </a14:m>
              <a:endParaRPr lang="es-CO" sz="1100" i="0"/>
            </a:p>
          </xdr:txBody>
        </xdr:sp>
      </mc:Choice>
      <mc:Fallback xmlns="">
        <xdr:sp macro="" textlink="">
          <xdr:nvSpPr>
            <xdr:cNvPr id="5" name="CuadroTexto 4"/>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t20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10∙D_60</a:t>
              </a:r>
              <a:r>
                <a:rPr lang="es-CO" sz="1100" i="0"/>
                <a:t> ; </a:t>
              </a:r>
              <a:r>
                <a:rPr lang="es-MX"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D〗_60</a:t>
              </a:r>
              <a:r>
                <a:rPr lang="es-MX" sz="1100" b="0" i="0">
                  <a:solidFill>
                    <a:schemeClr val="tx1"/>
                  </a:solidFill>
                  <a:effectLst/>
                  <a:latin typeface="Cambria Math" panose="02040503050406030204" pitchFamily="18" charset="0"/>
                  <a:ea typeface="+mn-ea"/>
                  <a:cs typeface="+mn-cs"/>
                </a:rPr>
                <a:t> [mm]</a:t>
              </a:r>
              <a:endParaRPr lang="es-CO" sz="1100" i="0"/>
            </a:p>
          </xdr:txBody>
        </xdr:sp>
      </mc:Fallback>
    </mc:AlternateContent>
    <xdr:clientData/>
  </xdr:oneCellAnchor>
  <xdr:oneCellAnchor>
    <xdr:from>
      <xdr:col>11</xdr:col>
      <xdr:colOff>114301</xdr:colOff>
      <xdr:row>137</xdr:row>
      <xdr:rowOff>39831</xdr:rowOff>
    </xdr:from>
    <xdr:ext cx="1568827" cy="182166"/>
    <mc:AlternateContent xmlns:mc="http://schemas.openxmlformats.org/markup-compatibility/2006" xmlns:a14="http://schemas.microsoft.com/office/drawing/2010/main">
      <mc:Choice Requires="a14">
        <xdr:sp macro="" textlink="">
          <xdr:nvSpPr>
            <xdr:cNvPr id="6" name="CuadroTexto 5"/>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m:t>
                        </m:r>
                        <m:r>
                          <a:rPr lang="es-MX" sz="1100" b="0" i="0">
                            <a:latin typeface="Cambria Math" panose="02040503050406030204" pitchFamily="18" charset="0"/>
                            <a:ea typeface="Cambria Math" panose="02040503050406030204" pitchFamily="18" charset="0"/>
                          </a:rPr>
                          <m:t>20</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CO" sz="1100" i="0">
                            <a:latin typeface="Cambria Math" panose="02040503050406030204" pitchFamily="18" charset="0"/>
                            <a:ea typeface="Cambria Math" panose="02040503050406030204" pitchFamily="18" charset="0"/>
                          </a:rPr>
                          <m:t>μ</m:t>
                        </m:r>
                      </m:e>
                      <m:sup>
                        <m:r>
                          <a:rPr lang="es-MX" sz="1100" b="0" i="0">
                            <a:latin typeface="Cambria Math" panose="02040503050406030204" pitchFamily="18" charset="0"/>
                            <a:ea typeface="Cambria Math" panose="02040503050406030204" pitchFamily="18" charset="0"/>
                          </a:rPr>
                          <m:t>−1/3</m:t>
                        </m:r>
                      </m:sup>
                    </m:sSup>
                    <m:r>
                      <a:rPr lang="es-MX" sz="1100" b="0" i="0">
                        <a:latin typeface="Cambria Math" panose="02040503050406030204" pitchFamily="18" charset="0"/>
                        <a:ea typeface="Cambria Math" panose="02040503050406030204" pitchFamily="18" charset="0"/>
                      </a:rPr>
                      <m:t> ;  </m:t>
                    </m:r>
                    <m:r>
                      <m:rPr>
                        <m:sty m:val="p"/>
                      </m:rPr>
                      <a:rPr lang="el-GR" sz="1100" b="0" i="0">
                        <a:latin typeface="Cambria Math" panose="02040503050406030204" pitchFamily="18" charset="0"/>
                        <a:ea typeface="Cambria Math" panose="02040503050406030204" pitchFamily="18" charset="0"/>
                      </a:rPr>
                      <m:t>μ</m:t>
                    </m:r>
                    <m:d>
                      <m:dPr>
                        <m:begChr m:val="["/>
                        <m:endChr m:val="]"/>
                        <m:ctrlPr>
                          <a:rPr lang="el-GR"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cP</m:t>
                        </m:r>
                      </m:e>
                    </m:d>
                  </m:oMath>
                </m:oMathPara>
              </a14:m>
              <a:endParaRPr lang="es-CO" sz="1100" i="0"/>
            </a:p>
          </xdr:txBody>
        </xdr:sp>
      </mc:Choice>
      <mc:Fallback xmlns="">
        <xdr:sp macro="" textlink="">
          <xdr:nvSpPr>
            <xdr:cNvPr id="6" name="CuadroTexto 5"/>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t20</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−1/3</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  ;  </a:t>
              </a:r>
              <a:r>
                <a:rPr lang="el-GR" sz="1100" b="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cP]</a:t>
              </a:r>
              <a:endParaRPr lang="es-CO" sz="1100" i="0"/>
            </a:p>
          </xdr:txBody>
        </xdr:sp>
      </mc:Fallback>
    </mc:AlternateContent>
    <xdr:clientData/>
  </xdr:oneCellAnchor>
  <xdr:oneCellAnchor>
    <xdr:from>
      <xdr:col>11</xdr:col>
      <xdr:colOff>140278</xdr:colOff>
      <xdr:row>139</xdr:row>
      <xdr:rowOff>39831</xdr:rowOff>
    </xdr:from>
    <xdr:ext cx="1628523" cy="172227"/>
    <mc:AlternateContent xmlns:mc="http://schemas.openxmlformats.org/markup-compatibility/2006" xmlns:a14="http://schemas.microsoft.com/office/drawing/2010/main">
      <mc:Choice Requires="a14">
        <xdr:sp macro="" textlink="">
          <xdr:nvSpPr>
            <xdr:cNvPr id="45" name="CuadroTexto 44"/>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bT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0,1</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oMath>
              </a14:m>
              <a:r>
                <a:rPr lang="es-CO" sz="1100" i="0"/>
                <a:t>     </a:t>
              </a:r>
              <a14:m>
                <m:oMath xmlns:m="http://schemas.openxmlformats.org/officeDocument/2006/math">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bT</m:t>
                      </m:r>
                    </m:sub>
                  </m:sSub>
                  <m:r>
                    <a:rPr lang="es-MX" sz="1100" b="0" i="0">
                      <a:solidFill>
                        <a:schemeClr val="tx1"/>
                      </a:solidFill>
                      <a:effectLst/>
                      <a:latin typeface="Cambria Math" panose="02040503050406030204" pitchFamily="18" charset="0"/>
                      <a:ea typeface="+mn-ea"/>
                      <a:cs typeface="+mn-cs"/>
                    </a:rPr>
                    <m:t>&gt;</m:t>
                  </m:r>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f</m:t>
                      </m:r>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T</m:t>
                      </m:r>
                    </m:sub>
                  </m:sSub>
                </m:oMath>
              </a14:m>
              <a:r>
                <a:rPr lang="es-CO" sz="1100" i="0"/>
                <a:t>   </a:t>
              </a:r>
            </a:p>
          </xdr:txBody>
        </xdr:sp>
      </mc:Choice>
      <mc:Fallback xmlns="">
        <xdr:sp macro="" textlink="">
          <xdr:nvSpPr>
            <xdr:cNvPr id="45" name="CuadroTexto 44"/>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bT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0,1v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i="0"/>
                <a:t>     </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bT</a:t>
              </a:r>
              <a:r>
                <a:rPr lang="es-MX" sz="1100" b="0" i="0">
                  <a:solidFill>
                    <a:schemeClr val="tx1"/>
                  </a:solidFill>
                  <a:effectLst/>
                  <a:latin typeface="Cambria Math" panose="02040503050406030204" pitchFamily="18" charset="0"/>
                  <a:ea typeface="+mn-ea"/>
                  <a:cs typeface="+mn-cs"/>
                </a:rPr>
                <a:t>&gt;</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Cambria Math" panose="02040503050406030204" pitchFamily="18" charset="0"/>
                  <a:ea typeface="+mn-ea"/>
                  <a:cs typeface="+mn-cs"/>
                </a:rPr>
                <a:t>f </a:t>
              </a:r>
              <a:r>
                <a:rPr lang="es-MX" sz="1100" b="0" i="0">
                  <a:solidFill>
                    <a:schemeClr val="tx1"/>
                  </a:solidFill>
                  <a:effectLst/>
                  <a:latin typeface="+mn-lt"/>
                  <a:ea typeface="+mn-ea"/>
                  <a:cs typeface="+mn-cs"/>
                </a:rPr>
                <a:t>T</a:t>
              </a:r>
              <a:r>
                <a:rPr lang="es-CO" sz="1100" b="0" i="0">
                  <a:solidFill>
                    <a:schemeClr val="tx1"/>
                  </a:solidFill>
                  <a:effectLst/>
                  <a:latin typeface="+mn-lt"/>
                  <a:ea typeface="+mn-ea"/>
                  <a:cs typeface="+mn-cs"/>
                </a:rPr>
                <a:t>)</a:t>
              </a:r>
              <a:r>
                <a:rPr lang="es-CO" sz="1100" i="0"/>
                <a:t>   </a:t>
              </a:r>
            </a:p>
          </xdr:txBody>
        </xdr:sp>
      </mc:Fallback>
    </mc:AlternateContent>
    <xdr:clientData/>
  </xdr:oneCellAnchor>
  <xdr:oneCellAnchor>
    <xdr:from>
      <xdr:col>11</xdr:col>
      <xdr:colOff>133350</xdr:colOff>
      <xdr:row>138</xdr:row>
      <xdr:rowOff>28575</xdr:rowOff>
    </xdr:from>
    <xdr:ext cx="951094" cy="177741"/>
    <mc:AlternateContent xmlns:mc="http://schemas.openxmlformats.org/markup-compatibility/2006" xmlns:a14="http://schemas.microsoft.com/office/drawing/2010/main">
      <mc:Choice Requires="a14">
        <xdr:sp macro="" textlink="">
          <xdr:nvSpPr>
            <xdr:cNvPr id="46" name="CuadroTexto 45"/>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e</m:t>
                        </m:r>
                      </m:e>
                      <m:sup>
                        <m:r>
                          <a:rPr lang="es-MX" sz="1100" b="0" i="0">
                            <a:latin typeface="Cambria Math" panose="02040503050406030204" pitchFamily="18" charset="0"/>
                            <a:ea typeface="Cambria Math" panose="02040503050406030204" pitchFamily="18" charset="0"/>
                          </a:rPr>
                          <m:t>4,5</m:t>
                        </m:r>
                      </m:sup>
                    </m:sSup>
                    <m:r>
                      <a:rPr lang="es-MX" sz="1100" b="0" i="0">
                        <a:latin typeface="Cambria Math" panose="02040503050406030204" pitchFamily="18" charset="0"/>
                        <a:ea typeface="Cambria Math" panose="02040503050406030204" pitchFamily="18" charset="0"/>
                      </a:rPr>
                      <m:t> </m:t>
                    </m:r>
                  </m:oMath>
                </m:oMathPara>
              </a14:m>
              <a:endParaRPr lang="es-CO" sz="1100" i="0"/>
            </a:p>
          </xdr:txBody>
        </xdr:sp>
      </mc:Choice>
      <mc:Fallback xmlns="">
        <xdr:sp macro="" textlink="">
          <xdr:nvSpPr>
            <xdr:cNvPr id="46" name="CuadroTexto 45"/>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f T</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e</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4,5  </a:t>
              </a:r>
              <a:endParaRPr lang="es-CO" sz="1100" i="0"/>
            </a:p>
          </xdr:txBody>
        </xdr:sp>
      </mc:Fallback>
    </mc:AlternateContent>
    <xdr:clientData/>
  </xdr:oneCellAnchor>
  <xdr:oneCellAnchor>
    <xdr:from>
      <xdr:col>11</xdr:col>
      <xdr:colOff>145089</xdr:colOff>
      <xdr:row>114</xdr:row>
      <xdr:rowOff>48780</xdr:rowOff>
    </xdr:from>
    <xdr:ext cx="2099549" cy="321883"/>
    <mc:AlternateContent xmlns:mc="http://schemas.openxmlformats.org/markup-compatibility/2006" xmlns:a14="http://schemas.microsoft.com/office/drawing/2010/main">
      <mc:Choice Requires="a14">
        <xdr:sp macro="" textlink="">
          <xdr:nvSpPr>
            <xdr:cNvPr id="7" name="CuadroTexto 6"/>
            <xdr:cNvSpPr txBox="1"/>
          </xdr:nvSpPr>
          <xdr:spPr>
            <a:xfrm>
              <a:off x="7183006" y="24178780"/>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7" name="CuadroTexto 6"/>
            <xdr:cNvSpPr txBox="1"/>
          </xdr:nvSpPr>
          <xdr:spPr>
            <a:xfrm>
              <a:off x="7183006" y="24178780"/>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f∙L_g</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10</xdr:col>
      <xdr:colOff>717549</xdr:colOff>
      <xdr:row>121</xdr:row>
      <xdr:rowOff>42332</xdr:rowOff>
    </xdr:from>
    <xdr:ext cx="1134534" cy="345672"/>
    <mc:AlternateContent xmlns:mc="http://schemas.openxmlformats.org/markup-compatibility/2006" xmlns:a14="http://schemas.microsoft.com/office/drawing/2010/main">
      <mc:Choice Requires="a14">
        <xdr:sp macro="" textlink="">
          <xdr:nvSpPr>
            <xdr:cNvPr id="8" name="CuadroTexto 7"/>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8" name="CuadroTexto 7"/>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A_T=Q/v_f </a:t>
              </a:r>
              <a:endParaRPr lang="es-CO" sz="1100" i="0"/>
            </a:p>
          </xdr:txBody>
        </xdr:sp>
      </mc:Fallback>
    </mc:AlternateContent>
    <xdr:clientData/>
  </xdr:oneCellAnchor>
  <xdr:oneCellAnchor>
    <xdr:from>
      <xdr:col>11</xdr:col>
      <xdr:colOff>63500</xdr:colOff>
      <xdr:row>123</xdr:row>
      <xdr:rowOff>42334</xdr:rowOff>
    </xdr:from>
    <xdr:ext cx="793750" cy="346570"/>
    <mc:AlternateContent xmlns:mc="http://schemas.openxmlformats.org/markup-compatibility/2006" xmlns:a14="http://schemas.microsoft.com/office/drawing/2010/main">
      <mc:Choice Requires="a14">
        <xdr:sp macro="" textlink="">
          <xdr:nvSpPr>
            <xdr:cNvPr id="44" name="CuadroTexto 43"/>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fmax</m:t>
                            </m:r>
                          </m:sub>
                        </m:sSub>
                      </m:den>
                    </m:f>
                  </m:oMath>
                </m:oMathPara>
              </a14:m>
              <a:endParaRPr lang="es-CO" sz="1100" i="0"/>
            </a:p>
          </xdr:txBody>
        </xdr:sp>
      </mc:Choice>
      <mc:Fallback xmlns="">
        <xdr:sp macro="" textlink="">
          <xdr:nvSpPr>
            <xdr:cNvPr id="44" name="CuadroTexto 43"/>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A_t=Q/v_fmax </a:t>
              </a:r>
              <a:endParaRPr lang="es-CO" sz="1100" i="0"/>
            </a:p>
          </xdr:txBody>
        </xdr:sp>
      </mc:Fallback>
    </mc:AlternateContent>
    <xdr:clientData/>
  </xdr:oneCellAnchor>
  <xdr:oneCellAnchor>
    <xdr:from>
      <xdr:col>11</xdr:col>
      <xdr:colOff>135467</xdr:colOff>
      <xdr:row>125</xdr:row>
      <xdr:rowOff>29633</xdr:rowOff>
    </xdr:from>
    <xdr:ext cx="816827" cy="172227"/>
    <mc:AlternateContent xmlns:mc="http://schemas.openxmlformats.org/markup-compatibility/2006" xmlns:a14="http://schemas.microsoft.com/office/drawing/2010/main">
      <mc:Choice Requires="a14">
        <xdr:sp macro="" textlink="">
          <xdr:nvSpPr>
            <xdr:cNvPr id="9" name="CuadroTexto 8"/>
            <xdr:cNvSpPr txBox="1"/>
          </xdr:nvSpPr>
          <xdr:spPr>
            <a:xfrm>
              <a:off x="7173384" y="26487966"/>
              <a:ext cx="8168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oMath>
                </m:oMathPara>
              </a14:m>
              <a:endParaRPr lang="es-CO" sz="1100" i="0"/>
            </a:p>
          </xdr:txBody>
        </xdr:sp>
      </mc:Choice>
      <mc:Fallback xmlns="">
        <xdr:sp macro="" textlink="">
          <xdr:nvSpPr>
            <xdr:cNvPr id="9" name="CuadroTexto 8"/>
            <xdr:cNvSpPr txBox="1"/>
          </xdr:nvSpPr>
          <xdr:spPr>
            <a:xfrm>
              <a:off x="7173384" y="26487966"/>
              <a:ext cx="8168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T−A_t</a:t>
              </a:r>
              <a:endParaRPr lang="es-CO" sz="1100" i="0"/>
            </a:p>
          </xdr:txBody>
        </xdr:sp>
      </mc:Fallback>
    </mc:AlternateContent>
    <xdr:clientData/>
  </xdr:oneCellAnchor>
  <xdr:oneCellAnchor>
    <xdr:from>
      <xdr:col>11</xdr:col>
      <xdr:colOff>146050</xdr:colOff>
      <xdr:row>126</xdr:row>
      <xdr:rowOff>50799</xdr:rowOff>
    </xdr:from>
    <xdr:ext cx="532453" cy="345672"/>
    <mc:AlternateContent xmlns:mc="http://schemas.openxmlformats.org/markup-compatibility/2006" xmlns:a14="http://schemas.microsoft.com/office/drawing/2010/main">
      <mc:Choice Requires="a14">
        <xdr:sp macro="" textlink="">
          <xdr:nvSpPr>
            <xdr:cNvPr id="23" name="CuadroTexto 22"/>
            <xdr:cNvSpPr txBox="1"/>
          </xdr:nvSpPr>
          <xdr:spPr>
            <a:xfrm>
              <a:off x="7183967" y="26752549"/>
              <a:ext cx="53245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den>
                    </m:f>
                  </m:oMath>
                </m:oMathPara>
              </a14:m>
              <a:endParaRPr lang="es-CO" sz="1100" i="0"/>
            </a:p>
          </xdr:txBody>
        </xdr:sp>
      </mc:Choice>
      <mc:Fallback xmlns="">
        <xdr:sp macro="" textlink="">
          <xdr:nvSpPr>
            <xdr:cNvPr id="23" name="CuadroTexto 22"/>
            <xdr:cNvSpPr txBox="1"/>
          </xdr:nvSpPr>
          <xdr:spPr>
            <a:xfrm>
              <a:off x="7183967" y="26752549"/>
              <a:ext cx="53245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N_f</a:t>
              </a:r>
              <a:r>
                <a:rPr lang="es-MX" sz="1100" b="0" i="0">
                  <a:latin typeface="Cambria Math" panose="02040503050406030204" pitchFamily="18" charset="0"/>
                  <a:ea typeface="Cambria Math" panose="02040503050406030204" pitchFamily="18" charset="0"/>
                </a:rPr>
                <a:t>=A_T/A_f </a:t>
              </a:r>
              <a:endParaRPr lang="es-CO" sz="1100" i="0"/>
            </a:p>
          </xdr:txBody>
        </xdr:sp>
      </mc:Fallback>
    </mc:AlternateContent>
    <xdr:clientData/>
  </xdr:oneCellAnchor>
  <xdr:oneCellAnchor>
    <xdr:from>
      <xdr:col>11</xdr:col>
      <xdr:colOff>146049</xdr:colOff>
      <xdr:row>128</xdr:row>
      <xdr:rowOff>19050</xdr:rowOff>
    </xdr:from>
    <xdr:ext cx="571310" cy="204993"/>
    <mc:AlternateContent xmlns:mc="http://schemas.openxmlformats.org/markup-compatibility/2006" xmlns:a14="http://schemas.microsoft.com/office/drawing/2010/main">
      <mc:Choice Requires="a14">
        <xdr:sp macro="" textlink="">
          <xdr:nvSpPr>
            <xdr:cNvPr id="31" name="CuadroTexto 30"/>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1">
                            <a:latin typeface="Cambria Math" panose="02040503050406030204" pitchFamily="18" charset="0"/>
                          </a:rPr>
                          <m:t>L</m:t>
                        </m:r>
                      </m:e>
                      <m:sub>
                        <m:r>
                          <m:rPr>
                            <m:sty m:val="p"/>
                          </m:rPr>
                          <a:rPr lang="es-MX" sz="1100" b="0" i="1">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rad>
                      <m:radPr>
                        <m:degHide m:val="on"/>
                        <m:ctrlPr>
                          <a:rPr lang="es-CO" sz="1100" i="1">
                            <a:latin typeface="Cambria Math" panose="02040503050406030204" pitchFamily="18" charset="0"/>
                            <a:ea typeface="Cambria Math" panose="02040503050406030204" pitchFamily="18" charset="0"/>
                          </a:rPr>
                        </m:ctrlPr>
                      </m:radPr>
                      <m:deg/>
                      <m:e>
                        <m:sSub>
                          <m:sSubPr>
                            <m:ctrlPr>
                              <a:rPr lang="es-CO" sz="1100" i="1">
                                <a:latin typeface="Cambria Math" panose="02040503050406030204" pitchFamily="18" charset="0"/>
                                <a:ea typeface="Cambria Math" panose="02040503050406030204" pitchFamily="18" charset="0"/>
                              </a:rPr>
                            </m:ctrlPr>
                          </m:sSubPr>
                          <m:e>
                            <m:r>
                              <m:rPr>
                                <m:sty m:val="p"/>
                              </m:rPr>
                              <a:rPr lang="es-MX" sz="1100" b="0" i="1">
                                <a:latin typeface="Cambria Math" panose="02040503050406030204" pitchFamily="18" charset="0"/>
                                <a:ea typeface="Cambria Math" panose="02040503050406030204" pitchFamily="18" charset="0"/>
                              </a:rPr>
                              <m:t>A</m:t>
                            </m:r>
                          </m:e>
                          <m:sub>
                            <m:r>
                              <m:rPr>
                                <m:sty m:val="p"/>
                              </m:rPr>
                              <a:rPr lang="es-MX" sz="1100" b="0" i="1">
                                <a:latin typeface="Cambria Math" panose="02040503050406030204" pitchFamily="18" charset="0"/>
                                <a:ea typeface="Cambria Math" panose="02040503050406030204" pitchFamily="18" charset="0"/>
                              </a:rPr>
                              <m:t>f</m:t>
                            </m:r>
                          </m:sub>
                        </m:sSub>
                      </m:e>
                    </m:rad>
                  </m:oMath>
                </m:oMathPara>
              </a14:m>
              <a:endParaRPr lang="es-CO" sz="1100" i="0"/>
            </a:p>
          </xdr:txBody>
        </xdr:sp>
      </mc:Choice>
      <mc:Fallback xmlns="">
        <xdr:sp macro="" textlink="">
          <xdr:nvSpPr>
            <xdr:cNvPr id="31" name="CuadroTexto 30"/>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L</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 )</a:t>
              </a:r>
              <a:endParaRPr lang="es-CO" sz="1100" i="0"/>
            </a:p>
          </xdr:txBody>
        </xdr:sp>
      </mc:Fallback>
    </mc:AlternateContent>
    <xdr:clientData/>
  </xdr:oneCellAnchor>
  <xdr:oneCellAnchor>
    <xdr:from>
      <xdr:col>11</xdr:col>
      <xdr:colOff>103716</xdr:colOff>
      <xdr:row>144</xdr:row>
      <xdr:rowOff>29631</xdr:rowOff>
    </xdr:from>
    <xdr:ext cx="1642534" cy="172227"/>
    <mc:AlternateContent xmlns:mc="http://schemas.openxmlformats.org/markup-compatibility/2006" xmlns:a14="http://schemas.microsoft.com/office/drawing/2010/main">
      <mc:Choice Requires="a14">
        <xdr:sp macro="" textlink="">
          <xdr:nvSpPr>
            <xdr:cNvPr id="32" name="CuadroTexto 31"/>
            <xdr:cNvSpPr txBox="1"/>
          </xdr:nvSpPr>
          <xdr:spPr>
            <a:xfrm>
              <a:off x="7141633" y="30827131"/>
              <a:ext cx="16425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lat</m:t>
                        </m:r>
                      </m:sub>
                    </m:sSub>
                    <m:r>
                      <a:rPr lang="es-MX" sz="1100" b="0" i="0">
                        <a:latin typeface="Cambria Math" panose="02040503050406030204" pitchFamily="18" charset="0"/>
                        <a:ea typeface="Cambria Math" panose="02040503050406030204" pitchFamily="18" charset="0"/>
                      </a:rPr>
                      <m:t>=</m:t>
                    </m:r>
                    <m:f>
                      <m:fPr>
                        <m:type m:val="lin"/>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r>
                          <a:rPr lang="es-MX" sz="1100" b="0" i="0">
                            <a:latin typeface="Cambria Math" panose="02040503050406030204" pitchFamily="18" charset="0"/>
                            <a:ea typeface="Cambria Math" panose="02040503050406030204" pitchFamily="18" charset="0"/>
                          </a:rPr>
                          <m:t>2</m:t>
                        </m:r>
                      </m:den>
                    </m:f>
                    <m:r>
                      <a:rPr lang="es-MX" sz="1100" b="0" i="0">
                        <a:latin typeface="Cambria Math" panose="02040503050406030204" pitchFamily="18" charset="0"/>
                        <a:ea typeface="Cambria Math" panose="02040503050406030204" pitchFamily="18" charset="0"/>
                      </a:rPr>
                      <m:t>−0,10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32" name="CuadroTexto 31"/>
            <xdr:cNvSpPr txBox="1"/>
          </xdr:nvSpPr>
          <xdr:spPr>
            <a:xfrm>
              <a:off x="7141633" y="30827131"/>
              <a:ext cx="16425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ea typeface="Cambria Math" panose="02040503050406030204" pitchFamily="18" charset="0"/>
                </a:rPr>
                <a:t>L_lat=L_f∕2−0,10 ;  L_f (m)</a:t>
              </a:r>
              <a:endParaRPr lang="es-CO" sz="1100" i="0"/>
            </a:p>
          </xdr:txBody>
        </xdr:sp>
      </mc:Fallback>
    </mc:AlternateContent>
    <xdr:clientData/>
  </xdr:oneCellAnchor>
  <xdr:oneCellAnchor>
    <xdr:from>
      <xdr:col>11</xdr:col>
      <xdr:colOff>1026</xdr:colOff>
      <xdr:row>149</xdr:row>
      <xdr:rowOff>42335</xdr:rowOff>
    </xdr:from>
    <xdr:ext cx="1575890" cy="380999"/>
    <mc:AlternateContent xmlns:mc="http://schemas.openxmlformats.org/markup-compatibility/2006" xmlns:a14="http://schemas.microsoft.com/office/drawing/2010/main">
      <mc:Choice Requires="a14">
        <xdr:sp macro="" textlink="">
          <xdr:nvSpPr>
            <xdr:cNvPr id="25" name="CuadroTexto 24"/>
            <xdr:cNvSpPr txBox="1"/>
          </xdr:nvSpPr>
          <xdr:spPr>
            <a:xfrm>
              <a:off x="7038943" y="31993418"/>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lat</m:t>
                            </m:r>
                          </m:sub>
                        </m:sSub>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ori</m:t>
                            </m:r>
                          </m:sub>
                        </m:sSub>
                      </m:den>
                    </m:f>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2</m:t>
                    </m:r>
                  </m:oMath>
                </m:oMathPara>
              </a14:m>
              <a:endParaRPr lang="es-CO" sz="1100" i="0"/>
            </a:p>
          </xdr:txBody>
        </xdr:sp>
      </mc:Choice>
      <mc:Fallback xmlns="">
        <xdr:sp macro="" textlink="">
          <xdr:nvSpPr>
            <xdr:cNvPr id="25" name="CuadroTexto 24"/>
            <xdr:cNvSpPr txBox="1"/>
          </xdr:nvSpPr>
          <xdr:spPr>
            <a:xfrm>
              <a:off x="7038943" y="31993418"/>
              <a:ext cx="1575890" cy="380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L</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lat</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ori</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a:t>
              </a:r>
              <a:endParaRPr lang="es-CO" sz="1100" i="0"/>
            </a:p>
          </xdr:txBody>
        </xdr:sp>
      </mc:Fallback>
    </mc:AlternateContent>
    <xdr:clientData/>
  </xdr:oneCellAnchor>
  <xdr:oneCellAnchor>
    <xdr:from>
      <xdr:col>11</xdr:col>
      <xdr:colOff>106362</xdr:colOff>
      <xdr:row>147</xdr:row>
      <xdr:rowOff>37571</xdr:rowOff>
    </xdr:from>
    <xdr:ext cx="856838" cy="345479"/>
    <mc:AlternateContent xmlns:mc="http://schemas.openxmlformats.org/markup-compatibility/2006" xmlns:a14="http://schemas.microsoft.com/office/drawing/2010/main">
      <mc:Choice Requires="a14">
        <xdr:sp macro="" textlink="">
          <xdr:nvSpPr>
            <xdr:cNvPr id="33" name="CuadroTexto 32"/>
            <xdr:cNvSpPr txBox="1"/>
          </xdr:nvSpPr>
          <xdr:spPr>
            <a:xfrm>
              <a:off x="7131050" y="30890634"/>
              <a:ext cx="856838"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N</m:t>
                        </m:r>
                      </m:e>
                      <m:sub>
                        <m:r>
                          <m:rPr>
                            <m:sty m:val="p"/>
                          </m:rPr>
                          <a:rPr lang="es-MX" sz="1100" b="0" i="0">
                            <a:latin typeface="Cambria Math" panose="02040503050406030204" pitchFamily="18" charset="0"/>
                          </a:rPr>
                          <m:t>lat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2</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m:rPr>
                                <m:sty m:val="p"/>
                              </m:rPr>
                              <a:rPr lang="es-MX" sz="1100" b="0" i="0">
                                <a:latin typeface="Cambria Math" panose="02040503050406030204" pitchFamily="18" charset="0"/>
                                <a:ea typeface="Cambria Math" panose="02040503050406030204" pitchFamily="18" charset="0"/>
                              </a:rPr>
                              <m:t>lat</m:t>
                            </m:r>
                          </m:sub>
                        </m:sSub>
                      </m:den>
                    </m:f>
                  </m:oMath>
                </m:oMathPara>
              </a14:m>
              <a:endParaRPr lang="es-CO" sz="1100" i="0"/>
            </a:p>
          </xdr:txBody>
        </xdr:sp>
      </mc:Choice>
      <mc:Fallback xmlns="">
        <xdr:sp macro="" textlink="">
          <xdr:nvSpPr>
            <xdr:cNvPr id="33" name="CuadroTexto 32"/>
            <xdr:cNvSpPr txBox="1"/>
          </xdr:nvSpPr>
          <xdr:spPr>
            <a:xfrm>
              <a:off x="7131050" y="30890634"/>
              <a:ext cx="856838"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N</a:t>
              </a:r>
              <a:r>
                <a:rPr lang="es-CO" sz="1100" b="0" i="0">
                  <a:latin typeface="Cambria Math" panose="02040503050406030204" pitchFamily="18" charset="0"/>
                </a:rPr>
                <a:t>_</a:t>
              </a:r>
              <a:r>
                <a:rPr lang="es-MX" sz="1100" b="0" i="0">
                  <a:latin typeface="Cambria Math" panose="02040503050406030204" pitchFamily="18" charset="0"/>
                </a:rPr>
                <a:t>lat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2∙L_f/D_lat </a:t>
              </a:r>
              <a:endParaRPr lang="es-CO" sz="1100" i="0"/>
            </a:p>
          </xdr:txBody>
        </xdr:sp>
      </mc:Fallback>
    </mc:AlternateContent>
    <xdr:clientData/>
  </xdr:oneCellAnchor>
  <xdr:oneCellAnchor>
    <xdr:from>
      <xdr:col>11</xdr:col>
      <xdr:colOff>93134</xdr:colOff>
      <xdr:row>151</xdr:row>
      <xdr:rowOff>29632</xdr:rowOff>
    </xdr:from>
    <xdr:ext cx="1290289" cy="351828"/>
    <mc:AlternateContent xmlns:mc="http://schemas.openxmlformats.org/markup-compatibility/2006" xmlns:a14="http://schemas.microsoft.com/office/drawing/2010/main">
      <mc:Choice Requires="a14">
        <xdr:sp macro="" textlink="">
          <xdr:nvSpPr>
            <xdr:cNvPr id="35" name="CuadroTexto 34"/>
            <xdr:cNvSpPr txBox="1"/>
          </xdr:nvSpPr>
          <xdr:spPr>
            <a:xfrm>
              <a:off x="7131051" y="32404049"/>
              <a:ext cx="1290289" cy="3518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N</m:t>
                        </m:r>
                      </m:e>
                      <m:sub>
                        <m:r>
                          <m:rPr>
                            <m:sty m:val="p"/>
                          </m:rPr>
                          <a:rPr lang="es-MX" sz="1100" b="0" i="0">
                            <a:latin typeface="Cambria Math" panose="02040503050406030204" pitchFamily="18" charset="0"/>
                            <a:ea typeface="Cambria Math" panose="02040503050406030204" pitchFamily="18" charset="0"/>
                          </a:rPr>
                          <m:t>ori</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m:rPr>
                            <m:sty m:val="p"/>
                          </m:rPr>
                          <a:rPr lang="el-GR" sz="1100" i="0">
                            <a:latin typeface="Cambria Math" panose="02040503050406030204" pitchFamily="18" charset="0"/>
                            <a:ea typeface="Cambria Math" panose="02040503050406030204" pitchFamily="18" charset="0"/>
                          </a:rPr>
                          <m:t>π</m:t>
                        </m:r>
                        <m:sSup>
                          <m:sSupPr>
                            <m:ctrlPr>
                              <a:rPr lang="el-GR" sz="1100" i="1">
                                <a:latin typeface="Cambria Math" panose="02040503050406030204" pitchFamily="18" charset="0"/>
                                <a:ea typeface="Cambria Math" panose="02040503050406030204" pitchFamily="18" charset="0"/>
                              </a:rPr>
                            </m:ctrlPr>
                          </m:sSupPr>
                          <m:e>
                            <m:sSub>
                              <m:sSubPr>
                                <m:ctrlPr>
                                  <a:rPr lang="el-GR" sz="1100" i="1">
                                    <a:latin typeface="Cambria Math" panose="02040503050406030204" pitchFamily="18" charset="0"/>
                                    <a:ea typeface="Cambria Math" panose="02040503050406030204" pitchFamily="18" charset="0"/>
                                  </a:rPr>
                                </m:ctrlPr>
                              </m:sSubPr>
                              <m:e>
                                <m:r>
                                  <m:rPr>
                                    <m:sty m:val="p"/>
                                  </m:rPr>
                                  <a:rPr lang="el-GR" sz="1100" i="0">
                                    <a:latin typeface="Cambria Math" panose="02040503050406030204" pitchFamily="18" charset="0"/>
                                    <a:ea typeface="Cambria Math" panose="02040503050406030204" pitchFamily="18" charset="0"/>
                                  </a:rPr>
                                  <m:t>ϕ</m:t>
                                </m:r>
                              </m:e>
                              <m:sub>
                                <m:r>
                                  <m:rPr>
                                    <m:sty m:val="p"/>
                                  </m:rPr>
                                  <a:rPr lang="es-MX" sz="1100" b="0" i="0">
                                    <a:latin typeface="Cambria Math" panose="02040503050406030204" pitchFamily="18" charset="0"/>
                                    <a:ea typeface="Cambria Math" panose="02040503050406030204" pitchFamily="18" charset="0"/>
                                  </a:rPr>
                                  <m:t>ori</m:t>
                                </m:r>
                              </m:sub>
                            </m:sSub>
                          </m:e>
                          <m:sup>
                            <m:r>
                              <a:rPr lang="es-MX" sz="1100" b="0" i="0">
                                <a:latin typeface="Cambria Math" panose="02040503050406030204" pitchFamily="18" charset="0"/>
                                <a:ea typeface="Cambria Math" panose="02040503050406030204" pitchFamily="18" charset="0"/>
                              </a:rPr>
                              <m:t>2</m:t>
                            </m:r>
                          </m:sup>
                        </m:sSup>
                      </m:num>
                      <m:den>
                        <m:r>
                          <a:rPr lang="es-MX" sz="1100" b="0" i="0">
                            <a:latin typeface="Cambria Math" panose="02040503050406030204" pitchFamily="18" charset="0"/>
                            <a:ea typeface="Cambria Math" panose="02040503050406030204" pitchFamily="18" charset="0"/>
                          </a:rPr>
                          <m:t>4</m:t>
                        </m:r>
                      </m:den>
                    </m:f>
                  </m:oMath>
                </m:oMathPara>
              </a14:m>
              <a:endParaRPr lang="es-CO" sz="1100" i="0"/>
            </a:p>
          </xdr:txBody>
        </xdr:sp>
      </mc:Choice>
      <mc:Fallback xmlns="">
        <xdr:sp macro="" textlink="">
          <xdr:nvSpPr>
            <xdr:cNvPr id="35" name="CuadroTexto 34"/>
            <xdr:cNvSpPr txBox="1"/>
          </xdr:nvSpPr>
          <xdr:spPr>
            <a:xfrm>
              <a:off x="7131051" y="32404049"/>
              <a:ext cx="1290289" cy="3518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N</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ori</a:t>
              </a:r>
              <a:r>
                <a:rPr lang="es-CO" sz="1100" i="0">
                  <a:latin typeface="Cambria Math" panose="02040503050406030204" pitchFamily="18" charset="0"/>
                  <a:ea typeface="Cambria Math" panose="02040503050406030204" pitchFamily="18" charset="0"/>
                </a:rPr>
                <a:t>×(</a:t>
              </a:r>
              <a:r>
                <a:rPr lang="el-GR" sz="1100" i="0">
                  <a:latin typeface="Cambria Math" panose="02040503050406030204" pitchFamily="18" charset="0"/>
                  <a:ea typeface="Cambria Math" panose="02040503050406030204" pitchFamily="18" charset="0"/>
                </a:rPr>
                <a:t>π〖ϕ_</a:t>
              </a:r>
              <a:r>
                <a:rPr lang="es-MX" sz="1100" b="0" i="0">
                  <a:latin typeface="Cambria Math" panose="02040503050406030204" pitchFamily="18" charset="0"/>
                  <a:ea typeface="Cambria Math" panose="02040503050406030204" pitchFamily="18" charset="0"/>
                </a:rPr>
                <a:t>ori</a:t>
              </a:r>
              <a:r>
                <a:rPr lang="el-GR"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a:t>
              </a:r>
              <a:endParaRPr lang="es-CO" sz="1100" i="0"/>
            </a:p>
          </xdr:txBody>
        </xdr:sp>
      </mc:Fallback>
    </mc:AlternateContent>
    <xdr:clientData/>
  </xdr:oneCellAnchor>
  <xdr:oneCellAnchor>
    <xdr:from>
      <xdr:col>11</xdr:col>
      <xdr:colOff>93133</xdr:colOff>
      <xdr:row>153</xdr:row>
      <xdr:rowOff>29633</xdr:rowOff>
    </xdr:from>
    <xdr:ext cx="647699" cy="346633"/>
    <mc:AlternateContent xmlns:mc="http://schemas.openxmlformats.org/markup-compatibility/2006" xmlns:a14="http://schemas.microsoft.com/office/drawing/2010/main">
      <mc:Choice Requires="a14">
        <xdr:sp macro="" textlink="">
          <xdr:nvSpPr>
            <xdr:cNvPr id="36" name="CuadroTexto 35"/>
            <xdr:cNvSpPr txBox="1"/>
          </xdr:nvSpPr>
          <xdr:spPr>
            <a:xfrm>
              <a:off x="7131050" y="32827383"/>
              <a:ext cx="647699" cy="3466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ori</m:t>
                            </m:r>
                          </m:sub>
                        </m:sSub>
                      </m:num>
                      <m:den>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mul</m:t>
                            </m:r>
                          </m:sub>
                        </m:sSub>
                      </m:den>
                    </m:f>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4</m:t>
                    </m:r>
                  </m:oMath>
                </m:oMathPara>
              </a14:m>
              <a:endParaRPr lang="es-CO" sz="1100" i="0"/>
            </a:p>
          </xdr:txBody>
        </xdr:sp>
      </mc:Choice>
      <mc:Fallback xmlns="">
        <xdr:sp macro="" textlink="">
          <xdr:nvSpPr>
            <xdr:cNvPr id="36" name="CuadroTexto 35"/>
            <xdr:cNvSpPr txBox="1"/>
          </xdr:nvSpPr>
          <xdr:spPr>
            <a:xfrm>
              <a:off x="7131050" y="32827383"/>
              <a:ext cx="647699" cy="3466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ori</a:t>
              </a:r>
              <a:r>
                <a:rPr lang="es-CO" sz="1100" b="0" i="0">
                  <a:latin typeface="Cambria Math" panose="02040503050406030204" pitchFamily="18" charset="0"/>
                </a:rPr>
                <a:t>/</a:t>
              </a:r>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mul</a:t>
              </a:r>
              <a:r>
                <a:rPr lang="es-CO" sz="1100" b="0" i="0">
                  <a:latin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a:t>
              </a:r>
              <a:endParaRPr lang="es-CO" sz="1100" i="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person displayName=":Docentes Prog. Ingeniería Ambiental:  Adriana Katerine Niño Vargas" id="{0F93A3E7-DAC7-4EB1-B8E1-9BE3B6F892B4}" userId="S::adriana.nino@docentes.umb.edu.co::54c78a20-e29d-495c-a0e0-317eea6007f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1-03-13T00:38:13.83" personId="{0F93A3E7-DAC7-4EB1-B8E1-9BE3B6F892B4}" id="{F87277D4-C5F6-4223-8127-CBCE3C051A06}">
    <text>Dato dado en clase para verificar con prueba de jarras</text>
  </threadedComment>
  <threadedComment ref="D13" dT="2021-03-13T00:38:13.83" personId="{0F93A3E7-DAC7-4EB1-B8E1-9BE3B6F892B4}" id="{B8FA97B2-A7A2-4F78-BE1A-885194E20ABB}">
    <text>Dato dado en clase para verificar con prueba de jarras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2:W316"/>
  <sheetViews>
    <sheetView topLeftCell="A31" zoomScale="90" zoomScaleNormal="90" workbookViewId="0">
      <selection activeCell="C75" sqref="C75:G75"/>
    </sheetView>
  </sheetViews>
  <sheetFormatPr baseColWidth="10" defaultRowHeight="15" x14ac:dyDescent="0.25"/>
  <cols>
    <col min="1" max="1" width="5.42578125" style="12" customWidth="1"/>
    <col min="2" max="2" width="4" style="12" customWidth="1"/>
    <col min="3" max="3" width="54.85546875" style="12" customWidth="1"/>
    <col min="4" max="4" width="15.85546875" style="12" customWidth="1"/>
    <col min="5" max="5" width="11.42578125" style="12"/>
    <col min="6" max="6" width="29.85546875" style="12" customWidth="1"/>
    <col min="7" max="7" width="53" style="12" customWidth="1"/>
    <col min="8" max="8" width="12.42578125" style="12" customWidth="1"/>
    <col min="9" max="9" width="11.42578125" style="12" customWidth="1"/>
    <col min="10" max="10" width="13.5703125" style="12" bestFit="1" customWidth="1"/>
    <col min="11" max="12" width="11.42578125" style="12"/>
    <col min="13" max="13" width="17.5703125" style="12" customWidth="1"/>
    <col min="14" max="14" width="11.85546875" style="12" bestFit="1" customWidth="1"/>
    <col min="15" max="15" width="27.5703125" style="12" customWidth="1"/>
    <col min="16" max="16384" width="11.42578125" style="12"/>
  </cols>
  <sheetData>
    <row r="2" spans="2:23" x14ac:dyDescent="0.2">
      <c r="B2" s="43"/>
      <c r="C2" s="327"/>
      <c r="D2" s="41" t="s">
        <v>119</v>
      </c>
      <c r="P2" s="62">
        <v>7850</v>
      </c>
      <c r="Q2" s="12">
        <f>P2*1.2*1.2*F19</f>
        <v>45.216000000000001</v>
      </c>
    </row>
    <row r="3" spans="2:23" x14ac:dyDescent="0.25">
      <c r="B3" s="43"/>
      <c r="C3" s="327"/>
      <c r="D3" s="41" t="s">
        <v>120</v>
      </c>
    </row>
    <row r="4" spans="2:23" x14ac:dyDescent="0.25">
      <c r="B4" s="43"/>
      <c r="C4" s="327"/>
      <c r="D4" s="41" t="s">
        <v>121</v>
      </c>
      <c r="G4"/>
      <c r="H4"/>
    </row>
    <row r="5" spans="2:23" x14ac:dyDescent="0.25">
      <c r="B5" s="43"/>
      <c r="C5" s="327"/>
      <c r="D5" s="41" t="s">
        <v>127</v>
      </c>
    </row>
    <row r="6" spans="2:23" x14ac:dyDescent="0.25">
      <c r="R6" s="12">
        <v>0.105</v>
      </c>
      <c r="S6" s="12">
        <v>0.12</v>
      </c>
      <c r="T6" s="12">
        <v>0.13500000000000001</v>
      </c>
      <c r="V6" s="12">
        <f>48*0.0254</f>
        <v>1.2191999999999998</v>
      </c>
    </row>
    <row r="7" spans="2:23" ht="18" x14ac:dyDescent="0.25">
      <c r="B7" s="340" t="s">
        <v>150</v>
      </c>
      <c r="C7" s="340"/>
      <c r="D7" s="340"/>
      <c r="E7" s="340"/>
      <c r="F7" s="340"/>
      <c r="G7" s="340"/>
      <c r="H7" s="40"/>
      <c r="J7" s="339" t="s">
        <v>41</v>
      </c>
      <c r="K7" s="339"/>
      <c r="L7" s="339"/>
      <c r="M7" s="339"/>
    </row>
    <row r="8" spans="2:23" ht="17.25" x14ac:dyDescent="0.25">
      <c r="B8" s="326" t="s">
        <v>33</v>
      </c>
      <c r="C8" s="326"/>
      <c r="D8" s="9" t="s">
        <v>0</v>
      </c>
      <c r="E8" s="1" t="s">
        <v>20</v>
      </c>
      <c r="F8" s="3">
        <v>5.7259999999999998E-2</v>
      </c>
      <c r="G8" s="13"/>
      <c r="H8" s="23"/>
      <c r="J8" s="14" t="s">
        <v>71</v>
      </c>
      <c r="K8" s="15" t="s">
        <v>1</v>
      </c>
      <c r="L8" s="14" t="s">
        <v>71</v>
      </c>
      <c r="M8" s="15" t="s">
        <v>25</v>
      </c>
      <c r="R8" s="12">
        <f>1/R6</f>
        <v>9.5238095238095237</v>
      </c>
      <c r="S8" s="12">
        <f>1/S6</f>
        <v>8.3333333333333339</v>
      </c>
      <c r="T8" s="12">
        <f>1/T6</f>
        <v>7.4074074074074066</v>
      </c>
      <c r="V8" s="12">
        <f>1.22/0.0254</f>
        <v>48.031496062992126</v>
      </c>
    </row>
    <row r="9" spans="2:23" x14ac:dyDescent="0.25">
      <c r="B9" s="326" t="s">
        <v>31</v>
      </c>
      <c r="C9" s="326"/>
      <c r="D9" s="9" t="s">
        <v>3</v>
      </c>
      <c r="E9" s="1" t="s">
        <v>28</v>
      </c>
      <c r="F9" s="3">
        <v>4</v>
      </c>
      <c r="G9" s="13"/>
      <c r="H9" s="23"/>
      <c r="J9" s="16">
        <f>($F$16/$F$13)*(SIN($F$21*PI()/180)+($F$18/$F$14)*COS($F$21*PI()/180))</f>
        <v>3.4760947255444699E-3</v>
      </c>
      <c r="K9" s="13">
        <f t="shared" ref="K9:K19" si="0">ROUND(J9*$F$14/$F$11,0)</f>
        <v>173</v>
      </c>
      <c r="L9" s="13">
        <f t="shared" ref="L9:L30" si="1">($F$16/$F$13)*((SIN($F$21*PI()/180))+(($F$18/$F$14-0.058*K9))*COS($F$21*PI()/180))</f>
        <v>2.1405507440629876E-3</v>
      </c>
      <c r="M9" s="17">
        <f t="shared" ref="M9:M19" si="2">L9-J9</f>
        <v>-1.3355439814814823E-3</v>
      </c>
    </row>
    <row r="10" spans="2:23" ht="17.25" x14ac:dyDescent="0.25">
      <c r="B10" s="326" t="s">
        <v>32</v>
      </c>
      <c r="C10" s="326"/>
      <c r="D10" s="9" t="s">
        <v>92</v>
      </c>
      <c r="E10" s="1" t="s">
        <v>20</v>
      </c>
      <c r="F10" s="18">
        <f>F8/F9</f>
        <v>1.4315E-2</v>
      </c>
      <c r="G10" s="13"/>
      <c r="H10" s="23"/>
      <c r="J10" s="16">
        <f t="shared" ref="J10:J19" si="3">L9</f>
        <v>2.1405507440629876E-3</v>
      </c>
      <c r="K10" s="13">
        <f t="shared" si="0"/>
        <v>106</v>
      </c>
      <c r="L10" s="13">
        <f t="shared" si="1"/>
        <v>2.6577845403592845E-3</v>
      </c>
      <c r="M10" s="17">
        <f t="shared" si="2"/>
        <v>5.1723379629629689E-4</v>
      </c>
      <c r="R10" s="12">
        <f>1/R8</f>
        <v>0.105</v>
      </c>
    </row>
    <row r="11" spans="2:23" ht="17.25" x14ac:dyDescent="0.25">
      <c r="B11" s="326" t="s">
        <v>10</v>
      </c>
      <c r="C11" s="326"/>
      <c r="D11" s="9" t="s">
        <v>2</v>
      </c>
      <c r="E11" s="1" t="s">
        <v>21</v>
      </c>
      <c r="F11" s="60">
        <v>1.0070000000000001E-6</v>
      </c>
      <c r="G11" s="13"/>
      <c r="H11" s="23"/>
      <c r="J11" s="16">
        <f t="shared" si="3"/>
        <v>2.6577845403592845E-3</v>
      </c>
      <c r="K11" s="13">
        <f t="shared" si="0"/>
        <v>132</v>
      </c>
      <c r="L11" s="13">
        <f t="shared" si="1"/>
        <v>2.4570669477666919E-3</v>
      </c>
      <c r="M11" s="17">
        <f t="shared" si="2"/>
        <v>-2.0071759259259261E-4</v>
      </c>
    </row>
    <row r="12" spans="2:23" x14ac:dyDescent="0.25">
      <c r="B12" s="326" t="s">
        <v>106</v>
      </c>
      <c r="C12" s="326"/>
      <c r="D12" s="9"/>
      <c r="E12" s="1"/>
      <c r="F12" s="3" t="s">
        <v>107</v>
      </c>
      <c r="G12" s="13"/>
      <c r="H12" s="23"/>
      <c r="J12" s="16">
        <f t="shared" si="3"/>
        <v>2.4570669477666919E-3</v>
      </c>
      <c r="K12" s="13">
        <f t="shared" si="0"/>
        <v>122</v>
      </c>
      <c r="L12" s="13">
        <f t="shared" si="1"/>
        <v>2.5342660218407656E-3</v>
      </c>
      <c r="M12" s="17">
        <f t="shared" si="2"/>
        <v>7.7199074074073715E-5</v>
      </c>
    </row>
    <row r="13" spans="2:23" ht="17.25" x14ac:dyDescent="0.25">
      <c r="B13" s="326" t="str">
        <f>"Eficiencia crítica para sedimentador de "&amp;F12</f>
        <v>Eficiencia crítica para sedimentador de Placas paralelas</v>
      </c>
      <c r="C13" s="326"/>
      <c r="D13" s="8" t="s">
        <v>108</v>
      </c>
      <c r="E13" s="2"/>
      <c r="F13" s="4">
        <v>1</v>
      </c>
      <c r="G13" s="13"/>
      <c r="H13" s="23"/>
      <c r="J13" s="16">
        <f t="shared" si="3"/>
        <v>2.5342660218407656E-3</v>
      </c>
      <c r="K13" s="13">
        <f t="shared" si="0"/>
        <v>126</v>
      </c>
      <c r="L13" s="13">
        <f t="shared" si="1"/>
        <v>2.5033863922111362E-3</v>
      </c>
      <c r="M13" s="17">
        <f t="shared" si="2"/>
        <v>-3.0879629629629399E-5</v>
      </c>
      <c r="V13" s="12" t="e">
        <f>P13*R13/T14</f>
        <v>#DIV/0!</v>
      </c>
      <c r="W13" s="12" t="s">
        <v>8</v>
      </c>
    </row>
    <row r="14" spans="2:23" ht="15" customHeight="1" x14ac:dyDescent="0.25">
      <c r="B14" s="326" t="s">
        <v>22</v>
      </c>
      <c r="C14" s="326"/>
      <c r="D14" s="9" t="s">
        <v>11</v>
      </c>
      <c r="E14" s="1" t="s">
        <v>3</v>
      </c>
      <c r="F14" s="32">
        <v>0.05</v>
      </c>
      <c r="G14" s="20" t="s">
        <v>36</v>
      </c>
      <c r="H14" s="90"/>
      <c r="J14" s="16">
        <f t="shared" si="3"/>
        <v>2.5033863922111362E-3</v>
      </c>
      <c r="K14" s="13">
        <f t="shared" si="0"/>
        <v>124</v>
      </c>
      <c r="L14" s="13">
        <f t="shared" si="1"/>
        <v>2.5188262070259511E-3</v>
      </c>
      <c r="M14" s="17">
        <f t="shared" si="2"/>
        <v>1.5439814814814917E-5</v>
      </c>
      <c r="W14" s="12" t="s">
        <v>9</v>
      </c>
    </row>
    <row r="15" spans="2:23" ht="17.25" x14ac:dyDescent="0.25">
      <c r="B15" s="326" t="s">
        <v>15</v>
      </c>
      <c r="C15" s="326"/>
      <c r="D15" s="9" t="s">
        <v>105</v>
      </c>
      <c r="E15" s="1" t="s">
        <v>4</v>
      </c>
      <c r="F15" s="3">
        <v>23</v>
      </c>
      <c r="G15" s="20" t="s">
        <v>38</v>
      </c>
      <c r="H15" s="90"/>
      <c r="J15" s="16">
        <f t="shared" si="3"/>
        <v>2.5188262070259511E-3</v>
      </c>
      <c r="K15" s="13">
        <f t="shared" si="0"/>
        <v>125</v>
      </c>
      <c r="L15" s="13">
        <f t="shared" si="1"/>
        <v>2.5111062996185434E-3</v>
      </c>
      <c r="M15" s="17">
        <f t="shared" si="2"/>
        <v>-7.7199074074076751E-6</v>
      </c>
    </row>
    <row r="16" spans="2:23" ht="17.25" x14ac:dyDescent="0.25">
      <c r="B16" s="326" t="s">
        <v>15</v>
      </c>
      <c r="C16" s="326"/>
      <c r="D16" s="9" t="s">
        <v>105</v>
      </c>
      <c r="E16" s="1" t="s">
        <v>5</v>
      </c>
      <c r="F16" s="21">
        <f>F15/86400</f>
        <v>2.6620370370370372E-4</v>
      </c>
      <c r="G16" s="13"/>
      <c r="H16" s="23"/>
      <c r="J16" s="16">
        <f t="shared" si="3"/>
        <v>2.5111062996185434E-3</v>
      </c>
      <c r="K16" s="13">
        <f t="shared" si="0"/>
        <v>125</v>
      </c>
      <c r="L16" s="13">
        <f t="shared" si="1"/>
        <v>2.5111062996185434E-3</v>
      </c>
      <c r="M16" s="17">
        <f t="shared" si="2"/>
        <v>0</v>
      </c>
    </row>
    <row r="17" spans="2:13" ht="17.25" x14ac:dyDescent="0.25">
      <c r="B17" s="326" t="s">
        <v>15</v>
      </c>
      <c r="C17" s="326"/>
      <c r="D17" s="9" t="s">
        <v>105</v>
      </c>
      <c r="E17" s="1" t="s">
        <v>6</v>
      </c>
      <c r="F17" s="21">
        <f>F16*100</f>
        <v>2.6620370370370371E-2</v>
      </c>
      <c r="G17" s="13" t="s">
        <v>7</v>
      </c>
      <c r="H17" s="23"/>
      <c r="J17" s="16">
        <f t="shared" si="3"/>
        <v>2.5111062996185434E-3</v>
      </c>
      <c r="K17" s="13">
        <f t="shared" si="0"/>
        <v>125</v>
      </c>
      <c r="L17" s="13">
        <f t="shared" si="1"/>
        <v>2.5111062996185434E-3</v>
      </c>
      <c r="M17" s="17">
        <f t="shared" si="2"/>
        <v>0</v>
      </c>
    </row>
    <row r="18" spans="2:13" x14ac:dyDescent="0.25">
      <c r="B18" s="326" t="s">
        <v>16</v>
      </c>
      <c r="C18" s="326"/>
      <c r="D18" s="9" t="s">
        <v>12</v>
      </c>
      <c r="E18" s="1" t="s">
        <v>3</v>
      </c>
      <c r="F18" s="32">
        <v>1.2192000000000001</v>
      </c>
      <c r="G18" s="13"/>
      <c r="H18" s="23"/>
      <c r="J18" s="16">
        <f t="shared" si="3"/>
        <v>2.5111062996185434E-3</v>
      </c>
      <c r="K18" s="13">
        <f t="shared" si="0"/>
        <v>125</v>
      </c>
      <c r="L18" s="13">
        <f t="shared" si="1"/>
        <v>2.5111062996185434E-3</v>
      </c>
      <c r="M18" s="17">
        <f t="shared" si="2"/>
        <v>0</v>
      </c>
    </row>
    <row r="19" spans="2:13" x14ac:dyDescent="0.25">
      <c r="B19" s="326" t="s">
        <v>17</v>
      </c>
      <c r="C19" s="326"/>
      <c r="D19" s="177" t="s">
        <v>13</v>
      </c>
      <c r="E19" s="26" t="s">
        <v>3</v>
      </c>
      <c r="F19" s="33">
        <v>4.0000000000000001E-3</v>
      </c>
      <c r="G19" s="13"/>
      <c r="H19" s="23"/>
      <c r="J19" s="16">
        <f t="shared" si="3"/>
        <v>2.5111062996185434E-3</v>
      </c>
      <c r="K19" s="13">
        <f t="shared" si="0"/>
        <v>125</v>
      </c>
      <c r="L19" s="13">
        <f t="shared" si="1"/>
        <v>2.5111062996185434E-3</v>
      </c>
      <c r="M19" s="17">
        <f t="shared" si="2"/>
        <v>0</v>
      </c>
    </row>
    <row r="20" spans="2:13" x14ac:dyDescent="0.25">
      <c r="B20" s="326" t="s">
        <v>18</v>
      </c>
      <c r="C20" s="326"/>
      <c r="D20" s="9" t="s">
        <v>14</v>
      </c>
      <c r="E20" s="1" t="s">
        <v>3</v>
      </c>
      <c r="F20" s="32">
        <v>1.2192000000000001</v>
      </c>
      <c r="G20" s="13"/>
      <c r="H20" s="23"/>
      <c r="J20" s="16">
        <f t="shared" ref="J20:J30" si="4">L19</f>
        <v>2.5111062996185434E-3</v>
      </c>
      <c r="K20" s="13">
        <f t="shared" ref="K20:K30" si="5">ROUND(J20*$F$14/$F$11,0)</f>
        <v>125</v>
      </c>
      <c r="L20" s="13">
        <f t="shared" si="1"/>
        <v>2.5111062996185434E-3</v>
      </c>
      <c r="M20" s="17">
        <f t="shared" ref="M20:M30" si="6">L20-J20</f>
        <v>0</v>
      </c>
    </row>
    <row r="21" spans="2:13" x14ac:dyDescent="0.25">
      <c r="B21" s="326" t="s">
        <v>19</v>
      </c>
      <c r="C21" s="326"/>
      <c r="D21" s="7" t="s">
        <v>24</v>
      </c>
      <c r="E21" s="1" t="s">
        <v>23</v>
      </c>
      <c r="F21" s="88">
        <v>60</v>
      </c>
      <c r="G21" s="13"/>
      <c r="H21" s="23"/>
      <c r="J21" s="16">
        <f t="shared" si="4"/>
        <v>2.5111062996185434E-3</v>
      </c>
      <c r="K21" s="13">
        <f t="shared" si="5"/>
        <v>125</v>
      </c>
      <c r="L21" s="13">
        <f t="shared" si="1"/>
        <v>2.5111062996185434E-3</v>
      </c>
      <c r="M21" s="17">
        <f t="shared" si="6"/>
        <v>0</v>
      </c>
    </row>
    <row r="22" spans="2:13" x14ac:dyDescent="0.25">
      <c r="B22" s="34"/>
      <c r="C22" s="34"/>
      <c r="D22" s="39"/>
      <c r="E22" s="5"/>
      <c r="F22" s="37"/>
      <c r="G22" s="23"/>
      <c r="H22" s="23"/>
      <c r="J22" s="16">
        <f t="shared" si="4"/>
        <v>2.5111062996185434E-3</v>
      </c>
      <c r="K22" s="13">
        <f t="shared" si="5"/>
        <v>125</v>
      </c>
      <c r="L22" s="13">
        <f t="shared" si="1"/>
        <v>2.5111062996185434E-3</v>
      </c>
      <c r="M22" s="17">
        <f t="shared" si="6"/>
        <v>0</v>
      </c>
    </row>
    <row r="23" spans="2:13" x14ac:dyDescent="0.25">
      <c r="B23" s="40" t="s">
        <v>151</v>
      </c>
      <c r="C23" s="34"/>
      <c r="D23" s="39"/>
      <c r="E23" s="5"/>
      <c r="F23" s="37"/>
      <c r="G23" s="23"/>
      <c r="H23" s="23"/>
      <c r="J23" s="16">
        <f t="shared" si="4"/>
        <v>2.5111062996185434E-3</v>
      </c>
      <c r="K23" s="13">
        <f t="shared" si="5"/>
        <v>125</v>
      </c>
      <c r="L23" s="13">
        <f t="shared" si="1"/>
        <v>2.5111062996185434E-3</v>
      </c>
      <c r="M23" s="17">
        <f t="shared" si="6"/>
        <v>0</v>
      </c>
    </row>
    <row r="24" spans="2:13" ht="17.25" x14ac:dyDescent="0.25">
      <c r="B24" s="326" t="s">
        <v>52</v>
      </c>
      <c r="C24" s="326"/>
      <c r="D24" s="9" t="s">
        <v>46</v>
      </c>
      <c r="E24" s="1" t="s">
        <v>3</v>
      </c>
      <c r="F24" s="27">
        <v>0.6</v>
      </c>
      <c r="G24" s="20" t="s">
        <v>49</v>
      </c>
      <c r="H24" s="90"/>
      <c r="J24" s="16">
        <f t="shared" si="4"/>
        <v>2.5111062996185434E-3</v>
      </c>
      <c r="K24" s="13">
        <f t="shared" si="5"/>
        <v>125</v>
      </c>
      <c r="L24" s="13">
        <f t="shared" si="1"/>
        <v>2.5111062996185434E-3</v>
      </c>
      <c r="M24" s="17">
        <f t="shared" si="6"/>
        <v>0</v>
      </c>
    </row>
    <row r="25" spans="2:13" ht="17.25" x14ac:dyDescent="0.25">
      <c r="B25" s="329" t="s">
        <v>58</v>
      </c>
      <c r="C25" s="330"/>
      <c r="D25" s="28" t="s">
        <v>158</v>
      </c>
      <c r="E25" s="1" t="s">
        <v>3</v>
      </c>
      <c r="F25" s="27">
        <v>0.6</v>
      </c>
      <c r="G25" s="20" t="s">
        <v>55</v>
      </c>
      <c r="H25" s="90"/>
      <c r="J25" s="16">
        <f t="shared" si="4"/>
        <v>2.5111062996185434E-3</v>
      </c>
      <c r="K25" s="13">
        <f t="shared" si="5"/>
        <v>125</v>
      </c>
      <c r="L25" s="13">
        <f t="shared" si="1"/>
        <v>2.5111062996185434E-3</v>
      </c>
      <c r="M25" s="17">
        <f t="shared" si="6"/>
        <v>0</v>
      </c>
    </row>
    <row r="26" spans="2:13" x14ac:dyDescent="0.25">
      <c r="B26" s="326" t="s">
        <v>53</v>
      </c>
      <c r="C26" s="326"/>
      <c r="D26" s="9" t="s">
        <v>54</v>
      </c>
      <c r="E26" s="1" t="s">
        <v>3</v>
      </c>
      <c r="F26" s="27">
        <v>0.3</v>
      </c>
      <c r="G26" s="20" t="s">
        <v>59</v>
      </c>
      <c r="H26" s="90"/>
      <c r="J26" s="16">
        <f t="shared" si="4"/>
        <v>2.5111062996185434E-3</v>
      </c>
      <c r="K26" s="13">
        <f t="shared" si="5"/>
        <v>125</v>
      </c>
      <c r="L26" s="13">
        <f t="shared" si="1"/>
        <v>2.5111062996185434E-3</v>
      </c>
      <c r="M26" s="17">
        <f t="shared" si="6"/>
        <v>0</v>
      </c>
    </row>
    <row r="27" spans="2:13" ht="17.25" x14ac:dyDescent="0.25">
      <c r="B27" s="329" t="s">
        <v>67</v>
      </c>
      <c r="C27" s="330"/>
      <c r="D27" s="9" t="s">
        <v>63</v>
      </c>
      <c r="E27" s="1" t="s">
        <v>3</v>
      </c>
      <c r="F27" s="27">
        <v>0.2</v>
      </c>
      <c r="G27" s="20"/>
      <c r="H27" s="90"/>
      <c r="J27" s="16">
        <f t="shared" si="4"/>
        <v>2.5111062996185434E-3</v>
      </c>
      <c r="K27" s="13">
        <f t="shared" si="5"/>
        <v>125</v>
      </c>
      <c r="L27" s="13">
        <f t="shared" si="1"/>
        <v>2.5111062996185434E-3</v>
      </c>
      <c r="M27" s="17">
        <f t="shared" si="6"/>
        <v>0</v>
      </c>
    </row>
    <row r="28" spans="2:13" ht="17.25" x14ac:dyDescent="0.25">
      <c r="B28" s="329" t="s">
        <v>74</v>
      </c>
      <c r="C28" s="330"/>
      <c r="D28" s="9" t="s">
        <v>75</v>
      </c>
      <c r="E28" s="1" t="s">
        <v>3</v>
      </c>
      <c r="F28" s="27">
        <v>0.3</v>
      </c>
      <c r="G28" s="20"/>
      <c r="H28" s="90"/>
      <c r="J28" s="16">
        <f t="shared" si="4"/>
        <v>2.5111062996185434E-3</v>
      </c>
      <c r="K28" s="13">
        <f t="shared" si="5"/>
        <v>125</v>
      </c>
      <c r="L28" s="13">
        <f t="shared" si="1"/>
        <v>2.5111062996185434E-3</v>
      </c>
      <c r="M28" s="17">
        <f t="shared" si="6"/>
        <v>0</v>
      </c>
    </row>
    <row r="29" spans="2:13" x14ac:dyDescent="0.25">
      <c r="B29" s="10" t="s">
        <v>76</v>
      </c>
      <c r="C29" s="10"/>
      <c r="D29" s="9" t="s">
        <v>85</v>
      </c>
      <c r="E29" s="1" t="s">
        <v>23</v>
      </c>
      <c r="F29" s="29">
        <v>55</v>
      </c>
      <c r="G29" s="20" t="s">
        <v>77</v>
      </c>
      <c r="H29" s="90"/>
      <c r="J29" s="16">
        <f t="shared" si="4"/>
        <v>2.5111062996185434E-3</v>
      </c>
      <c r="K29" s="13">
        <f t="shared" si="5"/>
        <v>125</v>
      </c>
      <c r="L29" s="13">
        <f t="shared" si="1"/>
        <v>2.5111062996185434E-3</v>
      </c>
      <c r="M29" s="17">
        <f t="shared" si="6"/>
        <v>0</v>
      </c>
    </row>
    <row r="30" spans="2:13" ht="17.25" x14ac:dyDescent="0.25">
      <c r="B30" s="326" t="s">
        <v>81</v>
      </c>
      <c r="C30" s="326"/>
      <c r="D30" s="9" t="s">
        <v>84</v>
      </c>
      <c r="E30" s="1" t="s">
        <v>3</v>
      </c>
      <c r="F30" s="27">
        <v>0.1</v>
      </c>
      <c r="G30" s="20" t="s">
        <v>82</v>
      </c>
      <c r="H30" s="90"/>
      <c r="J30" s="16">
        <f t="shared" si="4"/>
        <v>2.5111062996185434E-3</v>
      </c>
      <c r="K30" s="13">
        <f t="shared" si="5"/>
        <v>125</v>
      </c>
      <c r="L30" s="13">
        <f t="shared" si="1"/>
        <v>2.5111062996185434E-3</v>
      </c>
      <c r="M30" s="17">
        <f t="shared" si="6"/>
        <v>0</v>
      </c>
    </row>
    <row r="31" spans="2:13" x14ac:dyDescent="0.25">
      <c r="B31" s="327"/>
      <c r="C31" s="327"/>
      <c r="D31" s="11"/>
      <c r="E31" s="5"/>
      <c r="F31" s="6"/>
      <c r="J31" s="22"/>
      <c r="K31" s="23"/>
      <c r="L31" s="23"/>
      <c r="M31" s="24"/>
    </row>
    <row r="32" spans="2:13" x14ac:dyDescent="0.25">
      <c r="B32" s="322" t="s">
        <v>152</v>
      </c>
      <c r="C32" s="322"/>
      <c r="D32" s="322"/>
      <c r="E32" s="322"/>
      <c r="F32" s="322"/>
      <c r="G32" s="322"/>
      <c r="H32" s="66"/>
      <c r="J32" s="22"/>
      <c r="K32" s="23"/>
      <c r="L32" s="23"/>
      <c r="M32" s="24"/>
    </row>
    <row r="33" spans="2:17" ht="17.25" x14ac:dyDescent="0.25">
      <c r="B33" s="331" t="s">
        <v>162</v>
      </c>
      <c r="C33" s="331"/>
      <c r="D33" s="7" t="s">
        <v>157</v>
      </c>
      <c r="E33" s="1" t="s">
        <v>28</v>
      </c>
      <c r="F33" s="87">
        <v>10</v>
      </c>
      <c r="G33" s="13"/>
      <c r="H33" s="23"/>
      <c r="J33" s="22"/>
      <c r="K33" s="23"/>
      <c r="L33" s="23"/>
      <c r="M33" s="24"/>
    </row>
    <row r="34" spans="2:17" ht="17.25" x14ac:dyDescent="0.25">
      <c r="B34" s="332" t="s">
        <v>165</v>
      </c>
      <c r="C34" s="333"/>
      <c r="D34" s="7" t="s">
        <v>166</v>
      </c>
      <c r="E34" s="1" t="s">
        <v>5</v>
      </c>
      <c r="F34" s="87">
        <v>0.01</v>
      </c>
      <c r="G34" s="20" t="s">
        <v>167</v>
      </c>
      <c r="H34" s="23"/>
      <c r="J34" s="22"/>
      <c r="K34" s="23"/>
      <c r="L34" s="23"/>
      <c r="M34" s="24"/>
    </row>
    <row r="35" spans="2:17" x14ac:dyDescent="0.25">
      <c r="B35" s="63"/>
      <c r="C35" s="63"/>
      <c r="D35" s="11"/>
      <c r="E35" s="5"/>
      <c r="F35" s="6"/>
      <c r="J35" s="22"/>
      <c r="K35" s="23"/>
      <c r="L35" s="23"/>
      <c r="M35" s="24"/>
    </row>
    <row r="36" spans="2:17" x14ac:dyDescent="0.25">
      <c r="B36" s="30" t="s">
        <v>47</v>
      </c>
      <c r="C36" s="30"/>
      <c r="D36" s="11"/>
      <c r="E36" s="5"/>
      <c r="F36" s="6"/>
      <c r="J36" s="22"/>
      <c r="K36" s="23"/>
      <c r="L36" s="23"/>
      <c r="M36" s="24"/>
    </row>
    <row r="37" spans="2:17" ht="39.950000000000003" customHeight="1" x14ac:dyDescent="3.5">
      <c r="B37" s="326" t="s">
        <v>128</v>
      </c>
      <c r="C37" s="326"/>
      <c r="D37" s="38" t="s">
        <v>258</v>
      </c>
      <c r="E37" s="1" t="s">
        <v>5</v>
      </c>
      <c r="F37" s="31">
        <f>J9</f>
        <v>3.4760947255444699E-3</v>
      </c>
      <c r="G37" s="314"/>
      <c r="H37" s="316"/>
      <c r="I37" s="336" t="s">
        <v>72</v>
      </c>
      <c r="J37" s="337"/>
      <c r="K37" s="337"/>
      <c r="L37" s="337"/>
      <c r="M37" s="337"/>
      <c r="N37" s="338"/>
    </row>
    <row r="38" spans="2:17" ht="75" customHeight="1" x14ac:dyDescent="0.25">
      <c r="B38" s="328" t="s">
        <v>42</v>
      </c>
      <c r="C38" s="328"/>
      <c r="D38" s="45" t="s">
        <v>135</v>
      </c>
      <c r="E38" s="46" t="s">
        <v>5</v>
      </c>
      <c r="F38" s="47">
        <f>ROUND(MIN(J16:J30),5)</f>
        <v>2.5100000000000001E-3</v>
      </c>
      <c r="G38" s="314"/>
      <c r="H38" s="316"/>
      <c r="I38" s="314"/>
      <c r="J38" s="315"/>
      <c r="K38" s="315"/>
      <c r="L38" s="315"/>
      <c r="M38" s="315"/>
      <c r="N38" s="316"/>
    </row>
    <row r="39" spans="2:17" ht="69.95" customHeight="1" x14ac:dyDescent="0.25">
      <c r="B39" s="328" t="s">
        <v>43</v>
      </c>
      <c r="C39" s="328"/>
      <c r="D39" s="45" t="s">
        <v>135</v>
      </c>
      <c r="E39" s="46" t="s">
        <v>5</v>
      </c>
      <c r="F39" s="58">
        <f>ROUND((F16/F13*(SIN(F21*PI()/180)+(F18/F14)*COS(F21*PI()/180)))/(1+0.058*(F16/F13)*(F14/F11)*COS(F21*PI()/180)),5)</f>
        <v>2.5100000000000001E-3</v>
      </c>
      <c r="G39" s="314"/>
      <c r="H39" s="316"/>
      <c r="I39" s="314"/>
      <c r="J39" s="315"/>
      <c r="K39" s="315"/>
      <c r="L39" s="315"/>
      <c r="M39" s="315"/>
      <c r="N39" s="316"/>
    </row>
    <row r="40" spans="2:17" ht="39.950000000000003" customHeight="1" x14ac:dyDescent="0.25">
      <c r="B40" s="328" t="s">
        <v>26</v>
      </c>
      <c r="C40" s="328"/>
      <c r="D40" s="45" t="s">
        <v>259</v>
      </c>
      <c r="E40" s="46" t="s">
        <v>70</v>
      </c>
      <c r="F40" s="44">
        <f>(F18/F39)/60</f>
        <v>8.095617529880478</v>
      </c>
      <c r="G40" s="314"/>
      <c r="H40" s="316"/>
      <c r="I40" s="314"/>
      <c r="J40" s="315"/>
      <c r="K40" s="315"/>
      <c r="L40" s="315"/>
      <c r="M40" s="315"/>
      <c r="N40" s="316"/>
    </row>
    <row r="41" spans="2:17" ht="39.950000000000003" customHeight="1" x14ac:dyDescent="0.25">
      <c r="B41" s="328" t="s">
        <v>44</v>
      </c>
      <c r="C41" s="328"/>
      <c r="D41" s="45" t="s">
        <v>27</v>
      </c>
      <c r="E41" s="46" t="s">
        <v>28</v>
      </c>
      <c r="F41" s="49">
        <f>ROUND(F10/(F20*F14*F39),0)</f>
        <v>94</v>
      </c>
      <c r="G41" s="314"/>
      <c r="H41" s="316"/>
      <c r="I41" s="314"/>
      <c r="J41" s="315"/>
      <c r="K41" s="315"/>
      <c r="L41" s="315"/>
      <c r="M41" s="315"/>
      <c r="N41" s="316"/>
    </row>
    <row r="42" spans="2:17" ht="39.950000000000003" customHeight="1" x14ac:dyDescent="0.25">
      <c r="B42" s="328" t="s">
        <v>29</v>
      </c>
      <c r="C42" s="328"/>
      <c r="D42" s="45" t="s">
        <v>260</v>
      </c>
      <c r="E42" s="46" t="s">
        <v>3</v>
      </c>
      <c r="F42" s="73">
        <f>((F41*F14+(F41-1)*F19)/SIN(F21*PI()/180))</f>
        <v>5.8566411306595638</v>
      </c>
      <c r="G42" s="314"/>
      <c r="H42" s="316"/>
      <c r="I42" s="323" t="s">
        <v>129</v>
      </c>
      <c r="J42" s="324"/>
      <c r="K42" s="324"/>
      <c r="L42" s="324"/>
      <c r="M42" s="324"/>
      <c r="N42" s="325"/>
      <c r="O42" s="74"/>
    </row>
    <row r="43" spans="2:17" ht="30" customHeight="1" x14ac:dyDescent="0.25">
      <c r="B43" s="328" t="s">
        <v>30</v>
      </c>
      <c r="C43" s="328"/>
      <c r="D43" s="45" t="s">
        <v>261</v>
      </c>
      <c r="E43" s="46" t="s">
        <v>3</v>
      </c>
      <c r="F43" s="73">
        <f>F18*SIN(F21*PI()/180)</f>
        <v>1.0558581722939875</v>
      </c>
      <c r="G43" s="314"/>
      <c r="H43" s="316"/>
      <c r="I43" s="314"/>
      <c r="J43" s="315"/>
      <c r="K43" s="315"/>
      <c r="L43" s="315"/>
      <c r="M43" s="315"/>
      <c r="N43" s="316"/>
    </row>
    <row r="44" spans="2:17" ht="39.950000000000003" customHeight="1" x14ac:dyDescent="0.25">
      <c r="B44" s="310" t="s">
        <v>48</v>
      </c>
      <c r="C44" s="311"/>
      <c r="D44" s="56" t="s">
        <v>262</v>
      </c>
      <c r="E44" s="46" t="s">
        <v>3</v>
      </c>
      <c r="F44" s="44">
        <f>1.5*F24</f>
        <v>0.89999999999999991</v>
      </c>
      <c r="G44" s="314"/>
      <c r="H44" s="316"/>
      <c r="I44" s="314"/>
      <c r="J44" s="315"/>
      <c r="K44" s="315"/>
      <c r="L44" s="315"/>
      <c r="M44" s="315"/>
      <c r="N44" s="316"/>
    </row>
    <row r="45" spans="2:17" ht="39.950000000000003" customHeight="1" x14ac:dyDescent="0.25">
      <c r="B45" s="310" t="s">
        <v>177</v>
      </c>
      <c r="C45" s="311"/>
      <c r="D45" s="56" t="s">
        <v>263</v>
      </c>
      <c r="E45" s="46" t="s">
        <v>28</v>
      </c>
      <c r="F45" s="44">
        <f>ROUNDDOWN(F42/F44,0)</f>
        <v>6</v>
      </c>
      <c r="G45" s="92"/>
      <c r="H45" s="93"/>
      <c r="I45" s="92"/>
      <c r="J45" s="94"/>
      <c r="K45" s="94"/>
      <c r="L45" s="94"/>
      <c r="M45" s="94"/>
      <c r="N45" s="93"/>
    </row>
    <row r="46" spans="2:17" ht="39.950000000000003" customHeight="1" x14ac:dyDescent="0.25">
      <c r="B46" s="310" t="s">
        <v>179</v>
      </c>
      <c r="C46" s="311"/>
      <c r="D46" s="56" t="s">
        <v>262</v>
      </c>
      <c r="E46" s="46" t="s">
        <v>3</v>
      </c>
      <c r="F46" s="85">
        <f>F42/F45</f>
        <v>0.97610685510992734</v>
      </c>
      <c r="G46" s="92"/>
      <c r="H46" s="93"/>
      <c r="I46" s="92"/>
      <c r="J46" s="94"/>
      <c r="K46" s="94"/>
      <c r="L46" s="94"/>
      <c r="M46" s="94"/>
      <c r="N46" s="93"/>
    </row>
    <row r="47" spans="2:17" ht="30" customHeight="1" x14ac:dyDescent="0.25">
      <c r="B47" s="328" t="s">
        <v>62</v>
      </c>
      <c r="C47" s="328"/>
      <c r="D47" s="56" t="s">
        <v>264</v>
      </c>
      <c r="E47" s="46" t="s">
        <v>3</v>
      </c>
      <c r="F47" s="72">
        <f>F25+F43+F24</f>
        <v>2.2558581722939874</v>
      </c>
      <c r="G47" s="314"/>
      <c r="H47" s="316"/>
      <c r="I47" s="314"/>
      <c r="J47" s="315"/>
      <c r="K47" s="315"/>
      <c r="L47" s="315"/>
      <c r="M47" s="315"/>
      <c r="N47" s="316"/>
      <c r="Q47" s="12">
        <f>6*0.0254</f>
        <v>0.15239999999999998</v>
      </c>
    </row>
    <row r="48" spans="2:17" ht="30" customHeight="1" x14ac:dyDescent="0.25">
      <c r="B48" s="310" t="s">
        <v>69</v>
      </c>
      <c r="C48" s="311"/>
      <c r="D48" s="56" t="s">
        <v>265</v>
      </c>
      <c r="E48" s="46" t="s">
        <v>141</v>
      </c>
      <c r="F48" s="44">
        <f>F47*F42*F20-(F41-1)*F18*F20*F19</f>
        <v>15.554808847800167</v>
      </c>
      <c r="G48" s="314"/>
      <c r="H48" s="316"/>
      <c r="I48" s="323" t="s">
        <v>130</v>
      </c>
      <c r="J48" s="324"/>
      <c r="K48" s="324"/>
      <c r="L48" s="324"/>
      <c r="M48" s="324"/>
      <c r="N48" s="325"/>
      <c r="Q48" s="75">
        <f>Q47/2</f>
        <v>7.619999999999999E-2</v>
      </c>
    </row>
    <row r="49" spans="2:19" ht="39.950000000000003" customHeight="1" x14ac:dyDescent="0.25">
      <c r="B49" s="328" t="s">
        <v>68</v>
      </c>
      <c r="C49" s="328"/>
      <c r="D49" s="56" t="s">
        <v>266</v>
      </c>
      <c r="E49" s="46" t="s">
        <v>70</v>
      </c>
      <c r="F49" s="57">
        <f>(F48/F10)/60</f>
        <v>18.110151179182871</v>
      </c>
      <c r="G49" s="314"/>
      <c r="H49" s="316"/>
      <c r="I49" s="314"/>
      <c r="J49" s="315"/>
      <c r="K49" s="315"/>
      <c r="L49" s="315"/>
      <c r="M49" s="315"/>
      <c r="N49" s="316"/>
      <c r="Q49" s="12">
        <f>Q48/3</f>
        <v>2.5399999999999995E-2</v>
      </c>
    </row>
    <row r="50" spans="2:19" ht="39.950000000000003" customHeight="1" x14ac:dyDescent="0.25">
      <c r="B50" s="310" t="s">
        <v>90</v>
      </c>
      <c r="C50" s="311"/>
      <c r="D50" s="56" t="s">
        <v>91</v>
      </c>
      <c r="E50" s="46" t="s">
        <v>143</v>
      </c>
      <c r="F50" s="57">
        <f>F10*86400/(F42*F20)</f>
        <v>173.21341640466753</v>
      </c>
      <c r="G50" s="314"/>
      <c r="H50" s="316"/>
      <c r="I50" s="314"/>
      <c r="J50" s="315"/>
      <c r="K50" s="315"/>
      <c r="L50" s="315"/>
      <c r="M50" s="315"/>
      <c r="N50" s="316"/>
      <c r="Q50" s="12">
        <f>Q49/2</f>
        <v>1.2699999999999998E-2</v>
      </c>
      <c r="S50" s="12">
        <f>36/8</f>
        <v>4.5</v>
      </c>
    </row>
    <row r="51" spans="2:19" ht="39.950000000000003" customHeight="1" x14ac:dyDescent="0.25">
      <c r="B51" s="328" t="s">
        <v>149</v>
      </c>
      <c r="C51" s="328"/>
      <c r="D51" s="56" t="s">
        <v>73</v>
      </c>
      <c r="E51" s="46"/>
      <c r="F51" s="61" t="str">
        <f>"1: "&amp;ROUND(F42/F20,1)</f>
        <v>1: 4,8</v>
      </c>
      <c r="G51" s="314"/>
      <c r="H51" s="316"/>
      <c r="I51" s="314"/>
      <c r="J51" s="315"/>
      <c r="K51" s="315"/>
      <c r="L51" s="315"/>
      <c r="M51" s="315"/>
      <c r="N51" s="316"/>
    </row>
    <row r="52" spans="2:19" ht="39.950000000000003" customHeight="1" x14ac:dyDescent="0.25">
      <c r="B52" s="310" t="s">
        <v>80</v>
      </c>
      <c r="C52" s="311"/>
      <c r="D52" s="56" t="s">
        <v>267</v>
      </c>
      <c r="E52" s="46" t="s">
        <v>3</v>
      </c>
      <c r="F52" s="71">
        <f>((F20-F30)/2)*TAN(F29*PI()/180)</f>
        <v>0.79919162457288717</v>
      </c>
      <c r="G52" s="314"/>
      <c r="H52" s="316"/>
      <c r="I52" s="314"/>
      <c r="J52" s="315"/>
      <c r="K52" s="315"/>
      <c r="L52" s="315"/>
      <c r="M52" s="315"/>
      <c r="N52" s="316"/>
    </row>
    <row r="53" spans="2:19" ht="30" customHeight="1" x14ac:dyDescent="0.25">
      <c r="B53" s="310" t="s">
        <v>87</v>
      </c>
      <c r="C53" s="311"/>
      <c r="D53" s="56" t="s">
        <v>268</v>
      </c>
      <c r="E53" s="46" t="s">
        <v>3</v>
      </c>
      <c r="F53" s="47">
        <f>2*F28+F42</f>
        <v>6.4566411306595635</v>
      </c>
      <c r="G53" s="314"/>
      <c r="H53" s="316"/>
      <c r="I53" s="314"/>
      <c r="J53" s="315"/>
      <c r="K53" s="315"/>
      <c r="L53" s="315"/>
      <c r="M53" s="315"/>
      <c r="N53" s="316"/>
    </row>
    <row r="54" spans="2:19" ht="30" customHeight="1" x14ac:dyDescent="0.25">
      <c r="B54" s="310" t="s">
        <v>89</v>
      </c>
      <c r="C54" s="311"/>
      <c r="D54" s="56" t="s">
        <v>269</v>
      </c>
      <c r="E54" s="46" t="s">
        <v>3</v>
      </c>
      <c r="F54" s="52">
        <f>(2*F28+F20)*F9+(F9-1)*F27</f>
        <v>7.8767999999999994</v>
      </c>
      <c r="G54" s="314"/>
      <c r="H54" s="316"/>
      <c r="I54" s="314"/>
      <c r="J54" s="315"/>
      <c r="K54" s="315"/>
      <c r="L54" s="315"/>
      <c r="M54" s="315"/>
      <c r="N54" s="316"/>
    </row>
    <row r="55" spans="2:19" ht="30" customHeight="1" x14ac:dyDescent="0.25">
      <c r="B55" s="328" t="s">
        <v>86</v>
      </c>
      <c r="C55" s="328"/>
      <c r="D55" s="56" t="s">
        <v>270</v>
      </c>
      <c r="E55" s="46" t="s">
        <v>3</v>
      </c>
      <c r="F55" s="70">
        <f>F28+F52+F25+F43+F24+F26</f>
        <v>3.6550497968668743</v>
      </c>
      <c r="G55" s="314"/>
      <c r="H55" s="316"/>
      <c r="I55" s="314"/>
      <c r="J55" s="315"/>
      <c r="K55" s="315"/>
      <c r="L55" s="315"/>
      <c r="M55" s="315"/>
      <c r="N55" s="316"/>
    </row>
    <row r="56" spans="2:19" ht="15" customHeight="1" x14ac:dyDescent="0.25">
      <c r="B56" s="80"/>
      <c r="C56" s="80"/>
      <c r="D56" s="81"/>
      <c r="E56" s="82"/>
      <c r="F56" s="84"/>
      <c r="G56" s="23"/>
      <c r="H56" s="23"/>
      <c r="I56" s="83"/>
      <c r="J56" s="83"/>
      <c r="K56" s="83"/>
      <c r="L56" s="83"/>
      <c r="M56" s="83"/>
      <c r="N56" s="83"/>
    </row>
    <row r="57" spans="2:19" ht="30" customHeight="1" x14ac:dyDescent="0.25">
      <c r="B57" s="86" t="s">
        <v>154</v>
      </c>
      <c r="C57" s="80"/>
      <c r="D57" s="81"/>
      <c r="E57" s="82"/>
      <c r="F57" s="84"/>
      <c r="G57" s="91"/>
      <c r="H57" s="23"/>
      <c r="I57" s="83"/>
      <c r="J57" s="83"/>
      <c r="K57" s="83"/>
      <c r="L57" s="83"/>
      <c r="M57" s="83"/>
      <c r="N57" s="83"/>
    </row>
    <row r="58" spans="2:19" ht="39.950000000000003" customHeight="1" x14ac:dyDescent="0.25">
      <c r="B58" s="310" t="s">
        <v>156</v>
      </c>
      <c r="C58" s="311"/>
      <c r="D58" s="56" t="s">
        <v>271</v>
      </c>
      <c r="E58" s="46" t="s">
        <v>3</v>
      </c>
      <c r="F58" s="85">
        <f>F42+F28</f>
        <v>6.1566411306595636</v>
      </c>
      <c r="G58" s="314"/>
      <c r="H58" s="316"/>
      <c r="I58" s="314"/>
      <c r="J58" s="315"/>
      <c r="K58" s="315"/>
      <c r="L58" s="315"/>
      <c r="M58" s="315"/>
      <c r="N58" s="316"/>
    </row>
    <row r="59" spans="2:19" ht="69.95" customHeight="1" x14ac:dyDescent="0.25">
      <c r="B59" s="310" t="s">
        <v>155</v>
      </c>
      <c r="C59" s="311"/>
      <c r="D59" s="56" t="s">
        <v>272</v>
      </c>
      <c r="E59" s="46" t="s">
        <v>153</v>
      </c>
      <c r="F59" s="95">
        <v>8</v>
      </c>
      <c r="G59" s="314"/>
      <c r="H59" s="316"/>
      <c r="I59" s="314"/>
      <c r="J59" s="315"/>
      <c r="K59" s="315"/>
      <c r="L59" s="315"/>
      <c r="M59" s="315"/>
      <c r="N59" s="316"/>
    </row>
    <row r="60" spans="2:19" ht="90" customHeight="1" x14ac:dyDescent="0.25">
      <c r="B60" s="310" t="s">
        <v>178</v>
      </c>
      <c r="C60" s="311"/>
      <c r="D60" s="56" t="s">
        <v>273</v>
      </c>
      <c r="E60" s="46" t="s">
        <v>3</v>
      </c>
      <c r="F60" s="50">
        <f>IF(F59=4,0.10342,IF(F59=6,0.15222,IF(F59=8,0.20942)))</f>
        <v>0.20942</v>
      </c>
      <c r="G60" s="314"/>
      <c r="H60" s="316"/>
      <c r="I60" s="67"/>
      <c r="J60" s="68"/>
      <c r="K60" s="68"/>
      <c r="L60" s="68"/>
      <c r="M60" s="68"/>
      <c r="N60" s="69"/>
    </row>
    <row r="61" spans="2:19" ht="50.1" customHeight="1" x14ac:dyDescent="0.25">
      <c r="B61" s="317" t="s">
        <v>161</v>
      </c>
      <c r="C61" s="317"/>
      <c r="D61" s="176" t="s">
        <v>274</v>
      </c>
      <c r="E61" s="46" t="s">
        <v>3</v>
      </c>
      <c r="F61" s="50">
        <f>F60*SQRT(0.4/F33)</f>
        <v>4.1884000000000005E-2</v>
      </c>
      <c r="G61" s="314"/>
      <c r="H61" s="316"/>
      <c r="I61" s="318"/>
      <c r="J61" s="319"/>
      <c r="K61" s="319"/>
      <c r="L61" s="319"/>
      <c r="M61" s="319"/>
      <c r="N61" s="320"/>
    </row>
    <row r="62" spans="2:19" ht="30" customHeight="1" x14ac:dyDescent="0.25">
      <c r="B62" s="317" t="s">
        <v>163</v>
      </c>
      <c r="C62" s="317"/>
      <c r="D62" s="176" t="s">
        <v>275</v>
      </c>
      <c r="E62" s="46" t="s">
        <v>153</v>
      </c>
      <c r="F62" s="102">
        <f>IF(AND(F61&gt;0.02363,F61&lt;0.0302),1,IF(AND(F61&gt;0.0302,F61&lt;0.03814),1.25,IF(AND(F61&gt;0.03814,F61&lt;0.04368),1.5,IF(AND(F61&gt;0.04368,F61&lt;0.05458),2,IF(AND(F61&gt;0.05458,F61&lt;0.06607),2.5,IF(AND(F61&gt;0.06607,F61&lt;0.08042),3,IF(AND(F61&gt;0.08042,F61&lt;0.10342),4)))))))</f>
        <v>1.5</v>
      </c>
      <c r="G62" s="312"/>
      <c r="H62" s="313"/>
      <c r="I62" s="76"/>
      <c r="J62" s="77"/>
      <c r="K62" s="77"/>
      <c r="L62" s="77"/>
      <c r="M62" s="77"/>
      <c r="N62" s="78"/>
    </row>
    <row r="63" spans="2:19" ht="52.5" customHeight="1" x14ac:dyDescent="0.25">
      <c r="B63" s="317" t="s">
        <v>172</v>
      </c>
      <c r="C63" s="317"/>
      <c r="D63" s="176" t="s">
        <v>274</v>
      </c>
      <c r="E63" s="46" t="s">
        <v>3</v>
      </c>
      <c r="F63" s="50">
        <f>IF(F62=1,0.0302,IF(F62=1.25,0.03814,IF(F62=1.5,0.04368,IF(F62=2,0.05458,IF(F62=2.5,0.06607,IF(F62=3,0.08042,IF(F62=4,0.10342,4)))))))</f>
        <v>4.3679999999999997E-2</v>
      </c>
      <c r="G63" s="314"/>
      <c r="H63" s="316"/>
      <c r="I63" s="98"/>
      <c r="J63" s="77"/>
      <c r="K63" s="77"/>
      <c r="L63" s="77"/>
      <c r="M63" s="77"/>
      <c r="N63" s="78"/>
    </row>
    <row r="64" spans="2:19" ht="47.25" customHeight="1" x14ac:dyDescent="0.25">
      <c r="B64" s="334" t="s">
        <v>173</v>
      </c>
      <c r="C64" s="335"/>
      <c r="D64" s="56"/>
      <c r="E64" s="46"/>
      <c r="F64" s="89">
        <f>(F63/F60)^2*F33</f>
        <v>0.4350397582251469</v>
      </c>
      <c r="G64" s="314"/>
      <c r="H64" s="316"/>
      <c r="I64" s="314"/>
      <c r="J64" s="315"/>
      <c r="K64" s="315"/>
      <c r="L64" s="315"/>
      <c r="M64" s="315"/>
      <c r="N64" s="316"/>
    </row>
    <row r="65" spans="2:14" ht="39.950000000000003" customHeight="1" x14ac:dyDescent="0.25">
      <c r="B65" s="317" t="s">
        <v>174</v>
      </c>
      <c r="C65" s="317"/>
      <c r="D65" s="176" t="s">
        <v>275</v>
      </c>
      <c r="E65" s="46" t="s">
        <v>153</v>
      </c>
      <c r="F65" s="89">
        <f>IF(AND(F64&gt;0.45,F62=1),1,IF(AND(F64&gt;0.45,F62=1.25),1,IF(AND(F64&gt;0.45,F62=2),1.5,IF(AND(F64&gt;0.45,F62=2.5),2,IF(AND(F64&gt;0.45,F62=3),2.5,IF(AND(F64&gt;0.45,F62=4),3,F62))))))</f>
        <v>1.5</v>
      </c>
      <c r="G65" s="92"/>
      <c r="H65" s="93"/>
      <c r="I65" s="92"/>
      <c r="J65" s="94"/>
      <c r="K65" s="94"/>
      <c r="L65" s="94"/>
      <c r="M65" s="94"/>
      <c r="N65" s="93"/>
    </row>
    <row r="66" spans="2:14" ht="39.950000000000003" customHeight="1" x14ac:dyDescent="0.25">
      <c r="B66" s="317" t="s">
        <v>175</v>
      </c>
      <c r="C66" s="317"/>
      <c r="D66" s="176" t="s">
        <v>274</v>
      </c>
      <c r="E66" s="46"/>
      <c r="F66" s="89">
        <f>IF(F65=1,0.0302,IF(F65=1.25,0.03814,IF(F65=1.5,0.04368,IF(F65=2,0.05458,IF(F65=2.5,0.06607,IF(F65=3,0.08042,IF(F65=4,0.10342,4)))))))</f>
        <v>4.3679999999999997E-2</v>
      </c>
      <c r="G66" s="314"/>
      <c r="H66" s="316"/>
      <c r="I66" s="92"/>
      <c r="J66" s="94"/>
      <c r="K66" s="94"/>
      <c r="L66" s="94"/>
      <c r="M66" s="94"/>
      <c r="N66" s="93"/>
    </row>
    <row r="67" spans="2:14" ht="39.950000000000003" customHeight="1" x14ac:dyDescent="0.25">
      <c r="B67" s="334" t="s">
        <v>164</v>
      </c>
      <c r="C67" s="335"/>
      <c r="D67" s="56"/>
      <c r="E67" s="46"/>
      <c r="F67" s="89">
        <f>(F66/F60)^2*F33</f>
        <v>0.4350397582251469</v>
      </c>
      <c r="G67" s="314"/>
      <c r="H67" s="316"/>
      <c r="I67" s="92"/>
      <c r="J67" s="101"/>
      <c r="K67" s="94"/>
      <c r="L67" s="94"/>
      <c r="M67" s="94"/>
      <c r="N67" s="93"/>
    </row>
    <row r="68" spans="2:14" ht="39.950000000000003" customHeight="1" x14ac:dyDescent="0.25">
      <c r="B68" s="310" t="s">
        <v>160</v>
      </c>
      <c r="C68" s="311"/>
      <c r="D68" s="56" t="s">
        <v>276</v>
      </c>
      <c r="E68" s="46" t="s">
        <v>3</v>
      </c>
      <c r="F68" s="85">
        <f>F52+F25+F43+F24</f>
        <v>3.0550497968668746</v>
      </c>
      <c r="G68" s="314"/>
      <c r="H68" s="316"/>
      <c r="I68" s="76"/>
      <c r="J68" s="77"/>
      <c r="K68" s="77"/>
      <c r="L68" s="77"/>
      <c r="M68" s="77"/>
      <c r="N68" s="78"/>
    </row>
    <row r="69" spans="2:14" ht="39.950000000000003" customHeight="1" x14ac:dyDescent="0.25">
      <c r="B69" s="310" t="s">
        <v>159</v>
      </c>
      <c r="C69" s="311"/>
      <c r="D69" s="56" t="s">
        <v>277</v>
      </c>
      <c r="E69" s="46"/>
      <c r="F69" s="99">
        <f>F58/F33</f>
        <v>0.61566411306595636</v>
      </c>
      <c r="G69" s="312"/>
      <c r="H69" s="313"/>
      <c r="I69" s="76"/>
      <c r="J69" s="77"/>
      <c r="K69" s="77"/>
      <c r="L69" s="77"/>
      <c r="M69" s="77"/>
      <c r="N69" s="78"/>
    </row>
    <row r="70" spans="2:14" ht="50.1" customHeight="1" x14ac:dyDescent="0.25">
      <c r="B70" s="334" t="s">
        <v>170</v>
      </c>
      <c r="C70" s="335"/>
      <c r="D70" s="56" t="s">
        <v>278</v>
      </c>
      <c r="E70" s="46" t="s">
        <v>3</v>
      </c>
      <c r="F70" s="89">
        <f>1.16*F66*((F68^0.5)/F34)^0.5</f>
        <v>0.66987719376829002</v>
      </c>
      <c r="G70" s="76"/>
      <c r="H70" s="78"/>
      <c r="I70" s="76"/>
      <c r="J70" s="77"/>
      <c r="K70" s="77"/>
      <c r="L70" s="77"/>
      <c r="M70" s="77"/>
      <c r="N70" s="78"/>
    </row>
    <row r="71" spans="2:14" ht="39.950000000000003" customHeight="1" x14ac:dyDescent="0.25">
      <c r="B71" s="334" t="s">
        <v>176</v>
      </c>
      <c r="C71" s="335"/>
      <c r="D71" s="56" t="s">
        <v>278</v>
      </c>
      <c r="E71" s="1"/>
      <c r="F71" s="100">
        <f>F42/F33</f>
        <v>0.58566411306595634</v>
      </c>
      <c r="G71" s="314"/>
      <c r="H71" s="316"/>
      <c r="I71" s="341" t="s">
        <v>171</v>
      </c>
      <c r="J71" s="342"/>
      <c r="K71" s="342"/>
      <c r="L71" s="342"/>
      <c r="M71" s="342"/>
      <c r="N71" s="343"/>
    </row>
    <row r="72" spans="2:14" x14ac:dyDescent="0.25">
      <c r="B72" s="327"/>
      <c r="C72" s="327"/>
      <c r="J72" s="22"/>
      <c r="K72" s="23"/>
      <c r="L72" s="23"/>
      <c r="M72" s="24"/>
    </row>
    <row r="73" spans="2:14" x14ac:dyDescent="0.25">
      <c r="B73" s="322" t="s">
        <v>34</v>
      </c>
      <c r="C73" s="322"/>
      <c r="J73" s="22"/>
      <c r="K73" s="23"/>
      <c r="L73" s="23"/>
      <c r="M73" s="24"/>
    </row>
    <row r="74" spans="2:14" x14ac:dyDescent="0.25">
      <c r="J74" s="22"/>
      <c r="K74" s="23"/>
      <c r="L74" s="23"/>
      <c r="M74" s="24"/>
    </row>
    <row r="75" spans="2:14" ht="30" customHeight="1" x14ac:dyDescent="0.25">
      <c r="B75" s="12" t="s">
        <v>35</v>
      </c>
      <c r="C75" s="309" t="s">
        <v>51</v>
      </c>
      <c r="D75" s="309"/>
      <c r="E75" s="309"/>
      <c r="F75" s="309"/>
      <c r="G75" s="309"/>
      <c r="H75" s="65"/>
      <c r="I75" s="96"/>
      <c r="J75" s="22"/>
      <c r="K75" s="23"/>
      <c r="L75" s="23"/>
      <c r="M75" s="24"/>
    </row>
    <row r="76" spans="2:14" ht="30" customHeight="1" x14ac:dyDescent="0.25">
      <c r="B76" s="12" t="s">
        <v>37</v>
      </c>
      <c r="C76" s="309" t="s">
        <v>64</v>
      </c>
      <c r="D76" s="309"/>
      <c r="E76" s="309"/>
      <c r="F76" s="309"/>
      <c r="G76" s="309"/>
      <c r="H76" s="65"/>
      <c r="J76" s="97"/>
      <c r="K76" s="23"/>
      <c r="L76" s="23"/>
      <c r="M76" s="24"/>
    </row>
    <row r="77" spans="2:14" x14ac:dyDescent="0.25">
      <c r="B77" s="12" t="s">
        <v>39</v>
      </c>
      <c r="C77" s="321" t="s">
        <v>40</v>
      </c>
      <c r="D77" s="321"/>
      <c r="E77" s="321"/>
      <c r="F77" s="321"/>
      <c r="G77" s="321"/>
      <c r="H77" s="64"/>
      <c r="J77" s="22"/>
      <c r="K77" s="23"/>
      <c r="L77" s="23"/>
      <c r="M77" s="24"/>
    </row>
    <row r="78" spans="2:14" ht="30" customHeight="1" x14ac:dyDescent="0.25">
      <c r="B78" s="12" t="s">
        <v>50</v>
      </c>
      <c r="C78" s="309" t="s">
        <v>65</v>
      </c>
      <c r="D78" s="309"/>
      <c r="E78" s="309"/>
      <c r="F78" s="309"/>
      <c r="G78" s="309"/>
      <c r="H78" s="65"/>
      <c r="J78" s="22"/>
      <c r="K78" s="23"/>
      <c r="L78" s="23"/>
      <c r="M78" s="24"/>
    </row>
    <row r="79" spans="2:14" ht="30" customHeight="1" x14ac:dyDescent="0.25">
      <c r="B79" s="12" t="s">
        <v>57</v>
      </c>
      <c r="C79" s="309" t="s">
        <v>66</v>
      </c>
      <c r="D79" s="309"/>
      <c r="E79" s="309"/>
      <c r="F79" s="309"/>
      <c r="G79" s="309"/>
      <c r="H79" s="65"/>
      <c r="J79" s="344"/>
      <c r="K79" s="344"/>
      <c r="L79" s="23"/>
      <c r="M79" s="24"/>
    </row>
    <row r="80" spans="2:14" x14ac:dyDescent="0.25">
      <c r="B80" s="12" t="s">
        <v>60</v>
      </c>
      <c r="C80" s="321" t="s">
        <v>56</v>
      </c>
      <c r="D80" s="321"/>
      <c r="E80" s="321"/>
      <c r="F80" s="321"/>
      <c r="G80" s="321"/>
      <c r="H80" s="64"/>
      <c r="J80" s="22"/>
      <c r="K80" s="23"/>
      <c r="L80" s="23"/>
      <c r="M80" s="24"/>
    </row>
    <row r="81" spans="2:13" x14ac:dyDescent="0.25">
      <c r="B81" s="12" t="s">
        <v>79</v>
      </c>
      <c r="C81" s="321" t="s">
        <v>78</v>
      </c>
      <c r="D81" s="321"/>
      <c r="E81" s="321"/>
      <c r="F81" s="321"/>
      <c r="G81" s="321"/>
      <c r="H81" s="64"/>
      <c r="J81" s="22"/>
      <c r="K81" s="23"/>
      <c r="L81" s="23"/>
      <c r="M81" s="24"/>
    </row>
    <row r="82" spans="2:13" ht="30" customHeight="1" x14ac:dyDescent="0.25">
      <c r="B82" s="12" t="s">
        <v>93</v>
      </c>
      <c r="C82" s="309" t="s">
        <v>83</v>
      </c>
      <c r="D82" s="309"/>
      <c r="E82" s="309"/>
      <c r="F82" s="309"/>
      <c r="G82" s="309"/>
      <c r="H82" s="65"/>
      <c r="J82" s="22"/>
      <c r="K82" s="23"/>
      <c r="L82" s="23"/>
      <c r="M82" s="24"/>
    </row>
    <row r="83" spans="2:13" ht="30" customHeight="1" x14ac:dyDescent="0.25">
      <c r="B83" s="12" t="s">
        <v>168</v>
      </c>
      <c r="C83" s="309" t="s">
        <v>169</v>
      </c>
      <c r="D83" s="309"/>
      <c r="E83" s="309"/>
      <c r="F83" s="309"/>
      <c r="G83" s="309"/>
      <c r="H83" s="79"/>
      <c r="J83" s="22"/>
      <c r="K83" s="23"/>
      <c r="L83" s="23"/>
      <c r="M83" s="24"/>
    </row>
    <row r="84" spans="2:13" x14ac:dyDescent="0.25">
      <c r="J84" s="22"/>
      <c r="K84" s="23"/>
      <c r="L84" s="23"/>
      <c r="M84" s="24"/>
    </row>
    <row r="85" spans="2:13" x14ac:dyDescent="0.25">
      <c r="B85" s="41" t="s">
        <v>122</v>
      </c>
      <c r="J85" s="22"/>
      <c r="K85" s="23"/>
      <c r="L85" s="23"/>
      <c r="M85" s="24"/>
    </row>
    <row r="86" spans="2:13" x14ac:dyDescent="0.25">
      <c r="B86" s="12" t="s">
        <v>123</v>
      </c>
      <c r="J86" s="22"/>
      <c r="K86" s="23"/>
      <c r="L86" s="23"/>
      <c r="M86" s="24"/>
    </row>
    <row r="87" spans="2:13" x14ac:dyDescent="0.25">
      <c r="B87" s="12" t="s">
        <v>124</v>
      </c>
      <c r="J87" s="22"/>
      <c r="K87" s="23"/>
      <c r="L87" s="23"/>
      <c r="M87" s="24"/>
    </row>
    <row r="88" spans="2:13" x14ac:dyDescent="0.25">
      <c r="J88" s="22"/>
      <c r="K88" s="23"/>
      <c r="L88" s="23"/>
      <c r="M88" s="24"/>
    </row>
    <row r="89" spans="2:13" x14ac:dyDescent="0.25">
      <c r="B89" s="41" t="s">
        <v>126</v>
      </c>
      <c r="J89" s="22"/>
      <c r="K89" s="23"/>
      <c r="L89" s="23"/>
      <c r="M89" s="24"/>
    </row>
    <row r="90" spans="2:13" x14ac:dyDescent="0.25">
      <c r="B90" s="12" t="s">
        <v>214</v>
      </c>
      <c r="J90" s="22"/>
      <c r="K90" s="23"/>
      <c r="L90" s="23"/>
      <c r="M90" s="24"/>
    </row>
    <row r="91" spans="2:13" x14ac:dyDescent="0.25">
      <c r="J91" s="22"/>
      <c r="K91" s="23"/>
      <c r="L91" s="23"/>
      <c r="M91" s="24"/>
    </row>
    <row r="92" spans="2:13" x14ac:dyDescent="0.25">
      <c r="J92" s="22"/>
      <c r="K92" s="23"/>
      <c r="L92" s="23"/>
      <c r="M92" s="24"/>
    </row>
    <row r="93" spans="2:13" x14ac:dyDescent="0.25">
      <c r="J93" s="22"/>
      <c r="K93" s="23"/>
      <c r="L93" s="23"/>
      <c r="M93" s="24"/>
    </row>
    <row r="94" spans="2:13" x14ac:dyDescent="0.25">
      <c r="J94" s="22"/>
      <c r="K94" s="23"/>
      <c r="L94" s="23"/>
      <c r="M94" s="24"/>
    </row>
    <row r="95" spans="2:13" x14ac:dyDescent="0.25">
      <c r="J95" s="22"/>
      <c r="K95" s="23"/>
      <c r="L95" s="23"/>
      <c r="M95" s="24"/>
    </row>
    <row r="96" spans="2:13" x14ac:dyDescent="0.25">
      <c r="J96" s="22"/>
      <c r="K96" s="23"/>
      <c r="L96" s="23"/>
      <c r="M96" s="24"/>
    </row>
    <row r="97" spans="10:13" x14ac:dyDescent="0.25">
      <c r="J97" s="22"/>
      <c r="K97" s="23"/>
      <c r="L97" s="23"/>
      <c r="M97" s="24"/>
    </row>
    <row r="98" spans="10:13" x14ac:dyDescent="0.25">
      <c r="J98" s="22"/>
      <c r="K98" s="23"/>
      <c r="L98" s="23"/>
      <c r="M98" s="24"/>
    </row>
    <row r="99" spans="10:13" x14ac:dyDescent="0.25">
      <c r="J99" s="22"/>
      <c r="K99" s="23"/>
      <c r="L99" s="23"/>
      <c r="M99" s="24"/>
    </row>
    <row r="100" spans="10:13" x14ac:dyDescent="0.25">
      <c r="J100" s="22"/>
      <c r="K100" s="23"/>
      <c r="L100" s="23"/>
      <c r="M100" s="24"/>
    </row>
    <row r="101" spans="10:13" x14ac:dyDescent="0.25">
      <c r="J101" s="22"/>
      <c r="K101" s="23"/>
      <c r="L101" s="23"/>
      <c r="M101" s="24"/>
    </row>
    <row r="102" spans="10:13" x14ac:dyDescent="0.25">
      <c r="J102" s="22"/>
      <c r="K102" s="23"/>
      <c r="L102" s="23"/>
      <c r="M102" s="24"/>
    </row>
    <row r="103" spans="10:13" x14ac:dyDescent="0.25">
      <c r="J103" s="22"/>
      <c r="K103" s="23"/>
      <c r="L103" s="23"/>
      <c r="M103" s="24"/>
    </row>
    <row r="104" spans="10:13" x14ac:dyDescent="0.25">
      <c r="J104" s="22"/>
      <c r="K104" s="23"/>
      <c r="L104" s="23"/>
      <c r="M104" s="24"/>
    </row>
    <row r="105" spans="10:13" x14ac:dyDescent="0.25">
      <c r="J105" s="22"/>
      <c r="K105" s="23"/>
      <c r="L105" s="23"/>
      <c r="M105" s="24"/>
    </row>
    <row r="106" spans="10:13" x14ac:dyDescent="0.25">
      <c r="J106" s="22"/>
      <c r="K106" s="23"/>
      <c r="L106" s="23"/>
      <c r="M106" s="24"/>
    </row>
    <row r="107" spans="10:13" x14ac:dyDescent="0.25">
      <c r="J107" s="22"/>
      <c r="K107" s="23"/>
      <c r="L107" s="23"/>
      <c r="M107" s="24"/>
    </row>
    <row r="108" spans="10:13" x14ac:dyDescent="0.25">
      <c r="J108" s="22"/>
      <c r="K108" s="23"/>
      <c r="L108" s="23"/>
      <c r="M108" s="24"/>
    </row>
    <row r="109" spans="10:13" x14ac:dyDescent="0.25">
      <c r="J109" s="22"/>
      <c r="K109" s="23"/>
      <c r="L109" s="23"/>
      <c r="M109" s="24"/>
    </row>
    <row r="110" spans="10:13" x14ac:dyDescent="0.25">
      <c r="J110" s="22"/>
      <c r="K110" s="23"/>
      <c r="L110" s="23"/>
      <c r="M110" s="24"/>
    </row>
    <row r="111" spans="10:13" x14ac:dyDescent="0.25">
      <c r="J111" s="22"/>
      <c r="K111" s="23"/>
      <c r="L111" s="23"/>
      <c r="M111" s="24"/>
    </row>
    <row r="112" spans="10:13" x14ac:dyDescent="0.25">
      <c r="J112" s="22"/>
      <c r="K112" s="23"/>
      <c r="L112" s="23"/>
      <c r="M112" s="24"/>
    </row>
    <row r="113" spans="10:13" x14ac:dyDescent="0.25">
      <c r="J113" s="22"/>
      <c r="K113" s="23"/>
      <c r="L113" s="23"/>
      <c r="M113" s="24"/>
    </row>
    <row r="114" spans="10:13" x14ac:dyDescent="0.25">
      <c r="J114" s="22"/>
      <c r="K114" s="23"/>
      <c r="L114" s="23"/>
      <c r="M114" s="24"/>
    </row>
    <row r="115" spans="10:13" x14ac:dyDescent="0.25">
      <c r="J115" s="22"/>
      <c r="K115" s="23"/>
      <c r="L115" s="23"/>
      <c r="M115" s="24"/>
    </row>
    <row r="116" spans="10:13" x14ac:dyDescent="0.25">
      <c r="J116" s="22"/>
      <c r="K116" s="23"/>
      <c r="L116" s="23"/>
      <c r="M116" s="24"/>
    </row>
    <row r="117" spans="10:13" x14ac:dyDescent="0.25">
      <c r="J117" s="22"/>
      <c r="K117" s="23"/>
      <c r="L117" s="23"/>
      <c r="M117" s="24"/>
    </row>
    <row r="118" spans="10:13" x14ac:dyDescent="0.25">
      <c r="J118" s="22"/>
      <c r="K118" s="23"/>
      <c r="L118" s="23"/>
      <c r="M118" s="24"/>
    </row>
    <row r="119" spans="10:13" x14ac:dyDescent="0.25">
      <c r="J119" s="22"/>
      <c r="K119" s="23"/>
      <c r="L119" s="23"/>
      <c r="M119" s="24"/>
    </row>
    <row r="120" spans="10:13" x14ac:dyDescent="0.25">
      <c r="J120" s="22"/>
      <c r="K120" s="23"/>
      <c r="L120" s="23"/>
      <c r="M120" s="24"/>
    </row>
    <row r="121" spans="10:13" x14ac:dyDescent="0.25">
      <c r="J121" s="22"/>
      <c r="K121" s="23"/>
      <c r="L121" s="23"/>
      <c r="M121" s="24"/>
    </row>
    <row r="122" spans="10:13" x14ac:dyDescent="0.25">
      <c r="J122" s="22"/>
      <c r="K122" s="23"/>
      <c r="L122" s="23"/>
      <c r="M122" s="24"/>
    </row>
    <row r="123" spans="10:13" x14ac:dyDescent="0.25">
      <c r="J123" s="22"/>
      <c r="K123" s="23"/>
      <c r="L123" s="23"/>
      <c r="M123" s="24"/>
    </row>
    <row r="124" spans="10:13" x14ac:dyDescent="0.25">
      <c r="J124" s="22"/>
      <c r="K124" s="23"/>
      <c r="L124" s="23"/>
      <c r="M124" s="24"/>
    </row>
    <row r="125" spans="10:13" x14ac:dyDescent="0.25">
      <c r="J125" s="22"/>
      <c r="K125" s="23"/>
      <c r="L125" s="23"/>
      <c r="M125" s="24"/>
    </row>
    <row r="126" spans="10:13" x14ac:dyDescent="0.25">
      <c r="J126" s="22"/>
      <c r="K126" s="23"/>
      <c r="L126" s="23"/>
      <c r="M126" s="24"/>
    </row>
    <row r="127" spans="10:13" x14ac:dyDescent="0.25">
      <c r="J127" s="22"/>
      <c r="K127" s="23"/>
      <c r="L127" s="23"/>
      <c r="M127" s="24"/>
    </row>
    <row r="128" spans="10:13" x14ac:dyDescent="0.25">
      <c r="J128" s="22"/>
      <c r="K128" s="23"/>
      <c r="L128" s="23"/>
      <c r="M128" s="24"/>
    </row>
    <row r="129" spans="10:13" x14ac:dyDescent="0.25">
      <c r="J129" s="22"/>
      <c r="K129" s="23"/>
      <c r="L129" s="23"/>
      <c r="M129" s="24"/>
    </row>
    <row r="130" spans="10:13" x14ac:dyDescent="0.25">
      <c r="J130" s="22"/>
      <c r="K130" s="23"/>
      <c r="L130" s="23"/>
      <c r="M130" s="24"/>
    </row>
    <row r="131" spans="10:13" x14ac:dyDescent="0.25">
      <c r="J131" s="22"/>
      <c r="K131" s="23"/>
      <c r="L131" s="23"/>
      <c r="M131" s="24"/>
    </row>
    <row r="132" spans="10:13" x14ac:dyDescent="0.25">
      <c r="J132" s="22"/>
      <c r="K132" s="23"/>
      <c r="L132" s="23"/>
      <c r="M132" s="24"/>
    </row>
    <row r="133" spans="10:13" x14ac:dyDescent="0.25">
      <c r="J133" s="22"/>
      <c r="K133" s="23"/>
      <c r="L133" s="23"/>
      <c r="M133" s="24"/>
    </row>
    <row r="134" spans="10:13" x14ac:dyDescent="0.25">
      <c r="J134" s="22"/>
      <c r="K134" s="23"/>
      <c r="L134" s="23"/>
      <c r="M134" s="24"/>
    </row>
    <row r="135" spans="10:13" x14ac:dyDescent="0.25">
      <c r="J135" s="22"/>
      <c r="K135" s="23"/>
      <c r="L135" s="23"/>
      <c r="M135" s="24"/>
    </row>
    <row r="136" spans="10:13" x14ac:dyDescent="0.25">
      <c r="J136" s="22"/>
      <c r="K136" s="23"/>
      <c r="L136" s="23"/>
      <c r="M136" s="24"/>
    </row>
    <row r="137" spans="10:13" x14ac:dyDescent="0.25">
      <c r="J137" s="22"/>
      <c r="K137" s="23"/>
      <c r="L137" s="23"/>
      <c r="M137" s="24"/>
    </row>
    <row r="138" spans="10:13" x14ac:dyDescent="0.25">
      <c r="J138" s="22"/>
      <c r="K138" s="23"/>
      <c r="L138" s="23"/>
      <c r="M138" s="24"/>
    </row>
    <row r="139" spans="10:13" x14ac:dyDescent="0.25">
      <c r="J139" s="22"/>
      <c r="K139" s="23"/>
      <c r="L139" s="23"/>
      <c r="M139" s="24"/>
    </row>
    <row r="140" spans="10:13" x14ac:dyDescent="0.25">
      <c r="J140" s="22"/>
      <c r="K140" s="23"/>
      <c r="L140" s="23"/>
      <c r="M140" s="24"/>
    </row>
    <row r="141" spans="10:13" x14ac:dyDescent="0.25">
      <c r="J141" s="22"/>
      <c r="K141" s="23"/>
      <c r="L141" s="23"/>
      <c r="M141" s="24"/>
    </row>
    <row r="142" spans="10:13" x14ac:dyDescent="0.25">
      <c r="J142" s="22"/>
      <c r="K142" s="23"/>
      <c r="L142" s="23"/>
      <c r="M142" s="24"/>
    </row>
    <row r="143" spans="10:13" x14ac:dyDescent="0.25">
      <c r="J143" s="22"/>
      <c r="K143" s="23"/>
      <c r="L143" s="23"/>
      <c r="M143" s="24"/>
    </row>
    <row r="144" spans="10:13" x14ac:dyDescent="0.25">
      <c r="J144" s="22"/>
      <c r="K144" s="23"/>
      <c r="L144" s="23"/>
      <c r="M144" s="24"/>
    </row>
    <row r="145" spans="10:13" x14ac:dyDescent="0.25">
      <c r="J145" s="22"/>
      <c r="K145" s="23"/>
      <c r="L145" s="23"/>
      <c r="M145" s="24"/>
    </row>
    <row r="146" spans="10:13" x14ac:dyDescent="0.25">
      <c r="J146" s="22"/>
      <c r="K146" s="23"/>
      <c r="L146" s="23"/>
      <c r="M146" s="24"/>
    </row>
    <row r="147" spans="10:13" x14ac:dyDescent="0.25">
      <c r="J147" s="22"/>
      <c r="K147" s="23"/>
      <c r="L147" s="23"/>
      <c r="M147" s="24"/>
    </row>
    <row r="148" spans="10:13" x14ac:dyDescent="0.25">
      <c r="J148" s="22"/>
      <c r="K148" s="23"/>
      <c r="L148" s="23"/>
      <c r="M148" s="24"/>
    </row>
    <row r="149" spans="10:13" x14ac:dyDescent="0.25">
      <c r="J149" s="22"/>
      <c r="K149" s="23"/>
      <c r="L149" s="23"/>
      <c r="M149" s="24"/>
    </row>
    <row r="150" spans="10:13" x14ac:dyDescent="0.25">
      <c r="J150" s="22"/>
      <c r="K150" s="23"/>
      <c r="L150" s="23"/>
      <c r="M150" s="24"/>
    </row>
    <row r="151" spans="10:13" x14ac:dyDescent="0.25">
      <c r="J151" s="22"/>
      <c r="K151" s="23"/>
      <c r="L151" s="23"/>
      <c r="M151" s="24"/>
    </row>
    <row r="152" spans="10:13" x14ac:dyDescent="0.25">
      <c r="J152" s="22"/>
      <c r="K152" s="23"/>
      <c r="L152" s="23"/>
      <c r="M152" s="24"/>
    </row>
    <row r="153" spans="10:13" x14ac:dyDescent="0.25">
      <c r="J153" s="22"/>
      <c r="K153" s="23"/>
      <c r="L153" s="23"/>
      <c r="M153" s="24"/>
    </row>
    <row r="154" spans="10:13" x14ac:dyDescent="0.25">
      <c r="J154" s="22"/>
      <c r="K154" s="23"/>
      <c r="L154" s="23"/>
      <c r="M154" s="24"/>
    </row>
    <row r="155" spans="10:13" x14ac:dyDescent="0.25">
      <c r="J155" s="22"/>
      <c r="K155" s="23"/>
      <c r="L155" s="23"/>
      <c r="M155" s="24"/>
    </row>
    <row r="156" spans="10:13" x14ac:dyDescent="0.25">
      <c r="J156" s="22"/>
      <c r="K156" s="23"/>
      <c r="L156" s="23"/>
      <c r="M156" s="24"/>
    </row>
    <row r="157" spans="10:13" x14ac:dyDescent="0.25">
      <c r="J157" s="22"/>
      <c r="K157" s="23"/>
      <c r="L157" s="23"/>
      <c r="M157" s="24"/>
    </row>
    <row r="158" spans="10:13" x14ac:dyDescent="0.25">
      <c r="J158" s="22"/>
      <c r="K158" s="23"/>
      <c r="L158" s="23"/>
      <c r="M158" s="24"/>
    </row>
    <row r="159" spans="10:13" x14ac:dyDescent="0.25">
      <c r="J159" s="22"/>
      <c r="K159" s="23"/>
      <c r="L159" s="23"/>
      <c r="M159" s="24"/>
    </row>
    <row r="160" spans="10:13" x14ac:dyDescent="0.25">
      <c r="J160" s="22"/>
      <c r="K160" s="23"/>
      <c r="L160" s="23"/>
      <c r="M160" s="24"/>
    </row>
    <row r="161" spans="10:13" x14ac:dyDescent="0.25">
      <c r="J161" s="22"/>
      <c r="K161" s="23"/>
      <c r="L161" s="23"/>
      <c r="M161" s="24"/>
    </row>
    <row r="162" spans="10:13" x14ac:dyDescent="0.25">
      <c r="J162" s="22"/>
      <c r="K162" s="23"/>
      <c r="L162" s="23"/>
      <c r="M162" s="24"/>
    </row>
    <row r="163" spans="10:13" x14ac:dyDescent="0.25">
      <c r="J163" s="22"/>
      <c r="K163" s="23"/>
      <c r="L163" s="23"/>
      <c r="M163" s="24"/>
    </row>
    <row r="164" spans="10:13" x14ac:dyDescent="0.25">
      <c r="J164" s="22"/>
      <c r="K164" s="23"/>
      <c r="L164" s="23"/>
      <c r="M164" s="24"/>
    </row>
    <row r="165" spans="10:13" x14ac:dyDescent="0.25">
      <c r="J165" s="22"/>
      <c r="K165" s="23"/>
      <c r="L165" s="23"/>
      <c r="M165" s="24"/>
    </row>
    <row r="166" spans="10:13" x14ac:dyDescent="0.25">
      <c r="J166" s="22"/>
      <c r="K166" s="23"/>
      <c r="L166" s="23"/>
      <c r="M166" s="24"/>
    </row>
    <row r="167" spans="10:13" x14ac:dyDescent="0.25">
      <c r="J167" s="22"/>
      <c r="K167" s="23"/>
      <c r="L167" s="23"/>
      <c r="M167" s="24"/>
    </row>
    <row r="168" spans="10:13" x14ac:dyDescent="0.25">
      <c r="J168" s="22"/>
      <c r="K168" s="23"/>
      <c r="L168" s="23"/>
      <c r="M168" s="24"/>
    </row>
    <row r="169" spans="10:13" x14ac:dyDescent="0.25">
      <c r="J169" s="22"/>
      <c r="K169" s="23"/>
      <c r="L169" s="23"/>
      <c r="M169" s="24"/>
    </row>
    <row r="170" spans="10:13" x14ac:dyDescent="0.25">
      <c r="J170" s="22"/>
      <c r="K170" s="23"/>
      <c r="L170" s="23"/>
      <c r="M170" s="24"/>
    </row>
    <row r="171" spans="10:13" x14ac:dyDescent="0.25">
      <c r="J171" s="22"/>
      <c r="K171" s="23"/>
      <c r="L171" s="23"/>
      <c r="M171" s="24"/>
    </row>
    <row r="172" spans="10:13" x14ac:dyDescent="0.25">
      <c r="J172" s="22"/>
      <c r="K172" s="23"/>
      <c r="L172" s="23"/>
      <c r="M172" s="24"/>
    </row>
    <row r="173" spans="10:13" x14ac:dyDescent="0.25">
      <c r="J173" s="22"/>
      <c r="K173" s="23"/>
      <c r="L173" s="23"/>
      <c r="M173" s="24"/>
    </row>
    <row r="174" spans="10:13" x14ac:dyDescent="0.25">
      <c r="J174" s="22"/>
      <c r="K174" s="23"/>
      <c r="L174" s="23"/>
      <c r="M174" s="24"/>
    </row>
    <row r="175" spans="10:13" x14ac:dyDescent="0.25">
      <c r="J175" s="22"/>
      <c r="K175" s="23"/>
      <c r="L175" s="23"/>
      <c r="M175" s="24"/>
    </row>
    <row r="176" spans="10:13" x14ac:dyDescent="0.25">
      <c r="J176" s="22"/>
      <c r="K176" s="23"/>
      <c r="L176" s="23"/>
      <c r="M176" s="24"/>
    </row>
    <row r="177" spans="10:13" x14ac:dyDescent="0.25">
      <c r="J177" s="22"/>
      <c r="K177" s="23"/>
      <c r="L177" s="23"/>
      <c r="M177" s="24"/>
    </row>
    <row r="178" spans="10:13" x14ac:dyDescent="0.25">
      <c r="J178" s="22"/>
      <c r="K178" s="23"/>
      <c r="L178" s="23"/>
      <c r="M178" s="24"/>
    </row>
    <row r="179" spans="10:13" x14ac:dyDescent="0.25">
      <c r="J179" s="22"/>
      <c r="K179" s="23"/>
      <c r="L179" s="23"/>
      <c r="M179" s="24"/>
    </row>
    <row r="180" spans="10:13" x14ac:dyDescent="0.25">
      <c r="J180" s="22"/>
      <c r="K180" s="23"/>
      <c r="L180" s="23"/>
      <c r="M180" s="24"/>
    </row>
    <row r="181" spans="10:13" x14ac:dyDescent="0.25">
      <c r="J181" s="22"/>
      <c r="K181" s="23"/>
      <c r="L181" s="23"/>
      <c r="M181" s="24"/>
    </row>
    <row r="182" spans="10:13" x14ac:dyDescent="0.25">
      <c r="J182" s="22"/>
      <c r="K182" s="23"/>
      <c r="L182" s="23"/>
      <c r="M182" s="24"/>
    </row>
    <row r="183" spans="10:13" x14ac:dyDescent="0.25">
      <c r="J183" s="22"/>
      <c r="K183" s="23"/>
      <c r="L183" s="23"/>
      <c r="M183" s="24"/>
    </row>
    <row r="184" spans="10:13" x14ac:dyDescent="0.25">
      <c r="J184" s="22"/>
      <c r="K184" s="23"/>
      <c r="L184" s="23"/>
      <c r="M184" s="24"/>
    </row>
    <row r="185" spans="10:13" x14ac:dyDescent="0.25">
      <c r="J185" s="22"/>
      <c r="K185" s="23"/>
      <c r="L185" s="23"/>
      <c r="M185" s="24"/>
    </row>
    <row r="186" spans="10:13" x14ac:dyDescent="0.25">
      <c r="J186" s="22"/>
      <c r="K186" s="23"/>
      <c r="L186" s="23"/>
      <c r="M186" s="24"/>
    </row>
    <row r="187" spans="10:13" x14ac:dyDescent="0.25">
      <c r="J187" s="22"/>
      <c r="K187" s="23"/>
      <c r="L187" s="23"/>
      <c r="M187" s="24"/>
    </row>
    <row r="188" spans="10:13" x14ac:dyDescent="0.25">
      <c r="J188" s="22"/>
      <c r="K188" s="23"/>
      <c r="L188" s="23"/>
      <c r="M188" s="24"/>
    </row>
    <row r="189" spans="10:13" x14ac:dyDescent="0.25">
      <c r="J189" s="22"/>
      <c r="K189" s="23"/>
      <c r="L189" s="23"/>
      <c r="M189" s="24"/>
    </row>
    <row r="190" spans="10:13" x14ac:dyDescent="0.25">
      <c r="J190" s="22"/>
      <c r="K190" s="23"/>
      <c r="L190" s="23"/>
      <c r="M190" s="24"/>
    </row>
    <row r="191" spans="10:13" x14ac:dyDescent="0.25">
      <c r="J191" s="22"/>
      <c r="K191" s="23"/>
      <c r="L191" s="23"/>
      <c r="M191" s="24"/>
    </row>
    <row r="192" spans="10:13" x14ac:dyDescent="0.25">
      <c r="J192" s="22"/>
      <c r="K192" s="23"/>
      <c r="L192" s="23"/>
      <c r="M192" s="24"/>
    </row>
    <row r="193" spans="10:13" x14ac:dyDescent="0.25">
      <c r="J193" s="22"/>
      <c r="K193" s="23"/>
      <c r="L193" s="23"/>
      <c r="M193" s="24"/>
    </row>
    <row r="194" spans="10:13" x14ac:dyDescent="0.25">
      <c r="J194" s="22"/>
      <c r="K194" s="23"/>
      <c r="L194" s="23"/>
      <c r="M194" s="24"/>
    </row>
    <row r="195" spans="10:13" x14ac:dyDescent="0.25">
      <c r="J195" s="22"/>
      <c r="K195" s="23"/>
      <c r="L195" s="23"/>
      <c r="M195" s="24"/>
    </row>
    <row r="196" spans="10:13" x14ac:dyDescent="0.25">
      <c r="J196" s="22"/>
      <c r="K196" s="23"/>
      <c r="L196" s="23"/>
      <c r="M196" s="24"/>
    </row>
    <row r="197" spans="10:13" x14ac:dyDescent="0.25">
      <c r="J197" s="22"/>
      <c r="K197" s="23"/>
      <c r="L197" s="23"/>
      <c r="M197" s="24"/>
    </row>
    <row r="198" spans="10:13" x14ac:dyDescent="0.25">
      <c r="J198" s="22"/>
      <c r="K198" s="23"/>
      <c r="L198" s="23"/>
      <c r="M198" s="24"/>
    </row>
    <row r="199" spans="10:13" x14ac:dyDescent="0.25">
      <c r="J199" s="22"/>
      <c r="K199" s="23"/>
      <c r="L199" s="23"/>
      <c r="M199" s="24"/>
    </row>
    <row r="200" spans="10:13" x14ac:dyDescent="0.25">
      <c r="J200" s="22"/>
      <c r="K200" s="23"/>
      <c r="L200" s="23"/>
      <c r="M200" s="24"/>
    </row>
    <row r="201" spans="10:13" x14ac:dyDescent="0.25">
      <c r="J201" s="22"/>
      <c r="K201" s="23"/>
      <c r="L201" s="23"/>
      <c r="M201" s="24"/>
    </row>
    <row r="202" spans="10:13" x14ac:dyDescent="0.25">
      <c r="J202" s="22"/>
      <c r="K202" s="23"/>
      <c r="L202" s="23"/>
      <c r="M202" s="24"/>
    </row>
    <row r="203" spans="10:13" x14ac:dyDescent="0.25">
      <c r="J203" s="22"/>
      <c r="K203" s="23"/>
      <c r="L203" s="23"/>
      <c r="M203" s="24"/>
    </row>
    <row r="204" spans="10:13" x14ac:dyDescent="0.25">
      <c r="J204" s="22"/>
      <c r="K204" s="23"/>
      <c r="L204" s="23"/>
      <c r="M204" s="24"/>
    </row>
    <row r="205" spans="10:13" x14ac:dyDescent="0.25">
      <c r="J205" s="22"/>
      <c r="K205" s="23"/>
      <c r="L205" s="23"/>
      <c r="M205" s="24"/>
    </row>
    <row r="206" spans="10:13" x14ac:dyDescent="0.25">
      <c r="J206" s="22"/>
      <c r="K206" s="23"/>
      <c r="L206" s="23"/>
      <c r="M206" s="24"/>
    </row>
    <row r="207" spans="10:13" x14ac:dyDescent="0.25">
      <c r="J207" s="22"/>
      <c r="K207" s="23"/>
      <c r="L207" s="23"/>
      <c r="M207" s="24"/>
    </row>
    <row r="208" spans="10:13" x14ac:dyDescent="0.25">
      <c r="J208" s="22"/>
      <c r="K208" s="23"/>
      <c r="L208" s="23"/>
      <c r="M208" s="24"/>
    </row>
    <row r="209" spans="10:13" x14ac:dyDescent="0.25">
      <c r="J209" s="22"/>
      <c r="K209" s="23"/>
      <c r="L209" s="23"/>
      <c r="M209" s="24"/>
    </row>
    <row r="210" spans="10:13" x14ac:dyDescent="0.25">
      <c r="J210" s="22"/>
      <c r="K210" s="23"/>
      <c r="L210" s="23"/>
      <c r="M210" s="24"/>
    </row>
    <row r="211" spans="10:13" x14ac:dyDescent="0.25">
      <c r="J211" s="22"/>
      <c r="K211" s="23"/>
      <c r="L211" s="23"/>
      <c r="M211" s="24"/>
    </row>
    <row r="212" spans="10:13" x14ac:dyDescent="0.25">
      <c r="J212" s="22"/>
      <c r="K212" s="23"/>
      <c r="L212" s="23"/>
      <c r="M212" s="24"/>
    </row>
    <row r="213" spans="10:13" x14ac:dyDescent="0.25">
      <c r="J213" s="22"/>
      <c r="K213" s="23"/>
      <c r="L213" s="23"/>
      <c r="M213" s="24"/>
    </row>
    <row r="214" spans="10:13" x14ac:dyDescent="0.25">
      <c r="J214" s="22"/>
      <c r="K214" s="23"/>
      <c r="L214" s="23"/>
      <c r="M214" s="24"/>
    </row>
    <row r="215" spans="10:13" x14ac:dyDescent="0.25">
      <c r="J215" s="22"/>
      <c r="K215" s="23"/>
      <c r="L215" s="23"/>
      <c r="M215" s="24"/>
    </row>
    <row r="216" spans="10:13" x14ac:dyDescent="0.25">
      <c r="J216" s="22"/>
      <c r="K216" s="23"/>
      <c r="L216" s="23"/>
      <c r="M216" s="24"/>
    </row>
    <row r="217" spans="10:13" x14ac:dyDescent="0.25">
      <c r="J217" s="22"/>
      <c r="K217" s="23"/>
      <c r="L217" s="23"/>
      <c r="M217" s="24"/>
    </row>
    <row r="218" spans="10:13" x14ac:dyDescent="0.25">
      <c r="J218" s="22"/>
      <c r="K218" s="23"/>
      <c r="L218" s="23"/>
      <c r="M218" s="24"/>
    </row>
    <row r="219" spans="10:13" x14ac:dyDescent="0.25">
      <c r="J219" s="22"/>
      <c r="K219" s="23"/>
      <c r="L219" s="23"/>
      <c r="M219" s="24"/>
    </row>
    <row r="220" spans="10:13" x14ac:dyDescent="0.25">
      <c r="J220" s="22"/>
      <c r="K220" s="23"/>
      <c r="L220" s="23"/>
      <c r="M220" s="24"/>
    </row>
    <row r="221" spans="10:13" x14ac:dyDescent="0.25">
      <c r="J221" s="22"/>
      <c r="K221" s="23"/>
      <c r="L221" s="23"/>
      <c r="M221" s="24"/>
    </row>
    <row r="222" spans="10:13" x14ac:dyDescent="0.25">
      <c r="J222" s="22"/>
      <c r="K222" s="23"/>
      <c r="L222" s="23"/>
      <c r="M222" s="24"/>
    </row>
    <row r="223" spans="10:13" x14ac:dyDescent="0.25">
      <c r="J223" s="22"/>
      <c r="K223" s="23"/>
      <c r="L223" s="23"/>
      <c r="M223" s="24"/>
    </row>
    <row r="224" spans="10:13" x14ac:dyDescent="0.25">
      <c r="J224" s="22"/>
      <c r="K224" s="23"/>
      <c r="L224" s="23"/>
      <c r="M224" s="24"/>
    </row>
    <row r="225" spans="10:13" x14ac:dyDescent="0.25">
      <c r="J225" s="22"/>
      <c r="K225" s="23"/>
      <c r="L225" s="23"/>
      <c r="M225" s="24"/>
    </row>
    <row r="226" spans="10:13" x14ac:dyDescent="0.25">
      <c r="J226" s="22"/>
      <c r="K226" s="23"/>
      <c r="L226" s="23"/>
      <c r="M226" s="24"/>
    </row>
    <row r="227" spans="10:13" x14ac:dyDescent="0.25">
      <c r="J227" s="22"/>
      <c r="K227" s="23"/>
      <c r="L227" s="23"/>
      <c r="M227" s="24"/>
    </row>
    <row r="228" spans="10:13" x14ac:dyDescent="0.25">
      <c r="J228" s="22"/>
      <c r="K228" s="23"/>
      <c r="L228" s="23"/>
      <c r="M228" s="24"/>
    </row>
    <row r="229" spans="10:13" x14ac:dyDescent="0.25">
      <c r="J229" s="22"/>
      <c r="K229" s="23"/>
      <c r="L229" s="23"/>
      <c r="M229" s="24"/>
    </row>
    <row r="230" spans="10:13" x14ac:dyDescent="0.25">
      <c r="J230" s="22"/>
      <c r="K230" s="23"/>
      <c r="L230" s="23"/>
      <c r="M230" s="24"/>
    </row>
    <row r="231" spans="10:13" x14ac:dyDescent="0.25">
      <c r="J231" s="22"/>
      <c r="K231" s="23"/>
      <c r="L231" s="23"/>
      <c r="M231" s="24"/>
    </row>
    <row r="232" spans="10:13" x14ac:dyDescent="0.25">
      <c r="J232" s="22"/>
      <c r="K232" s="23"/>
      <c r="L232" s="23"/>
      <c r="M232" s="24"/>
    </row>
    <row r="233" spans="10:13" x14ac:dyDescent="0.25">
      <c r="J233" s="22"/>
      <c r="K233" s="23"/>
      <c r="L233" s="23"/>
      <c r="M233" s="24"/>
    </row>
    <row r="234" spans="10:13" x14ac:dyDescent="0.25">
      <c r="J234" s="22"/>
      <c r="K234" s="23"/>
      <c r="L234" s="23"/>
      <c r="M234" s="24"/>
    </row>
    <row r="235" spans="10:13" x14ac:dyDescent="0.25">
      <c r="J235" s="22"/>
      <c r="K235" s="23"/>
      <c r="L235" s="23"/>
      <c r="M235" s="24"/>
    </row>
    <row r="236" spans="10:13" x14ac:dyDescent="0.25">
      <c r="J236" s="22"/>
      <c r="K236" s="23"/>
      <c r="L236" s="23"/>
      <c r="M236" s="24"/>
    </row>
    <row r="237" spans="10:13" x14ac:dyDescent="0.25">
      <c r="J237" s="22"/>
      <c r="K237" s="23"/>
      <c r="L237" s="23"/>
      <c r="M237" s="24"/>
    </row>
    <row r="238" spans="10:13" x14ac:dyDescent="0.25">
      <c r="J238" s="22"/>
      <c r="K238" s="23"/>
      <c r="L238" s="23"/>
      <c r="M238" s="24"/>
    </row>
    <row r="239" spans="10:13" x14ac:dyDescent="0.25">
      <c r="J239" s="22"/>
      <c r="K239" s="23"/>
      <c r="L239" s="23"/>
      <c r="M239" s="24"/>
    </row>
    <row r="240" spans="10:13" x14ac:dyDescent="0.25">
      <c r="J240" s="22"/>
      <c r="K240" s="23"/>
      <c r="L240" s="23"/>
      <c r="M240" s="24"/>
    </row>
    <row r="241" spans="10:13" x14ac:dyDescent="0.25">
      <c r="J241" s="22"/>
      <c r="K241" s="23"/>
      <c r="L241" s="23"/>
      <c r="M241" s="24"/>
    </row>
    <row r="242" spans="10:13" x14ac:dyDescent="0.25">
      <c r="J242" s="22"/>
      <c r="K242" s="23"/>
      <c r="L242" s="23"/>
      <c r="M242" s="24"/>
    </row>
    <row r="243" spans="10:13" x14ac:dyDescent="0.25">
      <c r="J243" s="22"/>
      <c r="K243" s="23"/>
      <c r="L243" s="23"/>
      <c r="M243" s="24"/>
    </row>
    <row r="244" spans="10:13" x14ac:dyDescent="0.25">
      <c r="J244" s="22"/>
      <c r="K244" s="23"/>
      <c r="L244" s="23"/>
      <c r="M244" s="24"/>
    </row>
    <row r="245" spans="10:13" x14ac:dyDescent="0.25">
      <c r="J245" s="22"/>
      <c r="K245" s="23"/>
      <c r="L245" s="23"/>
      <c r="M245" s="24"/>
    </row>
    <row r="246" spans="10:13" x14ac:dyDescent="0.25">
      <c r="J246" s="22"/>
      <c r="K246" s="23"/>
      <c r="L246" s="23"/>
      <c r="M246" s="24"/>
    </row>
    <row r="247" spans="10:13" x14ac:dyDescent="0.25">
      <c r="J247" s="22"/>
      <c r="K247" s="23"/>
      <c r="L247" s="23"/>
      <c r="M247" s="24"/>
    </row>
    <row r="248" spans="10:13" x14ac:dyDescent="0.25">
      <c r="J248" s="22"/>
      <c r="K248" s="23"/>
      <c r="L248" s="23"/>
      <c r="M248" s="24"/>
    </row>
    <row r="249" spans="10:13" x14ac:dyDescent="0.25">
      <c r="J249" s="22"/>
      <c r="K249" s="23"/>
      <c r="L249" s="23"/>
      <c r="M249" s="24"/>
    </row>
    <row r="250" spans="10:13" x14ac:dyDescent="0.25">
      <c r="J250" s="22"/>
      <c r="K250" s="23"/>
      <c r="L250" s="23"/>
      <c r="M250" s="24"/>
    </row>
    <row r="251" spans="10:13" x14ac:dyDescent="0.25">
      <c r="J251" s="22"/>
      <c r="K251" s="23"/>
      <c r="L251" s="23"/>
      <c r="M251" s="24"/>
    </row>
    <row r="252" spans="10:13" x14ac:dyDescent="0.25">
      <c r="J252" s="22"/>
      <c r="K252" s="23"/>
      <c r="L252" s="23"/>
      <c r="M252" s="24"/>
    </row>
    <row r="253" spans="10:13" x14ac:dyDescent="0.25">
      <c r="J253" s="22"/>
      <c r="K253" s="23"/>
      <c r="L253" s="23"/>
      <c r="M253" s="24"/>
    </row>
    <row r="254" spans="10:13" x14ac:dyDescent="0.25">
      <c r="J254" s="22"/>
      <c r="K254" s="23"/>
      <c r="L254" s="23"/>
      <c r="M254" s="24"/>
    </row>
    <row r="255" spans="10:13" x14ac:dyDescent="0.25">
      <c r="J255" s="22"/>
      <c r="K255" s="23"/>
      <c r="L255" s="23"/>
      <c r="M255" s="24"/>
    </row>
    <row r="256" spans="10:13" x14ac:dyDescent="0.25">
      <c r="J256" s="22"/>
      <c r="K256" s="23"/>
      <c r="L256" s="23"/>
      <c r="M256" s="24"/>
    </row>
    <row r="257" spans="10:13" x14ac:dyDescent="0.25">
      <c r="J257" s="22"/>
      <c r="K257" s="23"/>
      <c r="L257" s="23"/>
      <c r="M257" s="24"/>
    </row>
    <row r="258" spans="10:13" x14ac:dyDescent="0.25">
      <c r="J258" s="22"/>
      <c r="K258" s="23"/>
      <c r="L258" s="23"/>
      <c r="M258" s="24"/>
    </row>
    <row r="259" spans="10:13" x14ac:dyDescent="0.25">
      <c r="J259" s="22"/>
      <c r="K259" s="23"/>
      <c r="L259" s="23"/>
      <c r="M259" s="24"/>
    </row>
    <row r="260" spans="10:13" x14ac:dyDescent="0.25">
      <c r="J260" s="22"/>
      <c r="K260" s="23"/>
      <c r="L260" s="23"/>
      <c r="M260" s="24"/>
    </row>
    <row r="261" spans="10:13" x14ac:dyDescent="0.25">
      <c r="J261" s="22"/>
      <c r="K261" s="23"/>
      <c r="L261" s="23"/>
      <c r="M261" s="24"/>
    </row>
    <row r="262" spans="10:13" x14ac:dyDescent="0.25">
      <c r="J262" s="22"/>
      <c r="K262" s="23"/>
      <c r="L262" s="23"/>
      <c r="M262" s="24"/>
    </row>
    <row r="263" spans="10:13" x14ac:dyDescent="0.25">
      <c r="J263" s="22"/>
      <c r="K263" s="23"/>
      <c r="L263" s="23"/>
      <c r="M263" s="24"/>
    </row>
    <row r="264" spans="10:13" x14ac:dyDescent="0.25">
      <c r="J264" s="22"/>
      <c r="K264" s="23"/>
      <c r="L264" s="23"/>
      <c r="M264" s="24"/>
    </row>
    <row r="265" spans="10:13" x14ac:dyDescent="0.25">
      <c r="J265" s="22"/>
      <c r="K265" s="23"/>
      <c r="L265" s="23"/>
      <c r="M265" s="24"/>
    </row>
    <row r="266" spans="10:13" x14ac:dyDescent="0.25">
      <c r="J266" s="22"/>
      <c r="K266" s="23"/>
      <c r="L266" s="23"/>
      <c r="M266" s="24"/>
    </row>
    <row r="267" spans="10:13" x14ac:dyDescent="0.25">
      <c r="J267" s="22"/>
      <c r="K267" s="23"/>
      <c r="L267" s="23"/>
      <c r="M267" s="24"/>
    </row>
    <row r="268" spans="10:13" x14ac:dyDescent="0.25">
      <c r="J268" s="22"/>
      <c r="K268" s="23"/>
      <c r="L268" s="23"/>
      <c r="M268" s="24"/>
    </row>
    <row r="269" spans="10:13" x14ac:dyDescent="0.25">
      <c r="J269" s="22"/>
      <c r="K269" s="23"/>
      <c r="L269" s="23"/>
      <c r="M269" s="24"/>
    </row>
    <row r="270" spans="10:13" x14ac:dyDescent="0.25">
      <c r="J270" s="22"/>
      <c r="K270" s="23"/>
      <c r="L270" s="23"/>
      <c r="M270" s="24"/>
    </row>
    <row r="271" spans="10:13" x14ac:dyDescent="0.25">
      <c r="J271" s="22"/>
      <c r="K271" s="23"/>
      <c r="L271" s="23"/>
      <c r="M271" s="24"/>
    </row>
    <row r="272" spans="10:13" x14ac:dyDescent="0.25">
      <c r="J272" s="22"/>
      <c r="K272" s="23"/>
      <c r="L272" s="23"/>
      <c r="M272" s="24"/>
    </row>
    <row r="273" spans="10:13" x14ac:dyDescent="0.25">
      <c r="J273" s="22"/>
      <c r="K273" s="23"/>
      <c r="L273" s="23"/>
      <c r="M273" s="24"/>
    </row>
    <row r="274" spans="10:13" x14ac:dyDescent="0.25">
      <c r="J274" s="22"/>
      <c r="K274" s="23"/>
      <c r="L274" s="23"/>
      <c r="M274" s="24"/>
    </row>
    <row r="275" spans="10:13" x14ac:dyDescent="0.25">
      <c r="J275" s="22"/>
      <c r="K275" s="23"/>
      <c r="L275" s="23"/>
      <c r="M275" s="24"/>
    </row>
    <row r="276" spans="10:13" x14ac:dyDescent="0.25">
      <c r="J276" s="22"/>
      <c r="K276" s="23"/>
      <c r="L276" s="23"/>
      <c r="M276" s="24"/>
    </row>
    <row r="277" spans="10:13" x14ac:dyDescent="0.25">
      <c r="J277" s="22"/>
      <c r="K277" s="23"/>
      <c r="L277" s="23"/>
      <c r="M277" s="24"/>
    </row>
    <row r="278" spans="10:13" x14ac:dyDescent="0.25">
      <c r="J278" s="22"/>
      <c r="K278" s="23"/>
      <c r="L278" s="23"/>
      <c r="M278" s="24"/>
    </row>
    <row r="279" spans="10:13" x14ac:dyDescent="0.25">
      <c r="J279" s="22"/>
      <c r="K279" s="23"/>
      <c r="L279" s="23"/>
      <c r="M279" s="24"/>
    </row>
    <row r="280" spans="10:13" x14ac:dyDescent="0.25">
      <c r="J280" s="22"/>
      <c r="K280" s="23"/>
      <c r="L280" s="23"/>
      <c r="M280" s="24"/>
    </row>
    <row r="281" spans="10:13" x14ac:dyDescent="0.25">
      <c r="J281" s="22"/>
      <c r="K281" s="23"/>
      <c r="L281" s="23"/>
      <c r="M281" s="24"/>
    </row>
    <row r="282" spans="10:13" x14ac:dyDescent="0.25">
      <c r="J282" s="22"/>
      <c r="K282" s="23"/>
      <c r="L282" s="23"/>
      <c r="M282" s="24"/>
    </row>
    <row r="283" spans="10:13" x14ac:dyDescent="0.25">
      <c r="J283" s="22"/>
      <c r="K283" s="23"/>
      <c r="L283" s="23"/>
      <c r="M283" s="24"/>
    </row>
    <row r="284" spans="10:13" x14ac:dyDescent="0.25">
      <c r="J284" s="22"/>
      <c r="K284" s="23"/>
      <c r="L284" s="23"/>
      <c r="M284" s="24"/>
    </row>
    <row r="285" spans="10:13" x14ac:dyDescent="0.25">
      <c r="J285" s="22"/>
      <c r="K285" s="23"/>
      <c r="L285" s="23"/>
      <c r="M285" s="24"/>
    </row>
    <row r="286" spans="10:13" x14ac:dyDescent="0.25">
      <c r="J286" s="22"/>
      <c r="K286" s="23"/>
      <c r="L286" s="23"/>
      <c r="M286" s="24"/>
    </row>
    <row r="287" spans="10:13" x14ac:dyDescent="0.25">
      <c r="J287" s="22"/>
      <c r="K287" s="23"/>
      <c r="L287" s="23"/>
      <c r="M287" s="24"/>
    </row>
    <row r="288" spans="10:13" x14ac:dyDescent="0.25">
      <c r="J288" s="22"/>
      <c r="K288" s="23"/>
      <c r="L288" s="23"/>
      <c r="M288" s="24"/>
    </row>
    <row r="289" spans="10:13" x14ac:dyDescent="0.25">
      <c r="J289" s="22"/>
      <c r="K289" s="23"/>
      <c r="L289" s="23"/>
      <c r="M289" s="24"/>
    </row>
    <row r="290" spans="10:13" x14ac:dyDescent="0.25">
      <c r="J290" s="22"/>
      <c r="K290" s="23"/>
      <c r="L290" s="23"/>
      <c r="M290" s="24"/>
    </row>
    <row r="291" spans="10:13" x14ac:dyDescent="0.25">
      <c r="J291" s="22"/>
      <c r="K291" s="23"/>
      <c r="L291" s="23"/>
      <c r="M291" s="24"/>
    </row>
    <row r="292" spans="10:13" x14ac:dyDescent="0.25">
      <c r="J292" s="22"/>
      <c r="K292" s="23"/>
      <c r="L292" s="23"/>
      <c r="M292" s="24"/>
    </row>
    <row r="293" spans="10:13" x14ac:dyDescent="0.25">
      <c r="J293" s="22"/>
      <c r="K293" s="23"/>
      <c r="L293" s="23"/>
      <c r="M293" s="24"/>
    </row>
    <row r="294" spans="10:13" x14ac:dyDescent="0.25">
      <c r="J294" s="22"/>
      <c r="K294" s="23"/>
      <c r="L294" s="23"/>
      <c r="M294" s="24"/>
    </row>
    <row r="295" spans="10:13" x14ac:dyDescent="0.25">
      <c r="J295" s="22"/>
      <c r="K295" s="23"/>
      <c r="L295" s="23"/>
      <c r="M295" s="24"/>
    </row>
    <row r="296" spans="10:13" x14ac:dyDescent="0.25">
      <c r="J296" s="22"/>
      <c r="K296" s="23"/>
      <c r="L296" s="23"/>
      <c r="M296" s="24"/>
    </row>
    <row r="297" spans="10:13" x14ac:dyDescent="0.25">
      <c r="J297" s="22"/>
      <c r="K297" s="23"/>
      <c r="L297" s="23"/>
      <c r="M297" s="24"/>
    </row>
    <row r="298" spans="10:13" x14ac:dyDescent="0.25">
      <c r="J298" s="22"/>
      <c r="K298" s="23"/>
      <c r="L298" s="23"/>
      <c r="M298" s="24"/>
    </row>
    <row r="299" spans="10:13" x14ac:dyDescent="0.25">
      <c r="J299" s="22"/>
      <c r="K299" s="23"/>
      <c r="L299" s="23"/>
      <c r="M299" s="24"/>
    </row>
    <row r="300" spans="10:13" x14ac:dyDescent="0.25">
      <c r="J300" s="22"/>
      <c r="K300" s="23"/>
      <c r="L300" s="23"/>
      <c r="M300" s="24"/>
    </row>
    <row r="301" spans="10:13" x14ac:dyDescent="0.25">
      <c r="J301" s="22"/>
      <c r="K301" s="23"/>
      <c r="L301" s="23"/>
      <c r="M301" s="24"/>
    </row>
    <row r="302" spans="10:13" x14ac:dyDescent="0.25">
      <c r="J302" s="22"/>
      <c r="K302" s="23"/>
      <c r="L302" s="23"/>
      <c r="M302" s="24"/>
    </row>
    <row r="303" spans="10:13" x14ac:dyDescent="0.25">
      <c r="J303" s="22"/>
      <c r="K303" s="23"/>
      <c r="L303" s="23"/>
      <c r="M303" s="24"/>
    </row>
    <row r="304" spans="10:13" x14ac:dyDescent="0.25">
      <c r="J304" s="22"/>
      <c r="K304" s="23"/>
      <c r="L304" s="23"/>
      <c r="M304" s="24"/>
    </row>
    <row r="305" spans="10:13" x14ac:dyDescent="0.25">
      <c r="J305" s="22"/>
      <c r="K305" s="23"/>
      <c r="L305" s="23"/>
      <c r="M305" s="24"/>
    </row>
    <row r="306" spans="10:13" x14ac:dyDescent="0.25">
      <c r="J306" s="22"/>
      <c r="K306" s="23"/>
      <c r="L306" s="23"/>
      <c r="M306" s="24"/>
    </row>
    <row r="307" spans="10:13" x14ac:dyDescent="0.25">
      <c r="J307" s="22"/>
      <c r="K307" s="23"/>
      <c r="L307" s="23"/>
      <c r="M307" s="24"/>
    </row>
    <row r="308" spans="10:13" x14ac:dyDescent="0.25">
      <c r="J308" s="22"/>
      <c r="K308" s="23"/>
      <c r="L308" s="23"/>
      <c r="M308" s="24"/>
    </row>
    <row r="309" spans="10:13" x14ac:dyDescent="0.25">
      <c r="J309" s="22"/>
      <c r="K309" s="23"/>
      <c r="L309" s="23"/>
      <c r="M309" s="24"/>
    </row>
    <row r="310" spans="10:13" x14ac:dyDescent="0.25">
      <c r="J310" s="22"/>
      <c r="K310" s="23"/>
      <c r="L310" s="23"/>
      <c r="M310" s="24"/>
    </row>
    <row r="311" spans="10:13" x14ac:dyDescent="0.25">
      <c r="J311" s="22"/>
      <c r="K311" s="23"/>
      <c r="L311" s="23"/>
      <c r="M311" s="24"/>
    </row>
    <row r="312" spans="10:13" x14ac:dyDescent="0.25">
      <c r="J312" s="22"/>
      <c r="K312" s="23"/>
      <c r="L312" s="23"/>
      <c r="M312" s="24"/>
    </row>
    <row r="313" spans="10:13" x14ac:dyDescent="0.25">
      <c r="J313" s="22"/>
      <c r="K313" s="23"/>
      <c r="L313" s="23"/>
      <c r="M313" s="24"/>
    </row>
    <row r="314" spans="10:13" x14ac:dyDescent="0.25">
      <c r="J314" s="22"/>
      <c r="K314" s="23"/>
      <c r="L314" s="23"/>
      <c r="M314" s="24"/>
    </row>
    <row r="315" spans="10:13" x14ac:dyDescent="0.25">
      <c r="J315" s="23"/>
      <c r="K315" s="23"/>
      <c r="L315" s="23"/>
      <c r="M315" s="23"/>
    </row>
    <row r="316" spans="10:13" x14ac:dyDescent="0.25">
      <c r="J316" s="23"/>
      <c r="K316" s="23"/>
      <c r="L316" s="23"/>
      <c r="M316" s="23"/>
    </row>
  </sheetData>
  <mergeCells count="123">
    <mergeCell ref="I71:N71"/>
    <mergeCell ref="J79:K79"/>
    <mergeCell ref="B65:C65"/>
    <mergeCell ref="B67:C67"/>
    <mergeCell ref="G67:H67"/>
    <mergeCell ref="B66:C66"/>
    <mergeCell ref="G66:H66"/>
    <mergeCell ref="B45:C45"/>
    <mergeCell ref="B46:C46"/>
    <mergeCell ref="G49:H49"/>
    <mergeCell ref="G50:H50"/>
    <mergeCell ref="G51:H51"/>
    <mergeCell ref="G52:H52"/>
    <mergeCell ref="G53:H53"/>
    <mergeCell ref="I59:N59"/>
    <mergeCell ref="I64:N64"/>
    <mergeCell ref="I54:N54"/>
    <mergeCell ref="G61:H61"/>
    <mergeCell ref="G64:H64"/>
    <mergeCell ref="I58:N58"/>
    <mergeCell ref="B58:C58"/>
    <mergeCell ref="B60:C60"/>
    <mergeCell ref="B61:C61"/>
    <mergeCell ref="G68:H68"/>
    <mergeCell ref="G55:H55"/>
    <mergeCell ref="G58:H58"/>
    <mergeCell ref="G59:H59"/>
    <mergeCell ref="G60:H60"/>
    <mergeCell ref="J7:M7"/>
    <mergeCell ref="B37:C37"/>
    <mergeCell ref="B44:C44"/>
    <mergeCell ref="B7:G7"/>
    <mergeCell ref="B24:C24"/>
    <mergeCell ref="B40:C40"/>
    <mergeCell ref="B41:C41"/>
    <mergeCell ref="B42:C42"/>
    <mergeCell ref="B43:C43"/>
    <mergeCell ref="B18:C18"/>
    <mergeCell ref="B19:C19"/>
    <mergeCell ref="B20:C20"/>
    <mergeCell ref="B21:C21"/>
    <mergeCell ref="B38:C38"/>
    <mergeCell ref="B39:C39"/>
    <mergeCell ref="B13:C13"/>
    <mergeCell ref="B14:C14"/>
    <mergeCell ref="B15:C15"/>
    <mergeCell ref="B16:C16"/>
    <mergeCell ref="B17:C17"/>
    <mergeCell ref="I37:N37"/>
    <mergeCell ref="I38:N38"/>
    <mergeCell ref="I39:N39"/>
    <mergeCell ref="I40:N40"/>
    <mergeCell ref="C2:C5"/>
    <mergeCell ref="B8:C8"/>
    <mergeCell ref="B9:C9"/>
    <mergeCell ref="B10:C10"/>
    <mergeCell ref="B11:C11"/>
    <mergeCell ref="B12:C12"/>
    <mergeCell ref="B25:C25"/>
    <mergeCell ref="B26:C26"/>
    <mergeCell ref="C81:G81"/>
    <mergeCell ref="B30:C30"/>
    <mergeCell ref="B31:C31"/>
    <mergeCell ref="B47:C47"/>
    <mergeCell ref="B48:C48"/>
    <mergeCell ref="B27:C27"/>
    <mergeCell ref="B49:C49"/>
    <mergeCell ref="B28:C28"/>
    <mergeCell ref="B33:C33"/>
    <mergeCell ref="B34:C34"/>
    <mergeCell ref="B32:G32"/>
    <mergeCell ref="G37:H37"/>
    <mergeCell ref="B52:C52"/>
    <mergeCell ref="C80:G80"/>
    <mergeCell ref="B72:C72"/>
    <mergeCell ref="B55:C55"/>
    <mergeCell ref="B51:C51"/>
    <mergeCell ref="B59:C59"/>
    <mergeCell ref="B64:C64"/>
    <mergeCell ref="B70:C70"/>
    <mergeCell ref="B68:C68"/>
    <mergeCell ref="B71:C71"/>
    <mergeCell ref="G71:H71"/>
    <mergeCell ref="G54:H54"/>
    <mergeCell ref="I41:N41"/>
    <mergeCell ref="I43:N43"/>
    <mergeCell ref="I44:N44"/>
    <mergeCell ref="I47:N47"/>
    <mergeCell ref="I48:N48"/>
    <mergeCell ref="I42:N42"/>
    <mergeCell ref="G38:H38"/>
    <mergeCell ref="G39:H39"/>
    <mergeCell ref="G40:H40"/>
    <mergeCell ref="G41:H41"/>
    <mergeCell ref="G42:H42"/>
    <mergeCell ref="G43:H43"/>
    <mergeCell ref="G44:H44"/>
    <mergeCell ref="G47:H47"/>
    <mergeCell ref="G48:H48"/>
    <mergeCell ref="C83:G83"/>
    <mergeCell ref="B69:C69"/>
    <mergeCell ref="G69:H69"/>
    <mergeCell ref="I55:N55"/>
    <mergeCell ref="I49:N49"/>
    <mergeCell ref="I50:N50"/>
    <mergeCell ref="I51:N51"/>
    <mergeCell ref="I52:N52"/>
    <mergeCell ref="I53:N53"/>
    <mergeCell ref="B62:C62"/>
    <mergeCell ref="I61:N61"/>
    <mergeCell ref="B63:C63"/>
    <mergeCell ref="G62:H62"/>
    <mergeCell ref="G63:H63"/>
    <mergeCell ref="C82:G82"/>
    <mergeCell ref="B53:C53"/>
    <mergeCell ref="B54:C54"/>
    <mergeCell ref="B50:C50"/>
    <mergeCell ref="C79:G79"/>
    <mergeCell ref="C78:G78"/>
    <mergeCell ref="C75:G75"/>
    <mergeCell ref="C76:G76"/>
    <mergeCell ref="C77:G77"/>
    <mergeCell ref="B73:C73"/>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B2:H87"/>
  <sheetViews>
    <sheetView topLeftCell="A34" zoomScale="90" zoomScaleNormal="90" workbookViewId="0">
      <selection activeCell="I62" sqref="I62"/>
    </sheetView>
  </sheetViews>
  <sheetFormatPr baseColWidth="10" defaultRowHeight="15" x14ac:dyDescent="0.25"/>
  <cols>
    <col min="1" max="1" width="5.42578125" style="12" customWidth="1"/>
    <col min="2" max="2" width="29.140625" style="12" customWidth="1"/>
    <col min="3" max="3" width="21.28515625" style="12" customWidth="1"/>
    <col min="4" max="4" width="11.28515625" style="12" customWidth="1"/>
    <col min="5" max="5" width="11.85546875" style="12" customWidth="1"/>
    <col min="6" max="6" width="16.140625" style="12" customWidth="1"/>
    <col min="7" max="7" width="48.28515625" style="12" customWidth="1"/>
    <col min="8" max="16384" width="11.42578125" style="12"/>
  </cols>
  <sheetData>
    <row r="2" spans="2:6" x14ac:dyDescent="0.25">
      <c r="C2" s="41" t="s">
        <v>119</v>
      </c>
    </row>
    <row r="3" spans="2:6" x14ac:dyDescent="0.25">
      <c r="C3" s="41" t="s">
        <v>120</v>
      </c>
    </row>
    <row r="4" spans="2:6" x14ac:dyDescent="0.25">
      <c r="C4" s="41" t="s">
        <v>121</v>
      </c>
    </row>
    <row r="5" spans="2:6" x14ac:dyDescent="0.25">
      <c r="C5" s="41" t="s">
        <v>127</v>
      </c>
    </row>
    <row r="7" spans="2:6" x14ac:dyDescent="0.25">
      <c r="B7" s="346" t="s">
        <v>125</v>
      </c>
      <c r="C7" s="346"/>
      <c r="D7" s="346"/>
      <c r="E7" s="346"/>
      <c r="F7" s="346"/>
    </row>
    <row r="9" spans="2:6" x14ac:dyDescent="0.25">
      <c r="B9" s="41" t="s">
        <v>45</v>
      </c>
      <c r="C9" s="41"/>
    </row>
    <row r="10" spans="2:6" ht="17.25" x14ac:dyDescent="0.25">
      <c r="B10" s="329" t="s">
        <v>33</v>
      </c>
      <c r="C10" s="330"/>
      <c r="D10" s="9" t="s">
        <v>0</v>
      </c>
      <c r="E10" s="1" t="s">
        <v>20</v>
      </c>
      <c r="F10" s="3">
        <v>5.7259999999999998E-2</v>
      </c>
    </row>
    <row r="11" spans="2:6" x14ac:dyDescent="0.25">
      <c r="B11" s="329" t="s">
        <v>31</v>
      </c>
      <c r="C11" s="330"/>
      <c r="D11" s="9" t="s">
        <v>3</v>
      </c>
      <c r="E11" s="1" t="s">
        <v>28</v>
      </c>
      <c r="F11" s="3">
        <v>4</v>
      </c>
    </row>
    <row r="12" spans="2:6" ht="17.25" x14ac:dyDescent="0.25">
      <c r="B12" s="329" t="s">
        <v>32</v>
      </c>
      <c r="C12" s="330"/>
      <c r="D12" s="9" t="s">
        <v>92</v>
      </c>
      <c r="E12" s="1" t="s">
        <v>20</v>
      </c>
      <c r="F12" s="18">
        <f>F10/F11</f>
        <v>1.4315E-2</v>
      </c>
    </row>
    <row r="13" spans="2:6" ht="17.25" x14ac:dyDescent="0.25">
      <c r="B13" s="329" t="s">
        <v>10</v>
      </c>
      <c r="C13" s="330"/>
      <c r="D13" s="9" t="s">
        <v>2</v>
      </c>
      <c r="E13" s="1" t="s">
        <v>21</v>
      </c>
      <c r="F13" s="19">
        <v>1.0070000000000001E-6</v>
      </c>
    </row>
    <row r="14" spans="2:6" x14ac:dyDescent="0.25">
      <c r="B14" s="329" t="s">
        <v>106</v>
      </c>
      <c r="C14" s="330"/>
      <c r="D14" s="36"/>
      <c r="E14" s="1"/>
      <c r="F14" s="3" t="s">
        <v>107</v>
      </c>
    </row>
    <row r="15" spans="2:6" ht="17.25" x14ac:dyDescent="0.25">
      <c r="B15" s="329" t="str">
        <f>"Eficiencia crítica para sedimentador de "&amp;F14</f>
        <v>Eficiencia crítica para sedimentador de Placas paralelas</v>
      </c>
      <c r="C15" s="330"/>
      <c r="D15" s="8" t="s">
        <v>108</v>
      </c>
      <c r="E15" s="2"/>
      <c r="F15" s="4">
        <v>1</v>
      </c>
    </row>
    <row r="16" spans="2:6" x14ac:dyDescent="0.25">
      <c r="B16" s="329" t="s">
        <v>22</v>
      </c>
      <c r="C16" s="330"/>
      <c r="D16" s="9" t="s">
        <v>11</v>
      </c>
      <c r="E16" s="1" t="s">
        <v>3</v>
      </c>
      <c r="F16" s="59">
        <f>'Sedimentador alta tasa'!F14</f>
        <v>0.05</v>
      </c>
    </row>
    <row r="17" spans="2:7" x14ac:dyDescent="0.25">
      <c r="B17" s="329" t="s">
        <v>95</v>
      </c>
      <c r="C17" s="330"/>
      <c r="D17" s="9" t="s">
        <v>12</v>
      </c>
      <c r="E17" s="1" t="s">
        <v>3</v>
      </c>
      <c r="F17" s="59">
        <f>'Sedimentador alta tasa'!F18</f>
        <v>1.2192000000000001</v>
      </c>
    </row>
    <row r="18" spans="2:7" x14ac:dyDescent="0.25">
      <c r="B18" s="329" t="s">
        <v>17</v>
      </c>
      <c r="C18" s="330"/>
      <c r="D18" s="25" t="s">
        <v>13</v>
      </c>
      <c r="E18" s="26" t="s">
        <v>3</v>
      </c>
      <c r="F18" s="59">
        <f>'Sedimentador alta tasa'!F19</f>
        <v>4.0000000000000001E-3</v>
      </c>
      <c r="G18" s="6"/>
    </row>
    <row r="19" spans="2:7" x14ac:dyDescent="0.25">
      <c r="B19" s="329" t="s">
        <v>96</v>
      </c>
      <c r="C19" s="330"/>
      <c r="D19" s="9" t="s">
        <v>14</v>
      </c>
      <c r="E19" s="1" t="s">
        <v>3</v>
      </c>
      <c r="F19" s="59">
        <f>'Sedimentador alta tasa'!F20</f>
        <v>1.2192000000000001</v>
      </c>
    </row>
    <row r="20" spans="2:7" x14ac:dyDescent="0.25">
      <c r="B20" s="329" t="s">
        <v>19</v>
      </c>
      <c r="C20" s="330"/>
      <c r="D20" s="7" t="s">
        <v>24</v>
      </c>
      <c r="E20" s="1" t="s">
        <v>23</v>
      </c>
      <c r="F20" s="27">
        <v>60</v>
      </c>
      <c r="G20" s="37"/>
    </row>
    <row r="21" spans="2:7" x14ac:dyDescent="0.25">
      <c r="B21" s="34"/>
      <c r="C21" s="34"/>
      <c r="D21" s="35"/>
      <c r="E21" s="5"/>
      <c r="F21" s="6"/>
    </row>
    <row r="22" spans="2:7" x14ac:dyDescent="0.25">
      <c r="B22" s="40" t="s">
        <v>110</v>
      </c>
      <c r="C22" s="40"/>
      <c r="D22" s="34"/>
      <c r="E22" s="5"/>
      <c r="F22" s="6"/>
    </row>
    <row r="23" spans="2:7" ht="17.25" x14ac:dyDescent="0.25">
      <c r="B23" s="329" t="s">
        <v>52</v>
      </c>
      <c r="C23" s="330"/>
      <c r="D23" s="9" t="s">
        <v>46</v>
      </c>
      <c r="E23" s="1" t="s">
        <v>3</v>
      </c>
      <c r="F23" s="27">
        <v>0.6</v>
      </c>
    </row>
    <row r="24" spans="2:7" ht="17.25" x14ac:dyDescent="0.25">
      <c r="B24" s="348" t="s">
        <v>58</v>
      </c>
      <c r="C24" s="349"/>
      <c r="D24" s="28" t="s">
        <v>61</v>
      </c>
      <c r="E24" s="1" t="s">
        <v>3</v>
      </c>
      <c r="F24" s="27">
        <v>0.6</v>
      </c>
    </row>
    <row r="25" spans="2:7" x14ac:dyDescent="0.25">
      <c r="B25" s="34"/>
      <c r="C25" s="34"/>
      <c r="D25" s="35"/>
      <c r="E25" s="5"/>
      <c r="F25" s="6"/>
    </row>
    <row r="26" spans="2:7" x14ac:dyDescent="0.25">
      <c r="B26" s="41" t="s">
        <v>111</v>
      </c>
      <c r="C26" s="41"/>
    </row>
    <row r="27" spans="2:7" x14ac:dyDescent="0.25">
      <c r="B27" s="41"/>
      <c r="C27" s="41"/>
    </row>
    <row r="28" spans="2:7" x14ac:dyDescent="0.25">
      <c r="B28" s="345" t="s">
        <v>112</v>
      </c>
      <c r="C28" s="345"/>
      <c r="D28" s="345"/>
      <c r="E28" s="345"/>
      <c r="F28" s="345"/>
      <c r="G28" s="345"/>
    </row>
    <row r="29" spans="2:7" x14ac:dyDescent="0.25">
      <c r="B29" s="345"/>
      <c r="C29" s="345"/>
      <c r="D29" s="345"/>
      <c r="E29" s="345"/>
      <c r="F29" s="345"/>
      <c r="G29" s="345"/>
    </row>
    <row r="30" spans="2:7" x14ac:dyDescent="0.25">
      <c r="B30" s="53"/>
      <c r="C30" s="53"/>
      <c r="D30" s="53"/>
      <c r="E30" s="53"/>
      <c r="F30" s="53"/>
      <c r="G30" s="53"/>
    </row>
    <row r="31" spans="2:7" ht="17.25" x14ac:dyDescent="0.25">
      <c r="B31" s="310" t="s">
        <v>134</v>
      </c>
      <c r="C31" s="311"/>
      <c r="D31" s="51" t="s">
        <v>137</v>
      </c>
      <c r="E31" s="54" t="s">
        <v>3</v>
      </c>
      <c r="F31" s="44">
        <f>'Sedimentador alta tasa'!F42</f>
        <v>5.8566411306595638</v>
      </c>
      <c r="G31" s="53"/>
    </row>
    <row r="32" spans="2:7" x14ac:dyDescent="0.25">
      <c r="B32" s="310" t="s">
        <v>18</v>
      </c>
      <c r="C32" s="311"/>
      <c r="D32" s="51" t="s">
        <v>14</v>
      </c>
      <c r="E32" s="46" t="s">
        <v>3</v>
      </c>
      <c r="F32" s="49">
        <f>'Sedimentador alta tasa'!F20</f>
        <v>1.2192000000000001</v>
      </c>
      <c r="G32" s="53"/>
    </row>
    <row r="33" spans="2:8" x14ac:dyDescent="0.25">
      <c r="B33" s="53"/>
      <c r="C33" s="53"/>
      <c r="D33" s="53"/>
      <c r="E33" s="53"/>
      <c r="F33" s="53"/>
      <c r="G33" s="53"/>
    </row>
    <row r="34" spans="2:8" x14ac:dyDescent="0.25">
      <c r="B34" s="53" t="s">
        <v>103</v>
      </c>
      <c r="C34" s="53"/>
      <c r="D34" s="53"/>
      <c r="E34" s="53"/>
      <c r="F34" s="53"/>
      <c r="G34" s="53"/>
    </row>
    <row r="35" spans="2:8" x14ac:dyDescent="0.25">
      <c r="B35" s="53"/>
      <c r="C35" s="53"/>
      <c r="D35" s="53"/>
      <c r="E35" s="53"/>
      <c r="F35" s="53"/>
      <c r="G35" s="53"/>
    </row>
    <row r="36" spans="2:8" ht="39.950000000000003" customHeight="1" x14ac:dyDescent="0.25">
      <c r="B36" s="310" t="s">
        <v>90</v>
      </c>
      <c r="C36" s="311"/>
      <c r="D36" s="55" t="s">
        <v>91</v>
      </c>
      <c r="E36" s="46" t="s">
        <v>143</v>
      </c>
      <c r="F36" s="44">
        <f>(F12*86400)/(F31*F32)</f>
        <v>173.21341640466753</v>
      </c>
      <c r="G36" s="49"/>
    </row>
    <row r="37" spans="2:8" x14ac:dyDescent="0.25">
      <c r="B37" s="53"/>
      <c r="C37" s="53"/>
      <c r="D37" s="53"/>
      <c r="E37" s="53"/>
      <c r="F37" s="53"/>
      <c r="G37" s="53"/>
    </row>
    <row r="38" spans="2:8" ht="74.25" customHeight="1" x14ac:dyDescent="0.25">
      <c r="B38" s="345" t="s">
        <v>132</v>
      </c>
      <c r="C38" s="345"/>
      <c r="D38" s="345"/>
      <c r="E38" s="345"/>
      <c r="F38" s="345"/>
      <c r="G38" s="345"/>
    </row>
    <row r="39" spans="2:8" x14ac:dyDescent="0.25">
      <c r="B39" s="53"/>
      <c r="C39" s="53"/>
      <c r="D39" s="53"/>
      <c r="E39" s="53"/>
      <c r="F39" s="53"/>
      <c r="G39" s="53"/>
    </row>
    <row r="40" spans="2:8" ht="75" customHeight="1" x14ac:dyDescent="0.25">
      <c r="B40" s="310" t="s">
        <v>98</v>
      </c>
      <c r="C40" s="311"/>
      <c r="D40" s="51" t="s">
        <v>131</v>
      </c>
      <c r="E40" s="46" t="s">
        <v>28</v>
      </c>
      <c r="F40" s="49">
        <f>ROUND(((F31*SIN(F20*PI()/180)+F18)/(F16+F18)-1),0)</f>
        <v>93</v>
      </c>
      <c r="G40" s="49"/>
    </row>
    <row r="41" spans="2:8" ht="30" customHeight="1" x14ac:dyDescent="0.25">
      <c r="B41" s="310" t="s">
        <v>97</v>
      </c>
      <c r="C41" s="311"/>
      <c r="D41" s="48" t="s">
        <v>144</v>
      </c>
      <c r="E41" s="46" t="s">
        <v>3</v>
      </c>
      <c r="F41" s="52">
        <f>F31</f>
        <v>5.8566411306595638</v>
      </c>
      <c r="G41" s="44"/>
      <c r="H41" s="23"/>
    </row>
    <row r="42" spans="2:8" ht="42" customHeight="1" x14ac:dyDescent="0.25">
      <c r="B42" s="310" t="s">
        <v>94</v>
      </c>
      <c r="C42" s="311"/>
      <c r="D42" s="45" t="s">
        <v>135</v>
      </c>
      <c r="E42" s="46" t="s">
        <v>5</v>
      </c>
      <c r="F42" s="50">
        <f>ROUND((F12/((F40+1)*F16*F32)),5)</f>
        <v>2.5000000000000001E-3</v>
      </c>
      <c r="G42" s="49"/>
    </row>
    <row r="43" spans="2:8" x14ac:dyDescent="0.25">
      <c r="B43" s="53"/>
      <c r="C43" s="53"/>
      <c r="D43" s="53"/>
      <c r="E43" s="53"/>
      <c r="F43" s="53"/>
      <c r="G43" s="53"/>
    </row>
    <row r="44" spans="2:8" x14ac:dyDescent="0.25">
      <c r="B44" s="53" t="s">
        <v>114</v>
      </c>
      <c r="C44" s="53"/>
      <c r="D44" s="53"/>
      <c r="E44" s="53"/>
      <c r="F44" s="53"/>
      <c r="G44" s="53"/>
    </row>
    <row r="45" spans="2:8" x14ac:dyDescent="0.25">
      <c r="B45" s="53"/>
      <c r="C45" s="53"/>
      <c r="D45" s="53"/>
      <c r="E45" s="53"/>
      <c r="F45" s="53"/>
      <c r="G45" s="53"/>
    </row>
    <row r="46" spans="2:8" ht="39.950000000000003" customHeight="1" x14ac:dyDescent="0.25">
      <c r="B46" s="310" t="s">
        <v>99</v>
      </c>
      <c r="C46" s="311"/>
      <c r="D46" s="51" t="s">
        <v>88</v>
      </c>
      <c r="E46" s="49"/>
      <c r="F46" s="49">
        <f>F17/F16</f>
        <v>24.384</v>
      </c>
      <c r="G46" s="49"/>
    </row>
    <row r="47" spans="2:8" ht="39.950000000000003" customHeight="1" x14ac:dyDescent="0.25">
      <c r="B47" s="310" t="s">
        <v>100</v>
      </c>
      <c r="C47" s="311"/>
      <c r="D47" s="51" t="s">
        <v>101</v>
      </c>
      <c r="E47" s="49"/>
      <c r="F47" s="44">
        <f>(0.058*F42*F16)/F13</f>
        <v>7.1996027805362459</v>
      </c>
      <c r="G47" s="49"/>
    </row>
    <row r="48" spans="2:8" ht="30" customHeight="1" x14ac:dyDescent="0.25">
      <c r="B48" s="310" t="s">
        <v>102</v>
      </c>
      <c r="C48" s="311"/>
      <c r="D48" s="51" t="s">
        <v>145</v>
      </c>
      <c r="E48" s="49"/>
      <c r="F48" s="57">
        <f>F46-F47</f>
        <v>17.184397219463754</v>
      </c>
      <c r="G48" s="49"/>
    </row>
    <row r="49" spans="2:7" x14ac:dyDescent="0.25">
      <c r="B49" s="53"/>
      <c r="C49" s="53"/>
      <c r="D49" s="53"/>
      <c r="E49" s="53"/>
      <c r="F49" s="53"/>
      <c r="G49" s="53"/>
    </row>
    <row r="50" spans="2:7" x14ac:dyDescent="0.25">
      <c r="B50" s="53" t="s">
        <v>115</v>
      </c>
      <c r="C50" s="53"/>
      <c r="D50" s="53"/>
      <c r="E50" s="53"/>
      <c r="F50" s="53"/>
      <c r="G50" s="53"/>
    </row>
    <row r="51" spans="2:7" x14ac:dyDescent="0.25">
      <c r="B51" s="53"/>
      <c r="C51" s="53"/>
      <c r="D51" s="53"/>
      <c r="E51" s="53"/>
      <c r="F51" s="53"/>
      <c r="G51" s="53"/>
    </row>
    <row r="52" spans="2:7" ht="39.950000000000003" customHeight="1" x14ac:dyDescent="0.25">
      <c r="B52" s="310" t="s">
        <v>104</v>
      </c>
      <c r="C52" s="311"/>
      <c r="D52" s="51" t="s">
        <v>146</v>
      </c>
      <c r="E52" s="46" t="s">
        <v>4</v>
      </c>
      <c r="F52" s="44">
        <f>ROUND((1*F42*86400)/(SIN(F20*PI()/180)+F48*COS(F20*PI()/180)),2)</f>
        <v>22.84</v>
      </c>
      <c r="G52" s="49"/>
    </row>
    <row r="53" spans="2:7" x14ac:dyDescent="0.25">
      <c r="B53" s="53"/>
      <c r="C53" s="53"/>
      <c r="D53" s="53"/>
      <c r="E53" s="53"/>
      <c r="F53" s="53"/>
      <c r="G53" s="53"/>
    </row>
    <row r="54" spans="2:7" ht="17.25" x14ac:dyDescent="0.25">
      <c r="B54" s="53" t="s">
        <v>147</v>
      </c>
      <c r="C54" s="53"/>
      <c r="D54" s="53"/>
      <c r="E54" s="53"/>
      <c r="F54" s="53"/>
      <c r="G54" s="53"/>
    </row>
    <row r="55" spans="2:7" x14ac:dyDescent="0.25">
      <c r="B55" s="53"/>
      <c r="C55" s="53"/>
      <c r="D55" s="53"/>
      <c r="E55" s="53"/>
      <c r="F55" s="53"/>
      <c r="G55" s="53"/>
    </row>
    <row r="56" spans="2:7" x14ac:dyDescent="0.25">
      <c r="B56" s="53" t="s">
        <v>116</v>
      </c>
      <c r="C56" s="53"/>
      <c r="D56" s="53"/>
      <c r="E56" s="53"/>
      <c r="F56" s="53"/>
      <c r="G56" s="53"/>
    </row>
    <row r="57" spans="2:7" x14ac:dyDescent="0.25">
      <c r="B57" s="53"/>
      <c r="C57" s="53"/>
      <c r="D57" s="53"/>
      <c r="E57" s="53"/>
      <c r="F57" s="53"/>
      <c r="G57" s="53"/>
    </row>
    <row r="58" spans="2:7" ht="39.950000000000003" customHeight="1" x14ac:dyDescent="0.25">
      <c r="B58" s="310" t="s">
        <v>109</v>
      </c>
      <c r="C58" s="311"/>
      <c r="D58" s="56" t="s">
        <v>1</v>
      </c>
      <c r="E58" s="49"/>
      <c r="F58" s="49">
        <f>ROUND((F42*F16)/F13,0)</f>
        <v>124</v>
      </c>
      <c r="G58" s="49"/>
    </row>
    <row r="59" spans="2:7" x14ac:dyDescent="0.25">
      <c r="B59" s="53"/>
      <c r="C59" s="53"/>
      <c r="D59" s="53"/>
      <c r="E59" s="53"/>
      <c r="F59" s="53"/>
      <c r="G59" s="53"/>
    </row>
    <row r="60" spans="2:7" x14ac:dyDescent="0.25">
      <c r="B60" s="53" t="s">
        <v>117</v>
      </c>
      <c r="C60" s="53"/>
      <c r="D60" s="53"/>
      <c r="E60" s="53"/>
      <c r="F60" s="53"/>
      <c r="G60" s="53"/>
    </row>
    <row r="61" spans="2:7" x14ac:dyDescent="0.25">
      <c r="B61" s="53"/>
      <c r="C61" s="53"/>
      <c r="D61" s="53"/>
      <c r="E61" s="53"/>
      <c r="F61" s="53"/>
      <c r="G61" s="53"/>
    </row>
    <row r="62" spans="2:7" ht="39.950000000000003" customHeight="1" x14ac:dyDescent="0.25">
      <c r="B62" s="310" t="s">
        <v>26</v>
      </c>
      <c r="C62" s="311"/>
      <c r="D62" s="48" t="s">
        <v>136</v>
      </c>
      <c r="E62" s="46" t="s">
        <v>70</v>
      </c>
      <c r="F62" s="44">
        <f>(F17/F42)/60</f>
        <v>8.1280000000000001</v>
      </c>
      <c r="G62" s="49"/>
    </row>
    <row r="63" spans="2:7" x14ac:dyDescent="0.25">
      <c r="B63" s="53"/>
      <c r="C63" s="53"/>
      <c r="D63" s="53"/>
      <c r="E63" s="53"/>
      <c r="F63" s="53"/>
      <c r="G63" s="53"/>
    </row>
    <row r="64" spans="2:7" ht="60" customHeight="1" x14ac:dyDescent="0.25">
      <c r="B64" s="345" t="s">
        <v>133</v>
      </c>
      <c r="C64" s="345"/>
      <c r="D64" s="345"/>
      <c r="E64" s="345"/>
      <c r="F64" s="345"/>
      <c r="G64" s="345"/>
    </row>
    <row r="65" spans="2:7" x14ac:dyDescent="0.25">
      <c r="B65" s="53"/>
      <c r="C65" s="53"/>
      <c r="D65" s="53"/>
      <c r="E65" s="53"/>
      <c r="F65" s="53"/>
      <c r="G65" s="53"/>
    </row>
    <row r="66" spans="2:7" ht="39.950000000000003" customHeight="1" x14ac:dyDescent="0.25">
      <c r="B66" s="310" t="s">
        <v>44</v>
      </c>
      <c r="C66" s="311"/>
      <c r="D66" s="51" t="s">
        <v>27</v>
      </c>
      <c r="E66" s="46" t="s">
        <v>28</v>
      </c>
      <c r="F66" s="49">
        <f>ROUND(((F31*SIN(F20*PI()/180)+F18)/(F16+F18)),0)</f>
        <v>94</v>
      </c>
      <c r="G66" s="49"/>
    </row>
    <row r="67" spans="2:7" x14ac:dyDescent="0.25">
      <c r="B67" s="53"/>
      <c r="C67" s="53"/>
      <c r="D67" s="53"/>
      <c r="E67" s="53"/>
      <c r="F67" s="53"/>
      <c r="G67" s="53"/>
    </row>
    <row r="68" spans="2:7" x14ac:dyDescent="0.25">
      <c r="B68" s="53" t="s">
        <v>118</v>
      </c>
      <c r="C68" s="53"/>
      <c r="D68" s="53"/>
      <c r="E68" s="53"/>
      <c r="F68" s="53"/>
      <c r="G68" s="53"/>
    </row>
    <row r="69" spans="2:7" x14ac:dyDescent="0.25">
      <c r="B69" s="53"/>
      <c r="C69" s="53"/>
      <c r="D69" s="53"/>
      <c r="E69" s="53"/>
      <c r="F69" s="53"/>
      <c r="G69" s="53"/>
    </row>
    <row r="70" spans="2:7" ht="30" customHeight="1" x14ac:dyDescent="0.25">
      <c r="B70" s="310" t="s">
        <v>30</v>
      </c>
      <c r="C70" s="311"/>
      <c r="D70" s="48" t="s">
        <v>138</v>
      </c>
      <c r="E70" s="46" t="s">
        <v>3</v>
      </c>
      <c r="F70" s="44">
        <f>F17*SIN(F20*PI()/180)</f>
        <v>1.0558581722939875</v>
      </c>
      <c r="G70" s="49"/>
    </row>
    <row r="71" spans="2:7" ht="30" customHeight="1" x14ac:dyDescent="0.25">
      <c r="B71" s="310" t="s">
        <v>62</v>
      </c>
      <c r="C71" s="311"/>
      <c r="D71" s="51" t="s">
        <v>139</v>
      </c>
      <c r="E71" s="46" t="s">
        <v>3</v>
      </c>
      <c r="F71" s="44">
        <f>F24+F70+F23</f>
        <v>2.2558581722939874</v>
      </c>
      <c r="G71" s="49"/>
    </row>
    <row r="72" spans="2:7" ht="30" customHeight="1" x14ac:dyDescent="0.25">
      <c r="B72" s="310" t="s">
        <v>69</v>
      </c>
      <c r="C72" s="311"/>
      <c r="D72" s="51" t="s">
        <v>140</v>
      </c>
      <c r="E72" s="46" t="s">
        <v>141</v>
      </c>
      <c r="F72" s="44">
        <f>F71*F31*F19-(F66-1)*F17*F19*F18</f>
        <v>15.554808847800167</v>
      </c>
      <c r="G72" s="49"/>
    </row>
    <row r="73" spans="2:7" ht="39.950000000000003" customHeight="1" x14ac:dyDescent="0.25">
      <c r="B73" s="310" t="s">
        <v>68</v>
      </c>
      <c r="C73" s="311"/>
      <c r="D73" s="51" t="s">
        <v>142</v>
      </c>
      <c r="E73" s="46" t="s">
        <v>70</v>
      </c>
      <c r="F73" s="44">
        <f>(F72/F12)/60</f>
        <v>18.110151179182871</v>
      </c>
      <c r="G73" s="49"/>
    </row>
    <row r="75" spans="2:7" x14ac:dyDescent="0.25">
      <c r="B75" s="41" t="s">
        <v>113</v>
      </c>
      <c r="C75" s="41"/>
    </row>
    <row r="76" spans="2:7" ht="15" customHeight="1" x14ac:dyDescent="0.25">
      <c r="B76" s="347" t="s">
        <v>148</v>
      </c>
      <c r="C76" s="347"/>
      <c r="D76" s="347"/>
      <c r="E76" s="347"/>
      <c r="F76" s="347"/>
      <c r="G76" s="347"/>
    </row>
    <row r="77" spans="2:7" x14ac:dyDescent="0.25">
      <c r="B77" s="347"/>
      <c r="C77" s="347"/>
      <c r="D77" s="347"/>
      <c r="E77" s="347"/>
      <c r="F77" s="347"/>
      <c r="G77" s="347"/>
    </row>
    <row r="78" spans="2:7" x14ac:dyDescent="0.25">
      <c r="B78" s="347"/>
      <c r="C78" s="347"/>
      <c r="D78" s="347"/>
      <c r="E78" s="347"/>
      <c r="F78" s="347"/>
      <c r="G78" s="347"/>
    </row>
    <row r="79" spans="2:7" x14ac:dyDescent="0.25">
      <c r="B79" s="347"/>
      <c r="C79" s="347"/>
      <c r="D79" s="347"/>
      <c r="E79" s="347"/>
      <c r="F79" s="347"/>
      <c r="G79" s="347"/>
    </row>
    <row r="80" spans="2:7" ht="24.75" customHeight="1" x14ac:dyDescent="0.25">
      <c r="B80" s="347"/>
      <c r="C80" s="347"/>
      <c r="D80" s="347"/>
      <c r="E80" s="347"/>
      <c r="F80" s="347"/>
      <c r="G80" s="347"/>
    </row>
    <row r="81" spans="2:7" x14ac:dyDescent="0.25">
      <c r="B81" s="42"/>
      <c r="C81" s="42"/>
      <c r="D81" s="42"/>
      <c r="E81" s="42"/>
      <c r="F81" s="42"/>
      <c r="G81" s="42"/>
    </row>
    <row r="82" spans="2:7" x14ac:dyDescent="0.25">
      <c r="B82" s="41" t="s">
        <v>122</v>
      </c>
      <c r="C82" s="41"/>
    </row>
    <row r="83" spans="2:7" x14ac:dyDescent="0.25">
      <c r="B83" s="12" t="s">
        <v>123</v>
      </c>
    </row>
    <row r="84" spans="2:7" x14ac:dyDescent="0.25">
      <c r="B84" s="12" t="s">
        <v>124</v>
      </c>
    </row>
    <row r="86" spans="2:7" x14ac:dyDescent="0.25">
      <c r="B86" s="41" t="s">
        <v>126</v>
      </c>
    </row>
    <row r="87" spans="2:7" x14ac:dyDescent="0.25">
      <c r="B87" s="12" t="s">
        <v>214</v>
      </c>
    </row>
  </sheetData>
  <mergeCells count="35">
    <mergeCell ref="B76:G80"/>
    <mergeCell ref="B32:C32"/>
    <mergeCell ref="B17:C17"/>
    <mergeCell ref="B18:C18"/>
    <mergeCell ref="B19:C19"/>
    <mergeCell ref="B23:C23"/>
    <mergeCell ref="B28:G29"/>
    <mergeCell ref="B31:C31"/>
    <mergeCell ref="B36:C36"/>
    <mergeCell ref="B20:C20"/>
    <mergeCell ref="B38:G38"/>
    <mergeCell ref="B40:C40"/>
    <mergeCell ref="B41:C41"/>
    <mergeCell ref="B58:C58"/>
    <mergeCell ref="B24:C24"/>
    <mergeCell ref="B42:C42"/>
    <mergeCell ref="B7:F7"/>
    <mergeCell ref="B13:C13"/>
    <mergeCell ref="B14:C14"/>
    <mergeCell ref="B15:C15"/>
    <mergeCell ref="B16:C16"/>
    <mergeCell ref="B10:C10"/>
    <mergeCell ref="B11:C11"/>
    <mergeCell ref="B12:C12"/>
    <mergeCell ref="B46:C46"/>
    <mergeCell ref="B47:C47"/>
    <mergeCell ref="B48:C48"/>
    <mergeCell ref="B52:C52"/>
    <mergeCell ref="B62:C62"/>
    <mergeCell ref="B64:G64"/>
    <mergeCell ref="B66:C66"/>
    <mergeCell ref="B71:C71"/>
    <mergeCell ref="B72:C72"/>
    <mergeCell ref="B73:C73"/>
    <mergeCell ref="B70:C70"/>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9"/>
  <sheetViews>
    <sheetView tabSelected="1" topLeftCell="A67" zoomScaleNormal="100" workbookViewId="0">
      <selection activeCell="M71" sqref="M71"/>
    </sheetView>
  </sheetViews>
  <sheetFormatPr baseColWidth="10" defaultRowHeight="17.100000000000001" customHeight="1" x14ac:dyDescent="0.25"/>
  <cols>
    <col min="1" max="1" width="5.42578125" style="108" customWidth="1"/>
    <col min="2" max="2" width="5.5703125" style="108" customWidth="1"/>
    <col min="3" max="3" width="7.85546875" style="108" customWidth="1"/>
    <col min="4" max="4" width="11.42578125" style="108" hidden="1" customWidth="1"/>
    <col min="5" max="5" width="13.28515625" style="108" hidden="1" customWidth="1"/>
    <col min="6" max="6" width="14.5703125" style="108" customWidth="1"/>
    <col min="7" max="7" width="14.7109375" style="108" customWidth="1"/>
    <col min="8" max="8" width="13.85546875" style="108" customWidth="1"/>
    <col min="9" max="9" width="14.5703125" style="108" customWidth="1"/>
    <col min="10" max="10" width="15" style="108" customWidth="1"/>
    <col min="11" max="16" width="13.85546875" style="108" customWidth="1"/>
    <col min="17" max="17" width="13.5703125" style="108" customWidth="1"/>
    <col min="18" max="18" width="27.5703125" style="108" customWidth="1"/>
    <col min="19" max="19" width="17.42578125" style="108" customWidth="1"/>
    <col min="20" max="20" width="24.140625" style="108" customWidth="1"/>
    <col min="21" max="21" width="11.42578125" style="108" customWidth="1"/>
    <col min="22" max="22" width="28.85546875" style="108" customWidth="1"/>
    <col min="23" max="23" width="11.42578125" style="108" customWidth="1"/>
    <col min="24" max="26" width="12.7109375" style="108" customWidth="1"/>
    <col min="27" max="27" width="24.5703125" style="108" customWidth="1"/>
    <col min="28" max="28" width="40.85546875" style="108" customWidth="1"/>
    <col min="29" max="37" width="11.42578125" style="108"/>
    <col min="38" max="38" width="13" style="108" bestFit="1" customWidth="1"/>
    <col min="39" max="16384" width="11.42578125" style="108"/>
  </cols>
  <sheetData>
    <row r="1" spans="1:41" ht="17.100000000000001" customHeight="1" x14ac:dyDescent="0.25">
      <c r="A1" s="12"/>
      <c r="B1" s="253"/>
      <c r="C1" s="253"/>
      <c r="D1" s="253"/>
      <c r="E1" s="253"/>
      <c r="F1" s="253"/>
      <c r="G1" s="253"/>
      <c r="H1" s="253"/>
      <c r="I1" s="253"/>
      <c r="J1" s="253"/>
      <c r="K1" s="253"/>
      <c r="L1" s="253"/>
      <c r="X1" s="113"/>
    </row>
    <row r="2" spans="1:41" ht="17.100000000000001" customHeight="1" x14ac:dyDescent="0.25">
      <c r="A2" s="12"/>
      <c r="B2" s="468"/>
      <c r="C2" s="468"/>
      <c r="D2" s="468"/>
      <c r="E2" s="468"/>
      <c r="F2" s="468"/>
      <c r="G2" s="254" t="s">
        <v>119</v>
      </c>
      <c r="H2" s="253"/>
      <c r="I2" s="253"/>
      <c r="J2" s="253"/>
      <c r="K2" s="253"/>
      <c r="L2" s="253"/>
      <c r="X2" s="113"/>
    </row>
    <row r="3" spans="1:41" ht="17.100000000000001" customHeight="1" x14ac:dyDescent="0.25">
      <c r="A3" s="12"/>
      <c r="B3" s="468"/>
      <c r="C3" s="468"/>
      <c r="D3" s="468"/>
      <c r="E3" s="468"/>
      <c r="F3" s="468"/>
      <c r="G3" s="254" t="s">
        <v>120</v>
      </c>
      <c r="H3" s="253"/>
      <c r="I3" s="253"/>
      <c r="J3" s="253"/>
      <c r="K3" s="253"/>
      <c r="L3" s="253"/>
      <c r="X3" s="113"/>
    </row>
    <row r="4" spans="1:41" ht="17.100000000000001" customHeight="1" x14ac:dyDescent="0.25">
      <c r="A4" s="12"/>
      <c r="B4" s="468"/>
      <c r="C4" s="468"/>
      <c r="D4" s="468"/>
      <c r="E4" s="468"/>
      <c r="F4" s="468"/>
      <c r="G4" s="254" t="s">
        <v>121</v>
      </c>
      <c r="H4" s="253"/>
      <c r="I4" s="253"/>
      <c r="J4" s="253"/>
      <c r="K4" s="253"/>
      <c r="L4" s="253"/>
      <c r="X4" s="113"/>
    </row>
    <row r="5" spans="1:41" ht="17.100000000000001" customHeight="1" x14ac:dyDescent="0.25">
      <c r="A5" s="12"/>
      <c r="B5" s="468"/>
      <c r="C5" s="468"/>
      <c r="D5" s="468"/>
      <c r="E5" s="468"/>
      <c r="F5" s="468"/>
      <c r="G5" s="254" t="s">
        <v>314</v>
      </c>
      <c r="H5" s="253"/>
      <c r="I5" s="253"/>
      <c r="J5" s="253"/>
      <c r="K5" s="253"/>
      <c r="L5" s="253"/>
      <c r="X5" s="113"/>
      <c r="AD5" s="217"/>
      <c r="AE5" s="217"/>
      <c r="AF5" s="217"/>
      <c r="AG5" s="217"/>
      <c r="AH5" s="217"/>
      <c r="AI5" s="217"/>
      <c r="AJ5" s="217"/>
      <c r="AK5" s="217"/>
    </row>
    <row r="6" spans="1:41" ht="17.100000000000001" customHeight="1" x14ac:dyDescent="0.25">
      <c r="B6" s="253"/>
      <c r="C6" s="253"/>
      <c r="D6" s="253"/>
      <c r="E6" s="253"/>
      <c r="F6" s="253"/>
      <c r="G6" s="253"/>
      <c r="H6" s="253"/>
      <c r="I6" s="253"/>
      <c r="J6" s="253"/>
      <c r="K6" s="253"/>
      <c r="L6" s="253"/>
      <c r="X6" s="113"/>
      <c r="AD6" s="226"/>
      <c r="AE6" s="226"/>
      <c r="AF6" s="226"/>
      <c r="AG6" s="217"/>
      <c r="AH6" s="217"/>
      <c r="AI6" s="217"/>
      <c r="AJ6" s="217"/>
      <c r="AK6" s="217"/>
    </row>
    <row r="7" spans="1:41" ht="17.100000000000001" customHeight="1" x14ac:dyDescent="0.25">
      <c r="B7" s="86" t="s">
        <v>307</v>
      </c>
      <c r="C7" s="86"/>
      <c r="D7" s="249"/>
      <c r="E7" s="249"/>
      <c r="F7" s="249"/>
      <c r="G7" s="249"/>
      <c r="H7" s="249"/>
      <c r="I7" s="139"/>
      <c r="J7" s="139"/>
      <c r="K7" s="139"/>
      <c r="L7" s="253"/>
      <c r="X7" s="211" t="s">
        <v>325</v>
      </c>
      <c r="AC7" s="113"/>
      <c r="AD7" s="272" t="s">
        <v>360</v>
      </c>
      <c r="AE7" s="226"/>
      <c r="AF7" s="226"/>
      <c r="AG7" s="283" t="s">
        <v>373</v>
      </c>
      <c r="AH7" s="217"/>
      <c r="AI7" s="283" t="s">
        <v>378</v>
      </c>
      <c r="AJ7" s="217"/>
      <c r="AK7" s="217"/>
      <c r="AL7" s="296" t="s">
        <v>400</v>
      </c>
      <c r="AM7" s="296" t="s">
        <v>407</v>
      </c>
    </row>
    <row r="8" spans="1:41" ht="17.100000000000001" customHeight="1" x14ac:dyDescent="0.25">
      <c r="B8" s="328" t="s">
        <v>308</v>
      </c>
      <c r="C8" s="328"/>
      <c r="D8" s="328"/>
      <c r="E8" s="328"/>
      <c r="F8" s="328"/>
      <c r="G8" s="328"/>
      <c r="H8" s="328"/>
      <c r="I8" s="247" t="s">
        <v>310</v>
      </c>
      <c r="J8" s="248">
        <v>1.3</v>
      </c>
      <c r="K8" s="49"/>
      <c r="L8" s="253"/>
      <c r="X8" s="328" t="s">
        <v>315</v>
      </c>
      <c r="Y8" s="328"/>
      <c r="Z8" s="116"/>
      <c r="AA8" s="13" t="s">
        <v>313</v>
      </c>
      <c r="AB8" s="13" t="s">
        <v>338</v>
      </c>
      <c r="AC8" s="23"/>
      <c r="AD8" s="273" t="s">
        <v>362</v>
      </c>
      <c r="AE8" s="274"/>
      <c r="AF8" s="23"/>
      <c r="AG8" s="285"/>
      <c r="AH8" s="217"/>
      <c r="AI8" s="287"/>
      <c r="AJ8" s="217"/>
      <c r="AK8" s="217"/>
      <c r="AL8" s="165" t="s">
        <v>397</v>
      </c>
      <c r="AM8" s="297">
        <f>((4*0.0254)^2)</f>
        <v>1.032256E-2</v>
      </c>
    </row>
    <row r="9" spans="1:41" ht="17.100000000000001" customHeight="1" x14ac:dyDescent="0.25">
      <c r="B9" s="328" t="s">
        <v>309</v>
      </c>
      <c r="C9" s="328"/>
      <c r="D9" s="328"/>
      <c r="E9" s="328"/>
      <c r="F9" s="328"/>
      <c r="G9" s="328"/>
      <c r="H9" s="328"/>
      <c r="I9" s="247" t="s">
        <v>311</v>
      </c>
      <c r="J9" s="248">
        <v>1.6</v>
      </c>
      <c r="K9" s="49"/>
      <c r="L9" s="253"/>
      <c r="X9" s="328" t="s">
        <v>316</v>
      </c>
      <c r="Y9" s="328"/>
      <c r="Z9" s="116"/>
      <c r="AA9" s="13" t="s">
        <v>326</v>
      </c>
      <c r="AB9" s="13" t="s">
        <v>339</v>
      </c>
      <c r="AC9" s="23"/>
      <c r="AD9" s="273" t="s">
        <v>33</v>
      </c>
      <c r="AE9" s="274"/>
      <c r="AF9" s="23"/>
      <c r="AG9" s="285">
        <v>0.25</v>
      </c>
      <c r="AH9" s="217"/>
      <c r="AI9" s="288">
        <v>0.2</v>
      </c>
      <c r="AJ9" s="217"/>
      <c r="AK9" s="217"/>
      <c r="AL9" s="165" t="s">
        <v>398</v>
      </c>
      <c r="AM9" s="297">
        <f>((6*0.0254)^2)</f>
        <v>2.3225759999999995E-2</v>
      </c>
    </row>
    <row r="10" spans="1:41" ht="17.100000000000001" customHeight="1" x14ac:dyDescent="0.25">
      <c r="B10" s="328" t="s">
        <v>304</v>
      </c>
      <c r="C10" s="328"/>
      <c r="D10" s="328"/>
      <c r="E10" s="328"/>
      <c r="F10" s="328"/>
      <c r="G10" s="328"/>
      <c r="H10" s="328"/>
      <c r="I10" s="247" t="s">
        <v>305</v>
      </c>
      <c r="J10" s="248">
        <v>4.4040000000000003E-2</v>
      </c>
      <c r="K10" s="247" t="s">
        <v>291</v>
      </c>
      <c r="L10" s="496"/>
      <c r="X10" s="192" t="s">
        <v>317</v>
      </c>
      <c r="Y10" s="192"/>
      <c r="Z10" s="214"/>
      <c r="AA10" s="13" t="s">
        <v>327</v>
      </c>
      <c r="AB10" s="13" t="s">
        <v>340</v>
      </c>
      <c r="AC10" s="23"/>
      <c r="AD10" s="273" t="s">
        <v>361</v>
      </c>
      <c r="AE10" s="274"/>
      <c r="AF10" s="23"/>
      <c r="AG10" s="285">
        <v>0.375</v>
      </c>
      <c r="AH10" s="217"/>
      <c r="AI10" s="288">
        <v>0.25</v>
      </c>
      <c r="AJ10" s="217"/>
      <c r="AK10" s="217"/>
      <c r="AL10" s="165" t="s">
        <v>399</v>
      </c>
      <c r="AM10" s="297">
        <f>((8*0.0254)^2)</f>
        <v>4.1290239999999999E-2</v>
      </c>
      <c r="AO10" s="154" t="s">
        <v>380</v>
      </c>
    </row>
    <row r="11" spans="1:41" ht="17.100000000000001" customHeight="1" x14ac:dyDescent="0.25">
      <c r="B11" s="328" t="s">
        <v>303</v>
      </c>
      <c r="C11" s="328"/>
      <c r="D11" s="328"/>
      <c r="E11" s="328"/>
      <c r="F11" s="328"/>
      <c r="G11" s="328"/>
      <c r="H11" s="328"/>
      <c r="I11" s="247" t="s">
        <v>302</v>
      </c>
      <c r="J11" s="209">
        <f>J10*J8</f>
        <v>5.7252000000000004E-2</v>
      </c>
      <c r="K11" s="247" t="s">
        <v>291</v>
      </c>
      <c r="L11" s="497"/>
      <c r="X11" s="192" t="s">
        <v>357</v>
      </c>
      <c r="Y11" s="192"/>
      <c r="Z11" s="214"/>
      <c r="AA11" s="165">
        <v>120</v>
      </c>
      <c r="AB11" s="165" t="s">
        <v>341</v>
      </c>
      <c r="AC11" s="23"/>
      <c r="AD11" s="23"/>
      <c r="AE11" s="23"/>
      <c r="AF11" s="23"/>
      <c r="AG11" s="285">
        <v>0.5</v>
      </c>
      <c r="AH11" s="217"/>
      <c r="AI11" s="288">
        <v>0.3</v>
      </c>
      <c r="AJ11" s="217"/>
      <c r="AK11" s="217"/>
      <c r="AL11" s="165" t="s">
        <v>401</v>
      </c>
      <c r="AM11" s="297">
        <f>((10*0.0254)^2)</f>
        <v>6.4516000000000004E-2</v>
      </c>
    </row>
    <row r="12" spans="1:41" ht="17.100000000000001" customHeight="1" x14ac:dyDescent="0.25">
      <c r="B12" s="328" t="s">
        <v>306</v>
      </c>
      <c r="C12" s="328"/>
      <c r="D12" s="328"/>
      <c r="E12" s="328"/>
      <c r="F12" s="328"/>
      <c r="G12" s="328"/>
      <c r="H12" s="328"/>
      <c r="I12" s="247" t="s">
        <v>346</v>
      </c>
      <c r="J12" s="209">
        <f>J10*J9</f>
        <v>7.0464000000000013E-2</v>
      </c>
      <c r="K12" s="247" t="s">
        <v>291</v>
      </c>
      <c r="L12" s="497"/>
      <c r="X12" s="268" t="s">
        <v>359</v>
      </c>
      <c r="Y12" s="268"/>
      <c r="Z12" s="269"/>
      <c r="AA12" s="270">
        <v>150</v>
      </c>
      <c r="AB12" s="271">
        <v>480</v>
      </c>
      <c r="AC12" s="23"/>
      <c r="AD12" s="23"/>
      <c r="AE12" s="23"/>
      <c r="AF12" s="23"/>
      <c r="AG12" s="285">
        <v>0.625</v>
      </c>
      <c r="AH12" s="217"/>
      <c r="AI12" s="217"/>
      <c r="AJ12" s="217"/>
      <c r="AK12" s="217"/>
      <c r="AL12" s="165" t="s">
        <v>402</v>
      </c>
      <c r="AM12" s="297">
        <f>((12*0.0254)^2)</f>
        <v>9.2903039999999978E-2</v>
      </c>
    </row>
    <row r="13" spans="1:41" ht="17.100000000000001" customHeight="1" x14ac:dyDescent="0.25">
      <c r="B13" s="246"/>
      <c r="C13" s="246"/>
      <c r="D13" s="246"/>
      <c r="E13" s="246"/>
      <c r="F13" s="246"/>
      <c r="G13" s="246"/>
      <c r="H13" s="246"/>
      <c r="I13" s="196"/>
      <c r="J13" s="197"/>
      <c r="K13" s="196"/>
      <c r="L13" s="249"/>
      <c r="X13" s="235" t="s">
        <v>318</v>
      </c>
      <c r="Y13" s="235"/>
      <c r="Z13" s="214"/>
      <c r="AA13" s="165" t="s">
        <v>333</v>
      </c>
      <c r="AB13" s="230" t="s">
        <v>333</v>
      </c>
      <c r="AC13" s="23"/>
      <c r="AD13" s="23"/>
      <c r="AE13" s="23"/>
      <c r="AF13" s="23"/>
      <c r="AG13" s="284"/>
      <c r="AH13" s="217"/>
      <c r="AI13" s="217"/>
      <c r="AJ13" s="217"/>
      <c r="AK13" s="217"/>
      <c r="AL13" s="165" t="s">
        <v>403</v>
      </c>
      <c r="AM13" s="297">
        <f>((14*0.0254)^2)</f>
        <v>0.12645135999999998</v>
      </c>
    </row>
    <row r="14" spans="1:41" ht="17.100000000000001" customHeight="1" x14ac:dyDescent="0.25">
      <c r="B14" s="86" t="s">
        <v>324</v>
      </c>
      <c r="C14" s="246"/>
      <c r="D14" s="246"/>
      <c r="E14" s="246"/>
      <c r="F14" s="246"/>
      <c r="G14" s="246"/>
      <c r="H14" s="246"/>
      <c r="I14" s="196"/>
      <c r="J14" s="197"/>
      <c r="K14" s="196"/>
      <c r="L14" s="249"/>
      <c r="X14" s="235" t="s">
        <v>319</v>
      </c>
      <c r="Y14" s="235"/>
      <c r="Z14" s="214"/>
      <c r="AA14" s="165">
        <v>0.3</v>
      </c>
      <c r="AB14" s="165">
        <v>0.3</v>
      </c>
      <c r="AC14" s="23"/>
      <c r="AD14" s="23"/>
      <c r="AE14" s="23"/>
      <c r="AF14" s="23"/>
      <c r="AG14" s="217"/>
      <c r="AH14" s="217"/>
      <c r="AI14" s="217"/>
      <c r="AJ14" s="217"/>
      <c r="AK14" s="217"/>
      <c r="AL14" s="165" t="s">
        <v>404</v>
      </c>
      <c r="AM14" s="297">
        <f>((16*0.0254)^2)</f>
        <v>0.16516096</v>
      </c>
    </row>
    <row r="15" spans="1:41" ht="17.100000000000001" customHeight="1" x14ac:dyDescent="0.25">
      <c r="B15" s="310" t="s">
        <v>315</v>
      </c>
      <c r="C15" s="369"/>
      <c r="D15" s="369"/>
      <c r="E15" s="369"/>
      <c r="F15" s="369"/>
      <c r="G15" s="311"/>
      <c r="H15" s="310" t="s">
        <v>313</v>
      </c>
      <c r="I15" s="311"/>
      <c r="J15" s="208"/>
      <c r="K15" s="196"/>
      <c r="L15" s="249"/>
      <c r="X15" s="235" t="s">
        <v>320</v>
      </c>
      <c r="Y15" s="235"/>
      <c r="Z15" s="214"/>
      <c r="AA15" s="165" t="s">
        <v>334</v>
      </c>
      <c r="AB15" s="165" t="s">
        <v>334</v>
      </c>
      <c r="AC15" s="23"/>
      <c r="AD15" s="23"/>
      <c r="AE15" s="23"/>
      <c r="AF15" s="23"/>
      <c r="AG15" s="217"/>
      <c r="AH15" s="217"/>
      <c r="AI15" s="217"/>
      <c r="AJ15" s="217"/>
      <c r="AK15" s="217"/>
      <c r="AL15" s="165" t="s">
        <v>405</v>
      </c>
      <c r="AM15" s="297">
        <f>((18*0.0254)^2)</f>
        <v>0.20903184</v>
      </c>
    </row>
    <row r="16" spans="1:41" ht="17.100000000000001" customHeight="1" x14ac:dyDescent="0.25">
      <c r="B16" s="310" t="s">
        <v>316</v>
      </c>
      <c r="C16" s="369"/>
      <c r="D16" s="369"/>
      <c r="E16" s="369"/>
      <c r="F16" s="369"/>
      <c r="G16" s="311"/>
      <c r="H16" s="310" t="str">
        <f>IF($H$15=$AA$8,$AA$9,IF($H$15=$AB$8,$AB$9,""))</f>
        <v>Arena</v>
      </c>
      <c r="I16" s="311"/>
      <c r="J16" s="208"/>
      <c r="K16" s="196"/>
      <c r="L16" s="249"/>
      <c r="X16" s="235" t="s">
        <v>330</v>
      </c>
      <c r="Y16" s="235"/>
      <c r="Z16" s="214"/>
      <c r="AA16" s="165" t="s">
        <v>335</v>
      </c>
      <c r="AB16" s="165">
        <v>6</v>
      </c>
      <c r="AC16" s="23"/>
      <c r="AD16" s="23"/>
      <c r="AE16" s="23"/>
      <c r="AF16" s="23"/>
      <c r="AG16" s="217"/>
      <c r="AH16" s="217"/>
      <c r="AI16" s="217"/>
      <c r="AJ16" s="217"/>
      <c r="AK16" s="217"/>
      <c r="AL16" s="165" t="s">
        <v>406</v>
      </c>
      <c r="AM16" s="297">
        <f>((20*0.0254)^2)</f>
        <v>0.25806400000000002</v>
      </c>
    </row>
    <row r="17" spans="2:37" ht="17.100000000000001" customHeight="1" x14ac:dyDescent="0.25">
      <c r="B17" s="310" t="s">
        <v>317</v>
      </c>
      <c r="C17" s="369"/>
      <c r="D17" s="369"/>
      <c r="E17" s="369"/>
      <c r="F17" s="369"/>
      <c r="G17" s="311"/>
      <c r="H17" s="310" t="str">
        <f>IF($H$15=$AA$8,AA10,IF($H$15=$AB$8,AB10,""))</f>
        <v>Estratificado fino a grueso</v>
      </c>
      <c r="I17" s="311"/>
      <c r="J17" s="208"/>
      <c r="K17" s="196"/>
      <c r="L17" s="249"/>
      <c r="X17" s="240" t="s">
        <v>321</v>
      </c>
      <c r="Y17" s="240"/>
      <c r="Z17" s="214"/>
      <c r="AA17" s="165" t="s">
        <v>336</v>
      </c>
      <c r="AB17" s="165" t="s">
        <v>342</v>
      </c>
      <c r="AC17" s="23"/>
      <c r="AD17" s="23"/>
      <c r="AE17" s="23"/>
      <c r="AF17" s="23"/>
      <c r="AG17" s="217"/>
      <c r="AH17" s="217"/>
      <c r="AI17" s="217"/>
      <c r="AJ17" s="217"/>
      <c r="AK17" s="217"/>
    </row>
    <row r="18" spans="2:37" ht="17.100000000000001" customHeight="1" x14ac:dyDescent="0.25">
      <c r="B18" s="310" t="s">
        <v>323</v>
      </c>
      <c r="C18" s="369"/>
      <c r="D18" s="369"/>
      <c r="E18" s="369"/>
      <c r="F18" s="369"/>
      <c r="G18" s="311"/>
      <c r="H18" s="310" t="s">
        <v>328</v>
      </c>
      <c r="I18" s="311"/>
      <c r="J18" s="208"/>
      <c r="K18" s="196"/>
      <c r="L18" s="249"/>
      <c r="X18" s="233"/>
      <c r="Y18" s="234"/>
      <c r="Z18" s="264"/>
      <c r="AA18" s="229"/>
      <c r="AB18" s="165" t="s">
        <v>343</v>
      </c>
      <c r="AC18" s="23"/>
      <c r="AD18" s="23"/>
      <c r="AE18" s="23"/>
      <c r="AF18" s="23"/>
      <c r="AG18" s="217"/>
      <c r="AH18" s="217"/>
      <c r="AI18" s="217"/>
      <c r="AJ18" s="217"/>
      <c r="AK18" s="217"/>
    </row>
    <row r="19" spans="2:37" ht="17.100000000000001" customHeight="1" x14ac:dyDescent="0.25">
      <c r="B19" s="310" t="s">
        <v>357</v>
      </c>
      <c r="C19" s="369"/>
      <c r="D19" s="369"/>
      <c r="E19" s="369"/>
      <c r="F19" s="369"/>
      <c r="G19" s="311"/>
      <c r="H19" s="367">
        <f t="shared" ref="H19:H25" si="0">IF($H$15=$AA$8,AA11,IF($H$15=$AB$8,AB11,""))</f>
        <v>120</v>
      </c>
      <c r="I19" s="368"/>
      <c r="J19" s="247" t="s">
        <v>4</v>
      </c>
      <c r="K19" s="196"/>
      <c r="L19" s="249"/>
      <c r="M19" s="236"/>
      <c r="N19" s="236"/>
      <c r="O19" s="236"/>
      <c r="X19" s="265" t="s">
        <v>322</v>
      </c>
      <c r="Y19" s="265"/>
      <c r="Z19" s="201"/>
      <c r="AA19" s="229" t="s">
        <v>337</v>
      </c>
      <c r="AB19" s="165" t="s">
        <v>337</v>
      </c>
      <c r="AC19" s="222"/>
      <c r="AD19" s="23"/>
      <c r="AE19" s="23"/>
      <c r="AF19" s="23"/>
      <c r="AG19" s="217"/>
      <c r="AH19" s="217"/>
      <c r="AI19" s="217"/>
      <c r="AJ19" s="217"/>
      <c r="AK19" s="217"/>
    </row>
    <row r="20" spans="2:37" ht="17.100000000000001" customHeight="1" x14ac:dyDescent="0.25">
      <c r="B20" s="430" t="s">
        <v>359</v>
      </c>
      <c r="C20" s="431"/>
      <c r="D20" s="431"/>
      <c r="E20" s="431"/>
      <c r="F20" s="431"/>
      <c r="G20" s="432"/>
      <c r="H20" s="367">
        <f t="shared" si="0"/>
        <v>150</v>
      </c>
      <c r="I20" s="368"/>
      <c r="J20" s="247" t="s">
        <v>4</v>
      </c>
      <c r="K20" s="494"/>
      <c r="L20" s="249"/>
      <c r="M20" s="236"/>
      <c r="N20" s="236"/>
      <c r="O20" s="236"/>
      <c r="X20" s="242" t="s">
        <v>323</v>
      </c>
      <c r="Y20" s="243"/>
      <c r="Z20" s="201"/>
      <c r="AA20" s="218"/>
      <c r="AB20" s="225" t="s">
        <v>329</v>
      </c>
      <c r="AC20" s="222"/>
      <c r="AD20" s="23"/>
      <c r="AE20" s="23"/>
      <c r="AF20" s="23"/>
      <c r="AG20" s="217"/>
      <c r="AH20" s="217"/>
      <c r="AI20" s="217"/>
      <c r="AJ20" s="217"/>
      <c r="AK20" s="217"/>
    </row>
    <row r="21" spans="2:37" ht="17.100000000000001" customHeight="1" x14ac:dyDescent="0.25">
      <c r="B21" s="310" t="s">
        <v>318</v>
      </c>
      <c r="C21" s="369"/>
      <c r="D21" s="369"/>
      <c r="E21" s="369"/>
      <c r="F21" s="369"/>
      <c r="G21" s="311"/>
      <c r="H21" s="367" t="str">
        <f t="shared" si="0"/>
        <v>12 - 36</v>
      </c>
      <c r="I21" s="368"/>
      <c r="J21" s="266" t="s">
        <v>331</v>
      </c>
      <c r="K21" s="196"/>
      <c r="L21" s="249"/>
      <c r="M21" s="236"/>
      <c r="N21" s="236"/>
      <c r="O21" s="236"/>
      <c r="X21" s="219"/>
      <c r="Y21" s="220"/>
      <c r="Z21" s="215"/>
      <c r="AA21" s="221" t="s">
        <v>328</v>
      </c>
      <c r="AB21" s="227"/>
      <c r="AC21" s="222"/>
      <c r="AD21" s="23"/>
      <c r="AE21" s="23"/>
      <c r="AF21" s="23"/>
      <c r="AG21" s="217"/>
      <c r="AH21" s="217"/>
      <c r="AI21" s="217"/>
      <c r="AJ21" s="217"/>
      <c r="AK21" s="217"/>
    </row>
    <row r="22" spans="2:37" ht="17.100000000000001" customHeight="1" x14ac:dyDescent="0.25">
      <c r="B22" s="310" t="s">
        <v>319</v>
      </c>
      <c r="C22" s="369"/>
      <c r="D22" s="369"/>
      <c r="E22" s="369"/>
      <c r="F22" s="369"/>
      <c r="G22" s="311"/>
      <c r="H22" s="367">
        <f t="shared" si="0"/>
        <v>0.3</v>
      </c>
      <c r="I22" s="368"/>
      <c r="J22" s="266" t="s">
        <v>3</v>
      </c>
      <c r="K22" s="196"/>
      <c r="L22" s="249"/>
      <c r="M22" s="236"/>
      <c r="N22" s="236"/>
      <c r="O22" s="236"/>
      <c r="X22" s="244"/>
      <c r="Y22" s="245"/>
      <c r="Z22" s="216"/>
      <c r="AA22" s="223" t="s">
        <v>329</v>
      </c>
      <c r="AB22" s="228"/>
      <c r="AC22" s="222"/>
      <c r="AD22" s="226"/>
      <c r="AE22" s="226"/>
      <c r="AF22" s="226"/>
      <c r="AG22" s="217"/>
      <c r="AH22" s="217"/>
      <c r="AI22" s="217"/>
      <c r="AJ22" s="217"/>
      <c r="AK22" s="217"/>
    </row>
    <row r="23" spans="2:37" ht="17.100000000000001" customHeight="1" x14ac:dyDescent="0.25">
      <c r="B23" s="310" t="s">
        <v>320</v>
      </c>
      <c r="C23" s="369"/>
      <c r="D23" s="369"/>
      <c r="E23" s="369"/>
      <c r="F23" s="369"/>
      <c r="G23" s="311"/>
      <c r="H23" s="367" t="str">
        <f t="shared" si="0"/>
        <v>2,4 - 3,0</v>
      </c>
      <c r="I23" s="368"/>
      <c r="J23" s="266" t="s">
        <v>3</v>
      </c>
      <c r="K23" s="196"/>
      <c r="L23" s="249"/>
      <c r="M23" s="236"/>
      <c r="N23" s="236"/>
      <c r="O23" s="236"/>
      <c r="X23" s="246"/>
      <c r="Y23" s="246"/>
      <c r="Z23" s="207"/>
      <c r="AA23" s="222"/>
      <c r="AB23" s="226"/>
      <c r="AC23" s="113"/>
      <c r="AD23" s="217"/>
      <c r="AE23" s="217"/>
      <c r="AF23" s="217"/>
      <c r="AG23" s="217"/>
      <c r="AH23" s="217"/>
      <c r="AI23" s="217"/>
      <c r="AJ23" s="217"/>
      <c r="AK23" s="217"/>
    </row>
    <row r="24" spans="2:37" ht="17.100000000000001" customHeight="1" x14ac:dyDescent="0.25">
      <c r="B24" s="310" t="s">
        <v>330</v>
      </c>
      <c r="C24" s="369"/>
      <c r="D24" s="369"/>
      <c r="E24" s="369"/>
      <c r="F24" s="369"/>
      <c r="G24" s="311"/>
      <c r="H24" s="367" t="str">
        <f t="shared" si="0"/>
        <v>2 - 4</v>
      </c>
      <c r="I24" s="368"/>
      <c r="J24" s="266" t="s">
        <v>332</v>
      </c>
      <c r="K24" s="196"/>
      <c r="L24" s="249"/>
      <c r="M24" s="236"/>
      <c r="N24" s="236"/>
      <c r="O24" s="236"/>
      <c r="X24" s="351"/>
      <c r="Y24" s="351"/>
      <c r="Z24" s="207"/>
      <c r="AA24" s="350"/>
      <c r="AB24" s="350"/>
      <c r="AC24" s="113"/>
      <c r="AD24" s="217"/>
      <c r="AE24" s="217"/>
      <c r="AF24" s="217"/>
      <c r="AG24" s="217"/>
      <c r="AH24" s="217"/>
      <c r="AI24" s="217"/>
      <c r="AJ24" s="217"/>
      <c r="AK24" s="217"/>
    </row>
    <row r="25" spans="2:37" ht="17.100000000000001" customHeight="1" x14ac:dyDescent="0.25">
      <c r="B25" s="310" t="str">
        <f>IF($H$15=$AA$8,$X$17,IF($H$15=$AB$8,X17&amp;" (antracita)",IF($H$15="",X17&amp;" (antracita)")))</f>
        <v>Profundidad del medio</v>
      </c>
      <c r="C25" s="369"/>
      <c r="D25" s="369"/>
      <c r="E25" s="369"/>
      <c r="F25" s="369"/>
      <c r="G25" s="311"/>
      <c r="H25" s="367" t="str">
        <f t="shared" si="0"/>
        <v>0,60 - 0,75</v>
      </c>
      <c r="I25" s="368"/>
      <c r="J25" s="266" t="s">
        <v>3</v>
      </c>
      <c r="K25" s="196"/>
      <c r="L25" s="249"/>
      <c r="M25" s="236"/>
      <c r="N25" s="236"/>
      <c r="O25" s="236"/>
      <c r="X25" s="351"/>
      <c r="Y25" s="351"/>
      <c r="Z25" s="207"/>
      <c r="AA25" s="350"/>
      <c r="AB25" s="350"/>
      <c r="AC25" s="113"/>
      <c r="AD25" s="217"/>
      <c r="AE25" s="217"/>
      <c r="AF25" s="217"/>
      <c r="AG25" s="217"/>
      <c r="AH25" s="217"/>
      <c r="AI25" s="217"/>
      <c r="AJ25" s="217"/>
      <c r="AK25" s="217"/>
    </row>
    <row r="26" spans="2:37" ht="17.100000000000001" customHeight="1" x14ac:dyDescent="0.25">
      <c r="B26" s="310" t="str">
        <f>IF($H$15=$AA$8,$X$19,IF($H$15=$AB$8,X17&amp;" (arena)",IF($H$15="",X17&amp;" (arena)")))</f>
        <v>Profundidad de grava</v>
      </c>
      <c r="C26" s="369"/>
      <c r="D26" s="369"/>
      <c r="E26" s="369"/>
      <c r="F26" s="369"/>
      <c r="G26" s="311"/>
      <c r="H26" s="367" t="str">
        <f>IF($H$15=$AA$8,AA19,IF($H$15=$AB$8,AB18,""))</f>
        <v>0,30 - 0,45</v>
      </c>
      <c r="I26" s="368"/>
      <c r="J26" s="266" t="s">
        <v>3</v>
      </c>
      <c r="K26" s="196"/>
      <c r="L26" s="249"/>
      <c r="M26" s="236"/>
      <c r="N26" s="236"/>
      <c r="O26" s="236"/>
      <c r="X26" s="351"/>
      <c r="Y26" s="351"/>
      <c r="Z26" s="207"/>
      <c r="AA26" s="350"/>
      <c r="AB26" s="350"/>
      <c r="AD26" s="217"/>
      <c r="AE26" s="217"/>
      <c r="AF26" s="217"/>
      <c r="AG26" s="217"/>
      <c r="AH26" s="217"/>
      <c r="AI26" s="217"/>
      <c r="AJ26" s="217"/>
      <c r="AK26" s="217"/>
    </row>
    <row r="27" spans="2:37" ht="17.100000000000001" customHeight="1" x14ac:dyDescent="0.25">
      <c r="B27" s="310" t="str">
        <f>IF($H$15=$AA$8,"",IF($H$15=$AB$8,$X$19,IF($H$15="",$X$19)))</f>
        <v/>
      </c>
      <c r="C27" s="369"/>
      <c r="D27" s="369"/>
      <c r="E27" s="369"/>
      <c r="F27" s="369"/>
      <c r="G27" s="369"/>
      <c r="H27" s="367" t="str">
        <f>IF($H$15=$AA$8,"",IF($H$15=$AB$8,$AB$19,IF($H$15="","")))</f>
        <v/>
      </c>
      <c r="I27" s="368"/>
      <c r="J27" s="267" t="str">
        <f>IF($H$15=$AA$8,"",IF($H$15=$AB$8,"m",IF($H$15="","m")))</f>
        <v/>
      </c>
      <c r="K27" s="196"/>
      <c r="L27" s="249"/>
      <c r="N27" s="236"/>
      <c r="O27" s="236"/>
      <c r="X27" s="210"/>
      <c r="Y27" s="210"/>
      <c r="Z27" s="207"/>
      <c r="AA27" s="212"/>
      <c r="AB27" s="212"/>
      <c r="AD27" s="217"/>
      <c r="AE27" s="217"/>
      <c r="AF27" s="217"/>
      <c r="AG27" s="217"/>
      <c r="AH27" s="217"/>
      <c r="AI27" s="217"/>
      <c r="AJ27" s="217"/>
      <c r="AK27" s="217"/>
    </row>
    <row r="28" spans="2:37" ht="17.100000000000001" customHeight="1" x14ac:dyDescent="0.25">
      <c r="B28" s="246"/>
      <c r="C28" s="246"/>
      <c r="D28" s="246"/>
      <c r="E28" s="246"/>
      <c r="F28" s="246"/>
      <c r="G28" s="246"/>
      <c r="H28" s="246"/>
      <c r="I28" s="246"/>
      <c r="J28" s="224"/>
      <c r="K28" s="196"/>
      <c r="L28" s="249"/>
      <c r="X28" s="210"/>
      <c r="Y28" s="210"/>
      <c r="Z28" s="207"/>
      <c r="AA28" s="212"/>
      <c r="AB28" s="212"/>
      <c r="AD28" s="217"/>
      <c r="AE28" s="217"/>
      <c r="AF28" s="217"/>
      <c r="AG28" s="217"/>
      <c r="AH28" s="217"/>
      <c r="AI28" s="217"/>
      <c r="AJ28" s="217"/>
      <c r="AK28" s="217"/>
    </row>
    <row r="29" spans="2:37" ht="17.100000000000001" customHeight="1" x14ac:dyDescent="0.25">
      <c r="B29" s="86" t="s">
        <v>282</v>
      </c>
      <c r="C29" s="246"/>
      <c r="D29" s="246"/>
      <c r="E29" s="246"/>
      <c r="F29" s="246"/>
      <c r="G29" s="246"/>
      <c r="H29" s="246"/>
      <c r="I29" s="196"/>
      <c r="J29" s="197"/>
      <c r="K29" s="196"/>
      <c r="L29" s="249"/>
      <c r="X29" s="207"/>
      <c r="Y29" s="181"/>
      <c r="Z29" s="207"/>
      <c r="AA29" s="207"/>
      <c r="AB29" s="207"/>
    </row>
    <row r="30" spans="2:37" ht="17.100000000000001" customHeight="1" x14ac:dyDescent="0.25">
      <c r="B30" s="328" t="s">
        <v>254</v>
      </c>
      <c r="C30" s="328"/>
      <c r="D30" s="328"/>
      <c r="E30" s="328"/>
      <c r="F30" s="328"/>
      <c r="G30" s="328"/>
      <c r="H30" s="328"/>
      <c r="I30" s="247" t="s">
        <v>251</v>
      </c>
      <c r="J30" s="198">
        <v>3</v>
      </c>
      <c r="K30" s="247" t="s">
        <v>255</v>
      </c>
      <c r="L30" s="249"/>
      <c r="X30" s="207"/>
      <c r="Y30" s="181"/>
      <c r="Z30" s="207"/>
      <c r="AA30" s="207"/>
      <c r="AB30" s="207"/>
    </row>
    <row r="31" spans="2:37" ht="17.100000000000001" customHeight="1" x14ac:dyDescent="0.25">
      <c r="B31" s="328" t="str">
        <f>"Densidad del agua a "&amp;J30&amp;" °C"</f>
        <v>Densidad del agua a 3 °C</v>
      </c>
      <c r="C31" s="328"/>
      <c r="D31" s="328"/>
      <c r="E31" s="328"/>
      <c r="F31" s="328"/>
      <c r="G31" s="328"/>
      <c r="H31" s="328"/>
      <c r="I31" s="275" t="s">
        <v>250</v>
      </c>
      <c r="J31" s="199">
        <f>IF(J30="…","",ROUND(VLOOKUP(J30,X$35:AA$70,2,FALSE),9))</f>
        <v>999.98</v>
      </c>
      <c r="K31" s="247" t="s">
        <v>292</v>
      </c>
      <c r="L31" s="249"/>
      <c r="X31" s="201" t="s">
        <v>245</v>
      </c>
      <c r="Y31" s="183" t="s">
        <v>312</v>
      </c>
      <c r="Z31" s="371" t="s">
        <v>248</v>
      </c>
      <c r="AA31" s="371" t="s">
        <v>246</v>
      </c>
      <c r="AB31" s="181"/>
    </row>
    <row r="32" spans="2:37" ht="17.100000000000001" customHeight="1" x14ac:dyDescent="0.25">
      <c r="B32" s="328" t="str">
        <f>"Viscocidad dinámica del agua a "&amp;J30&amp;" °C"</f>
        <v>Viscocidad dinámica del agua a 3 °C</v>
      </c>
      <c r="C32" s="328"/>
      <c r="D32" s="328"/>
      <c r="E32" s="328"/>
      <c r="F32" s="328"/>
      <c r="G32" s="328"/>
      <c r="H32" s="328"/>
      <c r="I32" s="275" t="s">
        <v>213</v>
      </c>
      <c r="J32" s="255">
        <f>IF(J30="…","",ROUND(VLOOKUP(J30,X$35:AA$70,3,FALSE),9))</f>
        <v>1.619E-3</v>
      </c>
      <c r="K32" s="204" t="s">
        <v>293</v>
      </c>
      <c r="L32" s="249"/>
      <c r="X32" s="184" t="s">
        <v>251</v>
      </c>
      <c r="Y32" s="184" t="s">
        <v>250</v>
      </c>
      <c r="Z32" s="372"/>
      <c r="AA32" s="372"/>
      <c r="AB32" s="181"/>
    </row>
    <row r="33" spans="2:29" ht="17.100000000000001" customHeight="1" x14ac:dyDescent="0.25">
      <c r="B33" s="470" t="str">
        <f>"Viscocidad cinemática del agua a "&amp;J30&amp;" °C"</f>
        <v>Viscocidad cinemática del agua a 3 °C</v>
      </c>
      <c r="C33" s="470"/>
      <c r="D33" s="470"/>
      <c r="E33" s="470"/>
      <c r="F33" s="470"/>
      <c r="G33" s="470"/>
      <c r="H33" s="470"/>
      <c r="I33" s="51" t="s">
        <v>2</v>
      </c>
      <c r="J33" s="255">
        <f>IF(J30="…","",ROUND(VLOOKUP(J30,X$35:AA$70,4,FALSE),9))</f>
        <v>1.6190000000000001E-6</v>
      </c>
      <c r="K33" s="204" t="s">
        <v>294</v>
      </c>
      <c r="L33" s="178"/>
      <c r="M33" s="173"/>
      <c r="X33" s="185" t="s">
        <v>247</v>
      </c>
      <c r="Y33" s="185" t="s">
        <v>252</v>
      </c>
      <c r="Z33" s="166" t="s">
        <v>249</v>
      </c>
      <c r="AA33" s="185" t="s">
        <v>253</v>
      </c>
      <c r="AB33" s="169"/>
      <c r="AC33" s="154"/>
    </row>
    <row r="34" spans="2:29" ht="17.100000000000001" customHeight="1" x14ac:dyDescent="0.25">
      <c r="B34" s="253"/>
      <c r="C34" s="253"/>
      <c r="D34" s="253"/>
      <c r="E34" s="253"/>
      <c r="F34" s="253"/>
      <c r="G34" s="253"/>
      <c r="H34" s="253"/>
      <c r="I34" s="253"/>
      <c r="J34" s="253"/>
      <c r="K34" s="253"/>
      <c r="L34" s="253"/>
      <c r="X34" s="170" t="s">
        <v>256</v>
      </c>
      <c r="Y34" s="159"/>
      <c r="Z34" s="162"/>
      <c r="AA34" s="171"/>
      <c r="AB34" s="157"/>
    </row>
    <row r="35" spans="2:29" ht="17.100000000000001" customHeight="1" x14ac:dyDescent="0.25">
      <c r="B35" s="256" t="s">
        <v>215</v>
      </c>
      <c r="C35" s="249"/>
      <c r="D35" s="257"/>
      <c r="E35" s="249"/>
      <c r="F35" s="249"/>
      <c r="G35" s="249"/>
      <c r="H35" s="249"/>
      <c r="I35" s="139"/>
      <c r="J35" s="249"/>
      <c r="K35" s="197"/>
      <c r="L35" s="253"/>
      <c r="X35" s="170">
        <v>0</v>
      </c>
      <c r="Y35" s="159">
        <v>999.82</v>
      </c>
      <c r="Z35" s="179">
        <v>1.792E-3</v>
      </c>
      <c r="AA35" s="171">
        <f>Z35/Y35</f>
        <v>1.7923226180712527E-6</v>
      </c>
      <c r="AB35" s="157"/>
    </row>
    <row r="36" spans="2:29" ht="17.100000000000001" customHeight="1" x14ac:dyDescent="0.25">
      <c r="B36" s="256"/>
      <c r="C36" s="249"/>
      <c r="D36" s="257"/>
      <c r="E36" s="249"/>
      <c r="F36" s="249"/>
      <c r="G36" s="249"/>
      <c r="H36" s="249"/>
      <c r="I36" s="139"/>
      <c r="J36" s="249"/>
      <c r="K36" s="197"/>
      <c r="L36" s="253"/>
      <c r="X36" s="165">
        <v>1</v>
      </c>
      <c r="Y36" s="158">
        <v>999.89</v>
      </c>
      <c r="Z36" s="175">
        <v>1.7310000000000001E-3</v>
      </c>
      <c r="AA36" s="171">
        <f t="shared" ref="AA36:AA70" si="1">Z36/Y36</f>
        <v>1.7311904309474043E-6</v>
      </c>
      <c r="AB36" s="157"/>
    </row>
    <row r="37" spans="2:29" ht="17.100000000000001" customHeight="1" x14ac:dyDescent="0.25">
      <c r="B37" s="256" t="s">
        <v>286</v>
      </c>
      <c r="C37" s="249"/>
      <c r="D37" s="257"/>
      <c r="E37" s="249"/>
      <c r="F37" s="249"/>
      <c r="G37" s="249"/>
      <c r="H37" s="249"/>
      <c r="I37" s="139"/>
      <c r="J37" s="249"/>
      <c r="K37" s="197"/>
      <c r="L37" s="253"/>
      <c r="X37" s="165">
        <v>2</v>
      </c>
      <c r="Y37" s="158">
        <v>999.94</v>
      </c>
      <c r="Z37" s="175">
        <v>1.673E-3</v>
      </c>
      <c r="AA37" s="171">
        <f t="shared" si="1"/>
        <v>1.6731003860231613E-6</v>
      </c>
      <c r="AB37" s="157"/>
    </row>
    <row r="38" spans="2:29" ht="17.100000000000001" customHeight="1" x14ac:dyDescent="0.25">
      <c r="B38" s="404" t="s">
        <v>192</v>
      </c>
      <c r="C38" s="405"/>
      <c r="D38" s="54"/>
      <c r="E38" s="248"/>
      <c r="F38" s="354" t="s">
        <v>204</v>
      </c>
      <c r="G38" s="354" t="s">
        <v>203</v>
      </c>
      <c r="H38" s="436" t="s">
        <v>210</v>
      </c>
      <c r="I38" s="437"/>
      <c r="J38" s="436" t="s">
        <v>209</v>
      </c>
      <c r="K38" s="437"/>
      <c r="L38" s="253"/>
      <c r="X38" s="165">
        <v>3</v>
      </c>
      <c r="Y38" s="158">
        <v>999.98</v>
      </c>
      <c r="Z38" s="175">
        <v>1.619E-3</v>
      </c>
      <c r="AA38" s="171">
        <f t="shared" si="1"/>
        <v>1.6190323806476128E-6</v>
      </c>
      <c r="AB38" s="157"/>
    </row>
    <row r="39" spans="2:29" ht="17.100000000000001" customHeight="1" x14ac:dyDescent="0.25">
      <c r="B39" s="406"/>
      <c r="C39" s="407"/>
      <c r="D39" s="54"/>
      <c r="E39" s="248"/>
      <c r="F39" s="355"/>
      <c r="G39" s="355"/>
      <c r="H39" s="354" t="s">
        <v>186</v>
      </c>
      <c r="I39" s="354" t="s">
        <v>207</v>
      </c>
      <c r="J39" s="354" t="s">
        <v>186</v>
      </c>
      <c r="K39" s="354" t="s">
        <v>207</v>
      </c>
      <c r="L39" s="253"/>
      <c r="X39" s="165">
        <v>4</v>
      </c>
      <c r="Y39" s="158">
        <v>1000</v>
      </c>
      <c r="Z39" s="175">
        <v>1.567E-3</v>
      </c>
      <c r="AA39" s="171">
        <f t="shared" si="1"/>
        <v>1.567E-6</v>
      </c>
      <c r="AB39" s="157"/>
    </row>
    <row r="40" spans="2:29" ht="17.100000000000001" customHeight="1" x14ac:dyDescent="0.25">
      <c r="B40" s="406"/>
      <c r="C40" s="407"/>
      <c r="D40" s="54"/>
      <c r="E40" s="248"/>
      <c r="F40" s="355"/>
      <c r="G40" s="355"/>
      <c r="H40" s="355"/>
      <c r="I40" s="355"/>
      <c r="J40" s="355"/>
      <c r="K40" s="355"/>
      <c r="L40" s="253"/>
      <c r="X40" s="165">
        <v>5</v>
      </c>
      <c r="Y40" s="158">
        <v>1000</v>
      </c>
      <c r="Z40" s="175">
        <v>1.519E-3</v>
      </c>
      <c r="AA40" s="171">
        <f t="shared" si="1"/>
        <v>1.519E-6</v>
      </c>
      <c r="AB40" s="157"/>
    </row>
    <row r="41" spans="2:29" ht="17.100000000000001" customHeight="1" x14ac:dyDescent="0.25">
      <c r="B41" s="408"/>
      <c r="C41" s="409"/>
      <c r="D41" s="54"/>
      <c r="E41" s="248"/>
      <c r="F41" s="356"/>
      <c r="G41" s="356"/>
      <c r="H41" s="356"/>
      <c r="I41" s="356"/>
      <c r="J41" s="356"/>
      <c r="K41" s="356"/>
      <c r="L41" s="253"/>
      <c r="X41" s="165">
        <v>6</v>
      </c>
      <c r="Y41" s="158">
        <v>999.99</v>
      </c>
      <c r="Z41" s="175">
        <v>1.4730000000000001E-3</v>
      </c>
      <c r="AA41" s="171">
        <f t="shared" si="1"/>
        <v>1.4730147301473016E-6</v>
      </c>
      <c r="AB41" s="157"/>
    </row>
    <row r="42" spans="2:29" ht="17.100000000000001" customHeight="1" x14ac:dyDescent="0.25">
      <c r="B42" s="367" t="s">
        <v>193</v>
      </c>
      <c r="C42" s="368"/>
      <c r="D42" s="128">
        <f>LEFT(B42,2)+0</f>
        <v>14</v>
      </c>
      <c r="E42" s="54">
        <f>MID(B42,4,3)+0</f>
        <v>20</v>
      </c>
      <c r="F42" s="54">
        <v>0.8</v>
      </c>
      <c r="G42" s="208">
        <f>MID(B42,4,3)+0</f>
        <v>20</v>
      </c>
      <c r="H42" s="114">
        <f t="shared" ref="H42:H50" si="2">VLOOKUP(G42,X$88:Y$105,2,FALSE)</f>
        <v>0.84099999999999997</v>
      </c>
      <c r="I42" s="258">
        <f>SUM(F$42:F$50)-SUM(F$42:F42)</f>
        <v>99.2</v>
      </c>
      <c r="J42" s="114">
        <f>H50</f>
        <v>0.14899999999999999</v>
      </c>
      <c r="K42" s="258">
        <f>I50</f>
        <v>0</v>
      </c>
      <c r="L42" s="253"/>
      <c r="N42" s="193"/>
      <c r="O42" s="231"/>
      <c r="X42" s="165">
        <v>7</v>
      </c>
      <c r="Y42" s="158">
        <v>999.96</v>
      </c>
      <c r="Z42" s="175">
        <v>1.428E-3</v>
      </c>
      <c r="AA42" s="171">
        <f t="shared" si="1"/>
        <v>1.4280571222848913E-6</v>
      </c>
      <c r="AB42" s="157"/>
    </row>
    <row r="43" spans="2:29" ht="17.100000000000001" customHeight="1" x14ac:dyDescent="0.25">
      <c r="B43" s="367" t="s">
        <v>194</v>
      </c>
      <c r="C43" s="368"/>
      <c r="D43" s="128">
        <f t="shared" ref="D43:D50" si="3">LEFT(B43,2)+0</f>
        <v>20</v>
      </c>
      <c r="E43" s="54">
        <f t="shared" ref="E43:E50" si="4">MID(B43,4,3)+0</f>
        <v>25</v>
      </c>
      <c r="F43" s="54">
        <v>4.25</v>
      </c>
      <c r="G43" s="208">
        <f t="shared" ref="G43:G50" si="5">MID(B43,4,3)+0</f>
        <v>25</v>
      </c>
      <c r="H43" s="114">
        <f t="shared" si="2"/>
        <v>0.70699999999999996</v>
      </c>
      <c r="I43" s="258">
        <f>SUM(F$42:F$50)-SUM(F$42:F43)</f>
        <v>94.95</v>
      </c>
      <c r="J43" s="114">
        <f>H49</f>
        <v>0.21</v>
      </c>
      <c r="K43" s="258">
        <f>I49</f>
        <v>2.0699999999999932</v>
      </c>
      <c r="L43" s="253"/>
      <c r="N43" s="231"/>
      <c r="O43" s="193"/>
      <c r="X43" s="165">
        <v>8</v>
      </c>
      <c r="Y43" s="158">
        <v>999.91</v>
      </c>
      <c r="Z43" s="175">
        <v>1.3859999999999999E-3</v>
      </c>
      <c r="AA43" s="171">
        <f t="shared" si="1"/>
        <v>1.3861247512276103E-6</v>
      </c>
      <c r="AB43" s="157"/>
    </row>
    <row r="44" spans="2:29" ht="17.100000000000001" customHeight="1" x14ac:dyDescent="0.25">
      <c r="B44" s="367" t="s">
        <v>195</v>
      </c>
      <c r="C44" s="368"/>
      <c r="D44" s="128">
        <f t="shared" si="3"/>
        <v>25</v>
      </c>
      <c r="E44" s="54">
        <f t="shared" si="4"/>
        <v>30</v>
      </c>
      <c r="F44" s="54">
        <v>15.02</v>
      </c>
      <c r="G44" s="208">
        <f t="shared" si="5"/>
        <v>30</v>
      </c>
      <c r="H44" s="114">
        <f t="shared" si="2"/>
        <v>0.59499999999999997</v>
      </c>
      <c r="I44" s="258">
        <f>SUM(F$42:F$50)-SUM(F$42:F44)</f>
        <v>79.930000000000007</v>
      </c>
      <c r="J44" s="114">
        <f>H48</f>
        <v>0.25</v>
      </c>
      <c r="K44" s="258">
        <f>I48</f>
        <v>11.36999999999999</v>
      </c>
      <c r="L44" s="253"/>
      <c r="N44" s="231"/>
      <c r="O44" s="193"/>
      <c r="X44" s="165">
        <v>9</v>
      </c>
      <c r="Y44" s="158">
        <v>999.85</v>
      </c>
      <c r="Z44" s="175">
        <v>1.3460000000000002E-3</v>
      </c>
      <c r="AA44" s="171">
        <f t="shared" si="1"/>
        <v>1.3462019302895435E-6</v>
      </c>
      <c r="AB44" s="157"/>
    </row>
    <row r="45" spans="2:29" ht="17.100000000000001" customHeight="1" x14ac:dyDescent="0.25">
      <c r="B45" s="367" t="s">
        <v>201</v>
      </c>
      <c r="C45" s="368"/>
      <c r="D45" s="128">
        <f t="shared" si="3"/>
        <v>30</v>
      </c>
      <c r="E45" s="54">
        <f t="shared" si="4"/>
        <v>35</v>
      </c>
      <c r="F45" s="54">
        <v>16.649999999999999</v>
      </c>
      <c r="G45" s="208">
        <f t="shared" si="5"/>
        <v>35</v>
      </c>
      <c r="H45" s="114">
        <f t="shared" si="2"/>
        <v>0.5</v>
      </c>
      <c r="I45" s="258">
        <f>SUM(F$42:F$50)-SUM(F$42:F45)</f>
        <v>63.28</v>
      </c>
      <c r="J45" s="114">
        <f>H47</f>
        <v>0.29699999999999999</v>
      </c>
      <c r="K45" s="258">
        <f>I47</f>
        <v>27.019999999999996</v>
      </c>
      <c r="L45" s="253"/>
      <c r="N45" s="231"/>
      <c r="O45" s="193"/>
      <c r="X45" s="167">
        <v>10</v>
      </c>
      <c r="Y45" s="168">
        <v>999.77</v>
      </c>
      <c r="Z45" s="180">
        <v>1.3080000000000001E-3</v>
      </c>
      <c r="AA45" s="171">
        <f t="shared" si="1"/>
        <v>1.3083009092091183E-6</v>
      </c>
      <c r="AB45" s="157"/>
    </row>
    <row r="46" spans="2:29" ht="17.100000000000001" customHeight="1" x14ac:dyDescent="0.25">
      <c r="B46" s="367" t="s">
        <v>196</v>
      </c>
      <c r="C46" s="368"/>
      <c r="D46" s="128">
        <f t="shared" si="3"/>
        <v>35</v>
      </c>
      <c r="E46" s="54">
        <f t="shared" si="4"/>
        <v>40</v>
      </c>
      <c r="F46" s="54">
        <v>18.010000000000002</v>
      </c>
      <c r="G46" s="208">
        <f t="shared" si="5"/>
        <v>40</v>
      </c>
      <c r="H46" s="114">
        <f t="shared" si="2"/>
        <v>0.4</v>
      </c>
      <c r="I46" s="258">
        <f>SUM(F$42:F$50)-SUM(F$42:F46)</f>
        <v>45.269999999999996</v>
      </c>
      <c r="J46" s="114">
        <f>H46</f>
        <v>0.4</v>
      </c>
      <c r="K46" s="258">
        <f>I46</f>
        <v>45.269999999999996</v>
      </c>
      <c r="L46" s="253"/>
      <c r="N46" s="231"/>
      <c r="O46" s="193"/>
      <c r="X46" s="165">
        <v>11</v>
      </c>
      <c r="Y46" s="158">
        <v>999.68</v>
      </c>
      <c r="Z46" s="175">
        <v>1.271E-3</v>
      </c>
      <c r="AA46" s="171">
        <f t="shared" si="1"/>
        <v>1.2714068501920614E-6</v>
      </c>
      <c r="AB46" s="157"/>
    </row>
    <row r="47" spans="2:29" ht="17.100000000000001" customHeight="1" x14ac:dyDescent="0.25">
      <c r="B47" s="367" t="s">
        <v>197</v>
      </c>
      <c r="C47" s="368"/>
      <c r="D47" s="128">
        <f t="shared" si="3"/>
        <v>40</v>
      </c>
      <c r="E47" s="54">
        <f t="shared" si="4"/>
        <v>50</v>
      </c>
      <c r="F47" s="54">
        <v>18.25</v>
      </c>
      <c r="G47" s="208">
        <f t="shared" si="5"/>
        <v>50</v>
      </c>
      <c r="H47" s="114">
        <f t="shared" si="2"/>
        <v>0.29699999999999999</v>
      </c>
      <c r="I47" s="258">
        <f>SUM(F$42:F$50)-SUM(F$42:F47)</f>
        <v>27.019999999999996</v>
      </c>
      <c r="J47" s="114">
        <f>H45</f>
        <v>0.5</v>
      </c>
      <c r="K47" s="258">
        <f>I45</f>
        <v>63.28</v>
      </c>
      <c r="L47" s="253"/>
      <c r="N47" s="231"/>
      <c r="O47" s="193"/>
      <c r="X47" s="165">
        <v>12</v>
      </c>
      <c r="Y47" s="158">
        <v>999.58</v>
      </c>
      <c r="Z47" s="175">
        <v>1.2359999999999999E-3</v>
      </c>
      <c r="AA47" s="171">
        <f t="shared" si="1"/>
        <v>1.2365193381220111E-6</v>
      </c>
      <c r="AB47" s="157"/>
    </row>
    <row r="48" spans="2:29" ht="17.100000000000001" customHeight="1" x14ac:dyDescent="0.25">
      <c r="B48" s="367" t="s">
        <v>198</v>
      </c>
      <c r="C48" s="368"/>
      <c r="D48" s="128">
        <f t="shared" si="3"/>
        <v>50</v>
      </c>
      <c r="E48" s="54">
        <f t="shared" si="4"/>
        <v>60</v>
      </c>
      <c r="F48" s="54">
        <v>15.65</v>
      </c>
      <c r="G48" s="208">
        <f t="shared" si="5"/>
        <v>60</v>
      </c>
      <c r="H48" s="114">
        <f t="shared" si="2"/>
        <v>0.25</v>
      </c>
      <c r="I48" s="258">
        <f>SUM(F$42:F$50)-SUM(F$42:F48)</f>
        <v>11.36999999999999</v>
      </c>
      <c r="J48" s="114">
        <f>H44</f>
        <v>0.59499999999999997</v>
      </c>
      <c r="K48" s="258">
        <f>I44</f>
        <v>79.930000000000007</v>
      </c>
      <c r="L48" s="253"/>
      <c r="N48" s="231"/>
      <c r="O48" s="193"/>
      <c r="X48" s="165">
        <v>13</v>
      </c>
      <c r="Y48" s="158">
        <v>999.46</v>
      </c>
      <c r="Z48" s="175">
        <v>1.2030000000000001E-3</v>
      </c>
      <c r="AA48" s="171">
        <f t="shared" si="1"/>
        <v>1.2036499709843315E-6</v>
      </c>
      <c r="AB48" s="157"/>
    </row>
    <row r="49" spans="2:30" ht="17.100000000000001" customHeight="1" x14ac:dyDescent="0.25">
      <c r="B49" s="367" t="s">
        <v>199</v>
      </c>
      <c r="C49" s="368"/>
      <c r="D49" s="128">
        <f t="shared" si="3"/>
        <v>60</v>
      </c>
      <c r="E49" s="54">
        <f t="shared" si="4"/>
        <v>70</v>
      </c>
      <c r="F49" s="54">
        <v>9.3000000000000007</v>
      </c>
      <c r="G49" s="208">
        <f t="shared" si="5"/>
        <v>70</v>
      </c>
      <c r="H49" s="114">
        <f t="shared" si="2"/>
        <v>0.21</v>
      </c>
      <c r="I49" s="258">
        <f>SUM(F$42:F$50)-SUM(F$42:F49)</f>
        <v>2.0699999999999932</v>
      </c>
      <c r="J49" s="114">
        <f>H43</f>
        <v>0.70699999999999996</v>
      </c>
      <c r="K49" s="258">
        <f>I43</f>
        <v>94.95</v>
      </c>
      <c r="L49" s="253"/>
      <c r="N49" s="231"/>
      <c r="O49" s="193"/>
      <c r="X49" s="165">
        <v>14</v>
      </c>
      <c r="Y49" s="158">
        <v>999.33</v>
      </c>
      <c r="Z49" s="175">
        <v>1.1709999999999999E-3</v>
      </c>
      <c r="AA49" s="171">
        <f t="shared" si="1"/>
        <v>1.1717850960143296E-6</v>
      </c>
      <c r="AB49" s="157"/>
    </row>
    <row r="50" spans="2:30" ht="17.100000000000001" customHeight="1" x14ac:dyDescent="0.25">
      <c r="B50" s="367" t="s">
        <v>200</v>
      </c>
      <c r="C50" s="368"/>
      <c r="D50" s="128">
        <f t="shared" si="3"/>
        <v>70</v>
      </c>
      <c r="E50" s="54">
        <f t="shared" si="4"/>
        <v>100</v>
      </c>
      <c r="F50" s="54">
        <v>2.0699999999999998</v>
      </c>
      <c r="G50" s="208">
        <f t="shared" si="5"/>
        <v>100</v>
      </c>
      <c r="H50" s="114">
        <f t="shared" si="2"/>
        <v>0.14899999999999999</v>
      </c>
      <c r="I50" s="258">
        <f>SUM(F$42:F$50)-SUM(F$42:F50)</f>
        <v>0</v>
      </c>
      <c r="J50" s="114">
        <f>H42</f>
        <v>0.84099999999999997</v>
      </c>
      <c r="K50" s="258">
        <f>I42</f>
        <v>99.2</v>
      </c>
      <c r="L50" s="253"/>
      <c r="X50" s="165">
        <v>15</v>
      </c>
      <c r="Y50" s="158">
        <v>999.19</v>
      </c>
      <c r="Z50" s="175">
        <v>1.14E-3</v>
      </c>
      <c r="AA50" s="171">
        <f t="shared" si="1"/>
        <v>1.1409241485603338E-6</v>
      </c>
      <c r="AB50" s="157"/>
    </row>
    <row r="51" spans="2:30" ht="17.100000000000001" customHeight="1" x14ac:dyDescent="0.25">
      <c r="B51" s="253"/>
      <c r="C51" s="253"/>
      <c r="D51" s="253"/>
      <c r="E51" s="253"/>
      <c r="F51" s="259"/>
      <c r="G51" s="253"/>
      <c r="H51" s="253"/>
      <c r="I51" s="253"/>
      <c r="J51" s="253"/>
      <c r="K51" s="253"/>
      <c r="L51" s="253"/>
      <c r="X51" s="165">
        <v>16</v>
      </c>
      <c r="Y51" s="158">
        <v>999.03</v>
      </c>
      <c r="Z51" s="175">
        <v>1.111E-3</v>
      </c>
      <c r="AA51" s="171">
        <f t="shared" si="1"/>
        <v>1.1120787163548642E-6</v>
      </c>
      <c r="AB51" s="157"/>
    </row>
    <row r="52" spans="2:30" ht="17.100000000000001" customHeight="1" x14ac:dyDescent="0.25">
      <c r="B52" s="86" t="s">
        <v>348</v>
      </c>
      <c r="C52" s="249"/>
      <c r="D52" s="257"/>
      <c r="E52" s="249"/>
      <c r="F52" s="257"/>
      <c r="G52" s="224"/>
      <c r="H52" s="260"/>
      <c r="I52" s="135"/>
      <c r="J52" s="135"/>
      <c r="K52" s="135"/>
      <c r="L52" s="253"/>
      <c r="X52" s="165">
        <v>17</v>
      </c>
      <c r="Y52" s="158">
        <v>998.86</v>
      </c>
      <c r="Z52" s="175">
        <v>1.083E-3</v>
      </c>
      <c r="AA52" s="171">
        <f t="shared" si="1"/>
        <v>1.0842360290731433E-6</v>
      </c>
      <c r="AB52" s="157"/>
    </row>
    <row r="53" spans="2:30" ht="17.100000000000001" customHeight="1" x14ac:dyDescent="0.25">
      <c r="B53" s="451"/>
      <c r="C53" s="451"/>
      <c r="D53" s="54"/>
      <c r="E53" s="248"/>
      <c r="F53" s="433" t="s">
        <v>186</v>
      </c>
      <c r="G53" s="433" t="s">
        <v>207</v>
      </c>
      <c r="H53" s="435"/>
      <c r="I53" s="435"/>
      <c r="J53" s="435"/>
      <c r="K53" s="434" t="s">
        <v>349</v>
      </c>
      <c r="L53" s="253"/>
      <c r="X53" s="165">
        <v>18</v>
      </c>
      <c r="Y53" s="158">
        <v>998.68</v>
      </c>
      <c r="Z53" s="175">
        <v>1.0560000000000001E-3</v>
      </c>
      <c r="AA53" s="171">
        <f t="shared" si="1"/>
        <v>1.0573957624063765E-6</v>
      </c>
      <c r="AB53" s="157"/>
    </row>
    <row r="54" spans="2:30" ht="17.100000000000001" customHeight="1" x14ac:dyDescent="0.25">
      <c r="B54" s="451"/>
      <c r="C54" s="451"/>
      <c r="D54" s="54"/>
      <c r="E54" s="248"/>
      <c r="F54" s="433"/>
      <c r="G54" s="433"/>
      <c r="H54" s="435"/>
      <c r="I54" s="435"/>
      <c r="J54" s="435"/>
      <c r="K54" s="434"/>
      <c r="L54" s="253"/>
      <c r="X54" s="165">
        <v>19</v>
      </c>
      <c r="Y54" s="158">
        <v>998.49</v>
      </c>
      <c r="Z54" s="175">
        <v>1.0300000000000001E-3</v>
      </c>
      <c r="AA54" s="171">
        <f t="shared" si="1"/>
        <v>1.0315576520546026E-6</v>
      </c>
      <c r="AB54" s="157"/>
      <c r="AD54" s="172"/>
    </row>
    <row r="55" spans="2:30" ht="17.100000000000001" customHeight="1" x14ac:dyDescent="0.25">
      <c r="B55" s="451"/>
      <c r="C55" s="451"/>
      <c r="D55" s="54"/>
      <c r="E55" s="248"/>
      <c r="F55" s="433"/>
      <c r="G55" s="433"/>
      <c r="H55" s="435"/>
      <c r="I55" s="435"/>
      <c r="J55" s="435"/>
      <c r="K55" s="434"/>
      <c r="L55" s="253"/>
      <c r="X55" s="167">
        <v>20</v>
      </c>
      <c r="Y55" s="168">
        <v>998.29</v>
      </c>
      <c r="Z55" s="180">
        <v>1.005E-3</v>
      </c>
      <c r="AA55" s="171">
        <f t="shared" si="1"/>
        <v>1.0067214937543199E-6</v>
      </c>
      <c r="AB55" s="157"/>
      <c r="AD55" s="172"/>
    </row>
    <row r="56" spans="2:30" ht="17.100000000000001" customHeight="1" x14ac:dyDescent="0.25">
      <c r="B56" s="435" t="s">
        <v>350</v>
      </c>
      <c r="C56" s="435"/>
      <c r="D56" s="54"/>
      <c r="E56" s="248"/>
      <c r="F56" s="114">
        <f>INDEX(J42:J50,MATCH(10,K42:K50,1),1)</f>
        <v>0.21</v>
      </c>
      <c r="G56" s="258">
        <f>VLOOKUP(F56,J$42:K$50,2,FALSE)</f>
        <v>2.0699999999999932</v>
      </c>
      <c r="H56" s="451">
        <f>(LOG(F56)+((10-G56)/(G57-G56))*LOG(F57/F56))</f>
        <v>-0.61321454811239473</v>
      </c>
      <c r="I56" s="451"/>
      <c r="J56" s="451"/>
      <c r="K56" s="435">
        <f>10^(H56)</f>
        <v>0.2436606799987964</v>
      </c>
      <c r="L56" s="253"/>
      <c r="X56" s="165">
        <v>21</v>
      </c>
      <c r="Y56" s="158">
        <v>998.08</v>
      </c>
      <c r="Z56" s="175">
        <v>9.810000000000001E-4</v>
      </c>
      <c r="AA56" s="171">
        <f t="shared" si="1"/>
        <v>9.8288714331516507E-7</v>
      </c>
      <c r="AB56" s="157"/>
    </row>
    <row r="57" spans="2:30" ht="17.100000000000001" customHeight="1" x14ac:dyDescent="0.25">
      <c r="B57" s="435" t="s">
        <v>351</v>
      </c>
      <c r="C57" s="435"/>
      <c r="D57" s="54"/>
      <c r="E57" s="248"/>
      <c r="F57" s="114">
        <f>INDEX(H42:H50,MATCH(10,I42:I50,-1),1)</f>
        <v>0.25</v>
      </c>
      <c r="G57" s="258">
        <f>VLOOKUP(F57,J$42:K$50,2,FALSE)</f>
        <v>11.36999999999999</v>
      </c>
      <c r="H57" s="451"/>
      <c r="I57" s="451"/>
      <c r="J57" s="451"/>
      <c r="K57" s="435"/>
      <c r="L57" s="253"/>
      <c r="X57" s="165">
        <v>22</v>
      </c>
      <c r="Y57" s="158">
        <v>997.86</v>
      </c>
      <c r="Z57" s="175">
        <v>9.5790000000000003E-4</v>
      </c>
      <c r="AA57" s="171">
        <f t="shared" si="1"/>
        <v>9.5995430220672237E-7</v>
      </c>
      <c r="AB57" s="157"/>
    </row>
    <row r="58" spans="2:30" ht="17.100000000000001" customHeight="1" x14ac:dyDescent="0.25">
      <c r="B58" s="261"/>
      <c r="C58" s="261"/>
      <c r="D58" s="257"/>
      <c r="E58" s="249"/>
      <c r="F58" s="135"/>
      <c r="G58" s="262"/>
      <c r="H58" s="249"/>
      <c r="I58" s="249"/>
      <c r="J58" s="249"/>
      <c r="K58" s="135"/>
      <c r="L58" s="253"/>
      <c r="X58" s="165">
        <v>23</v>
      </c>
      <c r="Y58" s="158">
        <v>997.62</v>
      </c>
      <c r="Z58" s="175">
        <v>9.3579999999999998E-4</v>
      </c>
      <c r="AA58" s="171">
        <f t="shared" si="1"/>
        <v>9.3803251739139144E-7</v>
      </c>
      <c r="AB58" s="157"/>
    </row>
    <row r="59" spans="2:30" ht="17.100000000000001" customHeight="1" x14ac:dyDescent="0.25">
      <c r="B59" s="86" t="s">
        <v>352</v>
      </c>
      <c r="C59" s="261"/>
      <c r="D59" s="257"/>
      <c r="E59" s="249"/>
      <c r="F59" s="135"/>
      <c r="G59" s="262"/>
      <c r="H59" s="249"/>
      <c r="I59" s="249"/>
      <c r="J59" s="249"/>
      <c r="K59" s="135"/>
      <c r="L59" s="253"/>
      <c r="X59" s="165">
        <v>24</v>
      </c>
      <c r="Y59" s="158">
        <v>997.38</v>
      </c>
      <c r="Z59" s="175">
        <v>9.142E-4</v>
      </c>
      <c r="AA59" s="171">
        <f t="shared" si="1"/>
        <v>9.1660149591930864E-7</v>
      </c>
      <c r="AB59" s="157"/>
    </row>
    <row r="60" spans="2:30" ht="17.100000000000001" customHeight="1" x14ac:dyDescent="0.25">
      <c r="B60" s="451"/>
      <c r="C60" s="451"/>
      <c r="D60" s="54"/>
      <c r="E60" s="248"/>
      <c r="F60" s="433" t="s">
        <v>186</v>
      </c>
      <c r="G60" s="433" t="s">
        <v>207</v>
      </c>
      <c r="H60" s="435"/>
      <c r="I60" s="435"/>
      <c r="J60" s="435"/>
      <c r="K60" s="434" t="s">
        <v>353</v>
      </c>
      <c r="L60" s="253"/>
      <c r="X60" s="165">
        <v>25</v>
      </c>
      <c r="Y60" s="158">
        <v>997.13</v>
      </c>
      <c r="Z60" s="175">
        <v>8.9370000000000009E-4</v>
      </c>
      <c r="AA60" s="171">
        <f t="shared" si="1"/>
        <v>8.9627230150532037E-7</v>
      </c>
      <c r="AB60" s="157"/>
    </row>
    <row r="61" spans="2:30" ht="17.100000000000001" customHeight="1" x14ac:dyDescent="0.25">
      <c r="B61" s="451"/>
      <c r="C61" s="451"/>
      <c r="D61" s="54"/>
      <c r="E61" s="248"/>
      <c r="F61" s="433"/>
      <c r="G61" s="433"/>
      <c r="H61" s="435"/>
      <c r="I61" s="435"/>
      <c r="J61" s="435"/>
      <c r="K61" s="434"/>
      <c r="L61" s="253"/>
      <c r="X61" s="165">
        <v>26</v>
      </c>
      <c r="Y61" s="158">
        <v>996.86</v>
      </c>
      <c r="Z61" s="175">
        <v>8.7370000000000004E-4</v>
      </c>
      <c r="AA61" s="171">
        <f t="shared" si="1"/>
        <v>8.7645205946672558E-7</v>
      </c>
      <c r="AB61" s="157"/>
    </row>
    <row r="62" spans="2:30" ht="17.100000000000001" customHeight="1" x14ac:dyDescent="0.25">
      <c r="B62" s="451"/>
      <c r="C62" s="451"/>
      <c r="D62" s="54"/>
      <c r="E62" s="248"/>
      <c r="F62" s="433"/>
      <c r="G62" s="433"/>
      <c r="H62" s="435"/>
      <c r="I62" s="435"/>
      <c r="J62" s="435"/>
      <c r="K62" s="434"/>
      <c r="L62" s="253"/>
      <c r="X62" s="165">
        <v>27</v>
      </c>
      <c r="Y62" s="158">
        <v>996.59</v>
      </c>
      <c r="Z62" s="175">
        <v>8.5450000000000001E-4</v>
      </c>
      <c r="AA62" s="171">
        <f t="shared" si="1"/>
        <v>8.5742381520986557E-7</v>
      </c>
      <c r="AB62" s="157"/>
    </row>
    <row r="63" spans="2:30" ht="17.100000000000001" customHeight="1" x14ac:dyDescent="0.25">
      <c r="B63" s="435" t="s">
        <v>350</v>
      </c>
      <c r="C63" s="435"/>
      <c r="D63" s="54"/>
      <c r="E63" s="248"/>
      <c r="F63" s="114">
        <f>INDEX(J42:J50,MATCH(60,K42:K50,1),1)</f>
        <v>0.4</v>
      </c>
      <c r="G63" s="258">
        <f>VLOOKUP(F63,J$42:K$50,2,FALSE)</f>
        <v>45.269999999999996</v>
      </c>
      <c r="H63" s="451">
        <f>(LOG(F63)+((60-G63)/(G64-G63))*LOG(F64/F63))</f>
        <v>-0.31867934839393264</v>
      </c>
      <c r="I63" s="451"/>
      <c r="J63" s="451"/>
      <c r="K63" s="435">
        <f>10^(H63)</f>
        <v>0.48008777987655482</v>
      </c>
      <c r="L63" s="253"/>
      <c r="X63" s="165">
        <v>28</v>
      </c>
      <c r="Y63" s="158">
        <v>996.31</v>
      </c>
      <c r="Z63" s="175">
        <v>8.3599999999999994E-4</v>
      </c>
      <c r="AA63" s="171">
        <f t="shared" si="1"/>
        <v>8.3909626521865684E-7</v>
      </c>
      <c r="AB63" s="157"/>
    </row>
    <row r="64" spans="2:30" ht="17.100000000000001" customHeight="1" x14ac:dyDescent="0.25">
      <c r="B64" s="435" t="s">
        <v>351</v>
      </c>
      <c r="C64" s="435"/>
      <c r="D64" s="54"/>
      <c r="E64" s="248"/>
      <c r="F64" s="114">
        <f>INDEX(H42:H50,MATCH(60,I42:I50,-1),1)</f>
        <v>0.5</v>
      </c>
      <c r="G64" s="258">
        <f>VLOOKUP(F64,J$42:K$50,2,FALSE)</f>
        <v>63.28</v>
      </c>
      <c r="H64" s="451"/>
      <c r="I64" s="451"/>
      <c r="J64" s="451"/>
      <c r="K64" s="435"/>
      <c r="L64" s="253"/>
      <c r="X64" s="165">
        <v>29</v>
      </c>
      <c r="Y64" s="158">
        <v>996.02</v>
      </c>
      <c r="Z64" s="175">
        <v>8.1799999999999993E-4</v>
      </c>
      <c r="AA64" s="171">
        <f t="shared" si="1"/>
        <v>8.2126864922391111E-7</v>
      </c>
      <c r="AB64" s="157"/>
    </row>
    <row r="65" spans="2:28" ht="17.100000000000001" customHeight="1" x14ac:dyDescent="0.25">
      <c r="B65" s="261"/>
      <c r="C65" s="261"/>
      <c r="D65" s="257"/>
      <c r="E65" s="249"/>
      <c r="F65" s="135"/>
      <c r="G65" s="262"/>
      <c r="H65" s="249"/>
      <c r="I65" s="249"/>
      <c r="J65" s="249"/>
      <c r="K65" s="135"/>
      <c r="L65" s="253"/>
      <c r="X65" s="167">
        <v>30</v>
      </c>
      <c r="Y65" s="168">
        <v>995.71</v>
      </c>
      <c r="Z65" s="180">
        <v>8.007E-4</v>
      </c>
      <c r="AA65" s="171">
        <f t="shared" si="1"/>
        <v>8.0414980265338299E-7</v>
      </c>
      <c r="AB65" s="157"/>
    </row>
    <row r="66" spans="2:28" ht="17.100000000000001" customHeight="1" x14ac:dyDescent="0.25">
      <c r="B66" s="263" t="s">
        <v>226</v>
      </c>
      <c r="C66" s="261"/>
      <c r="D66" s="257"/>
      <c r="E66" s="249"/>
      <c r="F66" s="135"/>
      <c r="G66" s="262"/>
      <c r="H66" s="249"/>
      <c r="I66" s="249"/>
      <c r="J66" s="249"/>
      <c r="K66" s="135"/>
      <c r="L66" s="253"/>
      <c r="X66" s="165">
        <v>31</v>
      </c>
      <c r="Y66" s="158">
        <v>995.41</v>
      </c>
      <c r="Z66" s="175">
        <v>7.8400000000000008E-4</v>
      </c>
      <c r="AA66" s="171">
        <f t="shared" si="1"/>
        <v>7.8761515355481675E-7</v>
      </c>
      <c r="AB66" s="157"/>
    </row>
    <row r="67" spans="2:28" ht="17.100000000000001" customHeight="1" x14ac:dyDescent="0.25">
      <c r="B67" s="404" t="s">
        <v>354</v>
      </c>
      <c r="C67" s="405"/>
      <c r="D67" s="54"/>
      <c r="E67" s="248"/>
      <c r="F67" s="404" t="s">
        <v>353</v>
      </c>
      <c r="G67" s="466" t="s">
        <v>211</v>
      </c>
      <c r="H67" s="466"/>
      <c r="I67" s="249"/>
      <c r="J67" s="249"/>
      <c r="K67" s="135"/>
      <c r="L67" s="253"/>
      <c r="X67" s="165">
        <v>32</v>
      </c>
      <c r="Y67" s="158">
        <v>995.09</v>
      </c>
      <c r="Z67" s="175">
        <v>7.6790000000000007E-4</v>
      </c>
      <c r="AA67" s="171">
        <f t="shared" si="1"/>
        <v>7.7168899295541107E-7</v>
      </c>
      <c r="AB67" s="157"/>
    </row>
    <row r="68" spans="2:28" ht="17.100000000000001" customHeight="1" x14ac:dyDescent="0.25">
      <c r="B68" s="406"/>
      <c r="C68" s="407"/>
      <c r="D68" s="54"/>
      <c r="E68" s="248"/>
      <c r="F68" s="406"/>
      <c r="G68" s="466"/>
      <c r="H68" s="466"/>
      <c r="I68" s="249"/>
      <c r="J68" s="249"/>
      <c r="K68" s="135"/>
      <c r="L68" s="253"/>
      <c r="W68" s="113"/>
      <c r="X68" s="165">
        <v>33</v>
      </c>
      <c r="Y68" s="158">
        <v>994.76</v>
      </c>
      <c r="Z68" s="175">
        <v>7.5230000000000002E-4</v>
      </c>
      <c r="AA68" s="171">
        <f t="shared" si="1"/>
        <v>7.5626281716192853E-7</v>
      </c>
      <c r="AB68" s="157"/>
    </row>
    <row r="69" spans="2:28" ht="17.100000000000001" customHeight="1" x14ac:dyDescent="0.25">
      <c r="B69" s="408"/>
      <c r="C69" s="409"/>
      <c r="D69" s="54"/>
      <c r="E69" s="248"/>
      <c r="F69" s="408"/>
      <c r="G69" s="466"/>
      <c r="H69" s="466"/>
      <c r="I69" s="249"/>
      <c r="J69" s="249"/>
      <c r="K69" s="135"/>
      <c r="L69" s="253"/>
      <c r="W69" s="113"/>
      <c r="X69" s="165">
        <v>34</v>
      </c>
      <c r="Y69" s="158">
        <v>994.43</v>
      </c>
      <c r="Z69" s="175">
        <v>7.3709999999999997E-4</v>
      </c>
      <c r="AA69" s="171">
        <f t="shared" si="1"/>
        <v>7.4122864354454311E-7</v>
      </c>
      <c r="AB69" s="157"/>
    </row>
    <row r="70" spans="2:28" ht="17.100000000000001" customHeight="1" x14ac:dyDescent="0.25">
      <c r="B70" s="435">
        <f>K56</f>
        <v>0.2436606799987964</v>
      </c>
      <c r="C70" s="435"/>
      <c r="D70" s="54"/>
      <c r="E70" s="248"/>
      <c r="F70" s="114">
        <f>K63</f>
        <v>0.48008777987655482</v>
      </c>
      <c r="G70" s="467">
        <f>F70/B70</f>
        <v>1.9703128952891631</v>
      </c>
      <c r="H70" s="467"/>
      <c r="I70" s="249"/>
      <c r="J70" s="249"/>
      <c r="K70" s="135"/>
      <c r="L70" s="253"/>
      <c r="W70" s="113"/>
      <c r="X70" s="165">
        <v>35</v>
      </c>
      <c r="Y70" s="158">
        <v>994.08</v>
      </c>
      <c r="Z70" s="175">
        <v>7.2250000000000005E-4</v>
      </c>
      <c r="AA70" s="171">
        <f t="shared" si="1"/>
        <v>7.2680267181715759E-7</v>
      </c>
      <c r="AB70" s="157"/>
    </row>
    <row r="71" spans="2:28" ht="17.100000000000001" customHeight="1" x14ac:dyDescent="0.25">
      <c r="M71" s="498"/>
      <c r="W71" s="113"/>
      <c r="X71" s="113"/>
      <c r="Y71" s="113"/>
      <c r="Z71" s="113"/>
      <c r="AA71" s="113"/>
      <c r="AB71" s="157"/>
    </row>
    <row r="72" spans="2:28" ht="17.100000000000001" customHeight="1" x14ac:dyDescent="0.25">
      <c r="B72" s="110" t="s">
        <v>285</v>
      </c>
      <c r="C72" s="110"/>
      <c r="W72" s="113"/>
      <c r="X72" s="113"/>
      <c r="Y72" s="113"/>
      <c r="Z72" s="113"/>
      <c r="AA72" s="174"/>
      <c r="AB72" s="157"/>
    </row>
    <row r="73" spans="2:28" ht="17.100000000000001" customHeight="1" x14ac:dyDescent="0.3">
      <c r="B73" s="410" t="s">
        <v>358</v>
      </c>
      <c r="C73" s="411"/>
      <c r="D73" s="411"/>
      <c r="E73" s="411"/>
      <c r="F73" s="411"/>
      <c r="G73" s="411"/>
      <c r="H73" s="412"/>
      <c r="I73" s="206" t="s">
        <v>181</v>
      </c>
      <c r="J73" s="302">
        <f>H20/24</f>
        <v>6.25</v>
      </c>
      <c r="K73" s="56" t="s">
        <v>228</v>
      </c>
      <c r="L73" s="494"/>
      <c r="W73" s="113"/>
      <c r="X73" s="113"/>
      <c r="Y73" s="113"/>
      <c r="Z73" s="113"/>
      <c r="AA73" s="113"/>
    </row>
    <row r="74" spans="2:28" ht="17.100000000000001" customHeight="1" x14ac:dyDescent="0.25">
      <c r="B74" s="410" t="s">
        <v>287</v>
      </c>
      <c r="C74" s="411"/>
      <c r="D74" s="411"/>
      <c r="E74" s="411"/>
      <c r="F74" s="411"/>
      <c r="G74" s="411"/>
      <c r="H74" s="412"/>
      <c r="I74" s="251" t="s">
        <v>88</v>
      </c>
      <c r="J74" s="205">
        <v>0.6</v>
      </c>
      <c r="K74" s="56" t="s">
        <v>3</v>
      </c>
      <c r="L74" s="82"/>
      <c r="W74" s="113"/>
      <c r="X74" s="113"/>
      <c r="Y74" s="113"/>
      <c r="Z74" s="113"/>
      <c r="AA74" s="113"/>
    </row>
    <row r="75" spans="2:28" ht="17.100000000000001" customHeight="1" x14ac:dyDescent="0.25">
      <c r="B75" s="410" t="s">
        <v>283</v>
      </c>
      <c r="C75" s="411"/>
      <c r="D75" s="411"/>
      <c r="E75" s="411"/>
      <c r="F75" s="411"/>
      <c r="G75" s="411"/>
      <c r="H75" s="412"/>
      <c r="I75" s="251" t="s">
        <v>284</v>
      </c>
      <c r="J75" s="111">
        <v>2.65</v>
      </c>
      <c r="K75" s="56"/>
      <c r="L75" s="82"/>
      <c r="W75" s="113"/>
      <c r="X75" s="113"/>
      <c r="Y75" s="113"/>
      <c r="Z75" s="113"/>
      <c r="AA75" s="113"/>
    </row>
    <row r="76" spans="2:28" ht="17.100000000000001" customHeight="1" x14ac:dyDescent="0.25">
      <c r="B76" s="410" t="s">
        <v>231</v>
      </c>
      <c r="C76" s="411"/>
      <c r="D76" s="411"/>
      <c r="E76" s="411"/>
      <c r="F76" s="411"/>
      <c r="G76" s="411"/>
      <c r="H76" s="412"/>
      <c r="I76" s="251" t="s">
        <v>240</v>
      </c>
      <c r="J76" s="232">
        <v>0.45</v>
      </c>
      <c r="K76" s="203"/>
      <c r="L76" s="152"/>
      <c r="W76" s="113"/>
      <c r="X76" s="113"/>
      <c r="Y76" s="113"/>
      <c r="Z76" s="113"/>
      <c r="AA76" s="113"/>
    </row>
    <row r="77" spans="2:28" ht="17.100000000000001" customHeight="1" x14ac:dyDescent="0.25">
      <c r="B77" s="410" t="s">
        <v>190</v>
      </c>
      <c r="C77" s="411"/>
      <c r="D77" s="411"/>
      <c r="E77" s="411"/>
      <c r="F77" s="411"/>
      <c r="G77" s="411"/>
      <c r="H77" s="412"/>
      <c r="I77" s="251" t="s">
        <v>191</v>
      </c>
      <c r="J77" s="232">
        <v>5</v>
      </c>
      <c r="K77" s="203"/>
      <c r="L77" s="152"/>
      <c r="W77" s="113"/>
      <c r="X77" s="113"/>
      <c r="Y77" s="113"/>
      <c r="Z77" s="113"/>
      <c r="AA77" s="113"/>
    </row>
    <row r="78" spans="2:28" ht="17.100000000000001" customHeight="1" x14ac:dyDescent="0.25">
      <c r="B78" s="410" t="s">
        <v>229</v>
      </c>
      <c r="C78" s="411"/>
      <c r="D78" s="411"/>
      <c r="E78" s="411"/>
      <c r="F78" s="411"/>
      <c r="G78" s="411"/>
      <c r="H78" s="412"/>
      <c r="I78" s="252" t="s">
        <v>189</v>
      </c>
      <c r="J78" s="232">
        <v>0.85</v>
      </c>
      <c r="K78" s="203"/>
      <c r="L78" s="152"/>
      <c r="W78" s="113"/>
      <c r="X78" s="113"/>
      <c r="Y78" s="113"/>
      <c r="Z78" s="113"/>
      <c r="AA78" s="113"/>
    </row>
    <row r="79" spans="2:28" ht="17.100000000000001" customHeight="1" x14ac:dyDescent="0.25">
      <c r="B79" s="410" t="s">
        <v>230</v>
      </c>
      <c r="C79" s="411"/>
      <c r="D79" s="411"/>
      <c r="E79" s="411"/>
      <c r="F79" s="411"/>
      <c r="G79" s="411"/>
      <c r="H79" s="412"/>
      <c r="I79" s="252" t="s">
        <v>189</v>
      </c>
      <c r="J79" s="232">
        <v>0.85</v>
      </c>
      <c r="K79" s="203"/>
      <c r="L79" s="152"/>
      <c r="W79" s="113"/>
      <c r="X79" s="113"/>
      <c r="Y79" s="113"/>
      <c r="Z79" s="113"/>
      <c r="AA79" s="113"/>
    </row>
    <row r="80" spans="2:28" ht="17.100000000000001" customHeight="1" x14ac:dyDescent="0.25">
      <c r="B80" s="410" t="s">
        <v>237</v>
      </c>
      <c r="C80" s="411"/>
      <c r="D80" s="411"/>
      <c r="E80" s="411"/>
      <c r="F80" s="411"/>
      <c r="G80" s="411"/>
      <c r="H80" s="412"/>
      <c r="I80" s="151" t="s">
        <v>238</v>
      </c>
      <c r="J80" s="232">
        <v>6.2</v>
      </c>
      <c r="K80" s="203"/>
      <c r="L80" s="152"/>
      <c r="W80" s="113"/>
      <c r="X80" s="113"/>
      <c r="Y80" s="113"/>
      <c r="Z80" s="113"/>
      <c r="AA80" s="113"/>
    </row>
    <row r="81" spans="1:39" ht="17.100000000000001" customHeight="1" x14ac:dyDescent="0.25">
      <c r="W81" s="113"/>
      <c r="X81" s="113"/>
      <c r="Y81" s="113"/>
      <c r="Z81" s="113"/>
      <c r="AA81" s="113"/>
    </row>
    <row r="82" spans="1:39" ht="17.100000000000001" customHeight="1" x14ac:dyDescent="0.25">
      <c r="A82" s="109"/>
      <c r="B82" s="109"/>
      <c r="C82" s="109"/>
      <c r="D82" s="109"/>
      <c r="E82" s="109"/>
      <c r="F82" s="109"/>
      <c r="G82" s="109"/>
      <c r="H82" s="109"/>
      <c r="I82" s="112"/>
      <c r="J82" s="112"/>
      <c r="K82" s="112"/>
      <c r="L82" s="112"/>
      <c r="M82" s="112"/>
      <c r="N82" s="112"/>
      <c r="O82" s="112"/>
      <c r="P82" s="112"/>
      <c r="Q82" s="112"/>
      <c r="R82" s="112"/>
      <c r="S82" s="112"/>
      <c r="T82" s="112"/>
      <c r="U82" s="112"/>
      <c r="V82" s="112"/>
      <c r="W82" s="163"/>
      <c r="X82" s="164"/>
      <c r="Y82" s="164"/>
      <c r="Z82" s="164"/>
      <c r="AA82" s="113"/>
    </row>
    <row r="83" spans="1:39" ht="17.100000000000001" customHeight="1" x14ac:dyDescent="0.25">
      <c r="A83" s="109"/>
      <c r="B83" s="110" t="s">
        <v>297</v>
      </c>
      <c r="C83" s="110"/>
      <c r="D83" s="109"/>
      <c r="E83" s="109"/>
      <c r="F83" s="109"/>
      <c r="G83" s="109"/>
      <c r="H83" s="109"/>
      <c r="I83" s="112"/>
      <c r="J83" s="112"/>
      <c r="K83" s="112"/>
      <c r="L83" s="112"/>
      <c r="M83" s="112"/>
      <c r="N83" s="112"/>
      <c r="O83" s="112"/>
      <c r="P83" s="112"/>
      <c r="Q83" s="112"/>
      <c r="R83" s="112"/>
      <c r="S83" s="112"/>
      <c r="T83" s="112"/>
      <c r="U83" s="112"/>
      <c r="V83" s="112"/>
      <c r="W83" s="112"/>
      <c r="X83" s="109"/>
      <c r="Y83" s="109"/>
      <c r="Z83" s="109"/>
    </row>
    <row r="84" spans="1:39" ht="17.100000000000001" customHeight="1" x14ac:dyDescent="0.25">
      <c r="B84" s="404" t="s">
        <v>192</v>
      </c>
      <c r="C84" s="405"/>
      <c r="D84" s="433"/>
      <c r="E84" s="354"/>
      <c r="F84" s="354" t="s">
        <v>204</v>
      </c>
      <c r="G84" s="354" t="s">
        <v>205</v>
      </c>
      <c r="H84" s="354" t="s">
        <v>206</v>
      </c>
      <c r="I84" s="454" t="s">
        <v>208</v>
      </c>
      <c r="J84" s="471" t="s">
        <v>182</v>
      </c>
      <c r="K84" s="472"/>
      <c r="L84" s="472"/>
      <c r="M84" s="473"/>
      <c r="N84" s="447" t="s">
        <v>183</v>
      </c>
      <c r="O84" s="448"/>
      <c r="P84" s="448"/>
      <c r="Q84" s="448"/>
      <c r="R84" s="449"/>
      <c r="S84" s="360" t="s">
        <v>184</v>
      </c>
      <c r="T84" s="360"/>
      <c r="U84" s="360"/>
      <c r="V84" s="360"/>
      <c r="W84" s="112"/>
      <c r="X84" s="354" t="s">
        <v>185</v>
      </c>
      <c r="Y84" s="354" t="s">
        <v>186</v>
      </c>
      <c r="Z84" s="109"/>
    </row>
    <row r="85" spans="1:39" ht="17.100000000000001" customHeight="1" x14ac:dyDescent="0.25">
      <c r="B85" s="406"/>
      <c r="C85" s="407"/>
      <c r="D85" s="433"/>
      <c r="E85" s="356"/>
      <c r="F85" s="355"/>
      <c r="G85" s="355"/>
      <c r="H85" s="355"/>
      <c r="I85" s="455"/>
      <c r="J85" s="364" t="s">
        <v>187</v>
      </c>
      <c r="K85" s="438"/>
      <c r="L85" s="444"/>
      <c r="M85" s="439"/>
      <c r="N85" s="450"/>
      <c r="O85" s="438"/>
      <c r="P85" s="439"/>
      <c r="Q85" s="364" t="s">
        <v>188</v>
      </c>
      <c r="R85" s="361"/>
      <c r="S85" s="361"/>
      <c r="T85" s="361"/>
      <c r="U85" s="364" t="s">
        <v>188</v>
      </c>
      <c r="V85" s="361"/>
      <c r="X85" s="355"/>
      <c r="Y85" s="355"/>
    </row>
    <row r="86" spans="1:39" ht="17.100000000000001" customHeight="1" x14ac:dyDescent="0.25">
      <c r="B86" s="406"/>
      <c r="C86" s="407"/>
      <c r="D86" s="123"/>
      <c r="E86" s="124"/>
      <c r="F86" s="355"/>
      <c r="G86" s="355"/>
      <c r="H86" s="355"/>
      <c r="I86" s="455"/>
      <c r="J86" s="365"/>
      <c r="K86" s="440"/>
      <c r="L86" s="445"/>
      <c r="M86" s="441"/>
      <c r="N86" s="450"/>
      <c r="O86" s="440"/>
      <c r="P86" s="441"/>
      <c r="Q86" s="365"/>
      <c r="R86" s="362"/>
      <c r="S86" s="362"/>
      <c r="T86" s="362"/>
      <c r="U86" s="365"/>
      <c r="V86" s="362"/>
      <c r="X86" s="355"/>
      <c r="Y86" s="355"/>
    </row>
    <row r="87" spans="1:39" ht="17.100000000000001" customHeight="1" x14ac:dyDescent="0.25">
      <c r="B87" s="408"/>
      <c r="C87" s="409"/>
      <c r="D87" s="123"/>
      <c r="E87" s="124"/>
      <c r="F87" s="356"/>
      <c r="G87" s="356"/>
      <c r="H87" s="356"/>
      <c r="I87" s="456"/>
      <c r="J87" s="366"/>
      <c r="K87" s="442"/>
      <c r="L87" s="446"/>
      <c r="M87" s="443"/>
      <c r="N87" s="450"/>
      <c r="O87" s="442"/>
      <c r="P87" s="443"/>
      <c r="Q87" s="366"/>
      <c r="R87" s="363"/>
      <c r="S87" s="363"/>
      <c r="T87" s="363"/>
      <c r="U87" s="366"/>
      <c r="V87" s="363"/>
      <c r="X87" s="356"/>
      <c r="Y87" s="356"/>
    </row>
    <row r="88" spans="1:39" ht="17.100000000000001" customHeight="1" x14ac:dyDescent="0.25">
      <c r="B88" s="367" t="str">
        <f t="shared" ref="B88:B96" si="6">B42</f>
        <v>14-20</v>
      </c>
      <c r="C88" s="368"/>
      <c r="D88" s="128">
        <f>LEFT(B88,2)+0</f>
        <v>14</v>
      </c>
      <c r="E88" s="54">
        <f>MID(B88,4,3)+0</f>
        <v>20</v>
      </c>
      <c r="F88" s="54">
        <f t="shared" ref="F88:F96" si="7">F42</f>
        <v>0.8</v>
      </c>
      <c r="G88" s="114">
        <f t="shared" ref="G88:G96" si="8">VLOOKUP(D88,X$88:Y$105,2,FALSE)</f>
        <v>1.41</v>
      </c>
      <c r="H88" s="114">
        <f>VLOOKUP(E88,X$88:Y$105,2,FALSE)</f>
        <v>0.84099999999999997</v>
      </c>
      <c r="I88" s="129">
        <f t="shared" ref="I88:I96" si="9">(G88*H88)^(1/2)</f>
        <v>1.0889490346200781</v>
      </c>
      <c r="J88" s="115">
        <f t="shared" ref="J88:J96" si="10">(F88/100)/((I88/1000)^2)</f>
        <v>6746.44335939147</v>
      </c>
      <c r="K88" s="457" t="str">
        <f>ROUND((J77*J33*((1-J76)^2)/(J76^3)*(J74*(J73/3600))/9.806*((6/J78)^2)*J97),4)&amp;" m"</f>
        <v>1.1339 m</v>
      </c>
      <c r="L88" s="458"/>
      <c r="M88" s="459"/>
      <c r="N88" s="103">
        <f t="shared" ref="N88:N96" si="11">$J$79*(I88/1000)*($J$73/3600)/$J$33</f>
        <v>0.99256086514638053</v>
      </c>
      <c r="O88" s="382">
        <f>150*(1-$J$76)/N88+1.75</f>
        <v>84.868328454178069</v>
      </c>
      <c r="P88" s="383"/>
      <c r="Q88" s="116">
        <f t="shared" ref="Q88:Q96" si="12">O88*(F88/100)/(I88/1000)</f>
        <v>623.48797422856558</v>
      </c>
      <c r="R88" s="352" t="str">
        <f>ROUND((1/J79*(1-J76)/(J76^3)*J74*((J73/3600)^2)/9.806*Q97),4)&amp; " m"</f>
        <v>0.951 m</v>
      </c>
      <c r="S88" s="117">
        <f t="shared" ref="S88:S96" si="13">(I88/1000)*($J$73/3600)/$J$33</f>
        <v>1.1677186648780948</v>
      </c>
      <c r="T88" s="118">
        <f>24/S88+3/(S88^(1/2))+0.34</f>
        <v>23.669104673078458</v>
      </c>
      <c r="U88" s="116">
        <f t="shared" ref="U88:U96" si="14">T88*(F88/100)/(I88/1000)</f>
        <v>173.88585816662274</v>
      </c>
      <c r="V88" s="352" t="str">
        <f>ROUND((0.178*((J73/3600)^2)*J74*1/(9.806*(J76^4))*J80*U97),4)&amp;" m"</f>
        <v>0.9548 m</v>
      </c>
      <c r="X88" s="46">
        <v>140</v>
      </c>
      <c r="Y88" s="114">
        <v>0.105</v>
      </c>
      <c r="Z88" s="119"/>
      <c r="AL88" s="155"/>
      <c r="AM88" s="155"/>
    </row>
    <row r="89" spans="1:39" ht="17.100000000000001" customHeight="1" x14ac:dyDescent="0.25">
      <c r="B89" s="367" t="str">
        <f t="shared" si="6"/>
        <v>20-25</v>
      </c>
      <c r="C89" s="368"/>
      <c r="D89" s="128">
        <f t="shared" ref="D89:D96" si="15">LEFT(B89,2)+0</f>
        <v>20</v>
      </c>
      <c r="E89" s="54">
        <f t="shared" ref="E89:E96" si="16">MID(B89,4,3)+0</f>
        <v>25</v>
      </c>
      <c r="F89" s="54">
        <f t="shared" si="7"/>
        <v>4.25</v>
      </c>
      <c r="G89" s="114">
        <f t="shared" si="8"/>
        <v>0.84099999999999997</v>
      </c>
      <c r="H89" s="114">
        <f t="shared" ref="H89:H96" si="17">VLOOKUP(E89,X$88:Y$105,2,FALSE)</f>
        <v>0.70699999999999996</v>
      </c>
      <c r="I89" s="129">
        <f t="shared" si="9"/>
        <v>0.77109467641788321</v>
      </c>
      <c r="J89" s="115">
        <f t="shared" si="10"/>
        <v>71478.185698644607</v>
      </c>
      <c r="K89" s="460"/>
      <c r="L89" s="461"/>
      <c r="M89" s="462"/>
      <c r="N89" s="103">
        <f t="shared" si="11"/>
        <v>0.70284134041417956</v>
      </c>
      <c r="O89" s="382">
        <f t="shared" ref="O89:O96" si="18">150*(1-$J$76)/N89+1.75</f>
        <v>119.13068786816569</v>
      </c>
      <c r="P89" s="383"/>
      <c r="Q89" s="116">
        <f t="shared" si="12"/>
        <v>6566.0604193475147</v>
      </c>
      <c r="R89" s="352"/>
      <c r="S89" s="117">
        <f t="shared" si="13"/>
        <v>0.82687216519315243</v>
      </c>
      <c r="T89" s="118">
        <f t="shared" ref="T89:T96" si="19">24/S89+3/(S89^(1/2))+0.34</f>
        <v>32.664192868984671</v>
      </c>
      <c r="U89" s="116">
        <f t="shared" si="14"/>
        <v>1800.334303150498</v>
      </c>
      <c r="V89" s="352"/>
      <c r="X89" s="46">
        <v>100</v>
      </c>
      <c r="Y89" s="114">
        <v>0.14899999999999999</v>
      </c>
      <c r="Z89" s="120"/>
      <c r="AL89" s="155"/>
      <c r="AM89" s="155"/>
    </row>
    <row r="90" spans="1:39" ht="17.100000000000001" customHeight="1" x14ac:dyDescent="0.25">
      <c r="B90" s="367" t="str">
        <f t="shared" si="6"/>
        <v>25-30</v>
      </c>
      <c r="C90" s="368"/>
      <c r="D90" s="128">
        <f t="shared" si="15"/>
        <v>25</v>
      </c>
      <c r="E90" s="54">
        <f t="shared" si="16"/>
        <v>30</v>
      </c>
      <c r="F90" s="54">
        <f t="shared" si="7"/>
        <v>15.02</v>
      </c>
      <c r="G90" s="114">
        <f t="shared" si="8"/>
        <v>0.70699999999999996</v>
      </c>
      <c r="H90" s="114">
        <f t="shared" si="17"/>
        <v>0.59499999999999997</v>
      </c>
      <c r="I90" s="129">
        <f t="shared" si="9"/>
        <v>0.64858692555431607</v>
      </c>
      <c r="J90" s="115">
        <f t="shared" si="10"/>
        <v>357053.7125741386</v>
      </c>
      <c r="K90" s="460"/>
      <c r="L90" s="461"/>
      <c r="M90" s="462"/>
      <c r="N90" s="103">
        <f t="shared" si="11"/>
        <v>0.59117734575652048</v>
      </c>
      <c r="O90" s="382">
        <f t="shared" si="18"/>
        <v>141.3020322153516</v>
      </c>
      <c r="P90" s="383"/>
      <c r="Q90" s="116">
        <f t="shared" si="12"/>
        <v>32722.776859257607</v>
      </c>
      <c r="R90" s="352"/>
      <c r="S90" s="117">
        <f t="shared" si="13"/>
        <v>0.69550275971355346</v>
      </c>
      <c r="T90" s="118">
        <f t="shared" si="19"/>
        <v>38.44467158055798</v>
      </c>
      <c r="U90" s="116">
        <f t="shared" si="14"/>
        <v>8903.0312574751879</v>
      </c>
      <c r="V90" s="352"/>
      <c r="X90" s="46">
        <v>80</v>
      </c>
      <c r="Y90" s="114">
        <v>0.17699999999999999</v>
      </c>
      <c r="Z90" s="120"/>
      <c r="AL90" s="155"/>
      <c r="AM90" s="155"/>
    </row>
    <row r="91" spans="1:39" ht="17.100000000000001" customHeight="1" x14ac:dyDescent="0.25">
      <c r="B91" s="367" t="str">
        <f t="shared" si="6"/>
        <v>30-35</v>
      </c>
      <c r="C91" s="368"/>
      <c r="D91" s="128">
        <f t="shared" si="15"/>
        <v>30</v>
      </c>
      <c r="E91" s="54">
        <f t="shared" si="16"/>
        <v>35</v>
      </c>
      <c r="F91" s="54">
        <f t="shared" si="7"/>
        <v>16.649999999999999</v>
      </c>
      <c r="G91" s="114">
        <f t="shared" si="8"/>
        <v>0.59499999999999997</v>
      </c>
      <c r="H91" s="114">
        <f t="shared" si="17"/>
        <v>0.5</v>
      </c>
      <c r="I91" s="129">
        <f t="shared" si="9"/>
        <v>0.54543560573178573</v>
      </c>
      <c r="J91" s="115">
        <f t="shared" si="10"/>
        <v>559663.86554621835</v>
      </c>
      <c r="K91" s="460"/>
      <c r="L91" s="461"/>
      <c r="M91" s="462"/>
      <c r="N91" s="103">
        <f t="shared" si="11"/>
        <v>0.4971564503894913</v>
      </c>
      <c r="O91" s="382">
        <f t="shared" si="18"/>
        <v>167.69373850599013</v>
      </c>
      <c r="P91" s="383"/>
      <c r="Q91" s="116">
        <f t="shared" si="12"/>
        <v>51190.291150477846</v>
      </c>
      <c r="R91" s="352"/>
      <c r="S91" s="117">
        <f t="shared" si="13"/>
        <v>0.58488994163469576</v>
      </c>
      <c r="T91" s="118">
        <f t="shared" si="19"/>
        <v>45.296052510087776</v>
      </c>
      <c r="U91" s="116">
        <f t="shared" si="14"/>
        <v>13827.100144683696</v>
      </c>
      <c r="V91" s="352"/>
      <c r="X91" s="46">
        <v>70</v>
      </c>
      <c r="Y91" s="114">
        <v>0.21</v>
      </c>
      <c r="Z91" s="120"/>
      <c r="AE91" s="141"/>
      <c r="AF91" s="141"/>
    </row>
    <row r="92" spans="1:39" ht="17.100000000000001" customHeight="1" x14ac:dyDescent="0.25">
      <c r="B92" s="367" t="str">
        <f t="shared" si="6"/>
        <v>35-40</v>
      </c>
      <c r="C92" s="368"/>
      <c r="D92" s="128">
        <f t="shared" si="15"/>
        <v>35</v>
      </c>
      <c r="E92" s="54">
        <f t="shared" si="16"/>
        <v>40</v>
      </c>
      <c r="F92" s="54">
        <f t="shared" si="7"/>
        <v>18.010000000000002</v>
      </c>
      <c r="G92" s="114">
        <f t="shared" si="8"/>
        <v>0.5</v>
      </c>
      <c r="H92" s="114">
        <f t="shared" si="17"/>
        <v>0.4</v>
      </c>
      <c r="I92" s="129">
        <f t="shared" si="9"/>
        <v>0.44721359549995793</v>
      </c>
      <c r="J92" s="115">
        <f t="shared" si="10"/>
        <v>900500</v>
      </c>
      <c r="K92" s="460"/>
      <c r="L92" s="461"/>
      <c r="M92" s="462"/>
      <c r="N92" s="103">
        <f t="shared" si="11"/>
        <v>0.40762854747332483</v>
      </c>
      <c r="O92" s="382">
        <f t="shared" si="18"/>
        <v>204.14014296563414</v>
      </c>
      <c r="P92" s="383"/>
      <c r="Q92" s="116">
        <f t="shared" si="12"/>
        <v>82210.469713043785</v>
      </c>
      <c r="R92" s="352"/>
      <c r="S92" s="117">
        <f t="shared" si="13"/>
        <v>0.47956299702744098</v>
      </c>
      <c r="T92" s="118">
        <f t="shared" si="19"/>
        <v>54.717662113401744</v>
      </c>
      <c r="U92" s="116">
        <f t="shared" si="14"/>
        <v>22035.669411183146</v>
      </c>
      <c r="V92" s="352"/>
      <c r="X92" s="46">
        <v>60</v>
      </c>
      <c r="Y92" s="114">
        <v>0.25</v>
      </c>
      <c r="Z92" s="120"/>
      <c r="AB92" s="154"/>
      <c r="AE92" s="141"/>
      <c r="AF92" s="141"/>
    </row>
    <row r="93" spans="1:39" ht="17.100000000000001" customHeight="1" x14ac:dyDescent="0.25">
      <c r="B93" s="367" t="str">
        <f t="shared" si="6"/>
        <v>40-50</v>
      </c>
      <c r="C93" s="368"/>
      <c r="D93" s="128">
        <f t="shared" si="15"/>
        <v>40</v>
      </c>
      <c r="E93" s="54">
        <f t="shared" si="16"/>
        <v>50</v>
      </c>
      <c r="F93" s="54">
        <f t="shared" si="7"/>
        <v>18.25</v>
      </c>
      <c r="G93" s="114">
        <f t="shared" si="8"/>
        <v>0.4</v>
      </c>
      <c r="H93" s="114">
        <f t="shared" si="17"/>
        <v>0.29699999999999999</v>
      </c>
      <c r="I93" s="129">
        <f t="shared" si="9"/>
        <v>0.34467375879228174</v>
      </c>
      <c r="J93" s="115">
        <f t="shared" si="10"/>
        <v>1536195.2861952859</v>
      </c>
      <c r="K93" s="460"/>
      <c r="L93" s="461"/>
      <c r="M93" s="462"/>
      <c r="N93" s="103">
        <f t="shared" si="11"/>
        <v>0.31416500987989782</v>
      </c>
      <c r="O93" s="382">
        <f t="shared" si="18"/>
        <v>264.35085434574313</v>
      </c>
      <c r="P93" s="383"/>
      <c r="Q93" s="116">
        <f t="shared" si="12"/>
        <v>139970.13026794555</v>
      </c>
      <c r="R93" s="352"/>
      <c r="S93" s="117">
        <f t="shared" si="13"/>
        <v>0.36960589397635041</v>
      </c>
      <c r="T93" s="118">
        <f t="shared" si="19"/>
        <v>70.20862780478781</v>
      </c>
      <c r="U93" s="116">
        <f t="shared" si="14"/>
        <v>37174.499791542286</v>
      </c>
      <c r="V93" s="352"/>
      <c r="W93" s="121"/>
      <c r="X93" s="46">
        <v>50</v>
      </c>
      <c r="Y93" s="114">
        <v>0.29699999999999999</v>
      </c>
      <c r="Z93" s="120"/>
      <c r="AA93" s="154"/>
      <c r="AE93" s="141"/>
      <c r="AF93" s="141"/>
    </row>
    <row r="94" spans="1:39" ht="17.100000000000001" customHeight="1" x14ac:dyDescent="0.25">
      <c r="B94" s="367" t="str">
        <f t="shared" si="6"/>
        <v>50-60</v>
      </c>
      <c r="C94" s="368"/>
      <c r="D94" s="128">
        <f t="shared" si="15"/>
        <v>50</v>
      </c>
      <c r="E94" s="54">
        <f t="shared" si="16"/>
        <v>60</v>
      </c>
      <c r="F94" s="54">
        <f t="shared" si="7"/>
        <v>15.65</v>
      </c>
      <c r="G94" s="114">
        <f t="shared" si="8"/>
        <v>0.29699999999999999</v>
      </c>
      <c r="H94" s="114">
        <f t="shared" si="17"/>
        <v>0.25</v>
      </c>
      <c r="I94" s="129">
        <f t="shared" si="9"/>
        <v>0.27248853186877425</v>
      </c>
      <c r="J94" s="115">
        <f t="shared" si="10"/>
        <v>2107744.1077441075</v>
      </c>
      <c r="K94" s="460"/>
      <c r="L94" s="461"/>
      <c r="M94" s="462"/>
      <c r="N94" s="103">
        <f t="shared" si="11"/>
        <v>0.24836924808744476</v>
      </c>
      <c r="O94" s="382">
        <f t="shared" si="18"/>
        <v>333.91672609546958</v>
      </c>
      <c r="P94" s="383"/>
      <c r="Q94" s="116">
        <f t="shared" si="12"/>
        <v>191780.42934705055</v>
      </c>
      <c r="R94" s="352"/>
      <c r="S94" s="117">
        <f t="shared" si="13"/>
        <v>0.29219911539699384</v>
      </c>
      <c r="T94" s="118">
        <f t="shared" si="19"/>
        <v>88.025629440355374</v>
      </c>
      <c r="U94" s="116">
        <f t="shared" si="14"/>
        <v>50556.296490488276</v>
      </c>
      <c r="V94" s="352"/>
      <c r="W94" s="121"/>
      <c r="X94" s="46">
        <v>45</v>
      </c>
      <c r="Y94" s="114">
        <v>0.35399999999999998</v>
      </c>
      <c r="Z94" s="120"/>
      <c r="AE94" s="141"/>
      <c r="AF94" s="141"/>
    </row>
    <row r="95" spans="1:39" ht="17.100000000000001" customHeight="1" x14ac:dyDescent="0.25">
      <c r="B95" s="367" t="str">
        <f t="shared" si="6"/>
        <v>60-70</v>
      </c>
      <c r="C95" s="368"/>
      <c r="D95" s="128">
        <f t="shared" si="15"/>
        <v>60</v>
      </c>
      <c r="E95" s="54">
        <f t="shared" si="16"/>
        <v>70</v>
      </c>
      <c r="F95" s="54">
        <f t="shared" si="7"/>
        <v>9.3000000000000007</v>
      </c>
      <c r="G95" s="114">
        <f t="shared" si="8"/>
        <v>0.25</v>
      </c>
      <c r="H95" s="114">
        <f t="shared" si="17"/>
        <v>0.21</v>
      </c>
      <c r="I95" s="129">
        <f t="shared" si="9"/>
        <v>0.229128784747792</v>
      </c>
      <c r="J95" s="115">
        <f t="shared" si="10"/>
        <v>1771428.5714285716</v>
      </c>
      <c r="K95" s="460"/>
      <c r="L95" s="461"/>
      <c r="M95" s="462"/>
      <c r="N95" s="103">
        <f t="shared" si="11"/>
        <v>0.20884748283793922</v>
      </c>
      <c r="O95" s="382">
        <f t="shared" si="18"/>
        <v>396.77511056845287</v>
      </c>
      <c r="P95" s="383"/>
      <c r="Q95" s="116">
        <f t="shared" si="12"/>
        <v>161045.17519910476</v>
      </c>
      <c r="R95" s="352"/>
      <c r="S95" s="117">
        <f t="shared" si="13"/>
        <v>0.24570292098581084</v>
      </c>
      <c r="T95" s="118">
        <f t="shared" si="19"/>
        <v>104.07117578247274</v>
      </c>
      <c r="U95" s="116">
        <f t="shared" si="14"/>
        <v>42240.957889352372</v>
      </c>
      <c r="V95" s="352"/>
      <c r="W95" s="121"/>
      <c r="X95" s="46">
        <v>40</v>
      </c>
      <c r="Y95" s="114">
        <v>0.4</v>
      </c>
      <c r="Z95" s="120"/>
      <c r="AE95" s="141"/>
      <c r="AF95" s="141"/>
    </row>
    <row r="96" spans="1:39" ht="17.100000000000001" customHeight="1" x14ac:dyDescent="0.25">
      <c r="B96" s="367" t="str">
        <f t="shared" si="6"/>
        <v>70-100</v>
      </c>
      <c r="C96" s="368"/>
      <c r="D96" s="128">
        <f t="shared" si="15"/>
        <v>70</v>
      </c>
      <c r="E96" s="54">
        <f t="shared" si="16"/>
        <v>100</v>
      </c>
      <c r="F96" s="54">
        <f t="shared" si="7"/>
        <v>2.0699999999999998</v>
      </c>
      <c r="G96" s="114">
        <f t="shared" si="8"/>
        <v>0.21</v>
      </c>
      <c r="H96" s="114">
        <f t="shared" si="17"/>
        <v>0.14899999999999999</v>
      </c>
      <c r="I96" s="129">
        <f t="shared" si="9"/>
        <v>0.17688979620091147</v>
      </c>
      <c r="J96" s="115">
        <f t="shared" si="10"/>
        <v>661553.21188878256</v>
      </c>
      <c r="K96" s="463"/>
      <c r="L96" s="464"/>
      <c r="M96" s="465"/>
      <c r="N96" s="103">
        <f t="shared" si="11"/>
        <v>0.16123242095898396</v>
      </c>
      <c r="O96" s="382">
        <f t="shared" si="18"/>
        <v>513.43368935542583</v>
      </c>
      <c r="P96" s="383"/>
      <c r="Q96" s="116">
        <f t="shared" si="12"/>
        <v>60083.043781598011</v>
      </c>
      <c r="R96" s="352"/>
      <c r="S96" s="117">
        <f t="shared" si="13"/>
        <v>0.18968520112821644</v>
      </c>
      <c r="T96" s="118">
        <f t="shared" si="19"/>
        <v>133.75360204299702</v>
      </c>
      <c r="U96" s="116">
        <f t="shared" si="14"/>
        <v>15652.115733941762</v>
      </c>
      <c r="V96" s="352"/>
      <c r="W96" s="121"/>
      <c r="X96" s="46">
        <v>35</v>
      </c>
      <c r="Y96" s="114">
        <v>0.5</v>
      </c>
      <c r="Z96" s="120"/>
      <c r="AE96" s="141"/>
      <c r="AF96" s="141"/>
    </row>
    <row r="97" spans="2:26" ht="17.100000000000001" customHeight="1" x14ac:dyDescent="0.25">
      <c r="B97" s="5"/>
      <c r="C97" s="5"/>
      <c r="D97" s="126"/>
      <c r="E97" s="83"/>
      <c r="F97" s="127">
        <f>SUM(F88:F96)</f>
        <v>100</v>
      </c>
      <c r="G97" s="127"/>
      <c r="H97" s="5"/>
      <c r="I97" s="121"/>
      <c r="J97" s="469">
        <f>SUM(J88:J96)</f>
        <v>7972363.3844351405</v>
      </c>
      <c r="K97" s="121"/>
      <c r="L97" s="121"/>
      <c r="M97" s="121"/>
      <c r="N97" s="121"/>
      <c r="O97" s="121"/>
      <c r="P97" s="121"/>
      <c r="Q97" s="353">
        <f>SUM(Q88:Q96)</f>
        <v>726191.86471205414</v>
      </c>
      <c r="R97" s="121"/>
      <c r="S97" s="121"/>
      <c r="T97" s="121"/>
      <c r="U97" s="357">
        <f>SUM(U88:U96)</f>
        <v>192363.89087998384</v>
      </c>
      <c r="V97" s="121"/>
      <c r="W97" s="121"/>
      <c r="X97" s="46">
        <v>30</v>
      </c>
      <c r="Y97" s="114">
        <v>0.59499999999999997</v>
      </c>
      <c r="Z97" s="120"/>
    </row>
    <row r="98" spans="2:26" ht="17.100000000000001" customHeight="1" x14ac:dyDescent="0.25">
      <c r="B98" s="5"/>
      <c r="C98" s="5"/>
      <c r="D98" s="5"/>
      <c r="E98" s="5"/>
      <c r="F98" s="5"/>
      <c r="G98" s="5"/>
      <c r="H98" s="5"/>
      <c r="I98" s="121"/>
      <c r="J98" s="353"/>
      <c r="K98" s="121"/>
      <c r="L98" s="121"/>
      <c r="M98" s="121"/>
      <c r="N98" s="121"/>
      <c r="O98" s="121"/>
      <c r="P98" s="121"/>
      <c r="Q98" s="353"/>
      <c r="R98" s="121"/>
      <c r="S98" s="121"/>
      <c r="T98" s="121"/>
      <c r="U98" s="358"/>
      <c r="V98" s="121"/>
      <c r="W98" s="121"/>
      <c r="X98" s="46">
        <v>25</v>
      </c>
      <c r="Y98" s="114">
        <v>0.70699999999999996</v>
      </c>
      <c r="Z98" s="120"/>
    </row>
    <row r="99" spans="2:26" ht="17.100000000000001" customHeight="1" x14ac:dyDescent="0.25">
      <c r="B99" s="122"/>
      <c r="C99" s="122"/>
      <c r="D99" s="125"/>
      <c r="E99" s="122"/>
      <c r="F99" s="122"/>
      <c r="G99" s="122"/>
      <c r="H99" s="122"/>
      <c r="I99" s="121"/>
      <c r="J99" s="353"/>
      <c r="K99" s="6"/>
      <c r="L99" s="6"/>
      <c r="M99" s="6">
        <v>0.56200000000000006</v>
      </c>
      <c r="N99" s="121"/>
      <c r="O99" s="121"/>
      <c r="P99" s="121"/>
      <c r="Q99" s="353"/>
      <c r="R99" s="6">
        <v>0.47220000000000001</v>
      </c>
      <c r="S99" s="121"/>
      <c r="T99" s="121"/>
      <c r="U99" s="359"/>
      <c r="V99" s="6" t="s">
        <v>239</v>
      </c>
      <c r="W99" s="121"/>
      <c r="X99" s="46">
        <v>20</v>
      </c>
      <c r="Y99" s="114">
        <v>0.84099999999999997</v>
      </c>
      <c r="Z99" s="120"/>
    </row>
    <row r="100" spans="2:26" s="134" customFormat="1" ht="17.100000000000001" customHeight="1" x14ac:dyDescent="0.25">
      <c r="B100" s="5"/>
      <c r="C100" s="5"/>
      <c r="D100" s="130"/>
      <c r="E100" s="5"/>
      <c r="F100" s="5"/>
      <c r="G100" s="5"/>
      <c r="H100" s="5"/>
      <c r="I100" s="121"/>
      <c r="J100" s="5"/>
      <c r="K100" s="6"/>
      <c r="L100" s="6"/>
      <c r="M100" s="6"/>
      <c r="N100" s="121"/>
      <c r="O100" s="121"/>
      <c r="P100" s="121"/>
      <c r="Q100" s="5"/>
      <c r="R100" s="6"/>
      <c r="S100" s="121"/>
      <c r="T100" s="121"/>
      <c r="U100" s="5"/>
      <c r="V100" s="6"/>
      <c r="W100" s="121"/>
      <c r="X100" s="46">
        <v>18</v>
      </c>
      <c r="Y100" s="114">
        <v>1</v>
      </c>
      <c r="Z100" s="120"/>
    </row>
    <row r="101" spans="2:26" s="134" customFormat="1" ht="17.100000000000001" customHeight="1" x14ac:dyDescent="0.25">
      <c r="B101" s="110" t="s">
        <v>301</v>
      </c>
      <c r="C101" s="188"/>
      <c r="D101" s="130"/>
      <c r="E101" s="188"/>
      <c r="F101" s="188"/>
      <c r="G101" s="188"/>
      <c r="H101" s="188"/>
      <c r="I101" s="121"/>
      <c r="J101" s="5"/>
      <c r="K101" s="6"/>
      <c r="L101" s="6"/>
      <c r="M101" s="6"/>
      <c r="N101" s="121"/>
      <c r="O101" s="121"/>
      <c r="P101" s="121"/>
      <c r="Q101" s="5"/>
      <c r="R101" s="6"/>
      <c r="S101" s="121"/>
      <c r="T101" s="121"/>
      <c r="U101" s="5"/>
      <c r="V101" s="6"/>
      <c r="W101" s="121"/>
      <c r="X101" s="46">
        <v>14</v>
      </c>
      <c r="Y101" s="114">
        <v>1.41</v>
      </c>
      <c r="Z101" s="120"/>
    </row>
    <row r="102" spans="2:26" s="134" customFormat="1" ht="17.100000000000001" customHeight="1" x14ac:dyDescent="0.25">
      <c r="B102" s="413" t="s">
        <v>224</v>
      </c>
      <c r="C102" s="414"/>
      <c r="D102" s="145"/>
      <c r="E102" s="186"/>
      <c r="F102" s="371" t="s">
        <v>222</v>
      </c>
      <c r="G102" s="371" t="s">
        <v>223</v>
      </c>
      <c r="H102" s="371" t="s">
        <v>216</v>
      </c>
      <c r="I102" s="121"/>
      <c r="J102" s="140"/>
      <c r="K102" s="6"/>
      <c r="L102" s="6"/>
      <c r="M102" s="6"/>
      <c r="N102" s="121"/>
      <c r="O102" s="121"/>
      <c r="P102" s="121"/>
      <c r="Q102" s="140"/>
      <c r="R102" s="6"/>
      <c r="S102" s="121"/>
      <c r="T102" s="121"/>
      <c r="U102" s="140"/>
      <c r="V102" s="6"/>
      <c r="W102" s="121"/>
      <c r="X102" s="142">
        <v>12</v>
      </c>
      <c r="Y102" s="114">
        <v>1.68</v>
      </c>
      <c r="Z102" s="120"/>
    </row>
    <row r="103" spans="2:26" s="134" customFormat="1" ht="17.100000000000001" customHeight="1" x14ac:dyDescent="0.25">
      <c r="B103" s="415"/>
      <c r="C103" s="416"/>
      <c r="D103" s="145"/>
      <c r="E103" s="186"/>
      <c r="F103" s="372"/>
      <c r="G103" s="372"/>
      <c r="H103" s="372"/>
      <c r="I103" s="121"/>
      <c r="J103" s="144"/>
      <c r="K103" s="6"/>
      <c r="L103" s="6"/>
      <c r="M103" s="6"/>
      <c r="N103" s="121"/>
      <c r="O103" s="121"/>
      <c r="P103" s="121"/>
      <c r="Q103" s="140"/>
      <c r="R103" s="6"/>
      <c r="S103" s="121"/>
      <c r="T103" s="121"/>
      <c r="U103" s="140"/>
      <c r="V103" s="6"/>
      <c r="W103" s="121"/>
      <c r="X103" s="142">
        <v>8</v>
      </c>
      <c r="Y103" s="114">
        <v>2.38</v>
      </c>
      <c r="Z103" s="120"/>
    </row>
    <row r="104" spans="2:26" s="134" customFormat="1" ht="17.100000000000001" customHeight="1" x14ac:dyDescent="0.25">
      <c r="B104" s="415"/>
      <c r="C104" s="416"/>
      <c r="D104" s="145"/>
      <c r="E104" s="186"/>
      <c r="F104" s="372"/>
      <c r="G104" s="372"/>
      <c r="H104" s="372"/>
      <c r="I104" s="150"/>
      <c r="J104" s="150"/>
      <c r="K104" s="150"/>
      <c r="L104" s="6"/>
      <c r="M104" s="6"/>
      <c r="N104" s="121"/>
      <c r="O104" s="121"/>
      <c r="P104" s="121"/>
      <c r="Q104" s="5"/>
      <c r="R104" s="6"/>
      <c r="S104" s="121"/>
      <c r="T104" s="121"/>
      <c r="U104" s="5"/>
      <c r="V104" s="6"/>
      <c r="W104" s="121"/>
      <c r="X104" s="142">
        <v>6</v>
      </c>
      <c r="Y104" s="114">
        <v>3.35</v>
      </c>
      <c r="Z104" s="120"/>
    </row>
    <row r="105" spans="2:26" s="134" customFormat="1" ht="17.100000000000001" customHeight="1" x14ac:dyDescent="0.25">
      <c r="B105" s="417"/>
      <c r="C105" s="418"/>
      <c r="D105" s="145"/>
      <c r="E105" s="186"/>
      <c r="F105" s="419"/>
      <c r="G105" s="419"/>
      <c r="H105" s="419"/>
      <c r="I105" s="150"/>
      <c r="J105" s="150"/>
      <c r="K105" s="150"/>
      <c r="L105" s="6"/>
      <c r="M105" s="6"/>
      <c r="N105" s="121"/>
      <c r="O105" s="121"/>
      <c r="P105" s="121"/>
      <c r="Q105" s="5"/>
      <c r="R105" s="6"/>
      <c r="S105" s="121"/>
      <c r="T105" s="121"/>
      <c r="U105" s="5"/>
      <c r="V105" s="6"/>
      <c r="W105" s="121"/>
      <c r="X105" s="142">
        <v>4</v>
      </c>
      <c r="Y105" s="114">
        <v>4.76</v>
      </c>
      <c r="Z105" s="120"/>
    </row>
    <row r="106" spans="2:26" s="134" customFormat="1" ht="17.100000000000001" customHeight="1" x14ac:dyDescent="0.25">
      <c r="B106" s="420">
        <v>1</v>
      </c>
      <c r="C106" s="421"/>
      <c r="D106" s="146"/>
      <c r="E106" s="132"/>
      <c r="F106" s="148">
        <v>1</v>
      </c>
      <c r="G106" s="148" t="s">
        <v>217</v>
      </c>
      <c r="H106" s="147">
        <v>0.1</v>
      </c>
      <c r="I106" s="150"/>
      <c r="J106" s="150"/>
      <c r="K106" s="150"/>
      <c r="L106" s="6"/>
      <c r="M106" s="6"/>
      <c r="N106" s="121"/>
      <c r="O106" s="121"/>
      <c r="P106" s="121"/>
      <c r="Q106" s="136"/>
      <c r="R106" s="6"/>
      <c r="S106" s="121"/>
      <c r="T106" s="121"/>
      <c r="U106" s="136"/>
      <c r="V106" s="6"/>
      <c r="W106" s="121"/>
      <c r="X106" s="82"/>
      <c r="Y106" s="135"/>
      <c r="Z106" s="120"/>
    </row>
    <row r="107" spans="2:26" s="134" customFormat="1" ht="17.100000000000001" customHeight="1" x14ac:dyDescent="0.25">
      <c r="B107" s="420">
        <v>2</v>
      </c>
      <c r="C107" s="421"/>
      <c r="D107" s="146"/>
      <c r="E107" s="132"/>
      <c r="F107" s="148" t="s">
        <v>217</v>
      </c>
      <c r="G107" s="148" t="s">
        <v>218</v>
      </c>
      <c r="H107" s="147">
        <v>7.4999999999999997E-2</v>
      </c>
      <c r="I107" s="150"/>
      <c r="J107" s="150"/>
      <c r="K107" s="150"/>
      <c r="L107" s="6"/>
      <c r="M107" s="6"/>
      <c r="N107" s="121"/>
      <c r="O107" s="121"/>
      <c r="P107" s="121"/>
      <c r="Q107" s="5"/>
      <c r="R107" s="6"/>
      <c r="S107" s="121"/>
      <c r="T107" s="121"/>
      <c r="U107" s="5"/>
      <c r="V107" s="6"/>
      <c r="W107" s="121"/>
      <c r="X107" s="82"/>
      <c r="Y107" s="135"/>
      <c r="Z107" s="120"/>
    </row>
    <row r="108" spans="2:26" s="134" customFormat="1" ht="17.100000000000001" customHeight="1" x14ac:dyDescent="0.25">
      <c r="B108" s="420">
        <v>3</v>
      </c>
      <c r="C108" s="421"/>
      <c r="D108" s="146"/>
      <c r="E108" s="132"/>
      <c r="F108" s="148" t="s">
        <v>218</v>
      </c>
      <c r="G108" s="148" t="s">
        <v>219</v>
      </c>
      <c r="H108" s="147">
        <v>7.4999999999999997E-2</v>
      </c>
      <c r="I108" s="138"/>
      <c r="J108" s="131"/>
      <c r="K108" s="138"/>
      <c r="L108" s="6"/>
      <c r="M108" s="6"/>
      <c r="N108" s="121"/>
      <c r="O108" s="121"/>
      <c r="P108" s="121"/>
      <c r="Q108" s="5"/>
      <c r="R108" s="6"/>
      <c r="S108" s="121"/>
      <c r="T108" s="121"/>
      <c r="U108" s="5"/>
      <c r="V108" s="6"/>
      <c r="W108" s="121"/>
      <c r="X108" s="82"/>
      <c r="Y108" s="135"/>
      <c r="Z108" s="120"/>
    </row>
    <row r="109" spans="2:26" s="134" customFormat="1" ht="17.100000000000001" customHeight="1" x14ac:dyDescent="0.25">
      <c r="B109" s="420">
        <v>4</v>
      </c>
      <c r="C109" s="421"/>
      <c r="D109" s="146"/>
      <c r="E109" s="132"/>
      <c r="F109" s="148" t="s">
        <v>219</v>
      </c>
      <c r="G109" s="133" t="s">
        <v>220</v>
      </c>
      <c r="H109" s="147">
        <v>0.1</v>
      </c>
      <c r="I109" s="138"/>
      <c r="J109" s="131"/>
      <c r="K109" s="138"/>
      <c r="L109" s="6"/>
      <c r="M109" s="6"/>
      <c r="N109" s="121"/>
      <c r="O109" s="121"/>
      <c r="P109" s="121"/>
      <c r="Q109" s="5"/>
      <c r="R109" s="6"/>
      <c r="S109" s="121"/>
      <c r="T109" s="121"/>
      <c r="U109" s="5"/>
      <c r="V109" s="6"/>
      <c r="W109" s="121"/>
      <c r="X109" s="82"/>
      <c r="Y109" s="135"/>
      <c r="Z109" s="120"/>
    </row>
    <row r="110" spans="2:26" s="134" customFormat="1" ht="17.100000000000001" customHeight="1" x14ac:dyDescent="0.25">
      <c r="B110" s="420">
        <v>5</v>
      </c>
      <c r="C110" s="421"/>
      <c r="D110" s="182"/>
      <c r="E110" s="187"/>
      <c r="F110" s="133" t="s">
        <v>220</v>
      </c>
      <c r="G110" s="133" t="s">
        <v>221</v>
      </c>
      <c r="H110" s="143">
        <v>0.1</v>
      </c>
      <c r="I110" s="138"/>
      <c r="J110" s="131"/>
      <c r="K110" s="138"/>
      <c r="L110" s="6"/>
      <c r="M110" s="6"/>
      <c r="N110" s="121"/>
      <c r="O110" s="121"/>
      <c r="P110" s="121"/>
      <c r="Q110" s="5"/>
      <c r="R110" s="6"/>
      <c r="S110" s="121"/>
      <c r="T110" s="121"/>
      <c r="U110" s="5"/>
      <c r="V110" s="6"/>
      <c r="W110" s="121"/>
      <c r="X110" s="82"/>
      <c r="Y110" s="135"/>
      <c r="Z110" s="120"/>
    </row>
    <row r="111" spans="2:26" s="134" customFormat="1" ht="17.100000000000001" customHeight="1" x14ac:dyDescent="0.25">
      <c r="B111" s="82"/>
      <c r="C111" s="82"/>
      <c r="D111" s="130"/>
      <c r="E111" s="144"/>
      <c r="F111" s="130"/>
      <c r="G111" s="137"/>
      <c r="H111" s="131"/>
      <c r="I111" s="138"/>
      <c r="J111" s="131"/>
      <c r="K111" s="138"/>
      <c r="L111" s="6"/>
      <c r="M111" s="6"/>
      <c r="N111" s="121"/>
      <c r="O111" s="121"/>
      <c r="P111" s="121"/>
      <c r="Q111" s="144"/>
      <c r="R111" s="6"/>
      <c r="S111" s="121"/>
      <c r="T111" s="121"/>
      <c r="U111" s="144"/>
      <c r="V111" s="6"/>
      <c r="W111" s="121"/>
      <c r="X111" s="82"/>
      <c r="Y111" s="135"/>
      <c r="Z111" s="120"/>
    </row>
    <row r="112" spans="2:26" s="134" customFormat="1" ht="17.100000000000001" customHeight="1" x14ac:dyDescent="0.25">
      <c r="B112" s="110" t="s">
        <v>372</v>
      </c>
      <c r="C112" s="110"/>
      <c r="D112" s="109"/>
      <c r="E112" s="109"/>
      <c r="F112" s="109"/>
      <c r="G112" s="109"/>
      <c r="H112" s="109"/>
      <c r="I112" s="112"/>
      <c r="J112" s="131"/>
      <c r="K112" s="138"/>
      <c r="L112" s="6"/>
      <c r="M112" s="6"/>
      <c r="N112" s="121"/>
      <c r="O112" s="121"/>
      <c r="P112" s="121"/>
      <c r="Q112" s="188"/>
      <c r="R112" s="6"/>
      <c r="S112" s="121"/>
      <c r="T112" s="121"/>
      <c r="U112" s="188"/>
      <c r="V112" s="6"/>
      <c r="W112" s="121"/>
      <c r="X112" s="82"/>
      <c r="Y112" s="135"/>
      <c r="Z112" s="120"/>
    </row>
    <row r="113" spans="2:26" s="134" customFormat="1" ht="17.100000000000001" customHeight="1" x14ac:dyDescent="0.3">
      <c r="B113" s="328" t="s">
        <v>180</v>
      </c>
      <c r="C113" s="328"/>
      <c r="D113" s="328"/>
      <c r="E113" s="328"/>
      <c r="F113" s="328"/>
      <c r="G113" s="328"/>
      <c r="H113" s="328"/>
      <c r="I113" s="206" t="s">
        <v>212</v>
      </c>
      <c r="J113" s="303">
        <f>H20</f>
        <v>150</v>
      </c>
      <c r="K113" s="56" t="s">
        <v>364</v>
      </c>
      <c r="L113" s="400"/>
      <c r="M113" s="401"/>
      <c r="N113" s="401"/>
      <c r="O113" s="402"/>
      <c r="P113" s="121"/>
      <c r="Q113" s="188"/>
      <c r="R113" s="6"/>
      <c r="S113" s="121"/>
      <c r="T113" s="121"/>
      <c r="U113" s="188"/>
      <c r="V113" s="6"/>
      <c r="W113" s="121"/>
      <c r="X113" s="82"/>
      <c r="Y113" s="135"/>
      <c r="Z113" s="120"/>
    </row>
    <row r="114" spans="2:26" s="134" customFormat="1" ht="17.100000000000001" customHeight="1" x14ac:dyDescent="0.3">
      <c r="B114" s="310" t="s">
        <v>295</v>
      </c>
      <c r="C114" s="369"/>
      <c r="D114" s="369"/>
      <c r="E114" s="369"/>
      <c r="F114" s="369"/>
      <c r="G114" s="369"/>
      <c r="H114" s="311"/>
      <c r="I114" s="206" t="s">
        <v>296</v>
      </c>
      <c r="J114" s="194">
        <f>SUM(H106:H110)</f>
        <v>0.44999999999999996</v>
      </c>
      <c r="K114" s="153" t="s">
        <v>3</v>
      </c>
      <c r="L114" s="400"/>
      <c r="M114" s="401"/>
      <c r="N114" s="401"/>
      <c r="O114" s="402"/>
      <c r="P114" s="121"/>
      <c r="Q114" s="188"/>
      <c r="R114" s="6"/>
      <c r="S114" s="121"/>
      <c r="T114" s="121"/>
      <c r="U114" s="188"/>
      <c r="V114" s="6"/>
      <c r="W114" s="121"/>
      <c r="X114" s="82"/>
      <c r="Y114" s="135"/>
      <c r="Z114" s="120"/>
    </row>
    <row r="115" spans="2:26" s="134" customFormat="1" ht="17.100000000000001" customHeight="1" x14ac:dyDescent="0.25">
      <c r="B115" s="384" t="s">
        <v>298</v>
      </c>
      <c r="C115" s="385"/>
      <c r="D115" s="385"/>
      <c r="E115" s="385"/>
      <c r="F115" s="385"/>
      <c r="G115" s="385"/>
      <c r="H115" s="386"/>
      <c r="I115" s="390" t="s">
        <v>299</v>
      </c>
      <c r="J115" s="392">
        <f>J113/(24*60)*J114/3</f>
        <v>1.5625E-2</v>
      </c>
      <c r="K115" s="390" t="s">
        <v>3</v>
      </c>
      <c r="L115" s="394"/>
      <c r="M115" s="395"/>
      <c r="N115" s="395"/>
      <c r="O115" s="396"/>
      <c r="P115" s="121"/>
      <c r="Q115" s="188"/>
      <c r="R115" s="6"/>
      <c r="S115" s="121"/>
      <c r="T115" s="121"/>
      <c r="U115" s="188"/>
      <c r="V115" s="6"/>
      <c r="W115" s="121"/>
      <c r="X115" s="82"/>
      <c r="Y115" s="135"/>
      <c r="Z115" s="120"/>
    </row>
    <row r="116" spans="2:26" s="134" customFormat="1" ht="17.100000000000001" customHeight="1" x14ac:dyDescent="0.25">
      <c r="B116" s="387"/>
      <c r="C116" s="388"/>
      <c r="D116" s="388"/>
      <c r="E116" s="388"/>
      <c r="F116" s="388"/>
      <c r="G116" s="388"/>
      <c r="H116" s="389"/>
      <c r="I116" s="391"/>
      <c r="J116" s="393"/>
      <c r="K116" s="391"/>
      <c r="L116" s="397"/>
      <c r="M116" s="398"/>
      <c r="N116" s="398"/>
      <c r="O116" s="399"/>
      <c r="P116" s="121"/>
      <c r="Q116" s="188"/>
      <c r="R116" s="6"/>
      <c r="S116" s="121"/>
      <c r="T116" s="121"/>
      <c r="U116" s="188"/>
      <c r="V116" s="6"/>
      <c r="W116" s="121"/>
      <c r="X116" s="82"/>
      <c r="Y116" s="135"/>
      <c r="Z116" s="120"/>
    </row>
    <row r="117" spans="2:26" s="134" customFormat="1" ht="17.100000000000001" customHeight="1" x14ac:dyDescent="0.25">
      <c r="B117" s="82"/>
      <c r="C117" s="82"/>
      <c r="D117" s="130"/>
      <c r="E117" s="144"/>
      <c r="F117" s="130"/>
      <c r="G117" s="137"/>
      <c r="H117" s="131"/>
      <c r="I117" s="138"/>
      <c r="J117" s="131"/>
      <c r="K117" s="138"/>
      <c r="L117" s="6"/>
      <c r="M117" s="6"/>
      <c r="N117" s="121"/>
      <c r="O117" s="121"/>
      <c r="P117" s="121"/>
      <c r="Q117" s="144"/>
      <c r="R117" s="6"/>
      <c r="S117" s="121"/>
      <c r="T117" s="121"/>
      <c r="U117" s="144"/>
      <c r="V117" s="6"/>
      <c r="W117" s="121"/>
      <c r="X117" s="82"/>
      <c r="Y117" s="135"/>
      <c r="Z117" s="120"/>
    </row>
    <row r="118" spans="2:26" s="134" customFormat="1" ht="17.100000000000001" customHeight="1" x14ac:dyDescent="0.25">
      <c r="B118" s="304" t="s">
        <v>344</v>
      </c>
      <c r="C118" s="305"/>
      <c r="D118" s="306"/>
      <c r="E118" s="307"/>
      <c r="F118" s="306"/>
      <c r="G118" s="308"/>
      <c r="H118" s="131"/>
      <c r="I118" s="138"/>
      <c r="J118" s="131"/>
      <c r="K118" s="138"/>
      <c r="L118" s="6"/>
      <c r="M118" s="6"/>
      <c r="N118" s="121"/>
      <c r="O118" s="121"/>
      <c r="P118" s="121"/>
      <c r="Q118" s="213"/>
      <c r="R118" s="6"/>
      <c r="S118" s="121"/>
      <c r="T118" s="121"/>
      <c r="U118" s="195"/>
      <c r="V118" s="6"/>
      <c r="W118" s="121"/>
      <c r="X118" s="82"/>
      <c r="Y118" s="135"/>
      <c r="Z118" s="120"/>
    </row>
    <row r="119" spans="2:26" s="134" customFormat="1" ht="17.100000000000001" customHeight="1" x14ac:dyDescent="0.25">
      <c r="B119" s="310" t="s">
        <v>33</v>
      </c>
      <c r="C119" s="369"/>
      <c r="D119" s="369"/>
      <c r="E119" s="369"/>
      <c r="F119" s="369"/>
      <c r="G119" s="369"/>
      <c r="H119" s="311"/>
      <c r="I119" s="250" t="s">
        <v>0</v>
      </c>
      <c r="J119" s="277">
        <f>IF(B119=AD8,J10,IF(B119=AD9,J11,IF(B119=AD10,J12,FALSE)))</f>
        <v>5.7252000000000004E-2</v>
      </c>
      <c r="K119" s="56" t="s">
        <v>291</v>
      </c>
      <c r="L119" s="400"/>
      <c r="M119" s="401"/>
      <c r="N119" s="401"/>
      <c r="O119" s="402"/>
      <c r="P119" s="495"/>
      <c r="Q119" s="196"/>
      <c r="R119" s="6"/>
      <c r="S119" s="121"/>
      <c r="T119" s="121"/>
      <c r="U119" s="195"/>
      <c r="V119" s="6"/>
      <c r="W119" s="121"/>
      <c r="X119" s="82"/>
      <c r="Y119" s="135"/>
      <c r="Z119" s="120"/>
    </row>
    <row r="120" spans="2:26" s="134" customFormat="1" ht="17.100000000000001" customHeight="1" x14ac:dyDescent="0.3">
      <c r="B120" s="430" t="s">
        <v>347</v>
      </c>
      <c r="C120" s="431"/>
      <c r="D120" s="431"/>
      <c r="E120" s="431"/>
      <c r="F120" s="431"/>
      <c r="G120" s="431"/>
      <c r="H120" s="432"/>
      <c r="I120" s="206" t="s">
        <v>212</v>
      </c>
      <c r="J120" s="282">
        <f>H19</f>
        <v>120</v>
      </c>
      <c r="K120" s="247" t="s">
        <v>364</v>
      </c>
      <c r="L120" s="237"/>
      <c r="M120" s="238"/>
      <c r="N120" s="238"/>
      <c r="O120" s="239"/>
      <c r="P120" s="121"/>
      <c r="Q120" s="196"/>
      <c r="R120" s="6"/>
      <c r="S120" s="121"/>
      <c r="T120" s="121"/>
      <c r="U120" s="241"/>
      <c r="V120" s="6"/>
      <c r="W120" s="121"/>
      <c r="X120" s="249"/>
      <c r="Y120" s="135"/>
      <c r="Z120" s="120"/>
    </row>
    <row r="121" spans="2:26" s="134" customFormat="1" ht="17.100000000000001" customHeight="1" x14ac:dyDescent="0.3">
      <c r="B121" s="430" t="s">
        <v>355</v>
      </c>
      <c r="C121" s="431"/>
      <c r="D121" s="431"/>
      <c r="E121" s="431"/>
      <c r="F121" s="431"/>
      <c r="G121" s="431"/>
      <c r="H121" s="432"/>
      <c r="I121" s="206" t="s">
        <v>356</v>
      </c>
      <c r="J121" s="282">
        <f>H20</f>
        <v>150</v>
      </c>
      <c r="K121" s="247" t="s">
        <v>364</v>
      </c>
      <c r="L121" s="237"/>
      <c r="M121" s="238"/>
      <c r="N121" s="238"/>
      <c r="O121" s="239"/>
      <c r="P121" s="121"/>
      <c r="Q121" s="196"/>
      <c r="R121" s="6"/>
      <c r="S121" s="121"/>
      <c r="T121" s="121"/>
      <c r="U121" s="241"/>
      <c r="V121" s="6"/>
      <c r="W121" s="121"/>
      <c r="X121" s="249"/>
      <c r="Y121" s="135"/>
      <c r="Z121" s="120"/>
    </row>
    <row r="122" spans="2:26" s="134" customFormat="1" ht="17.100000000000001" customHeight="1" x14ac:dyDescent="0.25">
      <c r="B122" s="422" t="s">
        <v>365</v>
      </c>
      <c r="C122" s="423"/>
      <c r="D122" s="423"/>
      <c r="E122" s="423"/>
      <c r="F122" s="423"/>
      <c r="G122" s="423"/>
      <c r="H122" s="424"/>
      <c r="I122" s="428" t="s">
        <v>269</v>
      </c>
      <c r="J122" s="380">
        <f>(J119*86400)/J120</f>
        <v>41.221440000000001</v>
      </c>
      <c r="K122" s="428" t="s">
        <v>363</v>
      </c>
      <c r="L122" s="394"/>
      <c r="M122" s="395"/>
      <c r="N122" s="395"/>
      <c r="O122" s="396"/>
      <c r="P122" s="121"/>
      <c r="Q122" s="196"/>
      <c r="R122" s="6"/>
      <c r="S122" s="121"/>
      <c r="T122" s="121"/>
      <c r="U122" s="276"/>
      <c r="V122" s="6"/>
      <c r="W122" s="121"/>
      <c r="X122" s="278"/>
      <c r="Y122" s="135"/>
      <c r="Z122" s="120"/>
    </row>
    <row r="123" spans="2:26" s="134" customFormat="1" ht="17.100000000000001" customHeight="1" x14ac:dyDescent="0.25">
      <c r="B123" s="425"/>
      <c r="C123" s="426"/>
      <c r="D123" s="426"/>
      <c r="E123" s="426"/>
      <c r="F123" s="426"/>
      <c r="G123" s="426"/>
      <c r="H123" s="427"/>
      <c r="I123" s="429"/>
      <c r="J123" s="381"/>
      <c r="K123" s="429"/>
      <c r="L123" s="397"/>
      <c r="M123" s="398"/>
      <c r="N123" s="398"/>
      <c r="O123" s="399"/>
      <c r="P123" s="121"/>
      <c r="Q123" s="196"/>
      <c r="R123" s="6"/>
      <c r="S123" s="121"/>
      <c r="T123" s="121"/>
      <c r="U123" s="241"/>
      <c r="V123" s="6"/>
      <c r="W123" s="121"/>
      <c r="X123" s="249"/>
      <c r="Y123" s="135"/>
      <c r="Z123" s="120"/>
    </row>
    <row r="124" spans="2:26" s="134" customFormat="1" ht="17.100000000000001" customHeight="1" x14ac:dyDescent="0.25">
      <c r="B124" s="422" t="s">
        <v>366</v>
      </c>
      <c r="C124" s="423"/>
      <c r="D124" s="423"/>
      <c r="E124" s="423"/>
      <c r="F124" s="423"/>
      <c r="G124" s="423"/>
      <c r="H124" s="424"/>
      <c r="I124" s="428" t="s">
        <v>369</v>
      </c>
      <c r="J124" s="380">
        <f>(J119*86400)/J121</f>
        <v>32.977151999999997</v>
      </c>
      <c r="K124" s="428" t="s">
        <v>363</v>
      </c>
      <c r="L124" s="394"/>
      <c r="M124" s="395"/>
      <c r="N124" s="395"/>
      <c r="O124" s="396"/>
      <c r="P124" s="121"/>
      <c r="Q124" s="196"/>
      <c r="R124" s="6"/>
      <c r="S124" s="121"/>
      <c r="T124" s="121"/>
      <c r="U124" s="276"/>
      <c r="V124" s="6"/>
      <c r="W124" s="121"/>
      <c r="X124" s="278"/>
      <c r="Y124" s="135"/>
      <c r="Z124" s="120"/>
    </row>
    <row r="125" spans="2:26" s="134" customFormat="1" ht="17.100000000000001" customHeight="1" x14ac:dyDescent="0.25">
      <c r="B125" s="425"/>
      <c r="C125" s="426"/>
      <c r="D125" s="426"/>
      <c r="E125" s="426"/>
      <c r="F125" s="426"/>
      <c r="G125" s="426"/>
      <c r="H125" s="427"/>
      <c r="I125" s="429"/>
      <c r="J125" s="381"/>
      <c r="K125" s="429"/>
      <c r="L125" s="397"/>
      <c r="M125" s="398"/>
      <c r="N125" s="398"/>
      <c r="O125" s="399"/>
      <c r="P125" s="121"/>
      <c r="Q125" s="196"/>
      <c r="R125" s="6"/>
      <c r="S125" s="121"/>
      <c r="T125" s="121"/>
      <c r="U125" s="276"/>
      <c r="V125" s="6"/>
      <c r="W125" s="121"/>
      <c r="X125" s="278"/>
      <c r="Y125" s="135"/>
      <c r="Z125" s="120"/>
    </row>
    <row r="126" spans="2:26" s="134" customFormat="1" ht="20.100000000000001" customHeight="1" x14ac:dyDescent="0.25">
      <c r="B126" s="430" t="s">
        <v>367</v>
      </c>
      <c r="C126" s="431"/>
      <c r="D126" s="431"/>
      <c r="E126" s="431"/>
      <c r="F126" s="431"/>
      <c r="G126" s="431"/>
      <c r="H126" s="432"/>
      <c r="I126" s="281" t="s">
        <v>368</v>
      </c>
      <c r="J126" s="277">
        <f>ROUND((J122-J124),2)</f>
        <v>8.24</v>
      </c>
      <c r="K126" s="281" t="s">
        <v>363</v>
      </c>
      <c r="L126" s="400"/>
      <c r="M126" s="401"/>
      <c r="N126" s="401"/>
      <c r="O126" s="402"/>
      <c r="P126" s="121"/>
      <c r="Q126" s="196"/>
      <c r="R126" s="6"/>
      <c r="S126" s="121"/>
      <c r="T126" s="121"/>
      <c r="U126" s="276"/>
      <c r="V126" s="6"/>
      <c r="W126" s="121"/>
      <c r="X126" s="278"/>
      <c r="Y126" s="135"/>
      <c r="Z126" s="120"/>
    </row>
    <row r="127" spans="2:26" s="134" customFormat="1" ht="17.100000000000001" customHeight="1" x14ac:dyDescent="0.25">
      <c r="B127" s="384" t="s">
        <v>345</v>
      </c>
      <c r="C127" s="385"/>
      <c r="D127" s="385"/>
      <c r="E127" s="385"/>
      <c r="F127" s="385"/>
      <c r="G127" s="385"/>
      <c r="H127" s="386"/>
      <c r="I127" s="428" t="s">
        <v>381</v>
      </c>
      <c r="J127" s="380">
        <f>ROUND(J122/J126,2)</f>
        <v>5</v>
      </c>
      <c r="K127" s="428"/>
      <c r="L127" s="394"/>
      <c r="M127" s="395"/>
      <c r="N127" s="395"/>
      <c r="O127" s="396"/>
      <c r="P127" s="121"/>
      <c r="Q127" s="196"/>
      <c r="R127" s="6"/>
      <c r="S127" s="121"/>
      <c r="T127" s="121"/>
      <c r="U127" s="276"/>
      <c r="V127" s="6"/>
      <c r="W127" s="121"/>
      <c r="X127" s="278"/>
      <c r="Y127" s="135"/>
      <c r="Z127" s="120"/>
    </row>
    <row r="128" spans="2:26" s="134" customFormat="1" ht="17.100000000000001" customHeight="1" x14ac:dyDescent="0.25">
      <c r="B128" s="387"/>
      <c r="C128" s="388"/>
      <c r="D128" s="388"/>
      <c r="E128" s="388"/>
      <c r="F128" s="388"/>
      <c r="G128" s="388"/>
      <c r="H128" s="389"/>
      <c r="I128" s="429"/>
      <c r="J128" s="381"/>
      <c r="K128" s="429"/>
      <c r="L128" s="397"/>
      <c r="M128" s="398"/>
      <c r="N128" s="398"/>
      <c r="O128" s="399"/>
      <c r="P128" s="121"/>
      <c r="Q128" s="196"/>
      <c r="R128" s="6"/>
      <c r="S128" s="121"/>
      <c r="T128" s="121"/>
      <c r="U128" s="276"/>
      <c r="V128" s="6"/>
      <c r="W128" s="121"/>
      <c r="X128" s="278"/>
      <c r="Y128" s="135"/>
      <c r="Z128" s="120"/>
    </row>
    <row r="129" spans="2:26" s="134" customFormat="1" ht="20.100000000000001" customHeight="1" x14ac:dyDescent="0.25">
      <c r="B129" s="403" t="s">
        <v>371</v>
      </c>
      <c r="C129" s="403"/>
      <c r="D129" s="403"/>
      <c r="E129" s="403"/>
      <c r="F129" s="403"/>
      <c r="G129" s="403"/>
      <c r="H129" s="403"/>
      <c r="I129" s="275" t="s">
        <v>370</v>
      </c>
      <c r="J129" s="277">
        <f>SQRT(J126)</f>
        <v>2.8705400188814649</v>
      </c>
      <c r="K129" s="275" t="s">
        <v>3</v>
      </c>
      <c r="L129" s="353"/>
      <c r="M129" s="353"/>
      <c r="N129" s="353"/>
      <c r="O129" s="353"/>
      <c r="P129" s="121"/>
      <c r="Q129" s="196"/>
      <c r="R129" s="6"/>
      <c r="S129" s="121"/>
      <c r="T129" s="121"/>
      <c r="U129" s="276"/>
      <c r="V129" s="6"/>
      <c r="W129" s="121"/>
      <c r="X129" s="278"/>
      <c r="Y129" s="135"/>
      <c r="Z129" s="120"/>
    </row>
    <row r="130" spans="2:26" s="134" customFormat="1" ht="17.100000000000001" customHeight="1" x14ac:dyDescent="0.25">
      <c r="B130" s="110"/>
      <c r="C130" s="82"/>
      <c r="D130" s="130"/>
      <c r="E130" s="195"/>
      <c r="F130" s="130"/>
      <c r="G130" s="137"/>
      <c r="H130" s="131"/>
      <c r="I130" s="138"/>
      <c r="J130" s="131"/>
      <c r="K130" s="138"/>
      <c r="L130" s="6"/>
      <c r="M130" s="6"/>
      <c r="N130" s="121"/>
      <c r="O130" s="121"/>
      <c r="P130" s="121"/>
      <c r="Q130" s="195"/>
      <c r="R130" s="6"/>
      <c r="S130" s="121"/>
      <c r="T130" s="121"/>
      <c r="U130" s="195"/>
      <c r="V130" s="6"/>
      <c r="W130" s="121"/>
      <c r="X130" s="82"/>
      <c r="Y130" s="135"/>
      <c r="Z130" s="120"/>
    </row>
    <row r="131" spans="2:26" s="134" customFormat="1" ht="17.100000000000001" customHeight="1" x14ac:dyDescent="0.25">
      <c r="B131" s="110" t="s">
        <v>225</v>
      </c>
      <c r="C131" s="82"/>
      <c r="D131" s="130"/>
      <c r="E131" s="144"/>
      <c r="F131" s="130"/>
      <c r="G131" s="137"/>
      <c r="H131" s="131"/>
      <c r="I131" s="138"/>
      <c r="J131" s="131"/>
      <c r="K131" s="138"/>
      <c r="L131" s="6"/>
      <c r="M131" s="6"/>
      <c r="N131" s="121"/>
      <c r="O131" s="121"/>
      <c r="P131" s="121"/>
      <c r="Q131" s="144"/>
      <c r="R131" s="6"/>
      <c r="S131" s="121"/>
      <c r="T131" s="121"/>
      <c r="U131" s="144"/>
      <c r="V131" s="6"/>
      <c r="W131" s="121"/>
      <c r="X131" s="82"/>
      <c r="Y131" s="135"/>
      <c r="Z131" s="120"/>
    </row>
    <row r="132" spans="2:26" s="134" customFormat="1" ht="17.100000000000001" customHeight="1" x14ac:dyDescent="0.25">
      <c r="B132" s="110"/>
      <c r="C132" s="82"/>
      <c r="D132" s="130"/>
      <c r="E132" s="149"/>
      <c r="F132" s="130"/>
      <c r="G132" s="137"/>
      <c r="H132" s="131"/>
      <c r="I132" s="138"/>
      <c r="J132" s="110"/>
      <c r="K132" s="138"/>
      <c r="L132" s="6"/>
      <c r="M132" s="6"/>
      <c r="N132" s="121"/>
      <c r="O132" s="121"/>
      <c r="P132" s="121"/>
      <c r="Q132" s="149"/>
      <c r="R132" s="6"/>
      <c r="S132" s="121"/>
      <c r="T132" s="121"/>
      <c r="U132" s="149"/>
      <c r="V132" s="6"/>
      <c r="W132" s="121"/>
      <c r="X132" s="82"/>
      <c r="Y132" s="135"/>
      <c r="Z132" s="120"/>
    </row>
    <row r="133" spans="2:26" s="134" customFormat="1" ht="17.100000000000001" customHeight="1" x14ac:dyDescent="0.25">
      <c r="B133" s="110" t="s">
        <v>241</v>
      </c>
      <c r="C133" s="82"/>
      <c r="D133" s="130"/>
      <c r="E133" s="149"/>
      <c r="F133" s="130"/>
      <c r="G133" s="137"/>
      <c r="H133" s="131"/>
      <c r="I133" s="138"/>
      <c r="J133" s="131"/>
      <c r="K133" s="138"/>
      <c r="L133" s="6"/>
      <c r="M133" s="6"/>
      <c r="N133" s="121"/>
      <c r="O133" s="121"/>
      <c r="P133" s="121"/>
      <c r="Q133" s="149"/>
      <c r="R133" s="6"/>
      <c r="S133" s="121"/>
      <c r="T133" s="121"/>
      <c r="U133" s="149"/>
      <c r="V133" s="6"/>
      <c r="W133" s="121"/>
      <c r="X133" s="82"/>
      <c r="Y133" s="135"/>
      <c r="Z133" s="120"/>
    </row>
    <row r="134" spans="2:26" s="134" customFormat="1" ht="17.100000000000001" customHeight="1" x14ac:dyDescent="0.25">
      <c r="B134" s="410" t="s">
        <v>231</v>
      </c>
      <c r="C134" s="411"/>
      <c r="D134" s="411"/>
      <c r="E134" s="411"/>
      <c r="F134" s="411"/>
      <c r="G134" s="411"/>
      <c r="H134" s="412"/>
      <c r="I134" s="56" t="s">
        <v>11</v>
      </c>
      <c r="J134" s="142">
        <f>J76</f>
        <v>0.45</v>
      </c>
      <c r="K134" s="203"/>
      <c r="L134" s="400"/>
      <c r="M134" s="401"/>
      <c r="N134" s="401"/>
      <c r="O134" s="402"/>
      <c r="P134" s="121"/>
      <c r="Q134" s="188"/>
      <c r="R134" s="6"/>
      <c r="S134" s="121"/>
      <c r="T134" s="121"/>
      <c r="U134" s="188"/>
      <c r="V134" s="6"/>
      <c r="W134" s="121"/>
      <c r="X134" s="82"/>
      <c r="Y134" s="135"/>
      <c r="Z134" s="120"/>
    </row>
    <row r="135" spans="2:26" s="134" customFormat="1" ht="17.100000000000001" customHeight="1" x14ac:dyDescent="0.25">
      <c r="B135" s="410" t="str">
        <f>"Viscocidad dinámica del agua a "&amp;J30&amp;" °C"</f>
        <v>Viscocidad dinámica del agua a 3 °C</v>
      </c>
      <c r="C135" s="411"/>
      <c r="D135" s="411"/>
      <c r="E135" s="411"/>
      <c r="F135" s="411"/>
      <c r="G135" s="411"/>
      <c r="H135" s="412"/>
      <c r="I135" s="275" t="s">
        <v>213</v>
      </c>
      <c r="J135" s="202">
        <f>J32*1000</f>
        <v>1.619</v>
      </c>
      <c r="K135" s="204" t="s">
        <v>290</v>
      </c>
      <c r="L135" s="189"/>
      <c r="M135" s="190"/>
      <c r="N135" s="190"/>
      <c r="O135" s="191"/>
      <c r="P135" s="121"/>
      <c r="Q135" s="188"/>
      <c r="R135" s="6"/>
      <c r="S135" s="121"/>
      <c r="T135" s="121"/>
      <c r="U135" s="188"/>
      <c r="V135" s="6"/>
      <c r="W135" s="121"/>
      <c r="X135" s="82"/>
      <c r="Y135" s="135"/>
      <c r="Z135" s="120"/>
    </row>
    <row r="136" spans="2:26" s="134" customFormat="1" ht="20.100000000000001" customHeight="1" x14ac:dyDescent="0.25">
      <c r="B136" s="329" t="s">
        <v>243</v>
      </c>
      <c r="C136" s="370"/>
      <c r="D136" s="370"/>
      <c r="E136" s="370"/>
      <c r="F136" s="370"/>
      <c r="G136" s="370"/>
      <c r="H136" s="330"/>
      <c r="I136" s="153" t="s">
        <v>257</v>
      </c>
      <c r="J136" s="143">
        <f>K56*G70</f>
        <v>0.48008777987655482</v>
      </c>
      <c r="K136" s="153" t="s">
        <v>244</v>
      </c>
      <c r="L136" s="373"/>
      <c r="M136" s="373"/>
      <c r="N136" s="373"/>
      <c r="O136" s="373"/>
      <c r="P136" s="161"/>
      <c r="Q136" s="149"/>
      <c r="R136" s="6"/>
      <c r="S136" s="121"/>
      <c r="T136" s="121"/>
      <c r="U136" s="149"/>
      <c r="V136" s="6"/>
      <c r="W136" s="121"/>
      <c r="X136" s="82"/>
      <c r="Y136" s="135"/>
      <c r="Z136" s="120"/>
    </row>
    <row r="137" spans="2:26" s="134" customFormat="1" ht="20.100000000000001" customHeight="1" x14ac:dyDescent="0.25">
      <c r="B137" s="329" t="s">
        <v>280</v>
      </c>
      <c r="C137" s="370"/>
      <c r="D137" s="370"/>
      <c r="E137" s="370"/>
      <c r="F137" s="370"/>
      <c r="G137" s="370"/>
      <c r="H137" s="330"/>
      <c r="I137" s="153" t="s">
        <v>279</v>
      </c>
      <c r="J137" s="143">
        <f>10*J136</f>
        <v>4.8008777987655478</v>
      </c>
      <c r="K137" s="153" t="s">
        <v>242</v>
      </c>
      <c r="L137" s="373"/>
      <c r="M137" s="373"/>
      <c r="N137" s="373"/>
      <c r="O137" s="373"/>
      <c r="P137" s="161"/>
      <c r="Q137" s="149"/>
      <c r="R137" s="6"/>
      <c r="S137" s="121"/>
      <c r="T137" s="121"/>
      <c r="U137" s="149"/>
      <c r="V137" s="6"/>
      <c r="W137" s="121"/>
      <c r="X137" s="82"/>
      <c r="Y137" s="135"/>
      <c r="Z137" s="120"/>
    </row>
    <row r="138" spans="2:26" s="134" customFormat="1" ht="20.100000000000001" customHeight="1" x14ac:dyDescent="0.25">
      <c r="B138" s="329" t="str">
        <f>"Velocidad de arrastre del medio filtrante a "&amp;J30&amp;" °C"</f>
        <v>Velocidad de arrastre del medio filtrante a 3 °C</v>
      </c>
      <c r="C138" s="370"/>
      <c r="D138" s="370"/>
      <c r="E138" s="370"/>
      <c r="F138" s="370"/>
      <c r="G138" s="370"/>
      <c r="H138" s="330"/>
      <c r="I138" s="153" t="s">
        <v>289</v>
      </c>
      <c r="J138" s="143">
        <f>IF(J30=20,J137,J137*((J135)^(-1/3)))</f>
        <v>4.0885724887338961</v>
      </c>
      <c r="K138" s="153" t="s">
        <v>242</v>
      </c>
      <c r="L138" s="373"/>
      <c r="M138" s="373"/>
      <c r="N138" s="373"/>
      <c r="O138" s="373"/>
      <c r="P138" s="161"/>
      <c r="Q138" s="149"/>
      <c r="R138" s="6"/>
      <c r="S138" s="160"/>
      <c r="T138" s="121"/>
      <c r="U138" s="149"/>
      <c r="V138" s="6"/>
      <c r="W138" s="121"/>
      <c r="X138" s="82"/>
      <c r="Y138" s="135"/>
      <c r="Z138" s="120"/>
    </row>
    <row r="139" spans="2:26" s="134" customFormat="1" ht="20.100000000000001" customHeight="1" x14ac:dyDescent="0.25">
      <c r="B139" s="329" t="str">
        <f>"Velocidad de fluidización del medio filtrante a "&amp;J30&amp;" °C"</f>
        <v>Velocidad de fluidización del medio filtrante a 3 °C</v>
      </c>
      <c r="C139" s="370"/>
      <c r="D139" s="370"/>
      <c r="E139" s="370"/>
      <c r="F139" s="370"/>
      <c r="G139" s="370"/>
      <c r="H139" s="330"/>
      <c r="I139" s="153" t="s">
        <v>288</v>
      </c>
      <c r="J139" s="143">
        <f>J138*(J134^4.5)</f>
        <v>0.1124677518549367</v>
      </c>
      <c r="K139" s="153" t="s">
        <v>242</v>
      </c>
      <c r="L139" s="377"/>
      <c r="M139" s="378"/>
      <c r="N139" s="378"/>
      <c r="O139" s="379"/>
      <c r="P139" s="161"/>
      <c r="Q139" s="188"/>
      <c r="R139" s="6"/>
      <c r="S139" s="160"/>
      <c r="T139" s="121"/>
      <c r="U139" s="188"/>
      <c r="V139" s="6"/>
      <c r="W139" s="121"/>
      <c r="X139" s="82"/>
      <c r="Y139" s="135"/>
      <c r="Z139" s="120"/>
    </row>
    <row r="140" spans="2:26" s="134" customFormat="1" ht="20.100000000000001" customHeight="1" x14ac:dyDescent="0.25">
      <c r="B140" s="329" t="str">
        <f>"Velocidad óptima de lavado a "&amp;J30&amp;" °C"</f>
        <v>Velocidad óptima de lavado a 3 °C</v>
      </c>
      <c r="C140" s="370"/>
      <c r="D140" s="370"/>
      <c r="E140" s="370"/>
      <c r="F140" s="370"/>
      <c r="G140" s="370"/>
      <c r="H140" s="330"/>
      <c r="I140" s="153" t="s">
        <v>281</v>
      </c>
      <c r="J140" s="143">
        <f>0.1*J138</f>
        <v>0.40885724887338964</v>
      </c>
      <c r="K140" s="153" t="s">
        <v>242</v>
      </c>
      <c r="L140" s="373"/>
      <c r="M140" s="373"/>
      <c r="N140" s="373"/>
      <c r="O140" s="373"/>
      <c r="P140" s="161"/>
      <c r="Q140" s="149"/>
      <c r="R140" s="6"/>
      <c r="S140" s="121"/>
      <c r="T140" s="121"/>
      <c r="U140" s="149"/>
      <c r="V140" s="6"/>
      <c r="W140" s="121"/>
      <c r="X140" s="82"/>
      <c r="Y140" s="135"/>
      <c r="Z140" s="120"/>
    </row>
    <row r="141" spans="2:26" s="134" customFormat="1" ht="20.100000000000001" customHeight="1" x14ac:dyDescent="0.25">
      <c r="B141" s="34"/>
      <c r="C141" s="34"/>
      <c r="D141" s="34"/>
      <c r="E141" s="34"/>
      <c r="F141" s="34"/>
      <c r="G141" s="34"/>
      <c r="H141" s="34"/>
      <c r="I141" s="200"/>
      <c r="J141" s="131"/>
      <c r="K141" s="200"/>
      <c r="L141" s="130"/>
      <c r="M141" s="130"/>
      <c r="N141" s="130"/>
      <c r="O141" s="130"/>
      <c r="P141" s="161"/>
      <c r="Q141" s="188"/>
      <c r="R141" s="6"/>
      <c r="S141" s="121"/>
      <c r="T141" s="121"/>
      <c r="U141" s="188"/>
      <c r="V141" s="6"/>
      <c r="W141" s="121"/>
      <c r="X141" s="82"/>
      <c r="Y141" s="135"/>
      <c r="Z141" s="120"/>
    </row>
    <row r="142" spans="2:26" s="134" customFormat="1" ht="17.100000000000001" customHeight="1" x14ac:dyDescent="0.25">
      <c r="B142" s="40" t="s">
        <v>300</v>
      </c>
      <c r="C142" s="34"/>
      <c r="D142" s="34"/>
      <c r="E142" s="34"/>
      <c r="F142" s="34"/>
      <c r="G142" s="34"/>
      <c r="H142" s="34"/>
      <c r="I142" s="200"/>
      <c r="J142" s="131"/>
      <c r="K142" s="200"/>
      <c r="L142" s="130"/>
      <c r="M142" s="130"/>
      <c r="N142" s="130"/>
      <c r="O142" s="130"/>
      <c r="P142" s="161"/>
      <c r="Q142" s="188"/>
      <c r="R142" s="6"/>
      <c r="S142" s="121"/>
      <c r="T142" s="121"/>
      <c r="U142" s="188"/>
      <c r="V142" s="6"/>
      <c r="W142" s="121"/>
      <c r="X142" s="82"/>
      <c r="Y142" s="135"/>
      <c r="Z142" s="120"/>
    </row>
    <row r="143" spans="2:26" s="134" customFormat="1" ht="20.100000000000001" customHeight="1" x14ac:dyDescent="0.25">
      <c r="B143" s="374" t="s">
        <v>374</v>
      </c>
      <c r="C143" s="375"/>
      <c r="D143" s="375"/>
      <c r="E143" s="375"/>
      <c r="F143" s="375"/>
      <c r="G143" s="375"/>
      <c r="H143" s="376"/>
      <c r="I143" s="298" t="s">
        <v>382</v>
      </c>
      <c r="J143" s="286">
        <v>0.25</v>
      </c>
      <c r="K143" s="153" t="s">
        <v>375</v>
      </c>
      <c r="L143" s="377"/>
      <c r="M143" s="378"/>
      <c r="N143" s="378"/>
      <c r="O143" s="379"/>
      <c r="P143" s="161"/>
      <c r="Q143" s="188"/>
      <c r="R143" s="6"/>
      <c r="S143" s="121"/>
      <c r="T143" s="121"/>
      <c r="U143" s="188"/>
      <c r="V143" s="6"/>
      <c r="W143" s="121"/>
      <c r="X143" s="82"/>
      <c r="Y143" s="135"/>
      <c r="Z143" s="120"/>
    </row>
    <row r="144" spans="2:26" s="134" customFormat="1" ht="20.100000000000001" customHeight="1" x14ac:dyDescent="0.25">
      <c r="B144" s="374" t="s">
        <v>376</v>
      </c>
      <c r="C144" s="375"/>
      <c r="D144" s="375"/>
      <c r="E144" s="375"/>
      <c r="F144" s="375"/>
      <c r="G144" s="375"/>
      <c r="H144" s="376"/>
      <c r="I144" s="299" t="s">
        <v>383</v>
      </c>
      <c r="J144" s="143">
        <f>IF(J143=1/4,0.075,IF(J143=3/8,0.15,IF(J143=1/2,0.2,IF(J143=5/8,0.25))))</f>
        <v>7.4999999999999997E-2</v>
      </c>
      <c r="K144" s="153" t="s">
        <v>3</v>
      </c>
      <c r="L144" s="377"/>
      <c r="M144" s="378"/>
      <c r="N144" s="378"/>
      <c r="O144" s="379"/>
      <c r="P144" s="161"/>
      <c r="Q144" s="188"/>
      <c r="R144" s="6"/>
      <c r="S144" s="121"/>
      <c r="T144" s="121"/>
      <c r="U144" s="188"/>
      <c r="V144" s="6"/>
      <c r="W144" s="121"/>
      <c r="X144" s="82"/>
      <c r="Y144" s="135"/>
      <c r="Z144" s="120"/>
    </row>
    <row r="145" spans="2:26" s="134" customFormat="1" ht="20.100000000000001" customHeight="1" x14ac:dyDescent="0.25">
      <c r="B145" s="374" t="s">
        <v>377</v>
      </c>
      <c r="C145" s="375"/>
      <c r="D145" s="375"/>
      <c r="E145" s="375"/>
      <c r="F145" s="375"/>
      <c r="G145" s="375"/>
      <c r="H145" s="376"/>
      <c r="I145" s="300" t="s">
        <v>384</v>
      </c>
      <c r="J145" s="279">
        <f>ROUND(J129/2-0.1,2)</f>
        <v>1.34</v>
      </c>
      <c r="K145" s="153" t="s">
        <v>3</v>
      </c>
      <c r="L145" s="377"/>
      <c r="M145" s="378"/>
      <c r="N145" s="378"/>
      <c r="O145" s="379"/>
      <c r="P145" s="161"/>
      <c r="Q145" s="188"/>
      <c r="R145" s="6"/>
      <c r="S145" s="121"/>
      <c r="T145" s="121"/>
      <c r="U145" s="188"/>
      <c r="V145" s="6"/>
      <c r="W145" s="121"/>
      <c r="X145" s="82"/>
      <c r="Y145" s="135"/>
      <c r="Z145" s="120"/>
    </row>
    <row r="146" spans="2:26" s="134" customFormat="1" ht="20.100000000000001" customHeight="1" x14ac:dyDescent="0.25">
      <c r="B146" s="374" t="s">
        <v>378</v>
      </c>
      <c r="C146" s="375"/>
      <c r="D146" s="375"/>
      <c r="E146" s="375"/>
      <c r="F146" s="375"/>
      <c r="G146" s="375"/>
      <c r="H146" s="376"/>
      <c r="I146" s="299" t="s">
        <v>385</v>
      </c>
      <c r="J146" s="279">
        <v>0.2</v>
      </c>
      <c r="K146" s="153" t="s">
        <v>3</v>
      </c>
      <c r="L146" s="377"/>
      <c r="M146" s="378"/>
      <c r="N146" s="378"/>
      <c r="O146" s="379"/>
      <c r="P146" s="161"/>
      <c r="Q146" s="188"/>
      <c r="R146" s="6"/>
      <c r="S146" s="121"/>
      <c r="T146" s="121"/>
      <c r="U146" s="290"/>
      <c r="V146" s="6"/>
      <c r="W146" s="121"/>
      <c r="X146" s="82"/>
      <c r="Y146" s="135"/>
      <c r="Z146" s="120"/>
    </row>
    <row r="147" spans="2:26" s="134" customFormat="1" ht="20.100000000000001" customHeight="1" x14ac:dyDescent="0.25">
      <c r="B147" s="374" t="s">
        <v>379</v>
      </c>
      <c r="C147" s="375"/>
      <c r="D147" s="375"/>
      <c r="E147" s="375"/>
      <c r="F147" s="375"/>
      <c r="G147" s="375"/>
      <c r="H147" s="376"/>
      <c r="I147" s="298" t="s">
        <v>386</v>
      </c>
      <c r="J147" s="286">
        <f>IF(J145&lt;1,2,IF(J145&lt;1.5,2.5,IF(J145&lt;2,3)))</f>
        <v>2.5</v>
      </c>
      <c r="K147" s="153" t="s">
        <v>375</v>
      </c>
      <c r="L147" s="377"/>
      <c r="M147" s="378"/>
      <c r="N147" s="378"/>
      <c r="O147" s="379"/>
      <c r="P147" s="161"/>
      <c r="Q147" s="188"/>
      <c r="R147" s="6"/>
      <c r="S147" s="121"/>
      <c r="T147" s="121"/>
      <c r="U147" s="290"/>
      <c r="V147" s="6"/>
      <c r="W147" s="121"/>
      <c r="X147" s="82"/>
      <c r="Y147" s="135"/>
      <c r="Z147" s="120"/>
    </row>
    <row r="148" spans="2:26" s="134" customFormat="1" ht="17.100000000000001" customHeight="1" x14ac:dyDescent="0.25">
      <c r="B148" s="474" t="s">
        <v>389</v>
      </c>
      <c r="C148" s="475"/>
      <c r="D148" s="475"/>
      <c r="E148" s="475"/>
      <c r="F148" s="475"/>
      <c r="G148" s="475"/>
      <c r="H148" s="476"/>
      <c r="I148" s="390" t="s">
        <v>388</v>
      </c>
      <c r="J148" s="480">
        <f>ROUNDDOWN(2*(J129/J146),0)</f>
        <v>28</v>
      </c>
      <c r="K148" s="390"/>
      <c r="L148" s="482"/>
      <c r="M148" s="483"/>
      <c r="N148" s="483"/>
      <c r="O148" s="484"/>
      <c r="P148" s="161"/>
      <c r="Q148" s="290"/>
      <c r="R148" s="6"/>
      <c r="S148" s="83"/>
      <c r="T148" s="301"/>
      <c r="U148" s="290"/>
      <c r="V148" s="6"/>
      <c r="W148" s="121"/>
      <c r="X148" s="278"/>
      <c r="Y148" s="135"/>
      <c r="Z148" s="120"/>
    </row>
    <row r="149" spans="2:26" s="134" customFormat="1" ht="17.100000000000001" customHeight="1" x14ac:dyDescent="0.25">
      <c r="B149" s="477"/>
      <c r="C149" s="478"/>
      <c r="D149" s="478"/>
      <c r="E149" s="478"/>
      <c r="F149" s="478"/>
      <c r="G149" s="478"/>
      <c r="H149" s="479"/>
      <c r="I149" s="391"/>
      <c r="J149" s="481"/>
      <c r="K149" s="391"/>
      <c r="L149" s="485"/>
      <c r="M149" s="486"/>
      <c r="N149" s="486"/>
      <c r="O149" s="487"/>
      <c r="P149" s="161"/>
      <c r="Q149" s="280"/>
      <c r="R149" s="6"/>
      <c r="S149" s="83"/>
      <c r="T149" s="301"/>
      <c r="U149" s="290"/>
      <c r="V149" s="6"/>
      <c r="W149" s="121"/>
      <c r="X149" s="278"/>
      <c r="Y149" s="135"/>
      <c r="Z149" s="120"/>
    </row>
    <row r="150" spans="2:26" s="134" customFormat="1" ht="17.100000000000001" customHeight="1" x14ac:dyDescent="0.25">
      <c r="B150" s="474" t="s">
        <v>390</v>
      </c>
      <c r="C150" s="475"/>
      <c r="D150" s="475"/>
      <c r="E150" s="475"/>
      <c r="F150" s="475"/>
      <c r="G150" s="475"/>
      <c r="H150" s="476"/>
      <c r="I150" s="390" t="s">
        <v>387</v>
      </c>
      <c r="J150" s="480">
        <f>J148*ROUND(J145/J144,0)*2</f>
        <v>1008</v>
      </c>
      <c r="K150" s="390"/>
      <c r="L150" s="482"/>
      <c r="M150" s="483"/>
      <c r="N150" s="483"/>
      <c r="O150" s="484"/>
      <c r="P150" s="161"/>
      <c r="Q150" s="290"/>
      <c r="R150" s="6"/>
      <c r="S150" s="83"/>
      <c r="T150" s="301"/>
      <c r="U150" s="290"/>
      <c r="V150" s="6"/>
      <c r="W150" s="121"/>
      <c r="X150" s="278"/>
      <c r="Y150" s="135"/>
      <c r="Z150" s="120"/>
    </row>
    <row r="151" spans="2:26" s="134" customFormat="1" ht="17.100000000000001" customHeight="1" x14ac:dyDescent="0.25">
      <c r="B151" s="477"/>
      <c r="C151" s="478"/>
      <c r="D151" s="478"/>
      <c r="E151" s="478"/>
      <c r="F151" s="478"/>
      <c r="G151" s="478"/>
      <c r="H151" s="479"/>
      <c r="I151" s="391"/>
      <c r="J151" s="481"/>
      <c r="K151" s="391"/>
      <c r="L151" s="485"/>
      <c r="M151" s="486"/>
      <c r="N151" s="486"/>
      <c r="O151" s="487"/>
      <c r="P151" s="161"/>
      <c r="Q151" s="280"/>
      <c r="R151" s="6"/>
      <c r="S151" s="83"/>
      <c r="T151" s="301"/>
      <c r="U151" s="290"/>
      <c r="V151" s="6"/>
      <c r="W151" s="121"/>
      <c r="X151" s="278"/>
      <c r="Y151" s="135"/>
      <c r="Z151" s="120"/>
    </row>
    <row r="152" spans="2:26" s="134" customFormat="1" ht="17.100000000000001" customHeight="1" x14ac:dyDescent="0.25">
      <c r="B152" s="474" t="s">
        <v>392</v>
      </c>
      <c r="C152" s="475"/>
      <c r="D152" s="475"/>
      <c r="E152" s="475"/>
      <c r="F152" s="475"/>
      <c r="G152" s="475"/>
      <c r="H152" s="476"/>
      <c r="I152" s="390" t="s">
        <v>391</v>
      </c>
      <c r="J152" s="491">
        <f>J150*PI()*(((J143*0.0254)^2)/4)</f>
        <v>3.1922571183142359E-2</v>
      </c>
      <c r="K152" s="390" t="s">
        <v>393</v>
      </c>
      <c r="L152" s="482"/>
      <c r="M152" s="483"/>
      <c r="N152" s="483"/>
      <c r="O152" s="484"/>
      <c r="P152" s="161"/>
      <c r="Q152" s="290"/>
      <c r="R152" s="6"/>
      <c r="S152" s="83"/>
      <c r="T152" s="301"/>
      <c r="U152" s="290"/>
      <c r="V152" s="6"/>
      <c r="W152" s="121"/>
      <c r="X152" s="278"/>
      <c r="Y152" s="135"/>
      <c r="Z152" s="120"/>
    </row>
    <row r="153" spans="2:26" s="134" customFormat="1" ht="17.100000000000001" customHeight="1" x14ac:dyDescent="0.25">
      <c r="B153" s="477"/>
      <c r="C153" s="478"/>
      <c r="D153" s="478"/>
      <c r="E153" s="478"/>
      <c r="F153" s="478"/>
      <c r="G153" s="478"/>
      <c r="H153" s="479"/>
      <c r="I153" s="391"/>
      <c r="J153" s="492"/>
      <c r="K153" s="391"/>
      <c r="L153" s="485"/>
      <c r="M153" s="486"/>
      <c r="N153" s="486"/>
      <c r="O153" s="487"/>
      <c r="P153" s="161"/>
      <c r="Q153" s="290"/>
      <c r="R153" s="6"/>
      <c r="S153" s="83"/>
      <c r="T153" s="301"/>
      <c r="U153" s="290"/>
      <c r="V153" s="6"/>
      <c r="W153" s="121"/>
      <c r="X153" s="278"/>
      <c r="Y153" s="135"/>
      <c r="Z153" s="120"/>
    </row>
    <row r="154" spans="2:26" s="134" customFormat="1" ht="17.100000000000001" customHeight="1" x14ac:dyDescent="0.25">
      <c r="B154" s="474" t="s">
        <v>394</v>
      </c>
      <c r="C154" s="475"/>
      <c r="D154" s="475"/>
      <c r="E154" s="475"/>
      <c r="F154" s="475"/>
      <c r="G154" s="475"/>
      <c r="H154" s="476"/>
      <c r="I154" s="390" t="s">
        <v>395</v>
      </c>
      <c r="J154" s="491">
        <f>J152/0.4</f>
        <v>7.9806427957855891E-2</v>
      </c>
      <c r="K154" s="390" t="s">
        <v>393</v>
      </c>
      <c r="L154" s="482"/>
      <c r="M154" s="483"/>
      <c r="N154" s="483"/>
      <c r="O154" s="484"/>
      <c r="P154" s="161"/>
      <c r="Q154" s="290"/>
      <c r="R154" s="6"/>
      <c r="S154" s="83"/>
      <c r="T154" s="301"/>
      <c r="U154" s="290"/>
      <c r="V154" s="6"/>
      <c r="W154" s="121"/>
      <c r="X154" s="278"/>
      <c r="Y154" s="135"/>
      <c r="Z154" s="120"/>
    </row>
    <row r="155" spans="2:26" s="134" customFormat="1" ht="17.100000000000001" customHeight="1" x14ac:dyDescent="0.25">
      <c r="B155" s="477"/>
      <c r="C155" s="478"/>
      <c r="D155" s="478"/>
      <c r="E155" s="478"/>
      <c r="F155" s="478"/>
      <c r="G155" s="478"/>
      <c r="H155" s="479"/>
      <c r="I155" s="391"/>
      <c r="J155" s="492"/>
      <c r="K155" s="391"/>
      <c r="L155" s="485"/>
      <c r="M155" s="486"/>
      <c r="N155" s="486"/>
      <c r="O155" s="487"/>
      <c r="P155" s="161"/>
      <c r="Q155" s="280"/>
      <c r="R155" s="6"/>
      <c r="S155" s="83"/>
      <c r="T155" s="301"/>
      <c r="U155" s="290"/>
      <c r="V155" s="6"/>
      <c r="W155" s="121"/>
      <c r="X155" s="278"/>
      <c r="Y155" s="135"/>
      <c r="Z155" s="120"/>
    </row>
    <row r="156" spans="2:26" s="134" customFormat="1" ht="17.100000000000001" customHeight="1" x14ac:dyDescent="0.25">
      <c r="B156" s="374" t="s">
        <v>396</v>
      </c>
      <c r="C156" s="375"/>
      <c r="D156" s="375"/>
      <c r="E156" s="375"/>
      <c r="F156" s="375"/>
      <c r="G156" s="375"/>
      <c r="H156" s="376"/>
      <c r="I156" s="291"/>
      <c r="J156" s="295" t="str">
        <f>INDEX(AL8:AL16,MATCH(J154,AM8:AM16,1),1)</f>
        <v>10 X 10</v>
      </c>
      <c r="K156" s="153" t="s">
        <v>408</v>
      </c>
      <c r="L156" s="292"/>
      <c r="M156" s="293"/>
      <c r="N156" s="293"/>
      <c r="O156" s="294"/>
      <c r="P156" s="161"/>
      <c r="Q156" s="290"/>
      <c r="R156" s="6"/>
      <c r="S156" s="83"/>
      <c r="T156" s="301"/>
      <c r="U156" s="290"/>
      <c r="V156" s="6"/>
      <c r="W156" s="121"/>
      <c r="X156" s="278"/>
      <c r="Y156" s="135"/>
      <c r="Z156" s="120"/>
    </row>
    <row r="157" spans="2:26" s="134" customFormat="1" ht="17.100000000000001" customHeight="1" x14ac:dyDescent="0.25">
      <c r="B157" s="493" t="s">
        <v>410</v>
      </c>
      <c r="C157" s="493"/>
      <c r="D157" s="493"/>
      <c r="E157" s="493"/>
      <c r="F157" s="493"/>
      <c r="G157" s="493"/>
      <c r="H157" s="493"/>
      <c r="I157" s="300" t="s">
        <v>395</v>
      </c>
      <c r="J157" s="289">
        <f>VLOOKUP(J156,AL8:AM16,2,FALSE)</f>
        <v>6.4516000000000004E-2</v>
      </c>
      <c r="K157" s="153" t="s">
        <v>393</v>
      </c>
      <c r="L157" s="377"/>
      <c r="M157" s="378"/>
      <c r="N157" s="378"/>
      <c r="O157" s="379"/>
      <c r="P157" s="161"/>
      <c r="Q157" s="290"/>
      <c r="R157" s="6"/>
      <c r="S157" s="160"/>
      <c r="T157" s="121"/>
      <c r="U157" s="290"/>
      <c r="V157" s="6"/>
      <c r="W157" s="121"/>
      <c r="X157" s="278"/>
      <c r="Y157" s="135"/>
      <c r="Z157" s="120"/>
    </row>
    <row r="158" spans="2:26" s="134" customFormat="1" ht="17.100000000000001" customHeight="1" x14ac:dyDescent="0.25">
      <c r="B158" s="374" t="s">
        <v>409</v>
      </c>
      <c r="C158" s="375"/>
      <c r="D158" s="375"/>
      <c r="E158" s="375"/>
      <c r="F158" s="375"/>
      <c r="G158" s="375"/>
      <c r="H158" s="376"/>
      <c r="I158" s="300"/>
      <c r="J158" s="289">
        <f>J152/J126</f>
        <v>3.8740984445561114E-3</v>
      </c>
      <c r="K158" s="291"/>
      <c r="L158" s="488" t="str">
        <f>IF(AND(J158&gt;0.0015,J158&lt;0.005),"¡ok!","¡error!")</f>
        <v>¡ok!</v>
      </c>
      <c r="M158" s="489"/>
      <c r="N158" s="489"/>
      <c r="O158" s="490"/>
      <c r="P158" s="161"/>
      <c r="Q158" s="290"/>
      <c r="R158" s="6"/>
      <c r="S158" s="160"/>
      <c r="T158" s="121"/>
      <c r="U158" s="290"/>
      <c r="V158" s="6"/>
      <c r="W158" s="121"/>
      <c r="X158" s="278"/>
      <c r="Y158" s="135"/>
      <c r="Z158" s="120"/>
    </row>
    <row r="159" spans="2:26" s="134" customFormat="1" ht="17.100000000000001" customHeight="1" x14ac:dyDescent="0.25">
      <c r="B159" s="374" t="s">
        <v>411</v>
      </c>
      <c r="C159" s="375"/>
      <c r="D159" s="375"/>
      <c r="E159" s="375"/>
      <c r="F159" s="375"/>
      <c r="G159" s="375"/>
      <c r="H159" s="376"/>
      <c r="I159" s="300"/>
      <c r="J159" s="289">
        <f>((0.0254*J147)^2)/(J152/J148)</f>
        <v>3.5367765131532298</v>
      </c>
      <c r="K159" s="291"/>
      <c r="L159" s="488" t="str">
        <f>IF(AND(J159&gt;2,J159&lt;4),"¡ok!","¡error!")</f>
        <v>¡ok!</v>
      </c>
      <c r="M159" s="489"/>
      <c r="N159" s="489"/>
      <c r="O159" s="490"/>
      <c r="P159" s="161"/>
      <c r="Q159" s="290"/>
      <c r="R159" s="6"/>
      <c r="S159" s="160"/>
      <c r="T159" s="121"/>
      <c r="U159" s="290"/>
      <c r="V159" s="6"/>
      <c r="W159" s="121"/>
      <c r="X159" s="278"/>
      <c r="Y159" s="135"/>
      <c r="Z159" s="120"/>
    </row>
    <row r="160" spans="2:26" s="134" customFormat="1" ht="20.100000000000001" customHeight="1" x14ac:dyDescent="0.25">
      <c r="B160" s="34"/>
      <c r="C160" s="34"/>
      <c r="D160" s="34"/>
      <c r="E160" s="34"/>
      <c r="F160" s="34"/>
      <c r="G160" s="34"/>
      <c r="H160" s="34"/>
      <c r="I160" s="200"/>
      <c r="J160" s="131"/>
      <c r="K160" s="130"/>
      <c r="L160" s="130"/>
      <c r="M160" s="130"/>
      <c r="N160" s="130"/>
      <c r="O160" s="130"/>
      <c r="P160" s="161"/>
      <c r="Q160" s="188"/>
      <c r="R160" s="6"/>
      <c r="S160" s="160"/>
      <c r="T160" s="121"/>
      <c r="U160" s="290"/>
      <c r="V160" s="6"/>
      <c r="W160" s="121"/>
      <c r="X160" s="82"/>
      <c r="Y160" s="135"/>
      <c r="Z160" s="120"/>
    </row>
    <row r="161" spans="2:26" s="134" customFormat="1" ht="17.100000000000001" customHeight="1" x14ac:dyDescent="0.25">
      <c r="B161" s="110" t="s">
        <v>227</v>
      </c>
      <c r="C161" s="82"/>
      <c r="D161" s="130"/>
      <c r="E161" s="144"/>
      <c r="F161" s="130"/>
      <c r="G161" s="137"/>
      <c r="H161" s="131"/>
      <c r="I161" s="138"/>
      <c r="J161" s="131"/>
      <c r="K161" s="138"/>
      <c r="L161" s="6"/>
      <c r="M161" s="6"/>
      <c r="N161" s="121"/>
      <c r="O161" s="121"/>
      <c r="P161" s="121"/>
      <c r="Q161" s="144"/>
      <c r="R161" s="6"/>
      <c r="S161" s="121"/>
      <c r="T161" s="121"/>
      <c r="U161" s="290"/>
      <c r="V161" s="6"/>
      <c r="W161" s="121"/>
      <c r="X161" s="82"/>
      <c r="Y161" s="135"/>
      <c r="Z161" s="120"/>
    </row>
    <row r="162" spans="2:26" s="134" customFormat="1" ht="17.100000000000001" customHeight="1" x14ac:dyDescent="0.25">
      <c r="B162" s="329" t="s">
        <v>232</v>
      </c>
      <c r="C162" s="370"/>
      <c r="D162" s="370"/>
      <c r="E162" s="370"/>
      <c r="F162" s="370"/>
      <c r="G162" s="370"/>
      <c r="H162" s="330"/>
      <c r="I162" s="153" t="s">
        <v>88</v>
      </c>
      <c r="J162" s="143">
        <f>J74</f>
        <v>0.6</v>
      </c>
      <c r="K162" s="156" t="s">
        <v>3</v>
      </c>
      <c r="L162" s="373"/>
      <c r="M162" s="373"/>
      <c r="N162" s="373"/>
      <c r="O162" s="373"/>
      <c r="P162" s="121"/>
      <c r="Q162" s="121"/>
      <c r="R162" s="121"/>
      <c r="S162" s="160"/>
      <c r="T162" s="121"/>
      <c r="U162" s="290"/>
      <c r="V162" s="6"/>
      <c r="W162" s="121"/>
      <c r="X162" s="82"/>
      <c r="Y162" s="135"/>
      <c r="Z162" s="120"/>
    </row>
    <row r="163" spans="2:26" s="134" customFormat="1" ht="17.100000000000001" customHeight="1" x14ac:dyDescent="0.25">
      <c r="B163" s="329" t="s">
        <v>231</v>
      </c>
      <c r="C163" s="370"/>
      <c r="D163" s="370"/>
      <c r="E163" s="370"/>
      <c r="F163" s="370"/>
      <c r="G163" s="370"/>
      <c r="H163" s="330"/>
      <c r="I163" s="153" t="s">
        <v>11</v>
      </c>
      <c r="J163" s="143">
        <f>J76</f>
        <v>0.45</v>
      </c>
      <c r="K163" s="156"/>
      <c r="L163" s="373"/>
      <c r="M163" s="373"/>
      <c r="N163" s="373"/>
      <c r="O163" s="373"/>
      <c r="P163" s="121"/>
      <c r="Q163" s="121"/>
      <c r="R163" s="121"/>
      <c r="S163" s="121"/>
      <c r="T163" s="121"/>
      <c r="U163" s="290"/>
      <c r="V163" s="6"/>
      <c r="W163" s="121"/>
      <c r="X163" s="82"/>
      <c r="Y163" s="135"/>
      <c r="Z163" s="120"/>
    </row>
    <row r="164" spans="2:26" s="134" customFormat="1" ht="17.100000000000001" customHeight="1" x14ac:dyDescent="0.25">
      <c r="B164" s="329" t="s">
        <v>233</v>
      </c>
      <c r="C164" s="370"/>
      <c r="D164" s="370"/>
      <c r="E164" s="370"/>
      <c r="F164" s="370"/>
      <c r="G164" s="370"/>
      <c r="H164" s="330"/>
      <c r="I164" s="153" t="s">
        <v>234</v>
      </c>
      <c r="J164" s="143">
        <f>J75</f>
        <v>2.65</v>
      </c>
      <c r="K164" s="156"/>
      <c r="L164" s="373"/>
      <c r="M164" s="373"/>
      <c r="N164" s="373"/>
      <c r="O164" s="373"/>
      <c r="P164" s="121"/>
      <c r="Q164" s="121"/>
      <c r="R164" s="121"/>
      <c r="S164" s="160"/>
      <c r="T164" s="121"/>
      <c r="U164" s="144"/>
      <c r="V164" s="6"/>
      <c r="W164" s="121"/>
      <c r="X164" s="82"/>
      <c r="Y164" s="135"/>
      <c r="Z164" s="120"/>
    </row>
    <row r="165" spans="2:26" s="134" customFormat="1" ht="17.100000000000001" customHeight="1" x14ac:dyDescent="0.25">
      <c r="B165" s="326" t="s">
        <v>236</v>
      </c>
      <c r="C165" s="326"/>
      <c r="D165" s="326"/>
      <c r="E165" s="326"/>
      <c r="F165" s="326"/>
      <c r="G165" s="326"/>
      <c r="H165" s="326"/>
      <c r="I165" s="153" t="s">
        <v>235</v>
      </c>
      <c r="J165" s="143">
        <f>J162*(1-J163)*(J164-1)</f>
        <v>0.54449999999999998</v>
      </c>
      <c r="K165" s="156" t="s">
        <v>3</v>
      </c>
      <c r="L165" s="373"/>
      <c r="M165" s="373"/>
      <c r="N165" s="373"/>
      <c r="O165" s="373"/>
      <c r="P165" s="121"/>
      <c r="Q165" s="121"/>
      <c r="R165" s="121"/>
      <c r="S165" s="121"/>
      <c r="T165" s="121"/>
      <c r="U165" s="144"/>
      <c r="V165" s="6"/>
      <c r="W165" s="121"/>
      <c r="X165" s="82"/>
      <c r="Y165" s="135"/>
      <c r="Z165" s="120"/>
    </row>
    <row r="166" spans="2:26" s="134" customFormat="1" ht="17.100000000000001" customHeight="1" x14ac:dyDescent="0.25">
      <c r="B166" s="110"/>
      <c r="C166" s="82"/>
      <c r="D166" s="130"/>
      <c r="E166" s="144"/>
      <c r="F166" s="130"/>
      <c r="G166" s="137"/>
      <c r="H166" s="131"/>
      <c r="I166" s="138"/>
      <c r="J166" s="131"/>
      <c r="K166" s="138"/>
      <c r="L166" s="6"/>
      <c r="M166" s="6"/>
      <c r="N166" s="121"/>
      <c r="O166" s="121"/>
      <c r="P166" s="121"/>
      <c r="Q166" s="144"/>
      <c r="R166" s="6"/>
      <c r="S166" s="160"/>
      <c r="T166" s="121"/>
      <c r="U166" s="144"/>
      <c r="V166" s="6"/>
      <c r="W166" s="121"/>
      <c r="X166" s="82"/>
      <c r="Y166" s="135"/>
      <c r="Z166" s="120"/>
    </row>
    <row r="167" spans="2:26" s="134" customFormat="1" ht="17.100000000000001" customHeight="1" x14ac:dyDescent="0.25">
      <c r="B167" s="110"/>
      <c r="C167" s="82"/>
      <c r="D167" s="130"/>
      <c r="E167" s="149"/>
      <c r="F167" s="130"/>
      <c r="G167" s="137"/>
      <c r="H167" s="131"/>
      <c r="I167" s="138"/>
      <c r="J167" s="131"/>
      <c r="K167" s="138"/>
      <c r="L167" s="6"/>
      <c r="M167" s="6"/>
      <c r="N167" s="121"/>
      <c r="O167" s="121"/>
      <c r="P167" s="121"/>
      <c r="Q167" s="149"/>
      <c r="R167" s="6"/>
      <c r="S167" s="121"/>
      <c r="T167" s="121"/>
      <c r="U167" s="149"/>
      <c r="V167" s="6"/>
      <c r="W167" s="121"/>
      <c r="X167" s="82"/>
      <c r="Y167" s="135"/>
      <c r="Z167" s="120"/>
    </row>
    <row r="168" spans="2:26" s="134" customFormat="1" ht="17.100000000000001" customHeight="1" x14ac:dyDescent="0.25">
      <c r="B168" s="304" t="s">
        <v>412</v>
      </c>
      <c r="C168" s="305"/>
      <c r="D168" s="306"/>
      <c r="E168" s="307"/>
      <c r="F168" s="306"/>
      <c r="G168" s="308"/>
      <c r="H168" s="131"/>
      <c r="I168" s="138"/>
      <c r="J168" s="131"/>
      <c r="K168" s="138"/>
      <c r="L168" s="6"/>
      <c r="M168" s="6"/>
      <c r="N168" s="121"/>
      <c r="O168" s="121"/>
      <c r="P168" s="121"/>
      <c r="Q168" s="149"/>
      <c r="R168" s="6"/>
      <c r="S168" s="160"/>
      <c r="T168" s="121"/>
      <c r="U168" s="149"/>
      <c r="V168" s="6"/>
      <c r="W168" s="121"/>
      <c r="X168" s="82"/>
      <c r="Y168" s="135"/>
      <c r="Z168" s="120"/>
    </row>
    <row r="169" spans="2:26" s="134" customFormat="1" ht="17.100000000000001" customHeight="1" x14ac:dyDescent="0.25">
      <c r="B169" s="110"/>
      <c r="C169" s="82"/>
      <c r="D169" s="130"/>
      <c r="E169" s="149"/>
      <c r="F169" s="130"/>
      <c r="G169" s="137"/>
      <c r="H169" s="131"/>
      <c r="I169" s="138"/>
      <c r="J169" s="131"/>
      <c r="K169" s="138"/>
      <c r="L169" s="6"/>
      <c r="M169" s="6"/>
      <c r="N169" s="121"/>
      <c r="O169" s="121"/>
      <c r="P169" s="121"/>
      <c r="Q169" s="149"/>
      <c r="R169" s="6"/>
      <c r="S169" s="121"/>
      <c r="T169" s="121"/>
      <c r="U169" s="149"/>
      <c r="V169" s="6"/>
      <c r="W169" s="121"/>
      <c r="X169" s="82"/>
      <c r="Y169" s="135"/>
      <c r="Z169" s="120"/>
    </row>
    <row r="170" spans="2:26" s="134" customFormat="1" ht="17.100000000000001" customHeight="1" x14ac:dyDescent="0.25">
      <c r="B170" s="453"/>
      <c r="C170" s="453"/>
      <c r="D170" s="130"/>
      <c r="E170" s="5"/>
      <c r="F170" s="131"/>
      <c r="G170" s="5"/>
      <c r="H170" s="5"/>
      <c r="I170" s="121"/>
      <c r="J170" s="5"/>
      <c r="K170" s="6"/>
      <c r="L170" s="6"/>
      <c r="M170" s="6"/>
      <c r="N170" s="121"/>
      <c r="O170" s="121"/>
      <c r="P170" s="121"/>
      <c r="Q170" s="5"/>
      <c r="R170" s="6"/>
      <c r="S170" s="160"/>
      <c r="T170" s="121"/>
      <c r="U170" s="5"/>
      <c r="V170" s="6"/>
      <c r="W170" s="121"/>
      <c r="X170" s="82"/>
      <c r="Y170" s="135"/>
      <c r="Z170" s="120"/>
    </row>
    <row r="171" spans="2:26" s="134" customFormat="1" ht="17.100000000000001" customHeight="1" x14ac:dyDescent="0.25">
      <c r="B171" s="104"/>
      <c r="C171" s="104"/>
      <c r="D171" s="104"/>
      <c r="E171" s="104"/>
      <c r="F171" s="104"/>
      <c r="G171" s="105"/>
      <c r="H171" s="106"/>
      <c r="I171" s="107"/>
      <c r="J171" s="121"/>
      <c r="K171" s="121"/>
      <c r="L171" s="121"/>
      <c r="M171" s="121"/>
      <c r="N171" s="121"/>
      <c r="O171" s="121"/>
      <c r="P171" s="121"/>
      <c r="Q171" s="121"/>
      <c r="R171" s="121"/>
      <c r="S171" s="121"/>
      <c r="T171" s="121"/>
      <c r="U171" s="121"/>
      <c r="V171" s="121"/>
      <c r="W171" s="121"/>
      <c r="X171" s="82"/>
      <c r="Y171" s="135"/>
      <c r="Z171" s="120"/>
    </row>
    <row r="172" spans="2:26" ht="17.100000000000001" customHeight="1" x14ac:dyDescent="0.25">
      <c r="B172" s="5"/>
      <c r="C172" s="5"/>
      <c r="D172" s="5"/>
      <c r="E172" s="5"/>
      <c r="F172" s="5"/>
      <c r="G172" s="5"/>
      <c r="H172" s="5"/>
      <c r="I172" s="121"/>
      <c r="J172" s="121"/>
      <c r="K172" s="121"/>
      <c r="L172" s="121"/>
      <c r="M172" s="121"/>
      <c r="N172" s="121"/>
      <c r="O172" s="121"/>
      <c r="P172" s="121"/>
      <c r="Q172" s="121"/>
      <c r="R172" s="121"/>
      <c r="S172" s="121"/>
      <c r="T172" s="121"/>
      <c r="U172" s="121"/>
      <c r="V172" s="121"/>
      <c r="W172" s="121"/>
      <c r="X172" s="113"/>
      <c r="Y172" s="113"/>
    </row>
    <row r="173" spans="2:26" ht="17.100000000000001" customHeight="1" x14ac:dyDescent="0.25">
      <c r="B173" s="5"/>
      <c r="C173" s="5"/>
      <c r="D173" s="5"/>
      <c r="E173" s="5"/>
      <c r="F173" s="5"/>
      <c r="G173" s="5"/>
      <c r="H173" s="5"/>
      <c r="I173" s="121"/>
      <c r="J173" s="121"/>
      <c r="K173" s="121"/>
      <c r="L173" s="121"/>
      <c r="M173" s="121"/>
      <c r="N173" s="121"/>
      <c r="O173" s="121"/>
      <c r="P173" s="121"/>
      <c r="Q173" s="121"/>
      <c r="R173" s="121"/>
      <c r="S173" s="121"/>
      <c r="T173" s="121"/>
      <c r="U173" s="121"/>
      <c r="V173" s="121"/>
      <c r="W173" s="121"/>
      <c r="X173" s="113"/>
      <c r="Y173" s="113"/>
    </row>
    <row r="174" spans="2:26" ht="17.100000000000001" customHeight="1" x14ac:dyDescent="0.25">
      <c r="B174" s="322" t="s">
        <v>34</v>
      </c>
      <c r="C174" s="322"/>
      <c r="D174" s="322"/>
      <c r="E174" s="322"/>
      <c r="F174" s="322"/>
      <c r="G174" s="12"/>
      <c r="H174" s="12"/>
      <c r="I174" s="12"/>
      <c r="J174" s="12"/>
      <c r="K174" s="113"/>
      <c r="L174" s="113"/>
      <c r="M174" s="113"/>
      <c r="N174" s="113"/>
      <c r="O174" s="113"/>
      <c r="P174" s="113"/>
      <c r="Q174" s="113"/>
      <c r="R174" s="113"/>
      <c r="S174" s="113"/>
      <c r="T174" s="113"/>
      <c r="U174" s="113"/>
      <c r="V174" s="113"/>
      <c r="W174" s="113"/>
      <c r="X174" s="113"/>
      <c r="Y174" s="113"/>
    </row>
    <row r="175" spans="2:26" ht="17.100000000000001" customHeight="1" x14ac:dyDescent="0.25">
      <c r="B175" s="12"/>
      <c r="C175" s="12"/>
      <c r="D175" s="12"/>
      <c r="E175" s="12"/>
      <c r="F175" s="12"/>
      <c r="G175" s="12"/>
      <c r="H175" s="12"/>
      <c r="I175" s="12"/>
      <c r="J175" s="12"/>
      <c r="K175" s="113"/>
      <c r="L175" s="113"/>
      <c r="M175" s="113"/>
      <c r="N175" s="113"/>
      <c r="O175" s="113"/>
      <c r="P175" s="113"/>
      <c r="Q175" s="113"/>
      <c r="R175" s="113"/>
      <c r="S175" s="113"/>
      <c r="T175" s="113"/>
      <c r="U175" s="113"/>
      <c r="V175" s="113"/>
      <c r="W175" s="113"/>
      <c r="X175" s="113"/>
      <c r="Y175" s="113"/>
    </row>
    <row r="176" spans="2:26" ht="17.100000000000001" customHeight="1" x14ac:dyDescent="0.25">
      <c r="B176" s="12" t="s">
        <v>35</v>
      </c>
      <c r="C176" s="309" t="s">
        <v>202</v>
      </c>
      <c r="D176" s="309"/>
      <c r="E176" s="309"/>
      <c r="F176" s="309"/>
      <c r="G176" s="309"/>
      <c r="H176" s="309"/>
      <c r="I176" s="309"/>
      <c r="J176" s="309"/>
      <c r="K176" s="113"/>
      <c r="L176" s="113"/>
      <c r="M176" s="113"/>
      <c r="N176" s="113"/>
      <c r="O176" s="113"/>
      <c r="P176" s="113"/>
      <c r="Q176" s="113"/>
      <c r="R176" s="113"/>
      <c r="S176" s="113"/>
      <c r="T176" s="113"/>
      <c r="U176" s="113"/>
      <c r="V176" s="113"/>
      <c r="W176" s="113"/>
      <c r="X176" s="113"/>
      <c r="Y176" s="113"/>
    </row>
    <row r="177" spans="2:25" ht="17.100000000000001" customHeight="1" x14ac:dyDescent="0.25">
      <c r="B177" s="12" t="s">
        <v>37</v>
      </c>
      <c r="C177" s="309" t="s">
        <v>64</v>
      </c>
      <c r="D177" s="309"/>
      <c r="E177" s="309"/>
      <c r="F177" s="309"/>
      <c r="G177" s="309"/>
      <c r="H177" s="309"/>
      <c r="I177" s="309"/>
      <c r="J177" s="309"/>
      <c r="K177" s="113"/>
      <c r="L177" s="113"/>
      <c r="M177" s="113"/>
      <c r="N177" s="113"/>
      <c r="O177" s="113"/>
      <c r="P177" s="113"/>
      <c r="Q177" s="113"/>
      <c r="R177" s="113"/>
      <c r="S177" s="113"/>
      <c r="T177" s="113"/>
      <c r="U177" s="113"/>
      <c r="V177" s="113"/>
      <c r="W177" s="113"/>
      <c r="X177" s="113"/>
      <c r="Y177" s="113"/>
    </row>
    <row r="178" spans="2:25" s="12" customFormat="1" ht="17.100000000000001" customHeight="1" x14ac:dyDescent="0.25">
      <c r="B178" s="12" t="s">
        <v>39</v>
      </c>
      <c r="C178" s="452" t="s">
        <v>40</v>
      </c>
      <c r="D178" s="452"/>
      <c r="E178" s="452"/>
      <c r="F178" s="452"/>
      <c r="G178" s="452"/>
      <c r="H178" s="452"/>
      <c r="I178" s="452"/>
      <c r="J178" s="452"/>
      <c r="K178" s="23"/>
      <c r="L178" s="23"/>
      <c r="M178" s="23"/>
      <c r="N178" s="23"/>
      <c r="O178" s="23"/>
      <c r="P178" s="23"/>
      <c r="Q178" s="23"/>
      <c r="R178" s="23"/>
      <c r="S178" s="23"/>
      <c r="T178" s="23"/>
      <c r="U178" s="23"/>
      <c r="V178" s="23"/>
      <c r="W178" s="23"/>
      <c r="X178" s="23"/>
      <c r="Y178" s="23"/>
    </row>
    <row r="179" spans="2:25" s="12" customFormat="1" ht="17.100000000000001" customHeight="1" x14ac:dyDescent="0.25">
      <c r="B179" s="12" t="s">
        <v>50</v>
      </c>
      <c r="C179" s="309" t="s">
        <v>65</v>
      </c>
      <c r="D179" s="309"/>
      <c r="E179" s="309"/>
      <c r="F179" s="309"/>
      <c r="G179" s="309"/>
      <c r="H179" s="309"/>
      <c r="I179" s="309"/>
      <c r="J179" s="309"/>
      <c r="K179" s="23"/>
      <c r="L179" s="23"/>
      <c r="M179" s="23"/>
      <c r="N179" s="23"/>
      <c r="O179" s="23"/>
      <c r="P179" s="23"/>
      <c r="Q179" s="23"/>
      <c r="R179" s="23"/>
      <c r="S179" s="23"/>
      <c r="T179" s="23"/>
      <c r="U179" s="23"/>
      <c r="V179" s="23"/>
      <c r="W179" s="23"/>
      <c r="X179" s="23"/>
      <c r="Y179" s="23"/>
    </row>
    <row r="180" spans="2:25" s="12" customFormat="1" ht="17.100000000000001" customHeight="1" x14ac:dyDescent="0.25">
      <c r="B180" s="12" t="s">
        <v>57</v>
      </c>
      <c r="C180" s="309" t="s">
        <v>66</v>
      </c>
      <c r="D180" s="309"/>
      <c r="E180" s="309"/>
      <c r="F180" s="309"/>
      <c r="G180" s="309"/>
      <c r="H180" s="309"/>
      <c r="I180" s="309"/>
      <c r="J180" s="309"/>
      <c r="K180" s="23"/>
      <c r="L180" s="23"/>
      <c r="M180" s="23"/>
      <c r="N180" s="23"/>
      <c r="O180" s="23"/>
      <c r="P180" s="23"/>
      <c r="Q180" s="23"/>
      <c r="R180" s="23"/>
      <c r="S180" s="23"/>
      <c r="T180" s="23"/>
      <c r="U180" s="23"/>
      <c r="V180" s="23"/>
      <c r="W180" s="23"/>
      <c r="X180" s="23"/>
      <c r="Y180" s="23"/>
    </row>
    <row r="181" spans="2:25" ht="17.100000000000001" customHeight="1" x14ac:dyDescent="0.25">
      <c r="B181" s="12" t="s">
        <v>60</v>
      </c>
      <c r="C181" s="321" t="s">
        <v>56</v>
      </c>
      <c r="D181" s="321"/>
      <c r="E181" s="321"/>
      <c r="F181" s="321"/>
      <c r="G181" s="321"/>
      <c r="H181" s="321"/>
      <c r="I181" s="321"/>
      <c r="J181" s="321"/>
      <c r="K181" s="113"/>
      <c r="L181" s="113"/>
      <c r="M181" s="113"/>
      <c r="N181" s="113"/>
      <c r="O181" s="113"/>
      <c r="P181" s="113"/>
      <c r="Q181" s="113"/>
      <c r="R181" s="113"/>
      <c r="S181" s="113"/>
      <c r="T181" s="113"/>
      <c r="U181" s="113"/>
      <c r="V181" s="113"/>
      <c r="W181" s="113"/>
      <c r="X181" s="113"/>
      <c r="Y181" s="113"/>
    </row>
    <row r="182" spans="2:25" ht="17.100000000000001" customHeight="1" x14ac:dyDescent="0.25">
      <c r="B182" s="12" t="s">
        <v>79</v>
      </c>
      <c r="C182" s="452" t="s">
        <v>78</v>
      </c>
      <c r="D182" s="452"/>
      <c r="E182" s="452"/>
      <c r="F182" s="452"/>
      <c r="G182" s="452"/>
      <c r="H182" s="452"/>
      <c r="I182" s="452"/>
      <c r="J182" s="452"/>
      <c r="K182" s="113"/>
      <c r="L182" s="113"/>
      <c r="M182" s="113"/>
      <c r="N182" s="113"/>
      <c r="O182" s="113"/>
      <c r="P182" s="113"/>
      <c r="Q182" s="113"/>
      <c r="R182" s="113"/>
      <c r="S182" s="113"/>
      <c r="T182" s="113"/>
      <c r="U182" s="113"/>
      <c r="V182" s="113"/>
      <c r="W182" s="113"/>
      <c r="X182" s="113"/>
      <c r="Y182" s="113"/>
    </row>
    <row r="183" spans="2:25" ht="17.100000000000001" customHeight="1" x14ac:dyDescent="0.25">
      <c r="B183" s="12" t="s">
        <v>93</v>
      </c>
      <c r="C183" s="309" t="s">
        <v>83</v>
      </c>
      <c r="D183" s="309"/>
      <c r="E183" s="309"/>
      <c r="F183" s="309"/>
      <c r="G183" s="309"/>
      <c r="H183" s="309"/>
      <c r="I183" s="309"/>
      <c r="J183" s="309"/>
      <c r="K183" s="113"/>
      <c r="L183" s="113"/>
      <c r="M183" s="113"/>
      <c r="N183" s="113"/>
      <c r="O183" s="113"/>
      <c r="P183" s="113"/>
      <c r="Q183" s="113"/>
      <c r="R183" s="113"/>
      <c r="S183" s="113"/>
      <c r="T183" s="113"/>
      <c r="U183" s="113"/>
      <c r="V183" s="113"/>
      <c r="W183" s="113"/>
      <c r="X183" s="113"/>
      <c r="Y183" s="113"/>
    </row>
    <row r="184" spans="2:25" ht="17.100000000000001" customHeight="1" x14ac:dyDescent="0.25">
      <c r="B184" s="12" t="s">
        <v>168</v>
      </c>
      <c r="C184" s="309" t="s">
        <v>169</v>
      </c>
      <c r="D184" s="309"/>
      <c r="E184" s="309"/>
      <c r="F184" s="309"/>
      <c r="G184" s="309"/>
      <c r="H184" s="309"/>
      <c r="I184" s="309"/>
      <c r="J184" s="309"/>
      <c r="K184" s="121"/>
      <c r="L184" s="121"/>
      <c r="M184" s="121"/>
      <c r="N184" s="121"/>
      <c r="O184" s="121"/>
      <c r="P184" s="121"/>
      <c r="Q184" s="121"/>
      <c r="R184" s="121"/>
      <c r="S184" s="121"/>
      <c r="T184" s="121"/>
      <c r="U184" s="121"/>
      <c r="V184" s="121"/>
      <c r="W184" s="121"/>
      <c r="X184" s="113"/>
      <c r="Y184" s="113"/>
    </row>
    <row r="185" spans="2:25" ht="17.100000000000001" customHeight="1" x14ac:dyDescent="0.25">
      <c r="B185" s="12"/>
      <c r="C185" s="12"/>
      <c r="D185" s="12"/>
      <c r="E185" s="12"/>
      <c r="F185" s="12"/>
      <c r="G185" s="12"/>
      <c r="H185" s="12"/>
      <c r="I185" s="12"/>
      <c r="J185" s="12"/>
      <c r="K185" s="121"/>
      <c r="L185" s="121"/>
      <c r="M185" s="121"/>
      <c r="N185" s="121"/>
      <c r="O185" s="121"/>
      <c r="P185" s="121"/>
      <c r="Q185" s="121"/>
      <c r="R185" s="121"/>
      <c r="S185" s="121"/>
      <c r="T185" s="121"/>
      <c r="U185" s="121"/>
      <c r="V185" s="121"/>
      <c r="W185" s="121"/>
      <c r="X185" s="113"/>
      <c r="Y185" s="113"/>
    </row>
    <row r="186" spans="2:25" ht="17.100000000000001" customHeight="1" x14ac:dyDescent="0.25">
      <c r="B186" s="41" t="s">
        <v>122</v>
      </c>
      <c r="C186" s="41"/>
      <c r="D186" s="41"/>
      <c r="E186" s="41"/>
      <c r="F186" s="12"/>
      <c r="G186" s="12"/>
      <c r="H186" s="12"/>
      <c r="I186" s="12"/>
      <c r="J186" s="12"/>
      <c r="K186" s="121"/>
      <c r="L186" s="121"/>
      <c r="M186" s="121"/>
      <c r="N186" s="121"/>
      <c r="O186" s="121"/>
      <c r="P186" s="121"/>
      <c r="Q186" s="121"/>
      <c r="R186" s="121"/>
      <c r="S186" s="121"/>
      <c r="T186" s="121"/>
      <c r="U186" s="121"/>
      <c r="V186" s="121"/>
      <c r="W186" s="121"/>
      <c r="X186" s="113"/>
      <c r="Y186" s="113"/>
    </row>
    <row r="187" spans="2:25" ht="17.100000000000001" customHeight="1" x14ac:dyDescent="0.25">
      <c r="B187" s="12" t="s">
        <v>123</v>
      </c>
      <c r="C187" s="12"/>
      <c r="D187" s="12"/>
      <c r="E187" s="12"/>
      <c r="F187" s="12"/>
      <c r="G187" s="12"/>
      <c r="H187" s="12"/>
      <c r="I187" s="12"/>
      <c r="J187" s="12"/>
      <c r="K187" s="121"/>
      <c r="L187" s="121"/>
      <c r="M187" s="121"/>
      <c r="N187" s="121"/>
      <c r="O187" s="121"/>
      <c r="P187" s="121"/>
      <c r="Q187" s="121"/>
      <c r="R187" s="121"/>
      <c r="S187" s="121"/>
      <c r="T187" s="121"/>
      <c r="U187" s="121"/>
      <c r="V187" s="121"/>
      <c r="W187" s="121"/>
      <c r="X187" s="113"/>
      <c r="Y187" s="113"/>
    </row>
    <row r="188" spans="2:25" ht="17.100000000000001" customHeight="1" x14ac:dyDescent="0.25">
      <c r="B188" s="12" t="s">
        <v>124</v>
      </c>
      <c r="C188" s="12"/>
      <c r="D188" s="12"/>
      <c r="E188" s="12"/>
      <c r="F188" s="12"/>
      <c r="G188" s="12"/>
      <c r="H188" s="12"/>
      <c r="I188" s="12"/>
      <c r="J188" s="12"/>
      <c r="K188" s="121"/>
      <c r="L188" s="121"/>
      <c r="M188" s="121"/>
      <c r="N188" s="121"/>
      <c r="O188" s="121"/>
      <c r="P188" s="121"/>
      <c r="Q188" s="121"/>
      <c r="R188" s="121"/>
      <c r="S188" s="121"/>
      <c r="T188" s="121"/>
      <c r="U188" s="121"/>
      <c r="V188" s="121"/>
      <c r="W188" s="121"/>
      <c r="X188" s="113"/>
      <c r="Y188" s="113"/>
    </row>
    <row r="189" spans="2:25" ht="17.100000000000001" customHeight="1" x14ac:dyDescent="0.25">
      <c r="B189" s="12"/>
      <c r="C189" s="12"/>
      <c r="D189" s="12"/>
      <c r="E189" s="12"/>
      <c r="F189" s="12"/>
      <c r="G189" s="12"/>
      <c r="H189" s="12"/>
      <c r="I189" s="12"/>
      <c r="J189" s="12"/>
      <c r="K189" s="121"/>
      <c r="L189" s="121"/>
      <c r="M189" s="121"/>
      <c r="N189" s="121"/>
      <c r="O189" s="121"/>
      <c r="P189" s="121"/>
      <c r="Q189" s="121"/>
      <c r="R189" s="121"/>
      <c r="S189" s="121"/>
      <c r="T189" s="121"/>
      <c r="U189" s="121"/>
      <c r="V189" s="121"/>
      <c r="W189" s="121"/>
      <c r="X189" s="113"/>
      <c r="Y189" s="113"/>
    </row>
    <row r="190" spans="2:25" ht="17.100000000000001" customHeight="1" x14ac:dyDescent="0.25">
      <c r="B190" s="41" t="s">
        <v>126</v>
      </c>
      <c r="C190" s="12"/>
      <c r="D190" s="12"/>
      <c r="E190" s="12"/>
      <c r="F190" s="12"/>
      <c r="G190" s="12"/>
      <c r="H190" s="12"/>
      <c r="I190" s="12"/>
      <c r="J190" s="12"/>
      <c r="K190" s="121"/>
      <c r="L190" s="121"/>
      <c r="M190" s="121"/>
      <c r="N190" s="121"/>
      <c r="O190" s="121"/>
      <c r="P190" s="121"/>
      <c r="Q190" s="121"/>
      <c r="R190" s="121"/>
      <c r="S190" s="121"/>
      <c r="T190" s="121"/>
      <c r="U190" s="121"/>
      <c r="V190" s="121"/>
      <c r="W190" s="121"/>
      <c r="X190" s="113"/>
      <c r="Y190" s="113"/>
    </row>
    <row r="191" spans="2:25" ht="17.100000000000001" customHeight="1" x14ac:dyDescent="0.25">
      <c r="B191" s="12" t="s">
        <v>214</v>
      </c>
      <c r="C191" s="41"/>
      <c r="D191" s="41"/>
      <c r="E191" s="41"/>
      <c r="F191" s="12"/>
      <c r="G191" s="12"/>
      <c r="H191" s="12"/>
      <c r="I191" s="12"/>
      <c r="J191" s="12"/>
      <c r="K191" s="121"/>
      <c r="L191" s="121"/>
      <c r="M191" s="121"/>
      <c r="N191" s="121"/>
      <c r="O191" s="121"/>
      <c r="P191" s="121"/>
      <c r="Q191" s="121"/>
      <c r="R191" s="121"/>
      <c r="S191" s="121"/>
      <c r="T191" s="121"/>
      <c r="U191" s="121"/>
      <c r="V191" s="121"/>
      <c r="W191" s="121"/>
      <c r="X191" s="113"/>
      <c r="Y191" s="113"/>
    </row>
    <row r="192" spans="2:25" ht="17.100000000000001" customHeight="1" x14ac:dyDescent="0.25">
      <c r="B192" s="12"/>
      <c r="C192" s="12"/>
      <c r="D192" s="12"/>
      <c r="E192" s="12"/>
      <c r="F192" s="12"/>
      <c r="G192" s="12"/>
      <c r="H192" s="12"/>
      <c r="I192" s="12"/>
      <c r="J192" s="12"/>
      <c r="K192" s="121"/>
      <c r="L192" s="121"/>
      <c r="M192" s="121"/>
      <c r="N192" s="121"/>
      <c r="O192" s="121"/>
      <c r="P192" s="121"/>
      <c r="Q192" s="121"/>
      <c r="R192" s="121"/>
      <c r="S192" s="121"/>
      <c r="T192" s="121"/>
      <c r="U192" s="121"/>
      <c r="V192" s="121"/>
      <c r="W192" s="121"/>
      <c r="X192" s="113"/>
      <c r="Y192" s="113"/>
    </row>
    <row r="193" spans="2:25" ht="17.100000000000001" customHeight="1" x14ac:dyDescent="0.25">
      <c r="B193" s="106"/>
      <c r="C193" s="106"/>
      <c r="D193" s="106"/>
      <c r="E193" s="106"/>
      <c r="F193" s="106"/>
      <c r="G193" s="106"/>
      <c r="H193" s="106"/>
      <c r="I193" s="121"/>
      <c r="J193" s="121"/>
      <c r="K193" s="121"/>
      <c r="L193" s="121"/>
      <c r="M193" s="121"/>
      <c r="N193" s="121"/>
      <c r="O193" s="121"/>
      <c r="P193" s="121"/>
      <c r="Q193" s="121"/>
      <c r="R193" s="121"/>
      <c r="S193" s="121"/>
      <c r="T193" s="121"/>
      <c r="U193" s="121"/>
      <c r="V193" s="121"/>
      <c r="W193" s="121"/>
      <c r="X193" s="113"/>
      <c r="Y193" s="113"/>
    </row>
    <row r="194" spans="2:25" ht="17.100000000000001" customHeight="1" x14ac:dyDescent="0.25">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row>
    <row r="195" spans="2:25" ht="17.100000000000001" customHeight="1" x14ac:dyDescent="0.25">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row>
    <row r="196" spans="2:25" ht="17.100000000000001" customHeight="1" x14ac:dyDescent="0.25">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row>
    <row r="197" spans="2:25" ht="17.100000000000001" customHeight="1" x14ac:dyDescent="0.25">
      <c r="B197" s="5"/>
      <c r="C197" s="5"/>
      <c r="D197" s="5"/>
      <c r="E197" s="5"/>
      <c r="F197" s="5"/>
      <c r="G197" s="5"/>
      <c r="H197" s="5"/>
      <c r="I197" s="113"/>
      <c r="J197" s="113"/>
      <c r="K197" s="113"/>
      <c r="L197" s="113"/>
      <c r="M197" s="113"/>
      <c r="N197" s="113"/>
      <c r="O197" s="113"/>
      <c r="P197" s="113"/>
      <c r="Q197" s="113"/>
      <c r="R197" s="113"/>
      <c r="S197" s="113"/>
      <c r="T197" s="113"/>
      <c r="U197" s="113"/>
      <c r="V197" s="113"/>
      <c r="W197" s="113"/>
      <c r="X197" s="113"/>
    </row>
    <row r="198" spans="2:25" ht="17.100000000000001" customHeight="1" x14ac:dyDescent="0.25">
      <c r="B198" s="23"/>
      <c r="C198" s="23"/>
      <c r="D198" s="23"/>
      <c r="E198" s="23"/>
      <c r="F198" s="23"/>
      <c r="G198" s="23"/>
      <c r="H198" s="23"/>
      <c r="I198" s="113"/>
      <c r="J198" s="113"/>
      <c r="K198" s="113"/>
      <c r="L198" s="113"/>
      <c r="M198" s="113"/>
      <c r="N198" s="113"/>
      <c r="O198" s="113"/>
      <c r="P198" s="113"/>
      <c r="Q198" s="113"/>
      <c r="R198" s="113"/>
      <c r="S198" s="113"/>
      <c r="T198" s="113"/>
      <c r="U198" s="113"/>
      <c r="V198" s="113"/>
      <c r="W198" s="113"/>
      <c r="X198" s="113"/>
    </row>
    <row r="199" spans="2:25" ht="17.100000000000001" customHeight="1" x14ac:dyDescent="0.25">
      <c r="B199" s="23"/>
      <c r="C199" s="23"/>
      <c r="D199" s="23"/>
      <c r="E199" s="23"/>
      <c r="F199" s="23"/>
      <c r="G199" s="23"/>
      <c r="H199" s="23"/>
      <c r="I199" s="113"/>
      <c r="J199" s="113"/>
      <c r="K199" s="113"/>
      <c r="L199" s="113"/>
      <c r="M199" s="113"/>
      <c r="N199" s="113"/>
      <c r="O199" s="113"/>
      <c r="P199" s="113"/>
      <c r="Q199" s="113"/>
      <c r="R199" s="113"/>
      <c r="S199" s="113"/>
      <c r="T199" s="113"/>
      <c r="U199" s="113"/>
      <c r="V199" s="113"/>
      <c r="W199" s="113"/>
      <c r="X199" s="113"/>
    </row>
    <row r="200" spans="2:25" ht="17.100000000000001" customHeight="1" x14ac:dyDescent="0.25">
      <c r="B200" s="23"/>
      <c r="C200" s="23"/>
      <c r="D200" s="23"/>
      <c r="E200" s="23"/>
      <c r="F200" s="23"/>
      <c r="G200" s="23"/>
      <c r="H200" s="23"/>
      <c r="I200" s="113"/>
      <c r="J200" s="113"/>
      <c r="K200" s="113"/>
      <c r="L200" s="113"/>
      <c r="M200" s="113"/>
      <c r="N200" s="113"/>
      <c r="O200" s="113"/>
      <c r="P200" s="113"/>
      <c r="Q200" s="113"/>
      <c r="R200" s="113"/>
      <c r="S200" s="113"/>
      <c r="T200" s="113"/>
      <c r="U200" s="113"/>
      <c r="V200" s="113"/>
      <c r="W200" s="113"/>
      <c r="X200" s="113"/>
    </row>
    <row r="201" spans="2:25" ht="17.100000000000001" customHeight="1" x14ac:dyDescent="0.25">
      <c r="B201" s="23"/>
      <c r="C201" s="23"/>
      <c r="D201" s="23"/>
      <c r="E201" s="23"/>
      <c r="F201" s="23"/>
      <c r="G201" s="23"/>
      <c r="H201" s="23"/>
      <c r="I201" s="113"/>
      <c r="J201" s="113"/>
      <c r="K201" s="113"/>
      <c r="L201" s="113"/>
      <c r="M201" s="113"/>
      <c r="N201" s="113"/>
      <c r="O201" s="113"/>
      <c r="P201" s="113"/>
      <c r="Q201" s="113"/>
      <c r="R201" s="113"/>
      <c r="S201" s="113"/>
      <c r="T201" s="113"/>
      <c r="U201" s="113"/>
      <c r="V201" s="113"/>
      <c r="W201" s="113"/>
      <c r="X201" s="113"/>
    </row>
    <row r="202" spans="2:25" ht="17.100000000000001" customHeight="1" x14ac:dyDescent="0.25">
      <c r="B202" s="83"/>
      <c r="C202" s="83"/>
      <c r="D202" s="83"/>
      <c r="E202" s="83"/>
      <c r="F202" s="83"/>
      <c r="G202" s="83"/>
      <c r="H202" s="83"/>
      <c r="I202" s="113"/>
      <c r="J202" s="113"/>
      <c r="K202" s="113"/>
      <c r="L202" s="113"/>
      <c r="M202" s="113"/>
      <c r="N202" s="113"/>
      <c r="O202" s="113"/>
      <c r="P202" s="113"/>
      <c r="Q202" s="113"/>
      <c r="R202" s="113"/>
      <c r="S202" s="113"/>
      <c r="T202" s="113"/>
      <c r="U202" s="113"/>
      <c r="V202" s="113"/>
      <c r="W202" s="113"/>
      <c r="X202" s="113"/>
    </row>
    <row r="203" spans="2:25" ht="17.100000000000001" customHeight="1" x14ac:dyDescent="0.25">
      <c r="B203" s="83"/>
      <c r="C203" s="83"/>
      <c r="D203" s="83"/>
      <c r="E203" s="83"/>
      <c r="F203" s="83"/>
      <c r="G203" s="83"/>
      <c r="H203" s="83"/>
      <c r="I203" s="113"/>
      <c r="J203" s="113"/>
      <c r="K203" s="113"/>
      <c r="L203" s="113"/>
      <c r="M203" s="113"/>
      <c r="N203" s="113"/>
      <c r="O203" s="113"/>
      <c r="P203" s="113"/>
      <c r="Q203" s="113"/>
      <c r="R203" s="113"/>
      <c r="S203" s="113"/>
      <c r="T203" s="113"/>
      <c r="U203" s="113"/>
      <c r="V203" s="113"/>
      <c r="W203" s="113"/>
      <c r="X203" s="113"/>
    </row>
    <row r="204" spans="2:25" ht="17.100000000000001" customHeight="1" x14ac:dyDescent="0.25">
      <c r="B204" s="83"/>
      <c r="C204" s="83"/>
      <c r="D204" s="83"/>
      <c r="E204" s="83"/>
      <c r="F204" s="83"/>
      <c r="G204" s="83"/>
      <c r="H204" s="83"/>
      <c r="I204" s="23"/>
      <c r="J204" s="23"/>
      <c r="K204" s="23"/>
      <c r="L204" s="23"/>
      <c r="M204" s="23"/>
      <c r="N204" s="23"/>
      <c r="O204" s="23"/>
      <c r="P204" s="23"/>
      <c r="Q204" s="23"/>
      <c r="R204" s="23"/>
      <c r="S204" s="23"/>
      <c r="T204" s="23"/>
      <c r="U204" s="23"/>
      <c r="V204" s="23"/>
      <c r="W204" s="23"/>
      <c r="X204" s="113"/>
    </row>
    <row r="205" spans="2:25" ht="17.100000000000001" customHeight="1" x14ac:dyDescent="0.25">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row>
    <row r="206" spans="2:25" ht="17.100000000000001" customHeight="1" x14ac:dyDescent="0.25">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row>
    <row r="207" spans="2:25" ht="17.100000000000001" customHeight="1" x14ac:dyDescent="0.25">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row>
    <row r="208" spans="2:25" ht="17.100000000000001" customHeight="1" x14ac:dyDescent="0.25">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row>
    <row r="209" spans="2:24" ht="17.100000000000001" customHeight="1" x14ac:dyDescent="0.25">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row>
    <row r="210" spans="2:24" ht="17.100000000000001" customHeight="1" x14ac:dyDescent="0.25">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row>
    <row r="211" spans="2:24" ht="17.100000000000001" customHeight="1" x14ac:dyDescent="0.25">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row>
    <row r="212" spans="2:24" ht="17.100000000000001" customHeight="1" x14ac:dyDescent="0.25">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row>
    <row r="213" spans="2:24" ht="17.100000000000001" customHeight="1" x14ac:dyDescent="0.25">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row>
    <row r="214" spans="2:24" ht="17.100000000000001" customHeight="1" x14ac:dyDescent="0.25">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row>
    <row r="215" spans="2:24" ht="17.100000000000001" customHeight="1" x14ac:dyDescent="0.25">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row>
    <row r="216" spans="2:24" ht="17.100000000000001" customHeight="1" x14ac:dyDescent="0.25">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row>
    <row r="217" spans="2:24" ht="17.100000000000001" customHeight="1" x14ac:dyDescent="0.25">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row>
    <row r="218" spans="2:24" ht="17.100000000000001" customHeight="1" x14ac:dyDescent="0.25">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row>
    <row r="219" spans="2:24" ht="17.100000000000001" customHeight="1" x14ac:dyDescent="0.25">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row>
    <row r="220" spans="2:24" ht="17.100000000000001" customHeight="1" x14ac:dyDescent="0.25">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row>
    <row r="221" spans="2:24" ht="17.100000000000001" customHeight="1" x14ac:dyDescent="0.25">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row>
    <row r="222" spans="2:24" ht="17.100000000000001" customHeight="1" x14ac:dyDescent="0.25">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row>
    <row r="223" spans="2:24" ht="17.100000000000001" customHeight="1" x14ac:dyDescent="0.25">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row>
    <row r="224" spans="2:24" ht="17.100000000000001" customHeight="1" x14ac:dyDescent="0.25">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row>
    <row r="225" spans="2:24" ht="17.100000000000001" customHeight="1" x14ac:dyDescent="0.25">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row>
    <row r="226" spans="2:24" ht="17.100000000000001" customHeight="1" x14ac:dyDescent="0.25">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row>
    <row r="227" spans="2:24" ht="17.100000000000001" customHeight="1" x14ac:dyDescent="0.25">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row>
    <row r="228" spans="2:24" ht="17.100000000000001" customHeight="1" x14ac:dyDescent="0.25">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row>
    <row r="229" spans="2:24" ht="17.100000000000001" customHeight="1" x14ac:dyDescent="0.25">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row>
    <row r="230" spans="2:24" ht="17.100000000000001" customHeight="1" x14ac:dyDescent="0.25">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row>
    <row r="231" spans="2:24" ht="17.100000000000001" customHeight="1" x14ac:dyDescent="0.25">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row>
    <row r="232" spans="2:24" ht="17.100000000000001" customHeight="1" x14ac:dyDescent="0.25">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row>
    <row r="233" spans="2:24" ht="17.100000000000001" customHeight="1" x14ac:dyDescent="0.25">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row>
    <row r="234" spans="2:24" ht="17.100000000000001" customHeight="1" x14ac:dyDescent="0.25">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row>
    <row r="235" spans="2:24" ht="17.100000000000001" customHeight="1" x14ac:dyDescent="0.25">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row>
    <row r="236" spans="2:24" ht="17.100000000000001" customHeight="1" x14ac:dyDescent="0.25">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row>
    <row r="237" spans="2:24" ht="17.100000000000001" customHeight="1" x14ac:dyDescent="0.25">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row>
    <row r="238" spans="2:24" ht="17.100000000000001" customHeight="1" x14ac:dyDescent="0.25">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row>
    <row r="239" spans="2:24" ht="17.100000000000001" customHeight="1" x14ac:dyDescent="0.25">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row>
    <row r="240" spans="2:24" ht="17.100000000000001" customHeight="1" x14ac:dyDescent="0.25">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row>
    <row r="241" spans="2:24" ht="17.100000000000001" customHeight="1" x14ac:dyDescent="0.25">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row>
    <row r="242" spans="2:24" ht="17.100000000000001" customHeight="1" x14ac:dyDescent="0.25">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row>
    <row r="243" spans="2:24" ht="17.100000000000001" customHeight="1" x14ac:dyDescent="0.25">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row>
    <row r="244" spans="2:24" ht="17.100000000000001" customHeight="1" x14ac:dyDescent="0.25">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row>
    <row r="245" spans="2:24" ht="17.100000000000001" customHeight="1" x14ac:dyDescent="0.25">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row>
    <row r="246" spans="2:24" ht="17.100000000000001" customHeight="1" x14ac:dyDescent="0.25">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row>
    <row r="247" spans="2:24" ht="17.100000000000001" customHeight="1" x14ac:dyDescent="0.25">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row>
    <row r="248" spans="2:24" ht="17.100000000000001" customHeight="1" x14ac:dyDescent="0.25">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row>
    <row r="249" spans="2:24" ht="17.100000000000001" customHeight="1" x14ac:dyDescent="0.25">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row>
  </sheetData>
  <mergeCells count="251">
    <mergeCell ref="L158:O158"/>
    <mergeCell ref="B159:H159"/>
    <mergeCell ref="L159:O159"/>
    <mergeCell ref="B152:H153"/>
    <mergeCell ref="I152:I153"/>
    <mergeCell ref="J152:J153"/>
    <mergeCell ref="K152:K153"/>
    <mergeCell ref="L152:O153"/>
    <mergeCell ref="K154:K155"/>
    <mergeCell ref="B154:H155"/>
    <mergeCell ref="I154:I155"/>
    <mergeCell ref="J154:J155"/>
    <mergeCell ref="L154:O155"/>
    <mergeCell ref="B157:H157"/>
    <mergeCell ref="L157:O157"/>
    <mergeCell ref="B2:F5"/>
    <mergeCell ref="B74:H74"/>
    <mergeCell ref="B76:H76"/>
    <mergeCell ref="J97:J99"/>
    <mergeCell ref="D84:D85"/>
    <mergeCell ref="E84:E85"/>
    <mergeCell ref="B88:C88"/>
    <mergeCell ref="B89:C89"/>
    <mergeCell ref="B90:C90"/>
    <mergeCell ref="B91:C91"/>
    <mergeCell ref="B92:C92"/>
    <mergeCell ref="B11:H11"/>
    <mergeCell ref="B33:H33"/>
    <mergeCell ref="J84:M84"/>
    <mergeCell ref="G53:G55"/>
    <mergeCell ref="B18:G18"/>
    <mergeCell ref="K53:K55"/>
    <mergeCell ref="B56:C56"/>
    <mergeCell ref="H56:J57"/>
    <mergeCell ref="K56:K57"/>
    <mergeCell ref="B57:C57"/>
    <mergeCell ref="B63:C63"/>
    <mergeCell ref="B60:C62"/>
    <mergeCell ref="F60:F62"/>
    <mergeCell ref="B170:C170"/>
    <mergeCell ref="B42:C42"/>
    <mergeCell ref="B43:C43"/>
    <mergeCell ref="B44:C44"/>
    <mergeCell ref="L129:O129"/>
    <mergeCell ref="B119:H119"/>
    <mergeCell ref="B84:C87"/>
    <mergeCell ref="F84:F87"/>
    <mergeCell ref="G84:G87"/>
    <mergeCell ref="H84:H87"/>
    <mergeCell ref="I84:I87"/>
    <mergeCell ref="K88:M96"/>
    <mergeCell ref="B120:H120"/>
    <mergeCell ref="B121:H121"/>
    <mergeCell ref="B64:C64"/>
    <mergeCell ref="B67:C69"/>
    <mergeCell ref="F67:F69"/>
    <mergeCell ref="G67:H69"/>
    <mergeCell ref="B70:C70"/>
    <mergeCell ref="G70:H70"/>
    <mergeCell ref="B77:H77"/>
    <mergeCell ref="B135:H135"/>
    <mergeCell ref="K127:K128"/>
    <mergeCell ref="L127:O128"/>
    <mergeCell ref="C184:J184"/>
    <mergeCell ref="B174:F174"/>
    <mergeCell ref="C179:J179"/>
    <mergeCell ref="C180:J180"/>
    <mergeCell ref="C181:J181"/>
    <mergeCell ref="C182:J182"/>
    <mergeCell ref="C183:J183"/>
    <mergeCell ref="C176:J176"/>
    <mergeCell ref="C177:J177"/>
    <mergeCell ref="C178:J178"/>
    <mergeCell ref="L139:O139"/>
    <mergeCell ref="H18:I18"/>
    <mergeCell ref="J85:J87"/>
    <mergeCell ref="B27:G27"/>
    <mergeCell ref="H27:I27"/>
    <mergeCell ref="H53:J55"/>
    <mergeCell ref="B73:H73"/>
    <mergeCell ref="B80:H80"/>
    <mergeCell ref="B79:H79"/>
    <mergeCell ref="B53:C55"/>
    <mergeCell ref="F53:F55"/>
    <mergeCell ref="B78:H78"/>
    <mergeCell ref="B75:H75"/>
    <mergeCell ref="B93:C93"/>
    <mergeCell ref="B94:C94"/>
    <mergeCell ref="B122:H123"/>
    <mergeCell ref="I122:I123"/>
    <mergeCell ref="J122:J123"/>
    <mergeCell ref="K122:K123"/>
    <mergeCell ref="L122:O123"/>
    <mergeCell ref="K124:K125"/>
    <mergeCell ref="L124:O125"/>
    <mergeCell ref="B95:C95"/>
    <mergeCell ref="B96:C96"/>
    <mergeCell ref="O90:P90"/>
    <mergeCell ref="O91:P91"/>
    <mergeCell ref="O92:P92"/>
    <mergeCell ref="O93:P93"/>
    <mergeCell ref="O94:P94"/>
    <mergeCell ref="O95:P95"/>
    <mergeCell ref="O96:P96"/>
    <mergeCell ref="H38:I38"/>
    <mergeCell ref="J38:K38"/>
    <mergeCell ref="H39:H41"/>
    <mergeCell ref="I39:I41"/>
    <mergeCell ref="J39:J41"/>
    <mergeCell ref="K39:K41"/>
    <mergeCell ref="O85:P87"/>
    <mergeCell ref="O88:P88"/>
    <mergeCell ref="K85:M87"/>
    <mergeCell ref="N84:R84"/>
    <mergeCell ref="N85:N87"/>
    <mergeCell ref="Q85:Q87"/>
    <mergeCell ref="R85:R87"/>
    <mergeCell ref="H63:J64"/>
    <mergeCell ref="K63:K64"/>
    <mergeCell ref="G60:G62"/>
    <mergeCell ref="K60:K62"/>
    <mergeCell ref="H60:J62"/>
    <mergeCell ref="B45:C45"/>
    <mergeCell ref="B46:C46"/>
    <mergeCell ref="B47:C47"/>
    <mergeCell ref="B48:C48"/>
    <mergeCell ref="B49:C49"/>
    <mergeCell ref="B50:C50"/>
    <mergeCell ref="B38:C41"/>
    <mergeCell ref="F38:F41"/>
    <mergeCell ref="G38:G41"/>
    <mergeCell ref="B134:H134"/>
    <mergeCell ref="L134:O134"/>
    <mergeCell ref="B102:C105"/>
    <mergeCell ref="F102:F105"/>
    <mergeCell ref="G102:G105"/>
    <mergeCell ref="H102:H105"/>
    <mergeCell ref="B113:H113"/>
    <mergeCell ref="B114:H114"/>
    <mergeCell ref="B106:C106"/>
    <mergeCell ref="L114:O114"/>
    <mergeCell ref="B107:C107"/>
    <mergeCell ref="B110:C110"/>
    <mergeCell ref="B108:C108"/>
    <mergeCell ref="B109:C109"/>
    <mergeCell ref="B124:H125"/>
    <mergeCell ref="I124:I125"/>
    <mergeCell ref="J124:J125"/>
    <mergeCell ref="L126:O126"/>
    <mergeCell ref="B126:H126"/>
    <mergeCell ref="B127:H128"/>
    <mergeCell ref="I127:I128"/>
    <mergeCell ref="J127:J128"/>
    <mergeCell ref="L140:O140"/>
    <mergeCell ref="B165:H165"/>
    <mergeCell ref="O89:P89"/>
    <mergeCell ref="B136:H136"/>
    <mergeCell ref="B137:H137"/>
    <mergeCell ref="B115:H116"/>
    <mergeCell ref="I115:I116"/>
    <mergeCell ref="J115:J116"/>
    <mergeCell ref="K115:K116"/>
    <mergeCell ref="L115:O116"/>
    <mergeCell ref="L113:O113"/>
    <mergeCell ref="L136:O136"/>
    <mergeCell ref="L137:O137"/>
    <mergeCell ref="L138:O138"/>
    <mergeCell ref="L119:O119"/>
    <mergeCell ref="B129:H129"/>
    <mergeCell ref="B138:H138"/>
    <mergeCell ref="B164:H164"/>
    <mergeCell ref="B163:H163"/>
    <mergeCell ref="B140:H140"/>
    <mergeCell ref="L162:O162"/>
    <mergeCell ref="L163:O163"/>
    <mergeCell ref="L164:O164"/>
    <mergeCell ref="L165:O165"/>
    <mergeCell ref="B162:H162"/>
    <mergeCell ref="B143:H143"/>
    <mergeCell ref="B144:H144"/>
    <mergeCell ref="B145:H145"/>
    <mergeCell ref="B146:H146"/>
    <mergeCell ref="B147:H147"/>
    <mergeCell ref="L143:O143"/>
    <mergeCell ref="L144:O144"/>
    <mergeCell ref="L145:O145"/>
    <mergeCell ref="L146:O146"/>
    <mergeCell ref="L147:O147"/>
    <mergeCell ref="B148:H149"/>
    <mergeCell ref="I148:I149"/>
    <mergeCell ref="J148:J149"/>
    <mergeCell ref="K148:K149"/>
    <mergeCell ref="L148:O149"/>
    <mergeCell ref="B150:H151"/>
    <mergeCell ref="I150:I151"/>
    <mergeCell ref="J150:J151"/>
    <mergeCell ref="K150:K151"/>
    <mergeCell ref="L150:O151"/>
    <mergeCell ref="B156:H156"/>
    <mergeCell ref="B158:H158"/>
    <mergeCell ref="B139:H139"/>
    <mergeCell ref="B10:H10"/>
    <mergeCell ref="B12:H12"/>
    <mergeCell ref="B8:H8"/>
    <mergeCell ref="B9:H9"/>
    <mergeCell ref="AA31:AA32"/>
    <mergeCell ref="Z31:Z32"/>
    <mergeCell ref="B24:G24"/>
    <mergeCell ref="B25:G25"/>
    <mergeCell ref="B26:G26"/>
    <mergeCell ref="B31:H31"/>
    <mergeCell ref="B32:H32"/>
    <mergeCell ref="B30:H30"/>
    <mergeCell ref="X8:Y8"/>
    <mergeCell ref="X9:Y9"/>
    <mergeCell ref="H15:I15"/>
    <mergeCell ref="H16:I16"/>
    <mergeCell ref="H17:I17"/>
    <mergeCell ref="H19:I19"/>
    <mergeCell ref="H21:I21"/>
    <mergeCell ref="H22:I22"/>
    <mergeCell ref="H23:I23"/>
    <mergeCell ref="H24:I24"/>
    <mergeCell ref="H25:I25"/>
    <mergeCell ref="H26:I26"/>
    <mergeCell ref="B15:G15"/>
    <mergeCell ref="B16:G16"/>
    <mergeCell ref="B17:G17"/>
    <mergeCell ref="B19:G19"/>
    <mergeCell ref="B21:G21"/>
    <mergeCell ref="B22:G22"/>
    <mergeCell ref="B23:G23"/>
    <mergeCell ref="B20:G20"/>
    <mergeCell ref="H20:I20"/>
    <mergeCell ref="AA26:AB26"/>
    <mergeCell ref="X24:Y24"/>
    <mergeCell ref="X25:Y25"/>
    <mergeCell ref="X26:Y26"/>
    <mergeCell ref="AA24:AB24"/>
    <mergeCell ref="AA25:AB25"/>
    <mergeCell ref="V88:V96"/>
    <mergeCell ref="Q97:Q99"/>
    <mergeCell ref="R88:R96"/>
    <mergeCell ref="X84:X87"/>
    <mergeCell ref="Y84:Y87"/>
    <mergeCell ref="U97:U99"/>
    <mergeCell ref="S84:V84"/>
    <mergeCell ref="S85:S87"/>
    <mergeCell ref="T85:T87"/>
    <mergeCell ref="U85:U87"/>
    <mergeCell ref="V85:V87"/>
  </mergeCells>
  <conditionalFormatting sqref="B28:J28">
    <cfRule type="expression" dxfId="4" priority="6">
      <formula>$H$15=$AA$8</formula>
    </cfRule>
  </conditionalFormatting>
  <conditionalFormatting sqref="K27">
    <cfRule type="expression" dxfId="3" priority="5">
      <formula>$H$15=$AA$8</formula>
    </cfRule>
  </conditionalFormatting>
  <conditionalFormatting sqref="A27">
    <cfRule type="expression" dxfId="2" priority="3">
      <formula>$H$15=$AA$8</formula>
    </cfRule>
  </conditionalFormatting>
  <conditionalFormatting sqref="B27:J27">
    <cfRule type="expression" dxfId="1" priority="2">
      <formula>$H$15=$AA$8</formula>
    </cfRule>
  </conditionalFormatting>
  <conditionalFormatting sqref="B26:J26">
    <cfRule type="expression" dxfId="0" priority="1">
      <formula>$H$15=$AA$8</formula>
    </cfRule>
  </conditionalFormatting>
  <dataValidations count="13">
    <dataValidation type="list" allowBlank="1" showInputMessage="1" showErrorMessage="1" error="Seleccione un valor de temperatura del agua" sqref="J30">
      <formula1>$X$34:$X$70</formula1>
    </dataValidation>
    <dataValidation type="decimal" allowBlank="1" showInputMessage="1" showErrorMessage="1" error="Ingrese un valor correcto de densidad relativa de arena" sqref="J75">
      <formula1>2.5</formula1>
      <formula2>2.7</formula2>
    </dataValidation>
    <dataValidation type="custom" allowBlank="1" showInputMessage="1" showErrorMessage="1" sqref="J32">
      <formula1>IF(J30="…","",ROUND(VLOOKUP(J30,X$35:AA$70,3,FALSE),9))</formula1>
    </dataValidation>
    <dataValidation type="decimal" allowBlank="1" showInputMessage="1" showErrorMessage="1" error="Ingrese un valor correcto de profundidad del lecho fijo de arena" sqref="J74">
      <formula1>0.6</formula1>
      <formula2>0.75</formula2>
    </dataValidation>
    <dataValidation type="custom" allowBlank="1" showInputMessage="1" showErrorMessage="1" sqref="J135">
      <formula1>J32</formula1>
    </dataValidation>
    <dataValidation type="decimal" allowBlank="1" showInputMessage="1" showErrorMessage="1" error="Ingrese un valor correcto para k1" sqref="J8">
      <formula1>1</formula1>
      <formula2>1.3</formula2>
    </dataValidation>
    <dataValidation type="decimal" allowBlank="1" showInputMessage="1" showErrorMessage="1" error="Ingrese un valor correcto para k2" sqref="J9">
      <formula1>1</formula1>
      <formula2>1.6</formula2>
    </dataValidation>
    <dataValidation type="list" allowBlank="1" showInputMessage="1" showErrorMessage="1" error="Seleccione un tipo de filtro" sqref="H15:I15">
      <formula1>$Z$8:$AB$8</formula1>
    </dataValidation>
    <dataValidation type="list" allowBlank="1" showInputMessage="1" showErrorMessage="1" error="Seleccione el sistema de drenaje del filtro" sqref="H18:I18">
      <formula1>$AA$20:$AA$22</formula1>
    </dataValidation>
    <dataValidation type="custom" allowBlank="1" showInputMessage="1" showErrorMessage="1" sqref="J73">
      <formula1>6.25</formula1>
    </dataValidation>
    <dataValidation type="list" allowBlank="1" showInputMessage="1" showErrorMessage="1" sqref="B119:H119">
      <formula1>$AD$8:$AD$10</formula1>
    </dataValidation>
    <dataValidation type="list" allowBlank="1" showInputMessage="1" showErrorMessage="1" sqref="J143">
      <formula1>$AG$8:$AG$12</formula1>
    </dataValidation>
    <dataValidation type="list" allowBlank="1" showInputMessage="1" showErrorMessage="1" sqref="J146">
      <formula1>$AI$8:$AI$11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Sedimentador alta tasa</vt:lpstr>
      <vt:lpstr>Sedimentador alta tasa (Romero)</vt:lpstr>
      <vt:lpstr>Filtro rápido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Marco V</cp:lastModifiedBy>
  <dcterms:created xsi:type="dcterms:W3CDTF">2021-03-13T14:20:49Z</dcterms:created>
  <dcterms:modified xsi:type="dcterms:W3CDTF">2021-12-04T00:21:07Z</dcterms:modified>
</cp:coreProperties>
</file>