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D9238BB2-3626-4033-AC71-5C7BD89A81C1}" xr6:coauthVersionLast="47" xr6:coauthVersionMax="47" xr10:uidLastSave="{00000000-0000-0000-0000-000000000000}"/>
  <bookViews>
    <workbookView xWindow="-120" yWindow="-120" windowWidth="20730" windowHeight="11160" activeTab="2" xr2:uid="{00000000-000D-0000-FFFF-FFFF00000000}"/>
  </bookViews>
  <sheets>
    <sheet name="Sedimentador alta tasa" sheetId="1" r:id="rId1"/>
    <sheet name="Sedimentador alta tasa (Romero)" sheetId="2" r:id="rId2"/>
    <sheet name="Filtro rápido" sheetId="6" r:id="rId3"/>
    <sheet name="Test"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66" i="6" l="1"/>
  <c r="I242" i="6"/>
  <c r="I373" i="6" l="1"/>
  <c r="I365" i="6"/>
  <c r="I308" i="6"/>
  <c r="J300" i="6" l="1"/>
  <c r="J298" i="6"/>
  <c r="I231" i="6"/>
  <c r="I189" i="6"/>
  <c r="I184" i="6"/>
  <c r="I187" i="6"/>
  <c r="I175" i="6"/>
  <c r="I186" i="6"/>
  <c r="I178" i="6"/>
  <c r="H279" i="6"/>
  <c r="I227" i="6"/>
  <c r="I226" i="6"/>
  <c r="I219" i="6"/>
  <c r="I212" i="6"/>
  <c r="I214" i="6"/>
  <c r="I216" i="6" s="1"/>
  <c r="I210" i="6"/>
  <c r="I215" i="6"/>
  <c r="I204" i="6"/>
  <c r="I196" i="6"/>
  <c r="E56" i="6"/>
  <c r="I192" i="6"/>
  <c r="I307" i="6"/>
  <c r="I306" i="6"/>
  <c r="I174" i="6"/>
  <c r="I155" i="6"/>
  <c r="I166" i="6"/>
  <c r="I165" i="6"/>
  <c r="I163" i="6"/>
  <c r="I160" i="6"/>
  <c r="I158" i="6"/>
  <c r="S117" i="6"/>
  <c r="I31" i="6"/>
  <c r="O99" i="6"/>
  <c r="I243" i="6" l="1"/>
  <c r="J297" i="6" s="1"/>
  <c r="I323" i="6"/>
  <c r="I325" i="6" s="1"/>
  <c r="I180" i="6"/>
  <c r="G19" i="6"/>
  <c r="F117" i="6"/>
  <c r="I248" i="6" l="1"/>
  <c r="I245" i="6"/>
  <c r="I185" i="6"/>
  <c r="I182" i="6"/>
  <c r="I391" i="6"/>
  <c r="I390" i="6"/>
  <c r="I384" i="6"/>
  <c r="I383" i="6"/>
  <c r="I233" i="6" l="1"/>
  <c r="I234" i="6" s="1"/>
  <c r="BV79" i="6"/>
  <c r="CA79" i="6"/>
  <c r="CB79" i="6"/>
  <c r="BV80" i="6"/>
  <c r="CA80" i="6"/>
  <c r="CB80" i="6"/>
  <c r="BV81" i="6"/>
  <c r="CA81" i="6"/>
  <c r="CB81" i="6"/>
  <c r="BV82" i="6"/>
  <c r="CA82" i="6"/>
  <c r="CB82" i="6"/>
  <c r="BV83" i="6"/>
  <c r="CA83" i="6"/>
  <c r="CB83" i="6"/>
  <c r="BV84" i="6"/>
  <c r="CA84" i="6"/>
  <c r="CB84" i="6"/>
  <c r="BV85" i="6"/>
  <c r="CA85" i="6"/>
  <c r="CB85" i="6"/>
  <c r="BV86" i="6"/>
  <c r="CA86" i="6"/>
  <c r="CB86" i="6"/>
  <c r="BV87" i="6"/>
  <c r="CA87" i="6"/>
  <c r="CB87" i="6"/>
  <c r="U345" i="6"/>
  <c r="U332" i="6"/>
  <c r="U321" i="6"/>
  <c r="U307" i="6"/>
  <c r="T348" i="6"/>
  <c r="T347" i="6"/>
  <c r="T346" i="6"/>
  <c r="T345" i="6"/>
  <c r="T344" i="6"/>
  <c r="V322" i="6"/>
  <c r="U322" i="6"/>
  <c r="T319" i="6"/>
  <c r="U313" i="6"/>
  <c r="I156" i="6"/>
  <c r="I312" i="6" l="1"/>
  <c r="I80" i="6"/>
  <c r="P99" i="6" s="1"/>
  <c r="I78" i="6"/>
  <c r="I79" i="6"/>
  <c r="W117" i="6" s="1"/>
  <c r="I151" i="6" l="1"/>
  <c r="I355" i="6"/>
  <c r="J117" i="6"/>
  <c r="I99" i="6"/>
  <c r="J99" i="6" s="1"/>
  <c r="E136" i="6"/>
  <c r="E137" i="6"/>
  <c r="E138" i="6"/>
  <c r="E139" i="6"/>
  <c r="E140" i="6"/>
  <c r="E141" i="6"/>
  <c r="E142" i="6"/>
  <c r="B136" i="6"/>
  <c r="B137" i="6"/>
  <c r="B138" i="6"/>
  <c r="B139" i="6"/>
  <c r="B140" i="6"/>
  <c r="B141" i="6"/>
  <c r="B142" i="6"/>
  <c r="B143" i="6"/>
  <c r="E135" i="6"/>
  <c r="B135" i="6"/>
  <c r="B117" i="6"/>
  <c r="C117" i="6" s="1"/>
  <c r="BV74" i="6"/>
  <c r="CA74" i="6"/>
  <c r="CB74" i="6"/>
  <c r="BV75" i="6"/>
  <c r="CA75" i="6"/>
  <c r="CB75" i="6"/>
  <c r="BV76" i="6"/>
  <c r="CA76" i="6"/>
  <c r="CB76" i="6"/>
  <c r="BU77" i="6"/>
  <c r="G23" i="6"/>
  <c r="G22" i="6"/>
  <c r="G21" i="6"/>
  <c r="G20" i="6"/>
  <c r="I149" i="6"/>
  <c r="D142" i="6" l="1"/>
  <c r="C142" i="6"/>
  <c r="F142" i="6" s="1"/>
  <c r="D140" i="6"/>
  <c r="C140" i="6"/>
  <c r="F140" i="6" s="1"/>
  <c r="D139" i="6"/>
  <c r="C139" i="6"/>
  <c r="F139" i="6" s="1"/>
  <c r="C138" i="6"/>
  <c r="F138" i="6" s="1"/>
  <c r="D138" i="6"/>
  <c r="D135" i="6"/>
  <c r="C135" i="6"/>
  <c r="F135" i="6" s="1"/>
  <c r="D137" i="6"/>
  <c r="C137" i="6"/>
  <c r="F137" i="6" s="1"/>
  <c r="I150" i="6"/>
  <c r="U306" i="6"/>
  <c r="U308" i="6" s="1"/>
  <c r="U356" i="6" s="1"/>
  <c r="U312" i="6"/>
  <c r="D143" i="6"/>
  <c r="C143" i="6"/>
  <c r="F143" i="6" s="1"/>
  <c r="D141" i="6"/>
  <c r="C141" i="6"/>
  <c r="F141" i="6" s="1"/>
  <c r="C136" i="6"/>
  <c r="F136" i="6" s="1"/>
  <c r="D136" i="6"/>
  <c r="E100" i="6"/>
  <c r="E101" i="6"/>
  <c r="E102" i="6"/>
  <c r="E103" i="6"/>
  <c r="E104" i="6"/>
  <c r="E105" i="6"/>
  <c r="E106" i="6"/>
  <c r="E99" i="6"/>
  <c r="E118" i="6" l="1"/>
  <c r="E119" i="6"/>
  <c r="E120" i="6"/>
  <c r="E121" i="6"/>
  <c r="E122" i="6"/>
  <c r="E123" i="6"/>
  <c r="E124" i="6"/>
  <c r="E117" i="6"/>
  <c r="B118" i="6"/>
  <c r="B119" i="6"/>
  <c r="C119" i="6" s="1"/>
  <c r="B120" i="6"/>
  <c r="B121" i="6"/>
  <c r="B122" i="6"/>
  <c r="B123" i="6"/>
  <c r="B124" i="6"/>
  <c r="B125" i="6"/>
  <c r="D117" i="6"/>
  <c r="G135" i="6" s="1"/>
  <c r="H135" i="6" s="1"/>
  <c r="B99" i="6"/>
  <c r="I135" i="6" l="1"/>
  <c r="D123" i="6"/>
  <c r="G141" i="6" s="1"/>
  <c r="H141" i="6" s="1"/>
  <c r="C123" i="6"/>
  <c r="D118" i="6"/>
  <c r="G136" i="6" s="1"/>
  <c r="H136" i="6" s="1"/>
  <c r="C118" i="6"/>
  <c r="D124" i="6"/>
  <c r="G142" i="6" s="1"/>
  <c r="H142" i="6" s="1"/>
  <c r="C124" i="6"/>
  <c r="D121" i="6"/>
  <c r="G139" i="6" s="1"/>
  <c r="H139" i="6" s="1"/>
  <c r="C121" i="6"/>
  <c r="D125" i="6"/>
  <c r="G143" i="6" s="1"/>
  <c r="H143" i="6" s="1"/>
  <c r="C125" i="6"/>
  <c r="D122" i="6"/>
  <c r="G140" i="6" s="1"/>
  <c r="H140" i="6" s="1"/>
  <c r="C122" i="6"/>
  <c r="D120" i="6"/>
  <c r="G138" i="6" s="1"/>
  <c r="H138" i="6" s="1"/>
  <c r="C120" i="6"/>
  <c r="F119" i="6"/>
  <c r="D119" i="6"/>
  <c r="G137" i="6" s="1"/>
  <c r="H137" i="6" s="1"/>
  <c r="I81" i="6"/>
  <c r="I136" i="6" l="1"/>
  <c r="I142" i="6"/>
  <c r="I141" i="6"/>
  <c r="I140" i="6"/>
  <c r="I137" i="6"/>
  <c r="I138" i="6"/>
  <c r="I139" i="6"/>
  <c r="F120" i="6"/>
  <c r="F124" i="6"/>
  <c r="F125" i="6"/>
  <c r="F118" i="6"/>
  <c r="F121" i="6"/>
  <c r="F122" i="6"/>
  <c r="F123" i="6"/>
  <c r="BC12" i="6" l="1"/>
  <c r="BC11" i="6"/>
  <c r="I313" i="6"/>
  <c r="CB73" i="6"/>
  <c r="CA73" i="6"/>
  <c r="BV73" i="6"/>
  <c r="CB72" i="6"/>
  <c r="CA72" i="6"/>
  <c r="BV72" i="6"/>
  <c r="CB71" i="6"/>
  <c r="CA71" i="6"/>
  <c r="BV71" i="6"/>
  <c r="CB70" i="6"/>
  <c r="CA70" i="6"/>
  <c r="BV70" i="6"/>
  <c r="CB69" i="6"/>
  <c r="CA69" i="6"/>
  <c r="BV69" i="6"/>
  <c r="CB68" i="6"/>
  <c r="CA68" i="6"/>
  <c r="BV68" i="6"/>
  <c r="BU66" i="6"/>
  <c r="CB65" i="6"/>
  <c r="CA65" i="6"/>
  <c r="CB64" i="6"/>
  <c r="CA64" i="6"/>
  <c r="CB63" i="6"/>
  <c r="CA63" i="6"/>
  <c r="CB62" i="6"/>
  <c r="CA62" i="6"/>
  <c r="CB61" i="6"/>
  <c r="CA61" i="6"/>
  <c r="CB60" i="6"/>
  <c r="CA60" i="6"/>
  <c r="BU58" i="6"/>
  <c r="CB57" i="6"/>
  <c r="CA57" i="6"/>
  <c r="CB56" i="6"/>
  <c r="CA56" i="6"/>
  <c r="CB55" i="6"/>
  <c r="CA55" i="6"/>
  <c r="CB54" i="6"/>
  <c r="CA54" i="6"/>
  <c r="CB53" i="6"/>
  <c r="CA53" i="6"/>
  <c r="CB52" i="6"/>
  <c r="CA52" i="6"/>
  <c r="BU50" i="6"/>
  <c r="CB49" i="6"/>
  <c r="CA49" i="6"/>
  <c r="CB48" i="6"/>
  <c r="CA48" i="6"/>
  <c r="CB47" i="6"/>
  <c r="CA47" i="6"/>
  <c r="CB46" i="6"/>
  <c r="CA46" i="6"/>
  <c r="CB45" i="6"/>
  <c r="CA45" i="6"/>
  <c r="CB44" i="6"/>
  <c r="CA44" i="6"/>
  <c r="CB43" i="6"/>
  <c r="CA43" i="6"/>
  <c r="CB42" i="6"/>
  <c r="CA42" i="6"/>
  <c r="CB41" i="6"/>
  <c r="CA41" i="6"/>
  <c r="BU39" i="6"/>
  <c r="CB38" i="6"/>
  <c r="CA38" i="6"/>
  <c r="CB37" i="6"/>
  <c r="CA37" i="6"/>
  <c r="CB36" i="6"/>
  <c r="CA36" i="6"/>
  <c r="CB35" i="6"/>
  <c r="CA35" i="6"/>
  <c r="CB34" i="6"/>
  <c r="CA34" i="6"/>
  <c r="CB33" i="6"/>
  <c r="CA33" i="6"/>
  <c r="BU31" i="6"/>
  <c r="CB30" i="6"/>
  <c r="CA30" i="6"/>
  <c r="BV30" i="6"/>
  <c r="CB29" i="6"/>
  <c r="CA29" i="6"/>
  <c r="BV29" i="6"/>
  <c r="CB28" i="6"/>
  <c r="CA28" i="6"/>
  <c r="BV28" i="6"/>
  <c r="CB27" i="6"/>
  <c r="CA27" i="6"/>
  <c r="BV27" i="6"/>
  <c r="CB26" i="6"/>
  <c r="CA26" i="6"/>
  <c r="BV26" i="6"/>
  <c r="CB25" i="6"/>
  <c r="CA25" i="6"/>
  <c r="BV25" i="6"/>
  <c r="CB24" i="6"/>
  <c r="CA24" i="6"/>
  <c r="BV24" i="6"/>
  <c r="CB23" i="6"/>
  <c r="CA23" i="6"/>
  <c r="BV23" i="6"/>
  <c r="CB22" i="6"/>
  <c r="CA22" i="6"/>
  <c r="BV22" i="6"/>
  <c r="CB21" i="6"/>
  <c r="CA21" i="6"/>
  <c r="BV21" i="6"/>
  <c r="BU19" i="6"/>
  <c r="I322" i="6" l="1"/>
  <c r="F45" i="6" l="1"/>
  <c r="G45" i="6" s="1"/>
  <c r="F43" i="6"/>
  <c r="G43" i="6" s="1"/>
  <c r="F44" i="6"/>
  <c r="G44" i="6" s="1"/>
  <c r="E50" i="6"/>
  <c r="E107" i="6" l="1"/>
  <c r="E143" i="6"/>
  <c r="K50" i="6"/>
  <c r="E125" i="6"/>
  <c r="CX23" i="6"/>
  <c r="E144" i="6" l="1"/>
  <c r="I143" i="6"/>
  <c r="H348" i="6"/>
  <c r="H347" i="6"/>
  <c r="H346" i="6"/>
  <c r="H345" i="6"/>
  <c r="H344" i="6"/>
  <c r="I263" i="6"/>
  <c r="H319" i="6"/>
  <c r="H260" i="6"/>
  <c r="I261" i="6" s="1"/>
  <c r="I239" i="6"/>
  <c r="J322" i="6"/>
  <c r="U320" i="6" l="1"/>
  <c r="I320" i="6"/>
  <c r="I375" i="6"/>
  <c r="I377" i="6" s="1"/>
  <c r="I201" i="6" l="1"/>
  <c r="B196" i="6"/>
  <c r="DC9" i="6" l="1"/>
  <c r="DD9" i="6"/>
  <c r="DE9" i="6"/>
  <c r="DF9" i="6"/>
  <c r="DG9" i="6"/>
  <c r="DH9" i="6"/>
  <c r="DJ9" i="6"/>
  <c r="DK9" i="6"/>
  <c r="DC11" i="6"/>
  <c r="DD11" i="6"/>
  <c r="DE11" i="6"/>
  <c r="DF11" i="6"/>
  <c r="DG11" i="6"/>
  <c r="DH11" i="6"/>
  <c r="DJ11" i="6"/>
  <c r="DK11" i="6"/>
  <c r="DC12" i="6"/>
  <c r="DD12" i="6"/>
  <c r="DE12" i="6"/>
  <c r="DF12" i="6"/>
  <c r="DG12" i="6"/>
  <c r="DH12" i="6"/>
  <c r="DJ12" i="6"/>
  <c r="DK12" i="6"/>
  <c r="DC14" i="6"/>
  <c r="DD14" i="6"/>
  <c r="DE14" i="6"/>
  <c r="DF14" i="6"/>
  <c r="DG14" i="6"/>
  <c r="DH14" i="6"/>
  <c r="DJ14" i="6"/>
  <c r="DK14" i="6"/>
  <c r="DC16" i="6"/>
  <c r="DD16" i="6"/>
  <c r="DE16" i="6"/>
  <c r="DF16" i="6"/>
  <c r="DG16" i="6"/>
  <c r="DH16" i="6"/>
  <c r="DJ16" i="6"/>
  <c r="DK16" i="6"/>
  <c r="DC18" i="6"/>
  <c r="DD18" i="6"/>
  <c r="DE18" i="6"/>
  <c r="DF18" i="6"/>
  <c r="DG18" i="6"/>
  <c r="DH18" i="6"/>
  <c r="DJ18" i="6"/>
  <c r="DK18" i="6"/>
  <c r="DC20" i="6"/>
  <c r="DD20" i="6"/>
  <c r="DE20" i="6"/>
  <c r="DF20" i="6"/>
  <c r="DG20" i="6"/>
  <c r="DH20" i="6"/>
  <c r="DJ20" i="6"/>
  <c r="DK20" i="6"/>
  <c r="DC21" i="6"/>
  <c r="DD21" i="6"/>
  <c r="DE21" i="6"/>
  <c r="DF21" i="6"/>
  <c r="DG21" i="6"/>
  <c r="DH21" i="6"/>
  <c r="DJ21" i="6"/>
  <c r="DK21" i="6"/>
  <c r="DC23" i="6"/>
  <c r="DD23" i="6"/>
  <c r="DE23" i="6"/>
  <c r="DF23" i="6"/>
  <c r="DG23" i="6"/>
  <c r="DH23" i="6"/>
  <c r="DJ23" i="6"/>
  <c r="DK23" i="6"/>
  <c r="DB9" i="6"/>
  <c r="DB11" i="6"/>
  <c r="DB12" i="6"/>
  <c r="DB14" i="6"/>
  <c r="DB16" i="6"/>
  <c r="DB18" i="6"/>
  <c r="DB20" i="6"/>
  <c r="DB21" i="6"/>
  <c r="DB23" i="6"/>
  <c r="CY9" i="6"/>
  <c r="CZ9" i="6"/>
  <c r="DA9" i="6"/>
  <c r="CY11" i="6"/>
  <c r="CZ11" i="6"/>
  <c r="DA11" i="6"/>
  <c r="CY12" i="6"/>
  <c r="CZ12" i="6"/>
  <c r="DA12" i="6"/>
  <c r="CY14" i="6"/>
  <c r="CZ14" i="6"/>
  <c r="DA14" i="6"/>
  <c r="CY16" i="6"/>
  <c r="CZ16" i="6"/>
  <c r="DA16" i="6"/>
  <c r="CY18" i="6"/>
  <c r="CZ18" i="6"/>
  <c r="DA18" i="6"/>
  <c r="CY20" i="6"/>
  <c r="CZ20" i="6"/>
  <c r="DA20" i="6"/>
  <c r="CY21" i="6"/>
  <c r="CZ21" i="6"/>
  <c r="DA21" i="6"/>
  <c r="CY23" i="6"/>
  <c r="CZ23" i="6"/>
  <c r="J348" i="6" s="1"/>
  <c r="V348" i="6" s="1"/>
  <c r="DA23" i="6"/>
  <c r="CX9" i="6"/>
  <c r="J345" i="6" s="1"/>
  <c r="V345" i="6" s="1"/>
  <c r="CX11" i="6"/>
  <c r="CX12" i="6"/>
  <c r="CX14" i="6"/>
  <c r="CX16" i="6"/>
  <c r="CX18" i="6"/>
  <c r="CX20" i="6"/>
  <c r="CX21" i="6"/>
  <c r="H275" i="6"/>
  <c r="H276" i="6"/>
  <c r="H277" i="6"/>
  <c r="H278" i="6"/>
  <c r="H280" i="6"/>
  <c r="H274" i="6"/>
  <c r="J274" i="6" s="1"/>
  <c r="H273" i="6"/>
  <c r="J346" i="6" l="1"/>
  <c r="V346" i="6" s="1"/>
  <c r="J279" i="6"/>
  <c r="J347" i="6"/>
  <c r="V347" i="6" s="1"/>
  <c r="J275" i="6"/>
  <c r="J276" i="6"/>
  <c r="J278" i="6"/>
  <c r="J277" i="6"/>
  <c r="J280" i="6"/>
  <c r="BV11" i="6"/>
  <c r="BV12" i="6"/>
  <c r="BV13" i="6"/>
  <c r="BV14" i="6"/>
  <c r="BV15" i="6"/>
  <c r="BV16" i="6"/>
  <c r="BV17" i="6"/>
  <c r="BV18" i="6"/>
  <c r="BV10" i="6"/>
  <c r="CB10" i="6"/>
  <c r="CA10" i="6"/>
  <c r="CA11" i="6"/>
  <c r="CB11" i="6"/>
  <c r="CA12" i="6"/>
  <c r="CB12" i="6"/>
  <c r="CA13" i="6"/>
  <c r="CB13" i="6"/>
  <c r="CA14" i="6"/>
  <c r="CB14" i="6"/>
  <c r="CA15" i="6"/>
  <c r="CB15" i="6"/>
  <c r="CA16" i="6"/>
  <c r="CB16" i="6"/>
  <c r="CA17" i="6"/>
  <c r="CB17" i="6"/>
  <c r="CA18" i="6"/>
  <c r="CB18" i="6"/>
  <c r="U350" i="6" l="1"/>
  <c r="I350" i="6"/>
  <c r="I282" i="6"/>
  <c r="I283" i="6" s="1"/>
  <c r="I262" i="6"/>
  <c r="J263" i="6"/>
  <c r="B247" i="6"/>
  <c r="B33" i="6"/>
  <c r="B32" i="6"/>
  <c r="P329" i="6" l="1"/>
  <c r="B329" i="6"/>
  <c r="J241" i="6"/>
  <c r="I32" i="6" l="1"/>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I33" i="6" l="1"/>
  <c r="U329" i="6" l="1"/>
  <c r="S135" i="6"/>
  <c r="M135" i="6"/>
  <c r="M136" i="6"/>
  <c r="N136" i="6" s="1"/>
  <c r="M138" i="6"/>
  <c r="N138" i="6" s="1"/>
  <c r="S142" i="6"/>
  <c r="S140" i="6"/>
  <c r="S136" i="6"/>
  <c r="S138" i="6"/>
  <c r="M142" i="6"/>
  <c r="N142" i="6" s="1"/>
  <c r="M140" i="6"/>
  <c r="N140" i="6" s="1"/>
  <c r="S139" i="6"/>
  <c r="M139" i="6"/>
  <c r="N139" i="6" s="1"/>
  <c r="M141" i="6"/>
  <c r="N141" i="6" s="1"/>
  <c r="S143" i="6"/>
  <c r="S137" i="6"/>
  <c r="M143" i="6"/>
  <c r="N143" i="6" s="1"/>
  <c r="M137" i="6"/>
  <c r="N137" i="6" s="1"/>
  <c r="S141" i="6"/>
  <c r="I247" i="6"/>
  <c r="I329" i="6"/>
  <c r="BU8" i="6"/>
  <c r="U323" i="6" l="1"/>
  <c r="B198" i="6"/>
  <c r="B197" i="6"/>
  <c r="B193" i="6"/>
  <c r="I264" i="6" l="1"/>
  <c r="BH16" i="6"/>
  <c r="BH15" i="6"/>
  <c r="BH14" i="6"/>
  <c r="BH13" i="6"/>
  <c r="BH12" i="6"/>
  <c r="BH11" i="6"/>
  <c r="BH10" i="6"/>
  <c r="BH9" i="6"/>
  <c r="BI9" i="6"/>
  <c r="BI10" i="6"/>
  <c r="BI11" i="6"/>
  <c r="BI12" i="6"/>
  <c r="BI13" i="6"/>
  <c r="BI14" i="6"/>
  <c r="BI15" i="6"/>
  <c r="BI16" i="6"/>
  <c r="BC10" i="6" l="1"/>
  <c r="BC9" i="6"/>
  <c r="AX9" i="6"/>
  <c r="AX10" i="6"/>
  <c r="AX11" i="6"/>
  <c r="AX12" i="6"/>
  <c r="I211" i="6" l="1"/>
  <c r="I11" i="6" l="1"/>
  <c r="G27" i="6"/>
  <c r="G26" i="6"/>
  <c r="G25" i="6"/>
  <c r="B27" i="6"/>
  <c r="B26" i="6"/>
  <c r="B25" i="6"/>
  <c r="G24" i="6"/>
  <c r="I356" i="6" l="1"/>
  <c r="I157" i="6"/>
  <c r="I27" i="6"/>
  <c r="G16" i="6"/>
  <c r="G17" i="6"/>
  <c r="I12" i="6" l="1"/>
  <c r="I221" i="6"/>
  <c r="B31" i="6"/>
  <c r="I162" i="6" l="1"/>
  <c r="I193" i="6"/>
  <c r="I220" i="6"/>
  <c r="I324" i="6" l="1"/>
  <c r="U324" i="6"/>
  <c r="U325" i="6" s="1"/>
  <c r="I168" i="6"/>
  <c r="H43" i="6"/>
  <c r="H44" i="6"/>
  <c r="H45" i="6"/>
  <c r="H46" i="6"/>
  <c r="H47" i="6"/>
  <c r="H48" i="6"/>
  <c r="H49" i="6"/>
  <c r="H50" i="6"/>
  <c r="H42" i="6"/>
  <c r="B100" i="6"/>
  <c r="B101" i="6"/>
  <c r="B102" i="6"/>
  <c r="B103" i="6"/>
  <c r="B104" i="6"/>
  <c r="B105" i="6"/>
  <c r="B106" i="6"/>
  <c r="B107" i="6"/>
  <c r="F50" i="6"/>
  <c r="G50" i="6" s="1"/>
  <c r="F49" i="6"/>
  <c r="G49" i="6" s="1"/>
  <c r="F48" i="6"/>
  <c r="G48" i="6" s="1"/>
  <c r="F47" i="6"/>
  <c r="G47" i="6" s="1"/>
  <c r="F46" i="6"/>
  <c r="G46" i="6" s="1"/>
  <c r="F42" i="6"/>
  <c r="G42" i="6" s="1"/>
  <c r="U327" i="6" l="1"/>
  <c r="U330" i="6"/>
  <c r="I366" i="6"/>
  <c r="I378" i="6" s="1"/>
  <c r="C99" i="6"/>
  <c r="F99" i="6" s="1"/>
  <c r="D99" i="6"/>
  <c r="CG14" i="6"/>
  <c r="I222" i="6"/>
  <c r="I287" i="6" s="1"/>
  <c r="I42" i="6"/>
  <c r="I45" i="6"/>
  <c r="I47" i="6"/>
  <c r="I48" i="6"/>
  <c r="I49" i="6"/>
  <c r="I46" i="6"/>
  <c r="I44" i="6"/>
  <c r="I43" i="6"/>
  <c r="I50" i="6"/>
  <c r="U351" i="6" l="1"/>
  <c r="U359" i="6" s="1"/>
  <c r="U333" i="6"/>
  <c r="U335" i="6" s="1"/>
  <c r="U336" i="6" s="1"/>
  <c r="U337" i="6" s="1"/>
  <c r="U338" i="6" s="1"/>
  <c r="U358" i="6" s="1"/>
  <c r="G99" i="6"/>
  <c r="H99" i="6" s="1"/>
  <c r="G117" i="6"/>
  <c r="O187" i="6"/>
  <c r="O186" i="6"/>
  <c r="E108" i="6"/>
  <c r="H117" i="6" l="1"/>
  <c r="O185" i="6"/>
  <c r="D100" i="6"/>
  <c r="D101" i="6"/>
  <c r="D102" i="6"/>
  <c r="D103" i="6"/>
  <c r="D104" i="6"/>
  <c r="D105" i="6"/>
  <c r="D106" i="6"/>
  <c r="D107" i="6"/>
  <c r="C100" i="6"/>
  <c r="F100" i="6" s="1"/>
  <c r="C101" i="6"/>
  <c r="F101" i="6" s="1"/>
  <c r="C102" i="6"/>
  <c r="F102" i="6" s="1"/>
  <c r="C103" i="6"/>
  <c r="F103" i="6" s="1"/>
  <c r="C104" i="6"/>
  <c r="F104" i="6" s="1"/>
  <c r="C105" i="6"/>
  <c r="F105" i="6" s="1"/>
  <c r="C106" i="6"/>
  <c r="F106" i="6" s="1"/>
  <c r="C107" i="6"/>
  <c r="F107" i="6" s="1"/>
  <c r="O184" i="6" l="1"/>
  <c r="U314" i="6"/>
  <c r="U315" i="6" s="1"/>
  <c r="U357" i="6" s="1"/>
  <c r="M117" i="6"/>
  <c r="T135" i="6"/>
  <c r="V135" i="6" s="1"/>
  <c r="I117" i="6"/>
  <c r="N135" i="6"/>
  <c r="P135" i="6" s="1"/>
  <c r="G107" i="6"/>
  <c r="H107" i="6" s="1"/>
  <c r="I107" i="6" s="1"/>
  <c r="G125" i="6"/>
  <c r="G124" i="6"/>
  <c r="G106" i="6"/>
  <c r="H106" i="6" s="1"/>
  <c r="I106" i="6" s="1"/>
  <c r="G123" i="6"/>
  <c r="G105" i="6"/>
  <c r="H105" i="6" s="1"/>
  <c r="I105" i="6" s="1"/>
  <c r="G101" i="6"/>
  <c r="H101" i="6" s="1"/>
  <c r="I101" i="6" s="1"/>
  <c r="G119" i="6"/>
  <c r="G122" i="6"/>
  <c r="G104" i="6"/>
  <c r="H104" i="6" s="1"/>
  <c r="I104" i="6" s="1"/>
  <c r="G121" i="6"/>
  <c r="G103" i="6"/>
  <c r="H103" i="6" s="1"/>
  <c r="I103" i="6" s="1"/>
  <c r="G100" i="6"/>
  <c r="H100" i="6" s="1"/>
  <c r="I100" i="6" s="1"/>
  <c r="G118" i="6"/>
  <c r="G102" i="6"/>
  <c r="H102" i="6" s="1"/>
  <c r="I102" i="6" s="1"/>
  <c r="G120" i="6"/>
  <c r="H125" i="6" l="1"/>
  <c r="T143" i="6"/>
  <c r="V143" i="6" s="1"/>
  <c r="H122" i="6"/>
  <c r="T140" i="6"/>
  <c r="V140" i="6" s="1"/>
  <c r="H119" i="6"/>
  <c r="T137" i="6"/>
  <c r="V137" i="6" s="1"/>
  <c r="H123" i="6"/>
  <c r="T141" i="6"/>
  <c r="V141" i="6" s="1"/>
  <c r="H120" i="6"/>
  <c r="T138" i="6"/>
  <c r="V138" i="6" s="1"/>
  <c r="H118" i="6"/>
  <c r="T136" i="6"/>
  <c r="V136" i="6" s="1"/>
  <c r="H121" i="6"/>
  <c r="T139" i="6"/>
  <c r="V139" i="6" s="1"/>
  <c r="H124" i="6"/>
  <c r="T142" i="6"/>
  <c r="V142" i="6" s="1"/>
  <c r="J102" i="6"/>
  <c r="L102" i="6" s="1"/>
  <c r="O102" i="6"/>
  <c r="J101" i="6"/>
  <c r="L101" i="6" s="1"/>
  <c r="O101" i="6"/>
  <c r="J104" i="6"/>
  <c r="L104" i="6" s="1"/>
  <c r="O104" i="6"/>
  <c r="J105" i="6"/>
  <c r="L105" i="6" s="1"/>
  <c r="O105" i="6"/>
  <c r="J106" i="6"/>
  <c r="L106" i="6" s="1"/>
  <c r="O106" i="6"/>
  <c r="J103" i="6"/>
  <c r="L103" i="6" s="1"/>
  <c r="O103" i="6"/>
  <c r="J107" i="6"/>
  <c r="L107" i="6" s="1"/>
  <c r="O107" i="6"/>
  <c r="J100" i="6"/>
  <c r="L100" i="6" s="1"/>
  <c r="O100" i="6"/>
  <c r="L99" i="6"/>
  <c r="I122" i="6"/>
  <c r="S123" i="6" l="1"/>
  <c r="M123" i="6"/>
  <c r="S121" i="6"/>
  <c r="M121" i="6"/>
  <c r="S119" i="6"/>
  <c r="M119" i="6"/>
  <c r="I121" i="6"/>
  <c r="S118" i="6"/>
  <c r="M118" i="6"/>
  <c r="S122" i="6"/>
  <c r="M122" i="6"/>
  <c r="S124" i="6"/>
  <c r="M124" i="6"/>
  <c r="S120" i="6"/>
  <c r="M120" i="6"/>
  <c r="S125" i="6"/>
  <c r="M125" i="6"/>
  <c r="I125" i="6"/>
  <c r="I124" i="6"/>
  <c r="I118" i="6"/>
  <c r="P137" i="6"/>
  <c r="P139" i="6"/>
  <c r="P141" i="6"/>
  <c r="P136" i="6"/>
  <c r="P140" i="6"/>
  <c r="I123" i="6"/>
  <c r="P138" i="6"/>
  <c r="P143" i="6"/>
  <c r="P142" i="6"/>
  <c r="L108" i="6"/>
  <c r="M99" i="6" s="1"/>
  <c r="O108" i="6"/>
  <c r="P144" i="6" l="1"/>
  <c r="Q135" i="6" s="1"/>
  <c r="I144" i="6"/>
  <c r="J135" i="6" s="1"/>
  <c r="V144" i="6"/>
  <c r="W135" i="6" s="1"/>
  <c r="U355" i="6" s="1"/>
  <c r="F44" i="1"/>
  <c r="U360" i="6" l="1"/>
  <c r="I152" i="6"/>
  <c r="N124" i="6"/>
  <c r="P124" i="6" s="1"/>
  <c r="T124" i="6"/>
  <c r="V124" i="6" s="1"/>
  <c r="N125" i="6"/>
  <c r="P125" i="6" s="1"/>
  <c r="T125" i="6"/>
  <c r="V125" i="6" s="1"/>
  <c r="N118" i="6"/>
  <c r="P118" i="6" s="1"/>
  <c r="T118" i="6"/>
  <c r="V118" i="6" s="1"/>
  <c r="T117" i="6"/>
  <c r="V117" i="6" s="1"/>
  <c r="N119" i="6"/>
  <c r="T119" i="6"/>
  <c r="N117" i="6"/>
  <c r="P117" i="6" s="1"/>
  <c r="N121" i="6"/>
  <c r="P121" i="6" s="1"/>
  <c r="T121" i="6"/>
  <c r="V121" i="6" s="1"/>
  <c r="N122" i="6"/>
  <c r="P122" i="6" s="1"/>
  <c r="T122" i="6"/>
  <c r="V122" i="6" s="1"/>
  <c r="N123" i="6"/>
  <c r="P123" i="6" s="1"/>
  <c r="T123" i="6"/>
  <c r="V123" i="6" s="1"/>
  <c r="N120" i="6"/>
  <c r="T120" i="6"/>
  <c r="S50" i="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J50" i="6"/>
  <c r="J49" i="6"/>
  <c r="J43" i="6"/>
  <c r="J44" i="6"/>
  <c r="E57" i="6"/>
  <c r="F57" i="6" s="1"/>
  <c r="E64" i="6"/>
  <c r="J45" i="6"/>
  <c r="J47" i="6"/>
  <c r="J42" i="6"/>
  <c r="J46" i="6"/>
  <c r="J48" i="6"/>
  <c r="I120" i="6" l="1"/>
  <c r="V120" i="6"/>
  <c r="P120" i="6"/>
  <c r="F56" i="6"/>
  <c r="F64" i="6"/>
  <c r="E63" i="6"/>
  <c r="F63" i="6" l="1"/>
  <c r="G63" i="6" s="1"/>
  <c r="G56" i="6"/>
  <c r="J56" i="6" s="1"/>
  <c r="K56" i="6" s="1"/>
  <c r="E126" i="6" l="1"/>
  <c r="I119" i="6"/>
  <c r="I126" i="6" s="1"/>
  <c r="V119" i="6"/>
  <c r="V126" i="6" s="1"/>
  <c r="P119" i="6"/>
  <c r="P126" i="6" s="1"/>
  <c r="Q117" i="6" s="1"/>
  <c r="B70" i="6"/>
  <c r="J63" i="6"/>
  <c r="E70" i="6" s="1"/>
  <c r="F70" i="6" l="1"/>
  <c r="H70" i="6" l="1"/>
  <c r="I194" i="6"/>
  <c r="I195" i="6" s="1"/>
  <c r="I197" i="6" l="1"/>
  <c r="I198" i="6" l="1"/>
  <c r="I213" i="6" s="1"/>
  <c r="O298" i="6" l="1"/>
  <c r="O300" i="6"/>
  <c r="O198" i="6"/>
  <c r="I199" i="6"/>
  <c r="O204" i="6" s="1"/>
  <c r="I202" i="6" l="1"/>
  <c r="I225" i="6"/>
  <c r="I367" i="6"/>
  <c r="I368" i="6" l="1"/>
  <c r="I371" i="6" s="1"/>
  <c r="O297" i="6"/>
  <c r="I314" i="6"/>
  <c r="I376" i="6"/>
  <c r="I379" i="6" s="1"/>
  <c r="I288" i="6"/>
  <c r="I289" i="6"/>
  <c r="I315" i="6" l="1"/>
  <c r="I357" i="6" s="1"/>
  <c r="I374" i="6"/>
  <c r="I330" i="6"/>
  <c r="I333" i="6" s="1"/>
  <c r="I327" i="6"/>
  <c r="I265" i="6"/>
  <c r="I351" i="6" l="1"/>
  <c r="I359" i="6" s="1"/>
  <c r="CG18" i="6"/>
  <c r="I291" i="6"/>
  <c r="I251" i="6"/>
  <c r="I253" i="6" s="1"/>
  <c r="I335" i="6"/>
  <c r="I336" i="6" s="1"/>
  <c r="I337" i="6" s="1"/>
  <c r="I338" i="6" s="1"/>
  <c r="I358" i="6" s="1"/>
  <c r="O374" i="6"/>
  <c r="O378" i="6"/>
  <c r="I360" i="6" l="1"/>
  <c r="I387" i="6" s="1"/>
  <c r="I389" i="6" s="1"/>
  <c r="I268" i="6"/>
  <c r="I290" i="6" s="1"/>
  <c r="I254" i="6"/>
  <c r="I255" i="6" s="1"/>
  <c r="I256" i="6" s="1"/>
  <c r="I29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<sst xmlns="http://schemas.openxmlformats.org/spreadsheetml/2006/main" count="1177" uniqueCount="663">
  <si>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</si>
  <si>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</si>
  <si>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</si>
  <si>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</si>
  <si>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</si>
  <si>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</si>
  <si>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</si>
  <si>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</si>
  <si>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</si>
  <si>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</si>
  <si>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</si>
  <si>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</si>
  <si>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</si>
  <si>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</si>
  <si>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</si>
  <si>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</si>
  <si>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</si>
  <si>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</si>
  <si>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</si>
  <si>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</si>
  <si>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</si>
  <si>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</si>
  <si>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</si>
  <si>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</si>
  <si>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</si>
  <si>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</si>
  <si>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</si>
  <si>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</si>
  <si>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</si>
  <si>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</si>
  <si>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</si>
  <si>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</si>
  <si>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</si>
  <si>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</si>
  <si>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</si>
  <si>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</si>
  <si>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</si>
  <si>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</si>
  <si>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</si>
  <si>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</si>
  <si>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</si>
  <si>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</si>
  <si>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</si>
  <si>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</si>
  <si>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</si>
  <si>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</si>
  <si>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</si>
  <si>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</si>
  <si>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</si>
  <si>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</si>
  <si>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</si>
  <si>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</si>
  <si>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</si>
  <si>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</si>
  <si>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</si>
  <si>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</si>
  <si>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</si>
  <si>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</si>
  <si>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</si>
  <si>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</si>
  <si>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</si>
  <si>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</si>
  <si>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</si>
  <si>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</si>
  <si>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</si>
  <si>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</si>
  <si>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</si>
  <si>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</si>
  <si>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</si>
  <si>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</si>
  <si>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</si>
  <si>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</si>
  <si>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</si>
  <si>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</si>
  <si>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</si>
  <si>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</si>
  <si>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</si>
  <si>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</si>
  <si>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</si>
  <si>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</si>
  <si>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</si>
  <si>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</si>
  <si>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</si>
  <si>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</si>
  <si>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</si>
  <si>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</si>
  <si>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</si>
  <si>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</si>
  <si>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</si>
  <si>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</si>
  <si>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</si>
  <si>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</si>
  <si>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</si>
  <si>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</si>
  <si>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</si>
  <si>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</si>
  <si>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</si>
  <si>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</si>
  <si>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</si>
  <si>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</si>
  <si>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</si>
  <si>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</si>
  <si>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</si>
  <si>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</si>
  <si>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</si>
  <si>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</si>
  <si>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</si>
  <si>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</si>
  <si>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</si>
  <si>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</si>
  <si>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</si>
  <si>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</si>
  <si>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</si>
  <si>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</si>
  <si>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</si>
  <si>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</si>
  <si>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</si>
  <si>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</si>
  <si>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</si>
  <si>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</si>
  <si>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</si>
  <si>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</si>
  <si>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</si>
  <si>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</si>
  <si>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</si>
  <si>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</si>
  <si>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</si>
  <si>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</si>
  <si>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</si>
  <si>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</si>
  <si>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</si>
  <si>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</si>
  <si>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</si>
  <si>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</si>
  <si>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</si>
  <si>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</si>
  <si>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</si>
  <si>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</si>
  <si>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</si>
  <si>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</si>
  <si>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</si>
  <si>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</si>
  <si>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</si>
  <si>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</si>
  <si>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</si>
  <si>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</si>
  <si>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</si>
  <si>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</si>
  <si>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</si>
  <si>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</si>
  <si>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</si>
  <si>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</si>
  <si>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</si>
  <si>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</si>
  <si>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</si>
  <si>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</si>
  <si>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</si>
  <si>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</si>
  <si>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</si>
  <si>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</si>
  <si>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</si>
  <si>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</si>
  <si>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</si>
  <si>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</si>
  <si>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</si>
  <si>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</si>
  <si>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</si>
  <si>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</si>
  <si>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</si>
  <si>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</si>
  <si>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</si>
  <si>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</si>
  <si>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</si>
  <si>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</si>
  <si>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</si>
  <si>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</si>
  <si>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</si>
  <si>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</si>
  <si>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</si>
  <si>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</si>
  <si>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</si>
  <si>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Fair - Hatch</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</si>
  <si>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</si>
  <si>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</si>
  <si>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</si>
  <si>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</si>
  <si>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</si>
  <si>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</si>
  <si>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Número de tamiz</t>
  </si>
  <si>
    <t>14-20</t>
  </si>
  <si>
    <t>20-25</t>
  </si>
  <si>
    <t>25-30</t>
  </si>
  <si>
    <t>35-40</t>
  </si>
  <si>
    <t>40-50</t>
  </si>
  <si>
    <t>50-60</t>
  </si>
  <si>
    <t>60-70</t>
  </si>
  <si>
    <t>70-100</t>
  </si>
  <si>
    <t>30-35</t>
  </si>
  <si>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</si>
  <si>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</si>
  <si>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</si>
  <si>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</si>
  <si>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</si>
  <si>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</si>
  <si>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</si>
  <si>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</si>
  <si>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</si>
  <si>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</si>
  <si>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</si>
  <si>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</si>
  <si>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</si>
  <si>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</si>
  <si>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</si>
  <si>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</si>
  <si>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</si>
  <si>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</si>
  <si>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</si>
  <si>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</si>
  <si>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</si>
  <si>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</si>
  <si>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</si>
  <si>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</si>
  <si>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</si>
  <si>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</si>
  <si>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</si>
  <si>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</si>
  <si>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</si>
  <si>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</si>
  <si>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</si>
  <si>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α/β</t>
  </si>
  <si>
    <t>ε, e</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</si>
  <si>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</si>
  <si>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</si>
  <si>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</si>
  <si>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</si>
  <si>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</si>
  <si>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</si>
  <si>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</si>
  <si>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</si>
  <si>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</si>
  <si>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</si>
  <si>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</si>
  <si>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</si>
  <si>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</si>
  <si>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</si>
  <si>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</si>
  <si>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</si>
  <si>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</si>
  <si>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</si>
  <si>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</si>
  <si>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</si>
  <si>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</si>
  <si>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</si>
  <si>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</si>
  <si>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</si>
  <si>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</si>
  <si>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</si>
  <si>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</si>
  <si>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</si>
  <si>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</si>
  <si>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</si>
  <si>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</si>
  <si>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</si>
  <si>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</si>
  <si>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</si>
  <si>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</si>
  <si>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</si>
  <si>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</si>
  <si>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</si>
  <si>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</si>
  <si>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</si>
  <si>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</si>
  <si>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</si>
  <si>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</si>
  <si>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</si>
  <si>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</si>
  <si>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</si>
  <si>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</si>
  <si>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</si>
  <si>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</si>
  <si>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</si>
  <si>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</si>
  <si>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</si>
  <si>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</si>
  <si>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</si>
  <si>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</si>
  <si>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</si>
  <si>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</si>
  <si>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</si>
  <si>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</si>
  <si>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</si>
  <si>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</si>
  <si>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</si>
  <si>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</si>
  <si>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</si>
  <si>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</si>
  <si>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</si>
  <si>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</si>
  <si>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</si>
  <si>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</si>
  <si>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</si>
  <si>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</si>
  <si>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</si>
  <si>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</si>
  <si>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</si>
  <si>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</si>
  <si>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</si>
  <si>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</si>
  <si>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</si>
  <si>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</si>
  <si>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</si>
  <si>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</si>
  <si>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</si>
  <si>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</si>
  <si>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</si>
  <si>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</si>
  <si>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</si>
  <si>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</si>
  <si>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</si>
  <si>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</si>
  <si>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</si>
  <si>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</si>
  <si>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</si>
  <si>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</si>
  <si>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</si>
  <si>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</si>
  <si>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</si>
  <si>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</si>
  <si>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</si>
  <si>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</si>
  <si>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</si>
  <si>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</si>
  <si>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</si>
  <si>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</si>
  <si>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</si>
  <si>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media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</si>
  <si>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</si>
  <si>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</si>
  <si>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</si>
  <si>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</si>
  <si>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</si>
  <si>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</si>
  <si>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</si>
  <si>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</si>
  <si>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</si>
  <si>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</si>
  <si>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</si>
  <si>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Diámetro de los orificios</t>
  </si>
  <si>
    <t>pulgadas</t>
  </si>
  <si>
    <t>Distancia entre orificios</t>
  </si>
  <si>
    <t>Distancia entre laterales</t>
  </si>
  <si>
    <t>Diámetro de los laterales</t>
  </si>
  <si>
    <r>
      <t>N</t>
    </r>
    <r>
      <rPr>
        <vertAlign val="subscript"/>
        <sz val="11"/>
        <rFont val="Cambria"/>
        <family val="1"/>
      </rPr>
      <t>f</t>
    </r>
  </si>
  <si>
    <t>Número de laterales por unidad de filtración</t>
  </si>
  <si>
    <t>Número de orificios por unidad de filtración</t>
  </si>
  <si>
    <t>6 X 6</t>
  </si>
  <si>
    <t>8 X 8</t>
  </si>
  <si>
    <t>10 X 10</t>
  </si>
  <si>
    <t>12 X 12</t>
  </si>
  <si>
    <t>14 X 14</t>
  </si>
  <si>
    <t>16 X 16</t>
  </si>
  <si>
    <t>18 X 18</t>
  </si>
  <si>
    <t>20 X 20</t>
  </si>
  <si>
    <r>
      <t>pulgadas</t>
    </r>
    <r>
      <rPr>
        <vertAlign val="superscript"/>
        <sz val="11"/>
        <color theme="1"/>
        <rFont val="Cambria"/>
        <family val="1"/>
      </rPr>
      <t>2</t>
    </r>
  </si>
  <si>
    <t>Área total de orificios / área filtrante</t>
  </si>
  <si>
    <r>
      <t>Áreas de orificios (m</t>
    </r>
    <r>
      <rPr>
        <b/>
        <vertAlign val="superscript"/>
        <sz val="11"/>
        <color theme="1"/>
        <rFont val="Calibri"/>
        <family val="2"/>
        <scheme val="minor"/>
      </rPr>
      <t>2</t>
    </r>
    <r>
      <rPr>
        <b/>
        <sz val="11"/>
        <color theme="1"/>
        <rFont val="Calibri"/>
        <family val="2"/>
        <scheme val="minor"/>
      </rPr>
      <t>)</t>
    </r>
  </si>
  <si>
    <t>Diámetros de oficios (pulg)</t>
  </si>
  <si>
    <t>Seccion tubería (cm)</t>
  </si>
  <si>
    <r>
      <t>Área de la sección (m</t>
    </r>
    <r>
      <rPr>
        <b/>
        <vertAlign val="superscript"/>
        <sz val="11"/>
        <color theme="1"/>
        <rFont val="Calibri"/>
        <family val="2"/>
        <scheme val="minor"/>
      </rPr>
      <t>2</t>
    </r>
    <r>
      <rPr>
        <b/>
        <sz val="11"/>
        <color theme="1"/>
        <rFont val="Calibri"/>
        <family val="2"/>
        <scheme val="minor"/>
      </rPr>
      <t>)</t>
    </r>
  </si>
  <si>
    <t>Distancia entre laterales (m)</t>
  </si>
  <si>
    <t>Diámetros de laterales (pulg)</t>
  </si>
  <si>
    <r>
      <t>Áreas de laterales (m</t>
    </r>
    <r>
      <rPr>
        <b/>
        <vertAlign val="superscript"/>
        <sz val="11"/>
        <color theme="1"/>
        <rFont val="Calibri"/>
        <family val="2"/>
        <scheme val="minor"/>
      </rPr>
      <t>2</t>
    </r>
    <r>
      <rPr>
        <b/>
        <sz val="11"/>
        <color theme="1"/>
        <rFont val="Calibri"/>
        <family val="2"/>
        <scheme val="minor"/>
      </rPr>
      <t>)</t>
    </r>
  </si>
  <si>
    <t>0,0015 - 0,005</t>
  </si>
  <si>
    <t>2,0 - 4,0</t>
  </si>
  <si>
    <t>1,5 - 3,0</t>
  </si>
  <si>
    <t>β</t>
  </si>
  <si>
    <t>Ancho de la sección</t>
  </si>
  <si>
    <t>Longitud de los laterales</t>
  </si>
  <si>
    <t>Sección transversal comercial del múltiple (asumido)</t>
  </si>
  <si>
    <t>Ancho del múltiple</t>
  </si>
  <si>
    <t>Tiempo de retrolavado</t>
  </si>
  <si>
    <t>Tiempo de retro lavado (t)</t>
  </si>
  <si>
    <r>
      <t>t</t>
    </r>
    <r>
      <rPr>
        <vertAlign val="subscript"/>
        <sz val="11"/>
        <color theme="1"/>
        <rFont val="Cambria"/>
        <family val="1"/>
      </rPr>
      <t xml:space="preserve"> lav</t>
    </r>
  </si>
  <si>
    <t>Carrera de filtración máxima o duración de ciclo (t)</t>
  </si>
  <si>
    <t>Área de un filtro</t>
  </si>
  <si>
    <t>Carrera de filtración normal o duración de ciclo</t>
  </si>
  <si>
    <t>Porcentaje de agua filtrada usada en el lavado de un filtro</t>
  </si>
  <si>
    <r>
      <t>t</t>
    </r>
    <r>
      <rPr>
        <vertAlign val="subscript"/>
        <sz val="11"/>
        <color theme="1"/>
        <rFont val="Cambria"/>
        <family val="1"/>
      </rPr>
      <t xml:space="preserve"> ciclo</t>
    </r>
  </si>
  <si>
    <r>
      <t>m</t>
    </r>
    <r>
      <rPr>
        <vertAlign val="superscript"/>
        <sz val="11"/>
        <color theme="1"/>
        <rFont val="Cambria"/>
        <family val="1"/>
      </rPr>
      <t>3</t>
    </r>
    <r>
      <rPr>
        <sz val="11"/>
        <color theme="1"/>
        <rFont val="Cambria"/>
        <family val="1"/>
      </rPr>
      <t>/ciclo</t>
    </r>
  </si>
  <si>
    <t>Agua producida por un filtro en cada ciclo</t>
  </si>
  <si>
    <t>Consumo de agua para lavado de un filtro (volumen del tanque)</t>
  </si>
  <si>
    <t>CONSUMO DE AGUA DE LAVADO</t>
  </si>
  <si>
    <t>Diámetro nominal (pulg)</t>
  </si>
  <si>
    <t>Policluro de vinilo (PVC) RDE 21</t>
  </si>
  <si>
    <t>Policluro de vinilo (PVC) RDE 26</t>
  </si>
  <si>
    <t>Acero al carbono API 5L SCH-40</t>
  </si>
  <si>
    <t>Acero al carbono API 5L SCH-80</t>
  </si>
  <si>
    <t>Diámetro interno (m)</t>
  </si>
  <si>
    <t>Espesor de pared (pulg)</t>
  </si>
  <si>
    <r>
      <t>Rugosidad absoluta, k</t>
    </r>
    <r>
      <rPr>
        <b/>
        <vertAlign val="subscript"/>
        <sz val="11"/>
        <color theme="1"/>
        <rFont val="Calibri"/>
        <family val="2"/>
        <scheme val="minor"/>
      </rPr>
      <t xml:space="preserve">s </t>
    </r>
    <r>
      <rPr>
        <b/>
        <sz val="11"/>
        <color theme="1"/>
        <rFont val="Calibri"/>
        <family val="2"/>
        <scheme val="minor"/>
      </rPr>
      <t>(mm)</t>
    </r>
  </si>
  <si>
    <t>Coeficiente de rugosidad de Hazen - Williams, C</t>
  </si>
  <si>
    <t>Hierro dúctil C30</t>
  </si>
  <si>
    <t>Hierro dúctil C40</t>
  </si>
  <si>
    <t>Diámetro nominal (mm)</t>
  </si>
  <si>
    <t>Espesor de pared (mm)</t>
  </si>
  <si>
    <t>Polietileno de alta densidad (PEAD) PE 100 RDE 17</t>
  </si>
  <si>
    <t>Polietileno de alta densidad (PEAD) PE 100 RDE 21</t>
  </si>
  <si>
    <t>Relación diámetro espesor</t>
  </si>
  <si>
    <t>Accesorio</t>
  </si>
  <si>
    <t>Diámetro externo (mm)</t>
  </si>
  <si>
    <t>Diámetro externo (pulg)</t>
  </si>
  <si>
    <t>Codo 90° radio corto (r/d 1)</t>
  </si>
  <si>
    <t>Válvula de compuerta completamente abierta</t>
  </si>
  <si>
    <t>Tee en sentido recto</t>
  </si>
  <si>
    <t>Tee en sentido lateral</t>
  </si>
  <si>
    <t>Entrada recta a tope</t>
  </si>
  <si>
    <t>Entrada con boca acampanada</t>
  </si>
  <si>
    <t>Unión</t>
  </si>
  <si>
    <t>Codo 90° radio mediano (r/d 3)</t>
  </si>
  <si>
    <t>PÉRDIDA DE CARGA EN LA TUBERÍA DE LAVADO (DARCY - WEISBACH)</t>
  </si>
  <si>
    <t>Material de la tubería de lavado</t>
  </si>
  <si>
    <t>Diámetro nominal de la tubería de lavado</t>
  </si>
  <si>
    <t>Diámetro interno de la tubería de lavado</t>
  </si>
  <si>
    <r>
      <t>m</t>
    </r>
    <r>
      <rPr>
        <vertAlign val="superscript"/>
        <sz val="11"/>
        <color theme="1"/>
        <rFont val="Cambria"/>
        <family val="1"/>
      </rPr>
      <t>3</t>
    </r>
    <r>
      <rPr>
        <sz val="11"/>
        <color theme="1"/>
        <rFont val="Cambria"/>
        <family val="1"/>
      </rPr>
      <t>/s</t>
    </r>
  </si>
  <si>
    <r>
      <t>Q</t>
    </r>
    <r>
      <rPr>
        <vertAlign val="subscript"/>
        <sz val="11"/>
        <color theme="1"/>
        <rFont val="Cambria"/>
        <family val="1"/>
      </rPr>
      <t>lav</t>
    </r>
  </si>
  <si>
    <r>
      <t>V</t>
    </r>
    <r>
      <rPr>
        <vertAlign val="subscript"/>
        <sz val="11"/>
        <color theme="1"/>
        <rFont val="Cambria"/>
        <family val="1"/>
      </rPr>
      <t>lav</t>
    </r>
  </si>
  <si>
    <r>
      <t>V</t>
    </r>
    <r>
      <rPr>
        <vertAlign val="subscript"/>
        <sz val="11"/>
        <color theme="1"/>
        <rFont val="Cambria"/>
        <family val="1"/>
      </rPr>
      <t>f</t>
    </r>
  </si>
  <si>
    <r>
      <t>V</t>
    </r>
    <r>
      <rPr>
        <vertAlign val="subscript"/>
        <sz val="11"/>
        <color theme="1"/>
        <rFont val="Cambria"/>
        <family val="1"/>
      </rPr>
      <t xml:space="preserve">lav </t>
    </r>
    <r>
      <rPr>
        <sz val="11"/>
        <color theme="1"/>
        <rFont val="Cambria"/>
        <family val="1"/>
      </rPr>
      <t>/ V</t>
    </r>
    <r>
      <rPr>
        <vertAlign val="subscript"/>
        <sz val="11"/>
        <color theme="1"/>
        <rFont val="Cambria"/>
        <family val="1"/>
      </rPr>
      <t>f</t>
    </r>
  </si>
  <si>
    <t>Velocidad de flujo en la tubería de lavado</t>
  </si>
  <si>
    <r>
      <t>DN</t>
    </r>
    <r>
      <rPr>
        <vertAlign val="subscript"/>
        <sz val="11"/>
        <rFont val="Cambria"/>
        <family val="1"/>
      </rPr>
      <t>tlav</t>
    </r>
  </si>
  <si>
    <r>
      <t>D</t>
    </r>
    <r>
      <rPr>
        <vertAlign val="subscript"/>
        <sz val="11"/>
        <rFont val="Cambria"/>
        <family val="1"/>
      </rPr>
      <t>tlav</t>
    </r>
  </si>
  <si>
    <r>
      <t>v</t>
    </r>
    <r>
      <rPr>
        <vertAlign val="subscript"/>
        <sz val="11"/>
        <rFont val="Cambria"/>
        <family val="1"/>
      </rPr>
      <t>tlav</t>
    </r>
  </si>
  <si>
    <t>f</t>
  </si>
  <si>
    <t>Rugosidad absoluta de la tubería</t>
  </si>
  <si>
    <t>Factor de fricción (asumido)</t>
  </si>
  <si>
    <t>Factor de fricción (iteración 1)</t>
  </si>
  <si>
    <t>Factor de fricción (iteración 2)</t>
  </si>
  <si>
    <t>Factor de fricción (iteración 3)</t>
  </si>
  <si>
    <t>Factor de fricción (iteración 4)</t>
  </si>
  <si>
    <r>
      <t>k</t>
    </r>
    <r>
      <rPr>
        <vertAlign val="subscript"/>
        <sz val="11"/>
        <rFont val="Cambria"/>
        <family val="1"/>
      </rPr>
      <t>s</t>
    </r>
  </si>
  <si>
    <t>Longitud de la tubería de lavado</t>
  </si>
  <si>
    <r>
      <t>L</t>
    </r>
    <r>
      <rPr>
        <vertAlign val="subscript"/>
        <sz val="11"/>
        <rFont val="Calibri"/>
        <family val="2"/>
        <scheme val="minor"/>
      </rPr>
      <t>tlav</t>
    </r>
  </si>
  <si>
    <r>
      <t>h</t>
    </r>
    <r>
      <rPr>
        <vertAlign val="subscript"/>
        <sz val="11"/>
        <rFont val="Cambria"/>
        <family val="1"/>
      </rPr>
      <t>4</t>
    </r>
  </si>
  <si>
    <t>PÉRDIDA DE CARGA EN LA TUBERÍA DE LAVADO (HAZEN - WILLIAMS)</t>
  </si>
  <si>
    <t>Coeficiente de rugosidad de Hazen - Williams</t>
  </si>
  <si>
    <t>C</t>
  </si>
  <si>
    <t>Caudal de lavado</t>
  </si>
  <si>
    <t>Pérdida de carga unitaria en la tubería de lavado</t>
  </si>
  <si>
    <t>S</t>
  </si>
  <si>
    <t>m/m</t>
  </si>
  <si>
    <t>Cantidad</t>
  </si>
  <si>
    <t>Cantidad mínima</t>
  </si>
  <si>
    <t>Cantidad máxima</t>
  </si>
  <si>
    <t>Salida del tubo</t>
  </si>
  <si>
    <r>
      <t>Diámetro nominal, DN</t>
    </r>
    <r>
      <rPr>
        <b/>
        <vertAlign val="subscript"/>
        <sz val="11"/>
        <rFont val="Calibri"/>
        <family val="2"/>
        <scheme val="minor"/>
      </rPr>
      <t>acc</t>
    </r>
  </si>
  <si>
    <t>Diámetro nominal (pulgadas)</t>
  </si>
  <si>
    <t>Coeficiente de pérdida menor, Km</t>
  </si>
  <si>
    <t>Cabeza de velocidad</t>
  </si>
  <si>
    <t>PÉRDIDA DE CARGA EN LA TUBERÍA DE LAVADO POR ACCESORIOS</t>
  </si>
  <si>
    <t>Sumatoria de coeficientes de pérdida menor</t>
  </si>
  <si>
    <t>Pérdida de carga en la tubería de lavado por accesorios</t>
  </si>
  <si>
    <r>
      <t>h</t>
    </r>
    <r>
      <rPr>
        <vertAlign val="subscript"/>
        <sz val="11"/>
        <rFont val="Cambria"/>
        <family val="1"/>
      </rPr>
      <t>5</t>
    </r>
  </si>
  <si>
    <r>
      <rPr>
        <sz val="16"/>
        <rFont val="Cambria"/>
        <family val="1"/>
      </rPr>
      <t>Σ</t>
    </r>
    <r>
      <rPr>
        <sz val="11"/>
        <rFont val="Cambria"/>
        <family val="1"/>
      </rPr>
      <t>k</t>
    </r>
    <r>
      <rPr>
        <vertAlign val="subscript"/>
        <sz val="11"/>
        <rFont val="Cambria"/>
        <family val="1"/>
      </rPr>
      <t>m</t>
    </r>
  </si>
  <si>
    <t>Pérdida de carga en la tubería de lavado (sin accesorios)</t>
  </si>
  <si>
    <t>Velocidad de lavado</t>
  </si>
  <si>
    <r>
      <t>v</t>
    </r>
    <r>
      <rPr>
        <vertAlign val="subscript"/>
        <sz val="11"/>
        <color theme="1"/>
        <rFont val="Cambria"/>
        <family val="1"/>
      </rPr>
      <t>b</t>
    </r>
  </si>
  <si>
    <t>Pérdida de carga a través del lecho de grava</t>
  </si>
  <si>
    <r>
      <t>h</t>
    </r>
    <r>
      <rPr>
        <vertAlign val="subscript"/>
        <sz val="11"/>
        <color theme="1"/>
        <rFont val="Cambria"/>
        <family val="1"/>
      </rPr>
      <t>2</t>
    </r>
  </si>
  <si>
    <t>Coeficiente de orificio</t>
  </si>
  <si>
    <r>
      <t xml:space="preserve">Coeficiente de orificio, </t>
    </r>
    <r>
      <rPr>
        <b/>
        <sz val="11"/>
        <color theme="1"/>
        <rFont val="Calibri"/>
        <family val="2"/>
      </rPr>
      <t>α</t>
    </r>
  </si>
  <si>
    <t>Pérdidad de carga a través del sistema de drenaje</t>
  </si>
  <si>
    <r>
      <t>h</t>
    </r>
    <r>
      <rPr>
        <vertAlign val="subscript"/>
        <sz val="11"/>
        <rFont val="Cambria"/>
        <family val="1"/>
      </rPr>
      <t>3</t>
    </r>
  </si>
  <si>
    <r>
      <t xml:space="preserve">Coeficiente de pérdida menor, </t>
    </r>
    <r>
      <rPr>
        <b/>
        <sz val="11"/>
        <rFont val="Cambria"/>
        <family val="1"/>
      </rPr>
      <t>k</t>
    </r>
    <r>
      <rPr>
        <b/>
        <vertAlign val="subscript"/>
        <sz val="11"/>
        <rFont val="Cambria"/>
        <family val="1"/>
      </rPr>
      <t>m</t>
    </r>
  </si>
  <si>
    <r>
      <t>h</t>
    </r>
    <r>
      <rPr>
        <vertAlign val="subscript"/>
        <sz val="11"/>
        <rFont val="Cambria"/>
        <family val="1"/>
      </rPr>
      <t>1</t>
    </r>
  </si>
  <si>
    <r>
      <t>h</t>
    </r>
    <r>
      <rPr>
        <vertAlign val="subscript"/>
        <sz val="11"/>
        <rFont val="Cambria"/>
        <family val="1"/>
      </rPr>
      <t>2</t>
    </r>
  </si>
  <si>
    <t>Pérdida de carga en la tubería de lavado (Darcy - Weisbach)</t>
  </si>
  <si>
    <t>Pérdida de carga en la tubería de lavado (Hazen - Williams)</t>
  </si>
  <si>
    <t>Modelo de cálculo de pérdida de energía por fricción</t>
  </si>
  <si>
    <t>Pérdida de carga  por accesorios en la tubería de lavado</t>
  </si>
  <si>
    <t>Pérdidad de carga total durante el lavado</t>
  </si>
  <si>
    <t>-</t>
  </si>
  <si>
    <t>CANALETAS DE LAVADO</t>
  </si>
  <si>
    <r>
      <t>N</t>
    </r>
    <r>
      <rPr>
        <vertAlign val="subscript"/>
        <sz val="11"/>
        <rFont val="Cambria"/>
        <family val="1"/>
      </rPr>
      <t>ca</t>
    </r>
  </si>
  <si>
    <t>Longitud del filtro</t>
  </si>
  <si>
    <r>
      <t>v</t>
    </r>
    <r>
      <rPr>
        <vertAlign val="subscript"/>
        <sz val="11"/>
        <color theme="1"/>
        <rFont val="Cambria"/>
        <family val="1"/>
      </rPr>
      <t>f</t>
    </r>
  </si>
  <si>
    <t>Velocidad de asentamiento del medio filtrante a 20 °C</t>
  </si>
  <si>
    <t>Posidad del lecho expandido</t>
  </si>
  <si>
    <t>Profundidad del lecho fijo</t>
  </si>
  <si>
    <t>Profundidad del lecho expandido</t>
  </si>
  <si>
    <t>Relación de expansión</t>
  </si>
  <si>
    <t>RE</t>
  </si>
  <si>
    <r>
      <t>D</t>
    </r>
    <r>
      <rPr>
        <vertAlign val="subscript"/>
        <sz val="11"/>
        <rFont val="Cambria"/>
        <family val="1"/>
      </rPr>
      <t>60</t>
    </r>
  </si>
  <si>
    <r>
      <t>v</t>
    </r>
    <r>
      <rPr>
        <vertAlign val="subscript"/>
        <sz val="11"/>
        <rFont val="Cambria"/>
        <family val="1"/>
      </rPr>
      <t>s20</t>
    </r>
  </si>
  <si>
    <r>
      <t>v</t>
    </r>
    <r>
      <rPr>
        <vertAlign val="subscript"/>
        <sz val="11"/>
        <rFont val="Cambria"/>
        <family val="1"/>
      </rPr>
      <t>s T</t>
    </r>
  </si>
  <si>
    <r>
      <t>v</t>
    </r>
    <r>
      <rPr>
        <vertAlign val="subscript"/>
        <sz val="11"/>
        <rFont val="Cambria"/>
        <family val="1"/>
      </rPr>
      <t>fl</t>
    </r>
  </si>
  <si>
    <r>
      <t>v</t>
    </r>
    <r>
      <rPr>
        <vertAlign val="subscript"/>
        <sz val="11"/>
        <rFont val="Cambria"/>
        <family val="1"/>
      </rPr>
      <t>bT</t>
    </r>
  </si>
  <si>
    <r>
      <t>e</t>
    </r>
    <r>
      <rPr>
        <vertAlign val="subscript"/>
        <sz val="11"/>
        <rFont val="Cambria"/>
        <family val="1"/>
      </rPr>
      <t>e</t>
    </r>
  </si>
  <si>
    <r>
      <t>L</t>
    </r>
    <r>
      <rPr>
        <vertAlign val="subscript"/>
        <sz val="11"/>
        <rFont val="Cambria"/>
        <family val="1"/>
      </rPr>
      <t>e</t>
    </r>
  </si>
  <si>
    <t>Distancia de seguridad entre lecho expandido y fondo canaleta</t>
  </si>
  <si>
    <t>Altura de la canaleta sobre el medio filtrante</t>
  </si>
  <si>
    <r>
      <t>H</t>
    </r>
    <r>
      <rPr>
        <vertAlign val="subscript"/>
        <sz val="11"/>
        <rFont val="Cambria"/>
        <family val="1"/>
      </rPr>
      <t>o</t>
    </r>
  </si>
  <si>
    <r>
      <t>H</t>
    </r>
    <r>
      <rPr>
        <vertAlign val="subscript"/>
        <sz val="11"/>
        <rFont val="Cambria"/>
        <family val="1"/>
      </rPr>
      <t>s</t>
    </r>
  </si>
  <si>
    <r>
      <rPr>
        <sz val="11"/>
        <rFont val="Cambria"/>
        <family val="1"/>
      </rPr>
      <t>h</t>
    </r>
    <r>
      <rPr>
        <vertAlign val="subscript"/>
        <sz val="11"/>
        <rFont val="Cambria"/>
        <family val="1"/>
      </rPr>
      <t>b</t>
    </r>
  </si>
  <si>
    <t>Número de canaletas</t>
  </si>
  <si>
    <r>
      <t>Q</t>
    </r>
    <r>
      <rPr>
        <vertAlign val="subscript"/>
        <sz val="11"/>
        <rFont val="Cambria"/>
        <family val="1"/>
      </rPr>
      <t>ca</t>
    </r>
  </si>
  <si>
    <t>Caudal de lavado ecuado por cada canaleta</t>
  </si>
  <si>
    <t>Anchos de canaleta, b (m)</t>
  </si>
  <si>
    <t>Ancho de la canaleta</t>
  </si>
  <si>
    <t>Profundidad máxima del agua en la canaleta</t>
  </si>
  <si>
    <r>
      <t>H</t>
    </r>
    <r>
      <rPr>
        <vertAlign val="subscript"/>
        <sz val="11"/>
        <rFont val="Cambria"/>
        <family val="1"/>
      </rPr>
      <t>ca</t>
    </r>
  </si>
  <si>
    <r>
      <t>W</t>
    </r>
    <r>
      <rPr>
        <vertAlign val="subscript"/>
        <sz val="11"/>
        <rFont val="Cambria"/>
        <family val="1"/>
      </rPr>
      <t>ca</t>
    </r>
  </si>
  <si>
    <t>Borde libre de la canaleta</t>
  </si>
  <si>
    <r>
      <t>BL</t>
    </r>
    <r>
      <rPr>
        <vertAlign val="subscript"/>
        <sz val="11"/>
        <rFont val="Cambria"/>
        <family val="1"/>
      </rPr>
      <t>ca</t>
    </r>
  </si>
  <si>
    <t>Altura total interna de la canaleta</t>
  </si>
  <si>
    <r>
      <t>P</t>
    </r>
    <r>
      <rPr>
        <vertAlign val="subscript"/>
        <sz val="11"/>
        <rFont val="Cambria"/>
        <family val="1"/>
      </rPr>
      <t>ca</t>
    </r>
  </si>
  <si>
    <t>Espaciamiento entre ejes de canaletas (asumido)</t>
  </si>
  <si>
    <t>Espaciamiento entre ejes de canaletas (corregido)</t>
  </si>
  <si>
    <t>Tasa de filtración máxima con filtros fuera de servicio por lavado</t>
  </si>
  <si>
    <t>Área de filtración con filtros fuera de servicio por lavado</t>
  </si>
  <si>
    <t>Número mínimo de filtros</t>
  </si>
  <si>
    <t>Área de filtración fuera de servicio por lavado de filtros</t>
  </si>
  <si>
    <t>Área de cada filtro</t>
  </si>
  <si>
    <r>
      <t>A</t>
    </r>
    <r>
      <rPr>
        <vertAlign val="subscript"/>
        <sz val="11"/>
        <rFont val="Cambria"/>
        <family val="1"/>
      </rPr>
      <t>x</t>
    </r>
  </si>
  <si>
    <r>
      <t>N</t>
    </r>
    <r>
      <rPr>
        <vertAlign val="subscript"/>
        <sz val="11"/>
        <rFont val="Cambria"/>
        <family val="1"/>
      </rPr>
      <t>f min</t>
    </r>
  </si>
  <si>
    <t>Tipo de grano de arena</t>
  </si>
  <si>
    <t>Angular</t>
  </si>
  <si>
    <t>Afilada</t>
  </si>
  <si>
    <t>Erosionada</t>
  </si>
  <si>
    <t>Redondeada</t>
  </si>
  <si>
    <t>Esférica</t>
  </si>
  <si>
    <t>Factor de forma de Rose, α/β</t>
  </si>
  <si>
    <t>Factor de forma Fair- Hatch, φ</t>
  </si>
  <si>
    <t>Factor de forma Carmen- Kozeny, φ</t>
  </si>
  <si>
    <t>VELOCIDAD DE LAVADO Y EXPANSIÓN DEL LECHO FILTRANTE</t>
  </si>
  <si>
    <t>Caudal de filtración</t>
  </si>
  <si>
    <r>
      <t>Q</t>
    </r>
    <r>
      <rPr>
        <vertAlign val="subscript"/>
        <sz val="11"/>
        <rFont val="Cambria"/>
        <family val="1"/>
      </rPr>
      <t>f</t>
    </r>
  </si>
  <si>
    <t>Material de la tubería del efluente</t>
  </si>
  <si>
    <t>Longitud de la tubería del efluente</t>
  </si>
  <si>
    <t>Diámetro nominal de la tubería del efluente</t>
  </si>
  <si>
    <t>Diámetro interno de la tubería efluente</t>
  </si>
  <si>
    <t>Velocidad de flujo en la tubería del efluente</t>
  </si>
  <si>
    <r>
      <t>L</t>
    </r>
    <r>
      <rPr>
        <vertAlign val="subscript"/>
        <sz val="11"/>
        <rFont val="Calibri"/>
        <family val="2"/>
        <scheme val="minor"/>
      </rPr>
      <t>tef</t>
    </r>
  </si>
  <si>
    <r>
      <t>D</t>
    </r>
    <r>
      <rPr>
        <vertAlign val="subscript"/>
        <sz val="11"/>
        <rFont val="Cambria"/>
        <family val="1"/>
      </rPr>
      <t>tef</t>
    </r>
  </si>
  <si>
    <r>
      <t>v</t>
    </r>
    <r>
      <rPr>
        <vertAlign val="subscript"/>
        <sz val="11"/>
        <rFont val="Cambria"/>
        <family val="1"/>
      </rPr>
      <t>tef</t>
    </r>
  </si>
  <si>
    <r>
      <t>DN</t>
    </r>
    <r>
      <rPr>
        <vertAlign val="subscript"/>
        <sz val="11"/>
        <rFont val="Cambria"/>
        <family val="1"/>
      </rPr>
      <t>tef</t>
    </r>
  </si>
  <si>
    <t>Pérdida de energía en la tubería del efluente (sin accesorios)</t>
  </si>
  <si>
    <t>Pérdida de energía a través del sistema de drenaje</t>
  </si>
  <si>
    <r>
      <t>h</t>
    </r>
    <r>
      <rPr>
        <vertAlign val="subscript"/>
        <sz val="11"/>
        <rFont val="Cambria"/>
        <family val="1"/>
      </rPr>
      <t>L</t>
    </r>
  </si>
  <si>
    <t>Pérdida de energía en el lecho de grava</t>
  </si>
  <si>
    <t>Pérdida de energía en el lecho de arena limpio (Rose)</t>
  </si>
  <si>
    <t>Pérdidad de energía en el sistema de drenaje</t>
  </si>
  <si>
    <t>Pérdida de energía en la tubería del efluente</t>
  </si>
  <si>
    <t>Pérdida de energía por accesorios en la tubería del efluente</t>
  </si>
  <si>
    <r>
      <rPr>
        <sz val="11"/>
        <rFont val="Cambria"/>
        <family val="1"/>
      </rPr>
      <t>h</t>
    </r>
    <r>
      <rPr>
        <vertAlign val="subscript"/>
        <sz val="11"/>
        <rFont val="Cambria"/>
        <family val="1"/>
      </rPr>
      <t>d</t>
    </r>
  </si>
  <si>
    <r>
      <t>h</t>
    </r>
    <r>
      <rPr>
        <vertAlign val="subscript"/>
        <sz val="11"/>
        <rFont val="Cambria"/>
        <family val="1"/>
      </rPr>
      <t>tef</t>
    </r>
  </si>
  <si>
    <r>
      <t>h</t>
    </r>
    <r>
      <rPr>
        <vertAlign val="subscript"/>
        <sz val="11"/>
        <rFont val="Cambria"/>
        <family val="1"/>
      </rPr>
      <t>acc</t>
    </r>
  </si>
  <si>
    <r>
      <t>h</t>
    </r>
    <r>
      <rPr>
        <vertAlign val="subscript"/>
        <sz val="11"/>
        <rFont val="Cambria"/>
        <family val="1"/>
      </rPr>
      <t>g</t>
    </r>
  </si>
  <si>
    <r>
      <t>h</t>
    </r>
    <r>
      <rPr>
        <vertAlign val="subscript"/>
        <sz val="11"/>
        <rFont val="Cambria"/>
        <family val="1"/>
      </rPr>
      <t>d</t>
    </r>
  </si>
  <si>
    <r>
      <rPr>
        <sz val="11"/>
        <rFont val="Cambria"/>
        <family val="1"/>
      </rPr>
      <t>h</t>
    </r>
    <r>
      <rPr>
        <vertAlign val="subscript"/>
        <sz val="11"/>
        <rFont val="Cambria"/>
        <family val="1"/>
      </rPr>
      <t>f</t>
    </r>
  </si>
  <si>
    <t>Calculada (m/s)</t>
  </si>
  <si>
    <t>Velocidad de diseño</t>
  </si>
  <si>
    <t>Rango de diseño (m/s)</t>
  </si>
  <si>
    <t>Velocidad en la tubería de lavado</t>
  </si>
  <si>
    <t>0,9 - 2,4</t>
  </si>
  <si>
    <r>
      <t>v</t>
    </r>
    <r>
      <rPr>
        <vertAlign val="subscript"/>
        <sz val="11"/>
        <rFont val="Cambria"/>
        <family val="1"/>
      </rPr>
      <t>mul lav</t>
    </r>
  </si>
  <si>
    <r>
      <rPr>
        <sz val="11"/>
        <rFont val="Cambria"/>
        <family val="1"/>
      </rPr>
      <t>v</t>
    </r>
    <r>
      <rPr>
        <vertAlign val="subscript"/>
        <sz val="11"/>
        <rFont val="Cambria"/>
        <family val="1"/>
      </rPr>
      <t>lat lav</t>
    </r>
  </si>
  <si>
    <t>Velocidad en tubería de drenaje en lavado (múltiple)</t>
  </si>
  <si>
    <t>Velocidad en tubería de drenaje en lavado (laterales)</t>
  </si>
  <si>
    <t>VERIFICACIÓN DE VELOCIDADES DE DISEÑO EN TUBERÍAS DEL FILTRO DURANTE EL LAVADO</t>
  </si>
  <si>
    <t>PÉRDIDA DE CARGA A TRAVÉS DEL LECHO DE GRAVA DURANTE EL LAVADO (DIXON)</t>
  </si>
  <si>
    <t>PÉRDIDA DE CARGA A TRAVÉS DEL SISTEMA DE DRENAJE DURANTE EL LAVADO</t>
  </si>
  <si>
    <r>
      <t>(x</t>
    </r>
    <r>
      <rPr>
        <vertAlign val="subscript"/>
        <sz val="11"/>
        <rFont val="Cambria"/>
        <family val="1"/>
      </rPr>
      <t>1</t>
    </r>
    <r>
      <rPr>
        <sz val="11"/>
        <rFont val="Cambria"/>
        <family val="1"/>
      </rPr>
      <t>, y</t>
    </r>
    <r>
      <rPr>
        <vertAlign val="subscript"/>
        <sz val="11"/>
        <rFont val="Cambria"/>
        <family val="1"/>
      </rPr>
      <t>1</t>
    </r>
    <r>
      <rPr>
        <sz val="11"/>
        <rFont val="Cambria"/>
        <family val="1"/>
      </rPr>
      <t>)</t>
    </r>
  </si>
  <si>
    <r>
      <t>(x</t>
    </r>
    <r>
      <rPr>
        <vertAlign val="subscript"/>
        <sz val="11"/>
        <rFont val="Cambria"/>
        <family val="1"/>
      </rPr>
      <t>2</t>
    </r>
    <r>
      <rPr>
        <sz val="11"/>
        <rFont val="Cambria"/>
        <family val="1"/>
      </rPr>
      <t>, y</t>
    </r>
    <r>
      <rPr>
        <vertAlign val="subscript"/>
        <sz val="11"/>
        <rFont val="Cambria"/>
        <family val="1"/>
      </rPr>
      <t>2</t>
    </r>
    <r>
      <rPr>
        <sz val="11"/>
        <rFont val="Cambria"/>
        <family val="1"/>
      </rPr>
      <t>)</t>
    </r>
  </si>
  <si>
    <t>Número de orificios por lateral</t>
  </si>
  <si>
    <t>Área transversal del lateral / área de orificios del lateral</t>
  </si>
  <si>
    <t>Área transversal del múltiple / área transversal de laterales</t>
  </si>
  <si>
    <t>Distancia entre orificios (m)</t>
  </si>
  <si>
    <t>Longitud de lateral / diámetrol de lateral</t>
  </si>
  <si>
    <t>&lt; 60</t>
  </si>
  <si>
    <r>
      <rPr>
        <sz val="11"/>
        <rFont val="Cambria"/>
        <family val="1"/>
      </rPr>
      <t>X</t>
    </r>
    <r>
      <rPr>
        <sz val="6"/>
        <rFont val="Cambria"/>
        <family val="1"/>
      </rPr>
      <t xml:space="preserve"> </t>
    </r>
    <r>
      <rPr>
        <vertAlign val="subscript"/>
        <sz val="11"/>
        <rFont val="Cambria"/>
        <family val="1"/>
      </rPr>
      <t>ori</t>
    </r>
  </si>
  <si>
    <r>
      <t>S</t>
    </r>
    <r>
      <rPr>
        <sz val="6"/>
        <rFont val="Cambria"/>
        <family val="1"/>
      </rPr>
      <t xml:space="preserve"> </t>
    </r>
    <r>
      <rPr>
        <vertAlign val="subscript"/>
        <sz val="11"/>
        <rFont val="Cambria"/>
        <family val="1"/>
      </rPr>
      <t>mul</t>
    </r>
  </si>
  <si>
    <r>
      <t>B</t>
    </r>
    <r>
      <rPr>
        <vertAlign val="subscript"/>
        <sz val="11"/>
        <rFont val="Cambria"/>
        <family val="1"/>
      </rPr>
      <t xml:space="preserve"> mul</t>
    </r>
  </si>
  <si>
    <r>
      <t>L</t>
    </r>
    <r>
      <rPr>
        <sz val="6"/>
        <rFont val="Cambria"/>
        <family val="1"/>
      </rPr>
      <t xml:space="preserve"> </t>
    </r>
    <r>
      <rPr>
        <vertAlign val="subscript"/>
        <sz val="11"/>
        <rFont val="Cambria"/>
        <family val="1"/>
      </rPr>
      <t>lat</t>
    </r>
  </si>
  <si>
    <r>
      <rPr>
        <sz val="11"/>
        <rFont val="Cambria"/>
        <family val="1"/>
      </rPr>
      <t>X</t>
    </r>
    <r>
      <rPr>
        <sz val="6"/>
        <rFont val="Cambria"/>
        <family val="1"/>
      </rPr>
      <t xml:space="preserve"> </t>
    </r>
    <r>
      <rPr>
        <vertAlign val="subscript"/>
        <sz val="11"/>
        <rFont val="Cambria"/>
        <family val="1"/>
      </rPr>
      <t>lat</t>
    </r>
  </si>
  <si>
    <r>
      <t>N</t>
    </r>
    <r>
      <rPr>
        <vertAlign val="subscript"/>
        <sz val="6"/>
        <rFont val="Cambria"/>
        <family val="1"/>
      </rPr>
      <t xml:space="preserve"> </t>
    </r>
    <r>
      <rPr>
        <vertAlign val="subscript"/>
        <sz val="11"/>
        <rFont val="Cambria"/>
        <family val="1"/>
      </rPr>
      <t>lat</t>
    </r>
  </si>
  <si>
    <r>
      <t>N</t>
    </r>
    <r>
      <rPr>
        <vertAlign val="subscript"/>
        <sz val="11"/>
        <rFont val="Cambria"/>
        <family val="1"/>
      </rPr>
      <t>ori/lat</t>
    </r>
  </si>
  <si>
    <r>
      <t>N</t>
    </r>
    <r>
      <rPr>
        <sz val="6"/>
        <rFont val="Cambria"/>
        <family val="1"/>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</si>
  <si>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</si>
  <si>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lat</t>
    </r>
  </si>
  <si>
    <t>Factor de forma Rose, φ</t>
  </si>
  <si>
    <t>Factor de forma Fair- Hatch, α/β</t>
  </si>
  <si>
    <r>
      <t>(m-</t>
    </r>
    <r>
      <rPr>
        <b/>
        <vertAlign val="superscript"/>
        <sz val="11"/>
        <color theme="1"/>
        <rFont val="Calibri"/>
        <family val="2"/>
        <scheme val="minor"/>
      </rPr>
      <t>1</t>
    </r>
    <r>
      <rPr>
        <b/>
        <sz val="11"/>
        <color theme="1"/>
        <rFont val="Calibri"/>
        <family val="2"/>
        <scheme val="minor"/>
      </rPr>
      <t>)</t>
    </r>
  </si>
  <si>
    <t>Factor de fricción</t>
  </si>
  <si>
    <t xml:space="preserve">Pérdida de energía </t>
  </si>
  <si>
    <t>Coeficiente de permeabilidad</t>
  </si>
  <si>
    <t>Coeficiente de filtración (Fair - Hatch)</t>
  </si>
  <si>
    <r>
      <t>C</t>
    </r>
    <r>
      <rPr>
        <vertAlign val="subscript"/>
        <sz val="11"/>
        <rFont val="Cambria"/>
        <family val="1"/>
      </rPr>
      <t>k</t>
    </r>
  </si>
  <si>
    <t>ESTIMACIÓN DEL COEFICIENTE DE PERMEABILIDAD DEL LECHO FILTRANTE DE ARENA LIMPIO (CARMAN - KOSENY)</t>
  </si>
  <si>
    <t>Carman - Kozeny</t>
  </si>
  <si>
    <t>PÉRDIDA DE ENERGIA EN EL LECHO FILTRANTE DE ARENA LIMPIO (ROSE)</t>
  </si>
  <si>
    <r>
      <t>h</t>
    </r>
    <r>
      <rPr>
        <vertAlign val="subscript"/>
        <sz val="11"/>
        <color theme="1"/>
        <rFont val="Cambria"/>
        <family val="1"/>
      </rPr>
      <t>L</t>
    </r>
  </si>
  <si>
    <r>
      <t>Tasa media de filtración, v</t>
    </r>
    <r>
      <rPr>
        <vertAlign val="subscript"/>
        <sz val="11"/>
        <rFont val="Calibri"/>
        <family val="2"/>
        <scheme val="minor"/>
      </rPr>
      <t>a</t>
    </r>
  </si>
  <si>
    <r>
      <t>v</t>
    </r>
    <r>
      <rPr>
        <vertAlign val="subscript"/>
        <sz val="11"/>
        <color theme="1"/>
        <rFont val="Cambria"/>
        <family val="1"/>
      </rPr>
      <t>a</t>
    </r>
  </si>
  <si>
    <r>
      <t>v</t>
    </r>
    <r>
      <rPr>
        <vertAlign val="subscript"/>
        <sz val="11"/>
        <color theme="1"/>
        <rFont val="Cambria"/>
        <family val="1"/>
      </rPr>
      <t>amax</t>
    </r>
  </si>
  <si>
    <t>CÁLCULO COMPARATIVO DE PÉRDIDA DE ENERGIA EN EL LECHO FILTRANTE DE ARENA LIMPIO A TASA MEDIA</t>
  </si>
  <si>
    <r>
      <t>(m</t>
    </r>
    <r>
      <rPr>
        <b/>
        <vertAlign val="superscript"/>
        <sz val="11"/>
        <rFont val="Calibri"/>
        <family val="2"/>
        <scheme val="minor"/>
      </rPr>
      <t>-2</t>
    </r>
    <r>
      <rPr>
        <b/>
        <sz val="11"/>
        <rFont val="Calibri"/>
        <family val="2"/>
        <scheme val="minor"/>
      </rPr>
      <t>)</t>
    </r>
  </si>
  <si>
    <r>
      <t>(m</t>
    </r>
    <r>
      <rPr>
        <b/>
        <vertAlign val="superscript"/>
        <sz val="11"/>
        <rFont val="Calibri"/>
        <family val="2"/>
        <scheme val="minor"/>
      </rPr>
      <t>-1</t>
    </r>
    <r>
      <rPr>
        <b/>
        <sz val="11"/>
        <rFont val="Calibri"/>
        <family val="2"/>
        <scheme val="minor"/>
      </rPr>
      <t>)</t>
    </r>
  </si>
  <si>
    <t>CÁLCULO COMPARATIVO DE PÉRDIDA DE ENERGIA EN EL LECHO FILTRANTE DE ARENA LIMPIO A TASA MÁXIMA</t>
  </si>
  <si>
    <t>Pérdida de energía a tasa media de filtración (Rose)</t>
  </si>
  <si>
    <t>Pérdida de energía a tasa máxima de filtración (Rose)</t>
  </si>
  <si>
    <t>Factor de esfericidad (Rose)</t>
  </si>
  <si>
    <t>Factor de forma de área / factor de forma de volumen (Fair-Hatch)</t>
  </si>
  <si>
    <t>Factor de forma de área / factor de forma de volumen (Rose)</t>
  </si>
  <si>
    <t>Factor de esfericidad (Fair-Hatch, Carman - Kozeny)</t>
  </si>
  <si>
    <t>Pérdida de carga en la tubería del efluente por accesorios</t>
  </si>
  <si>
    <t xml:space="preserve"> PÉRDIDA DE CARGA TOTAL DURANTE EL LAVADO </t>
  </si>
  <si>
    <r>
      <t>h</t>
    </r>
    <r>
      <rPr>
        <vertAlign val="subscript"/>
        <sz val="11"/>
        <rFont val="Cambria"/>
        <family val="1"/>
      </rPr>
      <t>tef max</t>
    </r>
  </si>
  <si>
    <r>
      <t>h</t>
    </r>
    <r>
      <rPr>
        <vertAlign val="subscript"/>
        <sz val="11"/>
        <rFont val="Cambria"/>
        <family val="1"/>
      </rPr>
      <t>acc max</t>
    </r>
  </si>
  <si>
    <r>
      <t>h</t>
    </r>
    <r>
      <rPr>
        <vertAlign val="subscript"/>
        <sz val="11"/>
        <color theme="1"/>
        <rFont val="Cambria"/>
        <family val="1"/>
      </rPr>
      <t>L max</t>
    </r>
  </si>
  <si>
    <r>
      <t>v</t>
    </r>
    <r>
      <rPr>
        <vertAlign val="subscript"/>
        <sz val="11"/>
        <rFont val="Cambria"/>
        <family val="1"/>
      </rPr>
      <t>f max</t>
    </r>
  </si>
  <si>
    <t>PÉRDIDA DE ENERGÍA EN EL LECHO DE GRAVA A TASA MEDIA DE FILTRACIÓN (DIXON)</t>
  </si>
  <si>
    <t>PÉRDIDA DE ENERGÍA EN EL SISTEMA DE DRENAJE A TASA MEDIA DE FILTRACIÓN</t>
  </si>
  <si>
    <t>PÉRDIDA DE ENERGÍA EN LA TUBERÍA DEL EFLUENTE A TASA MEDIA DE FILTRACIÓN (DARCY - WEISBACH)</t>
  </si>
  <si>
    <t>PÉRDIDA DE ENERGÍA EN LA TUBERÍA DEL EFLUENTE POR ACCESORIOS A TASA MEDIA DE FILTRACIÓN</t>
  </si>
  <si>
    <t>PÉRDIDA DE ENERGÍA EN EL SISTEMA DE DRENAJE A TASA MÁXIMA DE FILTRACIÓN</t>
  </si>
  <si>
    <t>PÉRDIDA DE ENERGÍA EN EL LECHO DE GRAVA A TASA MÁXIMA DE FILTRACIÓN</t>
  </si>
  <si>
    <t>PÉRDIDA DE ENERGÍA EN LA TUBERÍA DEL EFLUENTE A TASA MÁXIMA DE FILTRACIÓN</t>
  </si>
  <si>
    <r>
      <t>h</t>
    </r>
    <r>
      <rPr>
        <vertAlign val="subscript"/>
        <sz val="11"/>
        <color theme="1"/>
        <rFont val="Cambria"/>
        <family val="1"/>
      </rPr>
      <t>g max</t>
    </r>
  </si>
  <si>
    <r>
      <t>v</t>
    </r>
    <r>
      <rPr>
        <vertAlign val="subscript"/>
        <sz val="11"/>
        <color theme="1"/>
        <rFont val="Cambria"/>
        <family val="1"/>
      </rPr>
      <t>f max</t>
    </r>
  </si>
  <si>
    <r>
      <rPr>
        <sz val="11"/>
        <rFont val="Cambria"/>
        <family val="1"/>
      </rPr>
      <t>h</t>
    </r>
    <r>
      <rPr>
        <vertAlign val="subscript"/>
        <sz val="11"/>
        <rFont val="Cambria"/>
        <family val="1"/>
      </rPr>
      <t>d max</t>
    </r>
  </si>
  <si>
    <r>
      <t>Q</t>
    </r>
    <r>
      <rPr>
        <vertAlign val="subscript"/>
        <sz val="11"/>
        <rFont val="Cambria"/>
        <family val="1"/>
      </rPr>
      <t>f max</t>
    </r>
  </si>
  <si>
    <r>
      <t>v</t>
    </r>
    <r>
      <rPr>
        <vertAlign val="subscript"/>
        <sz val="11"/>
        <rFont val="Cambria"/>
        <family val="1"/>
      </rPr>
      <t>tef max</t>
    </r>
  </si>
  <si>
    <r>
      <t xml:space="preserve">Re </t>
    </r>
    <r>
      <rPr>
        <vertAlign val="subscript"/>
        <sz val="11"/>
        <rFont val="Cambria"/>
        <family val="1"/>
      </rPr>
      <t>max</t>
    </r>
  </si>
  <si>
    <t>PÉRDIDA DE ENERGÍA EN LA TUBERÍA DEL EFLUENTE POR ACCESORIOS A TASA MÁXIMA DE FILTRACIÓN</t>
  </si>
  <si>
    <t>PÉRDIDAS DE ENERGÍA DURANTE EL FILTRADO CON LECHO LIMPIO</t>
  </si>
  <si>
    <r>
      <rPr>
        <sz val="11"/>
        <rFont val="Cambria"/>
        <family val="1"/>
      </rPr>
      <t>h</t>
    </r>
    <r>
      <rPr>
        <vertAlign val="subscript"/>
        <sz val="11"/>
        <rFont val="Cambria"/>
        <family val="1"/>
      </rPr>
      <t>f max</t>
    </r>
  </si>
  <si>
    <r>
      <t>h</t>
    </r>
    <r>
      <rPr>
        <vertAlign val="subscript"/>
        <sz val="11"/>
        <rFont val="Cambria"/>
        <family val="1"/>
      </rPr>
      <t>L max</t>
    </r>
  </si>
  <si>
    <r>
      <t>h</t>
    </r>
    <r>
      <rPr>
        <vertAlign val="subscript"/>
        <sz val="11"/>
        <rFont val="Cambria"/>
        <family val="1"/>
      </rPr>
      <t>g max</t>
    </r>
  </si>
  <si>
    <r>
      <t>h</t>
    </r>
    <r>
      <rPr>
        <vertAlign val="subscript"/>
        <sz val="11"/>
        <rFont val="Cambria"/>
        <family val="1"/>
      </rPr>
      <t>d max</t>
    </r>
  </si>
  <si>
    <t>Energía disponible de filtración</t>
  </si>
  <si>
    <r>
      <t>h</t>
    </r>
    <r>
      <rPr>
        <vertAlign val="subscript"/>
        <sz val="11"/>
        <rFont val="Cambria"/>
        <family val="1"/>
      </rPr>
      <t>m</t>
    </r>
  </si>
  <si>
    <t>Altura del vertedero de control sobre el lecho fijo</t>
  </si>
  <si>
    <r>
      <t>H</t>
    </r>
    <r>
      <rPr>
        <vertAlign val="subscript"/>
        <sz val="11"/>
        <rFont val="Cambria"/>
        <family val="1"/>
      </rPr>
      <t xml:space="preserve">v </t>
    </r>
    <r>
      <rPr>
        <sz val="11"/>
        <rFont val="Cambria"/>
        <family val="1"/>
      </rPr>
      <t>- H</t>
    </r>
    <r>
      <rPr>
        <vertAlign val="subscript"/>
        <sz val="11"/>
        <rFont val="Cambria"/>
        <family val="1"/>
      </rPr>
      <t>a</t>
    </r>
  </si>
  <si>
    <t>DIMENSIONES Y COTAS EN LOS FILTROS</t>
  </si>
  <si>
    <t>Pérdida de energía total a tasa media de filtración</t>
  </si>
  <si>
    <t>Pérdida de energía total a tasa máxima de filtración</t>
  </si>
  <si>
    <t>Pérdida de energía total a tasa media de filtración con lecho limpio</t>
  </si>
  <si>
    <t>Altura interna total del filtro</t>
  </si>
  <si>
    <r>
      <t>H</t>
    </r>
    <r>
      <rPr>
        <vertAlign val="subscript"/>
        <sz val="11"/>
        <rFont val="Cambria"/>
        <family val="1"/>
      </rPr>
      <t>f</t>
    </r>
  </si>
  <si>
    <t>PÉRDIDA DE ENERGÍA TOTAL A TASA MEDIA DE FILTRACIÓN CON LECHO LIMPIO</t>
  </si>
  <si>
    <t>Nivel de la lámina de agua con lecho limpio</t>
  </si>
  <si>
    <r>
      <t>H</t>
    </r>
    <r>
      <rPr>
        <vertAlign val="subscript"/>
        <sz val="11"/>
        <rFont val="Cambria"/>
        <family val="1"/>
      </rPr>
      <t>w min</t>
    </r>
  </si>
  <si>
    <r>
      <t>H</t>
    </r>
    <r>
      <rPr>
        <vertAlign val="subscript"/>
        <sz val="11"/>
        <rFont val="Cambria"/>
        <family val="1"/>
      </rPr>
      <t>w max</t>
    </r>
  </si>
  <si>
    <t>Nivel de la lámina de agua con pérdida de energía máxima</t>
  </si>
  <si>
    <t>PÉRDIDA DE ENERGÍA TOTAL A TASA MÁXIMA DE FILTRACIÓN CON LECHO LIMPIO</t>
  </si>
  <si>
    <t>(Quitar Va)</t>
  </si>
  <si>
    <t>¿A la 0.63?</t>
  </si>
  <si>
    <t>Revisar</t>
  </si>
  <si>
    <t>Valor nuevo</t>
  </si>
  <si>
    <t>Cambio longitud tubería de lavado</t>
  </si>
  <si>
    <t>¿Nombre?</t>
  </si>
  <si>
    <t>Nombres</t>
  </si>
  <si>
    <t>Nombre: Descriptivo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</si>
</sst>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 #,##0.00_-;\-&quot;$&quot;\ * #,##0.00_-;_-&quot;$&quot;\ * &quot;-&quot;??_-;_-@_-"/>
    <numFmt numFmtId="43" formatCode="_-* #,##0.00_-;\-* #,##0.00_-;_-* &quot;-&quot;??_-;_-@_-"/>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_-&quot;$&quot;\ * #,##0_-;\-&quot;$&quot;\ * #,##0_-;_-&quot;$&quot;\ * &quot;-&quot;??_-;_-@_-"/>
    <numFmt numFmtId="176" formatCode="_-* #,##0_-;\-* #,##0_-;_-* &quot;-&quot;??_-;_-@_-"/>
    <numFmt numFmtId="177" formatCode="0.000000000000"/>
    <numFmt numFmtId="178" formatCode="0.00000000000000000"/>
  </numFmts>
  <fonts count="5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vertAlign val="subscript"/>
      <sz val="11"/>
      <name val="Calibri"/>
      <family val="2"/>
      <scheme val="minor"/>
    </font>
    <font>
      <vertAlign val="superscript"/>
      <sz val="11"/>
      <color theme="1"/>
      <name val="Cambria"/>
      <family val="1"/>
    </font>
    <font>
      <sz val="11"/>
      <color theme="1"/>
      <name val="Calibri"/>
      <family val="2"/>
      <scheme val="minor"/>
    </font>
    <font>
      <sz val="11"/>
      <color rgb="FF0070C0"/>
      <name val="Calibri"/>
      <family val="2"/>
      <scheme val="minor"/>
    </font>
    <font>
      <sz val="11"/>
      <color rgb="FF00B050"/>
      <name val="Calibri"/>
      <family val="2"/>
      <scheme val="minor"/>
    </font>
    <font>
      <sz val="11"/>
      <color rgb="FF00B0F0"/>
      <name val="Calibri"/>
      <family val="2"/>
      <scheme val="minor"/>
    </font>
    <font>
      <b/>
      <sz val="11"/>
      <name val="Cambria"/>
      <family val="1"/>
    </font>
    <font>
      <b/>
      <vertAlign val="subscript"/>
      <sz val="11"/>
      <name val="Cambria"/>
      <family val="1"/>
    </font>
    <font>
      <sz val="16"/>
      <name val="Cambria"/>
      <family val="1"/>
    </font>
    <font>
      <b/>
      <sz val="11"/>
      <color theme="1"/>
      <name val="Calibri"/>
      <family val="2"/>
    </font>
    <font>
      <sz val="11"/>
      <color theme="4"/>
      <name val="Calibri"/>
      <family val="2"/>
      <scheme val="minor"/>
    </font>
    <font>
      <sz val="6"/>
      <name val="Cambria"/>
      <family val="1"/>
    </font>
    <font>
      <vertAlign val="subscript"/>
      <sz val="6"/>
      <name val="Cambria"/>
      <family val="1"/>
    </font>
    <font>
      <sz val="6"/>
      <name val="Calibri"/>
      <family val="2"/>
      <scheme val="minor"/>
    </font>
    <font>
      <b/>
      <vertAlign val="superscript"/>
      <sz val="11"/>
      <name val="Calibri"/>
      <family val="2"/>
      <scheme val="minor"/>
    </font>
    <font>
      <u/>
      <sz val="11"/>
      <color theme="1"/>
      <name val="Cambria"/>
      <family val="1"/>
    </font>
    <font>
      <b/>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44" fontId="36" fillId="0" borderId="0" applyFont="0" applyFill="0" applyBorder="0" applyAlignment="0" applyProtection="0"/>
  </cellStyleXfs>
  <cellXfs count="995">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0" fillId="2" borderId="0" xfId="0" applyFill="1" applyAlignment="1">
      <alignment horizontal="justify"/>
    </xf>
    <xf numFmtId="0" fontId="0" fillId="2" borderId="0" xfId="0" applyFill="1" applyBorder="1"/>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0" fontId="0" fillId="2" borderId="0"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173" fontId="0" fillId="2" borderId="0" xfId="0" applyNumberFormat="1" applyFill="1"/>
    <xf numFmtId="165" fontId="0" fillId="2" borderId="0"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2" fontId="8" fillId="2" borderId="0" xfId="0" applyNumberFormat="1" applyFon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Border="1" applyAlignment="1">
      <alignment vertical="center" wrapText="1"/>
    </xf>
    <xf numFmtId="0" fontId="12" fillId="2" borderId="0" xfId="0" applyFont="1"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Alignment="1"/>
    <xf numFmtId="0" fontId="0" fillId="2" borderId="0"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0" xfId="0" applyFill="1" applyBorder="1" applyAlignment="1"/>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0" fontId="23" fillId="2" borderId="0" xfId="0" applyFont="1" applyFill="1"/>
    <xf numFmtId="2" fontId="12" fillId="2" borderId="0" xfId="0" applyNumberFormat="1" applyFont="1" applyFill="1" applyBorder="1" applyAlignment="1">
      <alignment horizontal="center" vertical="center"/>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center" vertical="center"/>
    </xf>
    <xf numFmtId="12" fontId="0" fillId="2" borderId="0" xfId="0" applyNumberFormat="1" applyFill="1" applyAlignment="1"/>
    <xf numFmtId="0" fontId="0" fillId="2" borderId="0" xfId="0" applyFont="1" applyFill="1" applyBorder="1" applyAlignment="1">
      <alignment horizontal="center" vertical="center"/>
    </xf>
    <xf numFmtId="0" fontId="0" fillId="2" borderId="0" xfId="0" applyFont="1" applyFill="1" applyBorder="1" applyAlignment="1">
      <alignment horizontal="center" vertical="center"/>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0" fontId="0" fillId="2" borderId="0" xfId="0" applyFont="1" applyFill="1" applyBorder="1" applyAlignment="1">
      <alignment horizontal="center" vertical="center"/>
    </xf>
    <xf numFmtId="173" fontId="0" fillId="2" borderId="0" xfId="0" applyNumberFormat="1" applyFont="1" applyFill="1" applyBorder="1" applyAlignment="1">
      <alignment horizontal="center" vertical="center"/>
    </xf>
    <xf numFmtId="0" fontId="1" fillId="2" borderId="0" xfId="0" applyFont="1" applyFill="1" applyAlignment="1">
      <alignment horizontal="center" vertical="center" wrapText="1"/>
    </xf>
    <xf numFmtId="12" fontId="0" fillId="2" borderId="0" xfId="0" applyNumberFormat="1" applyFill="1" applyBorder="1" applyAlignment="1">
      <alignment horizontal="center" vertical="center"/>
    </xf>
    <xf numFmtId="0" fontId="26" fillId="2" borderId="0" xfId="0" applyFont="1" applyFill="1" applyAlignment="1"/>
    <xf numFmtId="12" fontId="0" fillId="2" borderId="0" xfId="0" applyNumberFormat="1" applyFont="1" applyFill="1" applyBorder="1" applyAlignment="1">
      <alignment horizontal="center" vertical="center"/>
    </xf>
    <xf numFmtId="167" fontId="0" fillId="2" borderId="0" xfId="0" applyNumberFormat="1" applyFont="1" applyFill="1" applyBorder="1" applyAlignment="1">
      <alignment horizontal="center" vertical="center"/>
    </xf>
    <xf numFmtId="12" fontId="0" fillId="2" borderId="0" xfId="0" applyNumberFormat="1" applyFont="1" applyFill="1" applyBorder="1" applyAlignment="1">
      <alignment horizontal="right" vertical="center"/>
    </xf>
    <xf numFmtId="2" fontId="26" fillId="2" borderId="0" xfId="0" applyNumberFormat="1" applyFont="1" applyFill="1" applyBorder="1" applyAlignment="1">
      <alignment vertical="center"/>
    </xf>
    <xf numFmtId="2" fontId="8" fillId="2" borderId="0" xfId="0" applyNumberFormat="1" applyFont="1" applyFill="1" applyBorder="1" applyAlignment="1">
      <alignment horizontal="center" vertical="top"/>
    </xf>
    <xf numFmtId="2" fontId="0" fillId="2" borderId="0" xfId="0" applyNumberFormat="1" applyFont="1" applyFill="1" applyBorder="1" applyAlignment="1">
      <alignment horizontal="left" vertical="center" indent="1"/>
    </xf>
    <xf numFmtId="164" fontId="0" fillId="2" borderId="0" xfId="0" applyNumberFormat="1" applyFill="1" applyBorder="1"/>
    <xf numFmtId="175" fontId="0" fillId="2" borderId="0" xfId="1" applyNumberFormat="1" applyFont="1" applyFill="1" applyBorder="1" applyAlignment="1">
      <alignment horizontal="center" vertical="center"/>
    </xf>
    <xf numFmtId="175" fontId="1" fillId="2" borderId="0" xfId="1" applyNumberFormat="1" applyFont="1" applyFill="1" applyBorder="1" applyAlignment="1">
      <alignment horizontal="center" vertical="center"/>
    </xf>
    <xf numFmtId="44" fontId="12" fillId="2" borderId="0" xfId="1" applyFont="1" applyFill="1" applyBorder="1" applyAlignment="1">
      <alignment horizontal="center" vertical="center"/>
    </xf>
    <xf numFmtId="175" fontId="12" fillId="2" borderId="0" xfId="0" applyNumberFormat="1" applyFont="1" applyFill="1" applyBorder="1" applyAlignment="1">
      <alignment horizontal="center" vertical="center"/>
    </xf>
    <xf numFmtId="44" fontId="0" fillId="2" borderId="0" xfId="0" applyNumberFormat="1" applyFont="1" applyFill="1"/>
    <xf numFmtId="44" fontId="12" fillId="2" borderId="0" xfId="1" applyFont="1" applyFill="1" applyBorder="1" applyAlignment="1">
      <alignment horizontal="right" vertical="center"/>
    </xf>
    <xf numFmtId="173" fontId="12" fillId="2" borderId="0" xfId="0" applyNumberFormat="1" applyFont="1" applyFill="1" applyBorder="1" applyAlignment="1">
      <alignment horizontal="center" vertical="center"/>
    </xf>
    <xf numFmtId="0" fontId="1" fillId="2" borderId="0" xfId="0" applyFont="1" applyFill="1" applyAlignment="1">
      <alignment vertical="center" wrapText="1"/>
    </xf>
    <xf numFmtId="0" fontId="0" fillId="2" borderId="0" xfId="0" applyFill="1" applyBorder="1" applyAlignment="1">
      <alignment horizontal="right" vertical="center"/>
    </xf>
    <xf numFmtId="2" fontId="0" fillId="2" borderId="1" xfId="0" applyNumberFormat="1" applyFill="1" applyBorder="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30" fillId="2" borderId="0" xfId="0" applyFont="1" applyFill="1" applyBorder="1" applyAlignment="1">
      <alignment horizontal="center" vertical="center" wrapText="1"/>
    </xf>
    <xf numFmtId="165" fontId="0" fillId="2" borderId="0" xfId="0" applyNumberFormat="1" applyFill="1" applyBorder="1" applyAlignment="1">
      <alignment horizontal="center"/>
    </xf>
    <xf numFmtId="168" fontId="0" fillId="2" borderId="0" xfId="0" applyNumberFormat="1" applyFill="1" applyBorder="1"/>
    <xf numFmtId="0" fontId="0" fillId="2" borderId="0" xfId="0" applyFill="1" applyAlignment="1">
      <alignment horizontal="center"/>
    </xf>
    <xf numFmtId="0" fontId="1" fillId="2"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Alignment="1">
      <alignment horizontal="center" vertical="center"/>
    </xf>
    <xf numFmtId="1" fontId="27" fillId="2" borderId="0" xfId="0" applyNumberFormat="1" applyFont="1" applyFill="1" applyBorder="1" applyAlignment="1">
      <alignment horizontal="right" vertical="center"/>
    </xf>
    <xf numFmtId="176" fontId="0" fillId="2" borderId="0" xfId="0" applyNumberFormat="1" applyFill="1" applyBorder="1" applyAlignment="1">
      <alignment horizontal="left" vertical="center"/>
    </xf>
    <xf numFmtId="176" fontId="0" fillId="2" borderId="0" xfId="0" applyNumberFormat="1" applyFill="1" applyBorder="1" applyAlignment="1">
      <alignment horizontal="right" vertical="center"/>
    </xf>
    <xf numFmtId="176" fontId="0" fillId="2" borderId="0" xfId="0" applyNumberFormat="1" applyFill="1" applyBorder="1" applyAlignment="1">
      <alignment horizontal="center" vertical="center"/>
    </xf>
    <xf numFmtId="176" fontId="0" fillId="2" borderId="0" xfId="0" applyNumberFormat="1" applyFill="1" applyBorder="1" applyAlignment="1">
      <alignment vertical="center"/>
    </xf>
    <xf numFmtId="174" fontId="0" fillId="2" borderId="0" xfId="0" applyNumberFormat="1" applyFill="1" applyBorder="1"/>
    <xf numFmtId="174" fontId="23" fillId="2" borderId="0" xfId="0" applyNumberFormat="1" applyFont="1" applyFill="1" applyBorder="1" applyAlignment="1">
      <alignment horizontal="center" vertical="center"/>
    </xf>
    <xf numFmtId="0" fontId="39" fillId="2" borderId="0" xfId="0" applyFont="1" applyFill="1" applyBorder="1"/>
    <xf numFmtId="0" fontId="8" fillId="2" borderId="1" xfId="0" applyFont="1" applyFill="1" applyBorder="1" applyAlignment="1">
      <alignment horizontal="center" vertical="center"/>
    </xf>
    <xf numFmtId="0" fontId="12" fillId="2" borderId="0" xfId="0" applyFont="1" applyFill="1" applyBorder="1" applyAlignment="1">
      <alignment horizontal="left" vertical="center"/>
    </xf>
    <xf numFmtId="168" fontId="0" fillId="2" borderId="0" xfId="0" applyNumberFormat="1" applyFont="1" applyFill="1" applyBorder="1" applyAlignment="1">
      <alignment vertical="center"/>
    </xf>
    <xf numFmtId="1" fontId="0" fillId="2" borderId="0" xfId="0" applyNumberFormat="1" applyFont="1" applyFill="1" applyBorder="1" applyAlignment="1">
      <alignment vertical="center"/>
    </xf>
    <xf numFmtId="170" fontId="0" fillId="2" borderId="0" xfId="0" applyNumberFormat="1" applyFont="1" applyFill="1" applyBorder="1" applyAlignment="1">
      <alignment horizontal="center" vertical="center"/>
    </xf>
    <xf numFmtId="171" fontId="0"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6" fontId="0" fillId="2" borderId="0" xfId="0" applyNumberFormat="1" applyFont="1" applyFill="1" applyBorder="1" applyAlignment="1">
      <alignment vertical="center"/>
    </xf>
    <xf numFmtId="173" fontId="0" fillId="2" borderId="0" xfId="0" applyNumberFormat="1" applyFont="1" applyFill="1" applyBorder="1" applyAlignment="1">
      <alignment vertical="center"/>
    </xf>
    <xf numFmtId="0" fontId="0" fillId="2" borderId="0" xfId="0" applyFill="1" applyBorder="1" applyAlignment="1">
      <alignment horizontal="right" vertical="center"/>
    </xf>
    <xf numFmtId="0" fontId="0" fillId="2" borderId="0" xfId="0" applyFill="1" applyAlignment="1">
      <alignment horizontal="center" vertical="center"/>
    </xf>
    <xf numFmtId="0" fontId="0" fillId="2" borderId="0" xfId="0" applyFill="1" applyBorder="1" applyAlignment="1">
      <alignment horizontal="right" vertical="center"/>
    </xf>
    <xf numFmtId="0" fontId="0" fillId="2" borderId="0" xfId="0" applyFill="1" applyBorder="1" applyAlignment="1">
      <alignment horizontal="left"/>
    </xf>
    <xf numFmtId="0" fontId="1" fillId="2" borderId="0" xfId="0" applyFont="1" applyFill="1" applyBorder="1" applyAlignment="1">
      <alignment horizontal="center" vertical="center" wrapText="1"/>
    </xf>
    <xf numFmtId="174" fontId="0" fillId="0" borderId="0" xfId="0" applyNumberFormat="1" applyBorder="1" applyAlignment="1">
      <alignment horizontal="center" vertical="center"/>
    </xf>
    <xf numFmtId="174" fontId="0" fillId="2" borderId="0" xfId="0" applyNumberFormat="1" applyFill="1"/>
    <xf numFmtId="0" fontId="25" fillId="9" borderId="0" xfId="0" applyFont="1" applyFill="1" applyBorder="1" applyAlignment="1">
      <alignment horizontal="left" vertical="center"/>
    </xf>
    <xf numFmtId="0" fontId="27" fillId="9" borderId="0" xfId="0" applyFont="1" applyFill="1" applyBorder="1" applyAlignment="1">
      <alignment horizontal="center" vertical="center"/>
    </xf>
    <xf numFmtId="0" fontId="25" fillId="9" borderId="0" xfId="0" applyFont="1" applyFill="1" applyBorder="1" applyAlignment="1">
      <alignment horizontal="center" vertical="center"/>
    </xf>
    <xf numFmtId="1" fontId="25" fillId="9" borderId="0" xfId="0" applyNumberFormat="1" applyFont="1" applyFill="1" applyBorder="1" applyAlignment="1">
      <alignment horizontal="right" vertical="center"/>
    </xf>
    <xf numFmtId="0" fontId="0" fillId="9" borderId="0" xfId="0" applyFont="1" applyFill="1" applyBorder="1" applyAlignment="1">
      <alignment vertical="center"/>
    </xf>
    <xf numFmtId="0" fontId="12" fillId="9" borderId="0" xfId="0" applyFont="1" applyFill="1" applyBorder="1" applyAlignment="1">
      <alignment horizontal="center" vertical="center"/>
    </xf>
    <xf numFmtId="174" fontId="12" fillId="9" borderId="0" xfId="0" applyNumberFormat="1" applyFont="1" applyFill="1" applyBorder="1" applyAlignment="1">
      <alignment horizontal="center" vertical="center"/>
    </xf>
    <xf numFmtId="174" fontId="25" fillId="9" borderId="0" xfId="0" applyNumberFormat="1" applyFont="1" applyFill="1" applyBorder="1" applyAlignment="1">
      <alignment horizontal="center" vertical="center"/>
    </xf>
    <xf numFmtId="0" fontId="0" fillId="9" borderId="0" xfId="0" applyFont="1" applyFill="1"/>
    <xf numFmtId="0" fontId="25" fillId="10" borderId="0" xfId="0" applyFont="1" applyFill="1" applyBorder="1" applyAlignment="1">
      <alignment horizontal="left" vertical="center"/>
    </xf>
    <xf numFmtId="0" fontId="27" fillId="10" borderId="0" xfId="0" applyFont="1" applyFill="1" applyBorder="1" applyAlignment="1">
      <alignment horizontal="center" vertical="center"/>
    </xf>
    <xf numFmtId="0" fontId="25" fillId="10" borderId="0" xfId="0" applyFont="1" applyFill="1" applyBorder="1" applyAlignment="1">
      <alignment horizontal="center" vertical="center"/>
    </xf>
    <xf numFmtId="1" fontId="25" fillId="10" borderId="0" xfId="0" applyNumberFormat="1" applyFont="1" applyFill="1" applyBorder="1" applyAlignment="1">
      <alignment horizontal="right" vertical="center"/>
    </xf>
    <xf numFmtId="0" fontId="0" fillId="10" borderId="0" xfId="0" applyFont="1" applyFill="1" applyBorder="1" applyAlignment="1">
      <alignment vertical="center"/>
    </xf>
    <xf numFmtId="0" fontId="12" fillId="10" borderId="0" xfId="0" applyFont="1" applyFill="1" applyBorder="1" applyAlignment="1">
      <alignment horizontal="center" vertical="center"/>
    </xf>
    <xf numFmtId="174" fontId="12" fillId="10" borderId="0" xfId="0" applyNumberFormat="1" applyFont="1" applyFill="1" applyBorder="1" applyAlignment="1">
      <alignment horizontal="center" vertical="center"/>
    </xf>
    <xf numFmtId="174" fontId="25" fillId="10" borderId="0" xfId="0" applyNumberFormat="1" applyFont="1" applyFill="1" applyBorder="1" applyAlignment="1">
      <alignment horizontal="center" vertical="center"/>
    </xf>
    <xf numFmtId="0" fontId="0" fillId="10" borderId="0" xfId="0" applyFont="1" applyFill="1"/>
    <xf numFmtId="1" fontId="23" fillId="2" borderId="3" xfId="0" applyNumberFormat="1" applyFont="1" applyFill="1" applyBorder="1" applyAlignment="1">
      <alignment horizontal="center" vertical="center"/>
    </xf>
    <xf numFmtId="0" fontId="0" fillId="2" borderId="0" xfId="0" applyFill="1" applyBorder="1" applyAlignment="1">
      <alignment horizontal="right"/>
    </xf>
    <xf numFmtId="0" fontId="37" fillId="2" borderId="0" xfId="0" applyFont="1" applyFill="1" applyBorder="1" applyAlignment="1">
      <alignment horizontal="left" vertical="center"/>
    </xf>
    <xf numFmtId="0" fontId="38" fillId="2" borderId="0" xfId="0" applyFont="1" applyFill="1" applyBorder="1" applyAlignment="1">
      <alignment horizontal="left" vertical="center"/>
    </xf>
    <xf numFmtId="0" fontId="38"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alignment vertical="center"/>
    </xf>
    <xf numFmtId="0" fontId="12" fillId="2" borderId="0" xfId="0" applyFont="1" applyFill="1" applyBorder="1" applyAlignment="1">
      <alignment horizontal="right"/>
    </xf>
    <xf numFmtId="174" fontId="8"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 fontId="23" fillId="2" borderId="0" xfId="0" applyNumberFormat="1" applyFont="1" applyFill="1" applyBorder="1" applyAlignment="1">
      <alignment vertical="center" wrapText="1"/>
    </xf>
    <xf numFmtId="1" fontId="23" fillId="2" borderId="0" xfId="0" applyNumberFormat="1" applyFont="1" applyFill="1" applyBorder="1" applyAlignment="1">
      <alignment horizontal="center" vertical="center" wrapText="1"/>
    </xf>
    <xf numFmtId="164" fontId="0" fillId="2" borderId="0" xfId="0" applyNumberFormat="1" applyFont="1" applyFill="1" applyBorder="1" applyAlignment="1">
      <alignment vertical="center"/>
    </xf>
    <xf numFmtId="1" fontId="14" fillId="2" borderId="1"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3" fillId="2" borderId="2" xfId="0" applyFont="1" applyFill="1" applyBorder="1" applyAlignment="1">
      <alignment horizontal="center" vertical="center"/>
    </xf>
    <xf numFmtId="174" fontId="12" fillId="2" borderId="1" xfId="0" applyNumberFormat="1" applyFont="1" applyFill="1" applyBorder="1" applyAlignment="1">
      <alignment horizontal="center" vertical="center"/>
    </xf>
    <xf numFmtId="174" fontId="12"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 fontId="14" fillId="2" borderId="0" xfId="0" applyNumberFormat="1" applyFont="1" applyFill="1" applyBorder="1" applyAlignment="1">
      <alignment horizontal="center" vertical="center"/>
    </xf>
    <xf numFmtId="174" fontId="8" fillId="2" borderId="0"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73" fontId="13" fillId="2" borderId="1"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applyAlignment="1">
      <alignment wrapText="1"/>
    </xf>
    <xf numFmtId="12" fontId="0" fillId="2" borderId="0" xfId="0" applyNumberFormat="1" applyFont="1" applyFill="1" applyBorder="1" applyAlignment="1">
      <alignment vertical="center"/>
    </xf>
    <xf numFmtId="0" fontId="0" fillId="2" borderId="0" xfId="0" applyFill="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Border="1" applyAlignment="1">
      <alignment horizontal="center"/>
    </xf>
    <xf numFmtId="2" fontId="13" fillId="2" borderId="0" xfId="0" applyNumberFormat="1" applyFont="1" applyFill="1" applyBorder="1" applyAlignment="1">
      <alignment horizontal="center" vertical="center"/>
    </xf>
    <xf numFmtId="0" fontId="12" fillId="2" borderId="14" xfId="0" applyFont="1" applyFill="1" applyBorder="1" applyAlignment="1">
      <alignment vertical="center"/>
    </xf>
    <xf numFmtId="165" fontId="13"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174" fontId="0" fillId="2" borderId="0" xfId="0" applyNumberForma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8"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4" fontId="8"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2" fillId="9" borderId="0" xfId="0" applyFont="1" applyFill="1"/>
    <xf numFmtId="174" fontId="1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0" fontId="0" fillId="2" borderId="0" xfId="0" applyFill="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left"/>
    </xf>
    <xf numFmtId="0" fontId="13" fillId="2" borderId="1" xfId="0" applyFont="1" applyFill="1" applyBorder="1" applyAlignment="1">
      <alignment vertical="center"/>
    </xf>
    <xf numFmtId="167" fontId="13" fillId="2" borderId="1" xfId="0" applyNumberFormat="1" applyFont="1" applyFill="1" applyBorder="1" applyAlignment="1">
      <alignment horizontal="center" vertical="center"/>
    </xf>
    <xf numFmtId="1" fontId="13" fillId="2" borderId="1" xfId="0" applyNumberFormat="1" applyFont="1" applyFill="1" applyBorder="1" applyAlignment="1">
      <alignment horizontal="right" vertical="center"/>
    </xf>
    <xf numFmtId="165" fontId="13" fillId="2" borderId="1" xfId="0" applyNumberFormat="1" applyFont="1" applyFill="1" applyBorder="1" applyAlignment="1">
      <alignment horizontal="right" vertical="center"/>
    </xf>
    <xf numFmtId="172"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right" vertical="center" indent="2"/>
    </xf>
    <xf numFmtId="2" fontId="13" fillId="2" borderId="1"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3" fontId="8" fillId="2" borderId="3" xfId="0" applyNumberFormat="1" applyFont="1" applyFill="1" applyBorder="1" applyAlignment="1">
      <alignment horizontal="right" vertical="center"/>
    </xf>
    <xf numFmtId="173" fontId="8" fillId="2" borderId="1" xfId="0" applyNumberFormat="1" applyFont="1" applyFill="1" applyBorder="1" applyAlignment="1">
      <alignment horizontal="center" vertical="center"/>
    </xf>
    <xf numFmtId="0" fontId="8" fillId="2" borderId="1" xfId="0" applyFont="1" applyFill="1" applyBorder="1"/>
    <xf numFmtId="173" fontId="8" fillId="2" borderId="1" xfId="0" applyNumberFormat="1" applyFont="1" applyFill="1" applyBorder="1"/>
    <xf numFmtId="0" fontId="8" fillId="2" borderId="6"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4"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ill="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3" fillId="2" borderId="6"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174" fontId="23" fillId="2" borderId="0" xfId="0" applyNumberFormat="1" applyFont="1" applyFill="1" applyBorder="1" applyAlignment="1">
      <alignment horizontal="center"/>
    </xf>
    <xf numFmtId="0" fontId="23" fillId="2" borderId="0" xfId="0" applyFont="1" applyFill="1" applyBorder="1" applyAlignment="1">
      <alignment horizontal="center"/>
    </xf>
    <xf numFmtId="1" fontId="13" fillId="11" borderId="1" xfId="0" applyNumberFormat="1" applyFont="1" applyFill="1" applyBorder="1" applyAlignment="1">
      <alignment horizontal="center" vertical="center"/>
    </xf>
    <xf numFmtId="2" fontId="22" fillId="2" borderId="0" xfId="0" applyNumberFormat="1" applyFont="1" applyFill="1" applyBorder="1" applyAlignment="1">
      <alignment vertical="center"/>
    </xf>
    <xf numFmtId="1" fontId="8" fillId="11" borderId="1" xfId="0" applyNumberFormat="1" applyFont="1" applyFill="1" applyBorder="1" applyAlignment="1">
      <alignment horizontal="center" vertical="center"/>
    </xf>
    <xf numFmtId="174" fontId="13" fillId="11" borderId="2"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13" fillId="13" borderId="6" xfId="0" applyFont="1" applyFill="1" applyBorder="1" applyAlignment="1">
      <alignment horizontal="center" vertical="center"/>
    </xf>
    <xf numFmtId="172" fontId="13" fillId="13" borderId="1" xfId="0" applyNumberFormat="1" applyFont="1" applyFill="1" applyBorder="1" applyAlignment="1">
      <alignment horizontal="center" vertical="center"/>
    </xf>
    <xf numFmtId="2" fontId="13" fillId="13" borderId="1" xfId="0" applyNumberFormat="1" applyFont="1" applyFill="1" applyBorder="1" applyAlignment="1">
      <alignment horizontal="center" vertical="center"/>
    </xf>
    <xf numFmtId="1" fontId="13" fillId="13" borderId="1" xfId="0" applyNumberFormat="1" applyFont="1" applyFill="1" applyBorder="1" applyAlignment="1">
      <alignment horizontal="center" vertical="center"/>
    </xf>
    <xf numFmtId="173" fontId="8" fillId="13" borderId="3" xfId="0" applyNumberFormat="1" applyFont="1" applyFill="1" applyBorder="1" applyAlignment="1">
      <alignment horizontal="center" vertical="center"/>
    </xf>
    <xf numFmtId="174" fontId="8" fillId="13" borderId="1" xfId="0" applyNumberFormat="1" applyFont="1" applyFill="1" applyBorder="1" applyAlignment="1">
      <alignment horizontal="center" vertical="center"/>
    </xf>
    <xf numFmtId="12" fontId="44" fillId="2" borderId="0" xfId="0" applyNumberFormat="1" applyFont="1" applyFill="1" applyBorder="1" applyAlignment="1">
      <alignment horizontal="center" vertical="center"/>
    </xf>
    <xf numFmtId="2" fontId="13" fillId="2" borderId="1" xfId="0" applyNumberFormat="1" applyFont="1" applyFill="1" applyBorder="1" applyAlignment="1">
      <alignment horizontal="center" vertical="top"/>
    </xf>
    <xf numFmtId="2" fontId="14" fillId="2" borderId="1" xfId="0" applyNumberFormat="1" applyFont="1" applyFill="1" applyBorder="1" applyAlignment="1">
      <alignment horizontal="center" vertical="top"/>
    </xf>
    <xf numFmtId="2" fontId="12" fillId="2" borderId="1" xfId="0" applyNumberFormat="1" applyFont="1" applyFill="1" applyBorder="1" applyAlignment="1">
      <alignment horizontal="center" vertical="top"/>
    </xf>
    <xf numFmtId="2" fontId="0" fillId="8" borderId="1" xfId="0" applyNumberFormat="1" applyFill="1" applyBorder="1" applyAlignment="1">
      <alignment horizontal="center" vertical="center"/>
    </xf>
    <xf numFmtId="0" fontId="0" fillId="8" borderId="1" xfId="0"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1" fontId="0" fillId="8" borderId="1" xfId="0" applyNumberFormat="1" applyFill="1" applyBorder="1" applyAlignment="1">
      <alignment horizontal="center" vertical="center"/>
    </xf>
    <xf numFmtId="174" fontId="0" fillId="8" borderId="1" xfId="0" applyNumberFormat="1" applyFill="1" applyBorder="1" applyAlignment="1">
      <alignment horizontal="center" vertical="center"/>
    </xf>
    <xf numFmtId="174" fontId="12" fillId="8" borderId="1" xfId="0" applyNumberFormat="1" applyFont="1" applyFill="1" applyBorder="1" applyAlignment="1">
      <alignment horizontal="center" vertical="center"/>
    </xf>
    <xf numFmtId="176" fontId="0" fillId="8" borderId="1" xfId="0" applyNumberFormat="1" applyFill="1" applyBorder="1" applyAlignment="1">
      <alignment horizontal="left" vertical="center"/>
    </xf>
    <xf numFmtId="0" fontId="23" fillId="8" borderId="1" xfId="0" applyFont="1" applyFill="1" applyBorder="1" applyAlignment="1">
      <alignment horizontal="center" vertical="center"/>
    </xf>
    <xf numFmtId="174" fontId="23" fillId="8" borderId="1" xfId="0" applyNumberFormat="1" applyFont="1" applyFill="1" applyBorder="1" applyAlignment="1">
      <alignment horizontal="center" vertical="center"/>
    </xf>
    <xf numFmtId="0" fontId="0" fillId="8" borderId="1" xfId="0" applyFill="1" applyBorder="1" applyAlignment="1">
      <alignment vertical="center"/>
    </xf>
    <xf numFmtId="0" fontId="38" fillId="8" borderId="1" xfId="0" applyFont="1" applyFill="1" applyBorder="1" applyAlignment="1">
      <alignment vertical="center"/>
    </xf>
    <xf numFmtId="0" fontId="22" fillId="8" borderId="1" xfId="0" applyFont="1" applyFill="1" applyBorder="1" applyAlignment="1">
      <alignment horizontal="center" vertical="center"/>
    </xf>
    <xf numFmtId="43" fontId="0" fillId="8" borderId="1" xfId="0" applyNumberFormat="1" applyFill="1" applyBorder="1" applyAlignment="1">
      <alignment horizontal="center" vertical="center"/>
    </xf>
    <xf numFmtId="176" fontId="0" fillId="8" borderId="1" xfId="0" applyNumberFormat="1" applyFill="1" applyBorder="1" applyAlignment="1">
      <alignment horizontal="center" vertical="center"/>
    </xf>
    <xf numFmtId="43" fontId="23" fillId="8" borderId="1" xfId="0" applyNumberFormat="1" applyFont="1" applyFill="1" applyBorder="1" applyAlignment="1">
      <alignment horizontal="center" vertical="center"/>
    </xf>
    <xf numFmtId="172" fontId="0" fillId="8" borderId="1" xfId="0" applyNumberFormat="1" applyFill="1" applyBorder="1" applyAlignment="1">
      <alignment horizontal="center" vertical="center"/>
    </xf>
    <xf numFmtId="0" fontId="38" fillId="8" borderId="1" xfId="0" applyFont="1" applyFill="1" applyBorder="1" applyAlignment="1">
      <alignment horizontal="center" vertical="center"/>
    </xf>
    <xf numFmtId="0" fontId="38" fillId="8" borderId="6" xfId="0" applyFont="1" applyFill="1" applyBorder="1" applyAlignment="1">
      <alignment vertical="center"/>
    </xf>
    <xf numFmtId="172" fontId="23"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vertical="center"/>
    </xf>
    <xf numFmtId="2" fontId="1" fillId="8" borderId="1" xfId="0" applyNumberFormat="1" applyFont="1" applyFill="1" applyBorder="1" applyAlignment="1">
      <alignment horizontal="center" vertical="center"/>
    </xf>
    <xf numFmtId="172" fontId="1" fillId="8" borderId="1" xfId="0" applyNumberFormat="1" applyFont="1" applyFill="1" applyBorder="1" applyAlignment="1">
      <alignment horizontal="center" vertical="center"/>
    </xf>
    <xf numFmtId="0" fontId="37" fillId="8" borderId="1" xfId="0" applyFont="1" applyFill="1" applyBorder="1" applyAlignment="1">
      <alignment vertical="center"/>
    </xf>
    <xf numFmtId="176" fontId="0" fillId="8" borderId="1" xfId="0" applyNumberFormat="1" applyFill="1" applyBorder="1" applyAlignment="1">
      <alignment vertical="center"/>
    </xf>
    <xf numFmtId="176" fontId="0" fillId="8" borderId="1" xfId="0" applyNumberFormat="1" applyFill="1" applyBorder="1" applyAlignment="1">
      <alignment horizontal="right" vertical="center"/>
    </xf>
    <xf numFmtId="174" fontId="0" fillId="8" borderId="1" xfId="0" applyNumberFormat="1" applyFill="1" applyBorder="1" applyAlignment="1">
      <alignment horizontal="center"/>
    </xf>
    <xf numFmtId="0" fontId="23" fillId="8" borderId="1" xfId="0" applyFont="1" applyFill="1" applyBorder="1" applyAlignment="1">
      <alignment horizontal="center"/>
    </xf>
    <xf numFmtId="174" fontId="23" fillId="8" borderId="1" xfId="0" applyNumberFormat="1" applyFont="1"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xf numFmtId="12" fontId="0" fillId="8" borderId="1" xfId="0" applyNumberFormat="1" applyFill="1" applyBorder="1" applyAlignment="1">
      <alignment horizontal="center" vertical="center"/>
    </xf>
    <xf numFmtId="0" fontId="0" fillId="8" borderId="6" xfId="0" applyFill="1" applyBorder="1" applyAlignment="1">
      <alignment vertical="center"/>
    </xf>
    <xf numFmtId="0" fontId="0" fillId="8" borderId="4" xfId="0" applyFill="1" applyBorder="1" applyAlignment="1">
      <alignment vertical="center"/>
    </xf>
    <xf numFmtId="0" fontId="12" fillId="8"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49" fontId="12" fillId="8" borderId="1" xfId="0" applyNumberFormat="1" applyFont="1" applyFill="1" applyBorder="1" applyAlignment="1">
      <alignment horizontal="center" vertical="center"/>
    </xf>
    <xf numFmtId="0" fontId="12" fillId="8" borderId="2" xfId="0" applyFont="1" applyFill="1" applyBorder="1" applyAlignment="1">
      <alignment horizontal="center" vertical="center"/>
    </xf>
    <xf numFmtId="0" fontId="0" fillId="8" borderId="9" xfId="0" applyFill="1" applyBorder="1" applyAlignment="1">
      <alignment horizontal="left" vertical="center"/>
    </xf>
    <xf numFmtId="0" fontId="0" fillId="8" borderId="2" xfId="0" applyFill="1" applyBorder="1" applyAlignment="1">
      <alignment vertical="center"/>
    </xf>
    <xf numFmtId="0" fontId="0" fillId="8" borderId="14" xfId="0" applyFill="1" applyBorder="1" applyAlignment="1">
      <alignment horizontal="left" vertical="center"/>
    </xf>
    <xf numFmtId="0" fontId="0" fillId="8" borderId="8" xfId="0" applyFill="1" applyBorder="1" applyAlignment="1">
      <alignment vertical="center"/>
    </xf>
    <xf numFmtId="0" fontId="0" fillId="8" borderId="11" xfId="0" applyFill="1" applyBorder="1" applyAlignment="1">
      <alignment horizontal="left" vertical="center"/>
    </xf>
    <xf numFmtId="0" fontId="0" fillId="8" borderId="3" xfId="0" applyFill="1" applyBorder="1" applyAlignment="1"/>
    <xf numFmtId="0" fontId="12" fillId="12" borderId="1" xfId="0" applyFont="1" applyFill="1" applyBorder="1" applyAlignment="1">
      <alignment horizontal="center" vertical="center"/>
    </xf>
    <xf numFmtId="174" fontId="12" fillId="12" borderId="1" xfId="0" applyNumberFormat="1" applyFont="1" applyFill="1" applyBorder="1" applyAlignment="1">
      <alignment horizontal="center" vertical="center"/>
    </xf>
    <xf numFmtId="0" fontId="1" fillId="12" borderId="2" xfId="0" applyFont="1" applyFill="1" applyBorder="1" applyAlignment="1">
      <alignment vertical="center" wrapText="1"/>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0" fillId="12" borderId="3" xfId="0" applyFill="1" applyBorder="1" applyAlignment="1">
      <alignment horizontal="center" vertical="center"/>
    </xf>
    <xf numFmtId="0" fontId="0" fillId="12" borderId="3" xfId="0" applyFill="1" applyBorder="1" applyAlignment="1">
      <alignment horizontal="center"/>
    </xf>
    <xf numFmtId="0" fontId="0" fillId="12" borderId="3" xfId="0" applyFill="1" applyBorder="1"/>
    <xf numFmtId="165" fontId="0" fillId="12" borderId="3" xfId="0" applyNumberFormat="1" applyFill="1" applyBorder="1" applyAlignment="1">
      <alignment horizontal="center"/>
    </xf>
    <xf numFmtId="168" fontId="0" fillId="12" borderId="3" xfId="0" applyNumberFormat="1" applyFill="1" applyBorder="1"/>
    <xf numFmtId="0" fontId="0" fillId="12" borderId="1" xfId="0" applyFill="1" applyBorder="1" applyAlignment="1">
      <alignment horizontal="center" vertical="center"/>
    </xf>
    <xf numFmtId="0" fontId="0" fillId="12" borderId="1" xfId="0" applyFill="1" applyBorder="1" applyAlignment="1">
      <alignment horizontal="center"/>
    </xf>
    <xf numFmtId="168" fontId="0" fillId="12" borderId="1" xfId="0" applyNumberFormat="1" applyFill="1" applyBorder="1"/>
    <xf numFmtId="0" fontId="0" fillId="12" borderId="1" xfId="0" applyFill="1" applyBorder="1"/>
    <xf numFmtId="0" fontId="12" fillId="12" borderId="1" xfId="0" applyFont="1" applyFill="1" applyBorder="1"/>
    <xf numFmtId="173" fontId="0" fillId="12" borderId="1" xfId="0" applyNumberForma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1" xfId="0" applyFont="1" applyFill="1" applyBorder="1" applyAlignment="1">
      <alignment horizontal="center" vertical="top"/>
    </xf>
    <xf numFmtId="0" fontId="0" fillId="2" borderId="0" xfId="0" applyFont="1" applyFill="1" applyBorder="1" applyAlignment="1">
      <alignment horizontal="center" vertical="center"/>
    </xf>
    <xf numFmtId="0" fontId="0" fillId="2" borderId="0" xfId="0" applyFill="1" applyBorder="1" applyAlignment="1">
      <alignment horizontal="left"/>
    </xf>
    <xf numFmtId="0" fontId="0" fillId="9" borderId="1" xfId="0" applyFill="1" applyBorder="1" applyAlignment="1">
      <alignment horizontal="center" vertical="center"/>
    </xf>
    <xf numFmtId="0" fontId="0" fillId="9" borderId="1" xfId="0" applyFill="1" applyBorder="1" applyAlignment="1">
      <alignment horizontal="center"/>
    </xf>
    <xf numFmtId="174" fontId="0" fillId="9" borderId="1" xfId="0" applyNumberFormat="1" applyFill="1" applyBorder="1" applyAlignment="1">
      <alignment horizontal="center"/>
    </xf>
    <xf numFmtId="174" fontId="0" fillId="9"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0" fontId="8" fillId="2" borderId="1" xfId="0" applyFont="1" applyFill="1" applyBorder="1" applyAlignment="1">
      <alignment vertical="center"/>
    </xf>
    <xf numFmtId="0" fontId="1" fillId="2" borderId="0" xfId="0" applyFont="1" applyFill="1" applyBorder="1" applyAlignment="1"/>
    <xf numFmtId="173" fontId="8" fillId="2" borderId="0" xfId="0" applyNumberFormat="1" applyFont="1" applyFill="1" applyBorder="1"/>
    <xf numFmtId="173" fontId="8" fillId="2" borderId="0" xfId="0" applyNumberFormat="1" applyFont="1" applyFill="1" applyBorder="1" applyAlignment="1">
      <alignment horizontal="center" vertical="center"/>
    </xf>
    <xf numFmtId="0" fontId="8" fillId="2" borderId="0" xfId="0" applyFont="1" applyFill="1" applyBorder="1"/>
    <xf numFmtId="167" fontId="8" fillId="2" borderId="1" xfId="0" applyNumberFormat="1" applyFont="1" applyFill="1" applyBorder="1" applyAlignment="1">
      <alignment vertical="center"/>
    </xf>
    <xf numFmtId="173" fontId="26" fillId="2" borderId="0" xfId="0" applyNumberFormat="1" applyFont="1" applyFill="1" applyBorder="1"/>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13" fillId="2" borderId="3"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8" fillId="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23" fillId="9" borderId="1" xfId="0" applyFont="1" applyFill="1" applyBorder="1" applyAlignment="1">
      <alignment horizontal="center"/>
    </xf>
    <xf numFmtId="174" fontId="23" fillId="9" borderId="1" xfId="0" applyNumberFormat="1" applyFont="1" applyFill="1" applyBorder="1" applyAlignment="1">
      <alignment horizontal="center"/>
    </xf>
    <xf numFmtId="174" fontId="23" fillId="9" borderId="1" xfId="0" applyNumberFormat="1" applyFont="1" applyFill="1" applyBorder="1" applyAlignment="1">
      <alignment horizontal="center" vertical="center"/>
    </xf>
    <xf numFmtId="0" fontId="13" fillId="2" borderId="0" xfId="0" applyFont="1" applyFill="1" applyBorder="1"/>
    <xf numFmtId="0" fontId="22" fillId="2" borderId="0" xfId="0" applyFont="1" applyFill="1" applyBorder="1" applyAlignment="1">
      <alignment horizontal="center"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8"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174" fontId="13"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0"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Border="1" applyAlignment="1">
      <alignment horizontal="center"/>
    </xf>
    <xf numFmtId="0" fontId="12" fillId="2" borderId="13" xfId="0" applyFont="1" applyFill="1" applyBorder="1" applyAlignment="1">
      <alignment horizontal="center"/>
    </xf>
    <xf numFmtId="0" fontId="12" fillId="2" borderId="5" xfId="0" applyFont="1" applyFill="1" applyBorder="1" applyAlignment="1">
      <alignment horizontal="center"/>
    </xf>
    <xf numFmtId="2" fontId="13" fillId="2" borderId="6" xfId="0" applyNumberFormat="1" applyFont="1" applyFill="1" applyBorder="1" applyAlignment="1">
      <alignment horizontal="center" vertical="center"/>
    </xf>
    <xf numFmtId="172" fontId="12"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2" fontId="18" fillId="2" borderId="0" xfId="0" applyNumberFormat="1" applyFont="1" applyFill="1" applyBorder="1" applyAlignment="1">
      <alignment horizontal="center" vertical="center"/>
    </xf>
    <xf numFmtId="174" fontId="13" fillId="2" borderId="1" xfId="0" applyNumberFormat="1" applyFont="1" applyFill="1" applyBorder="1"/>
    <xf numFmtId="174" fontId="12" fillId="2" borderId="0" xfId="0" applyNumberFormat="1" applyFont="1" applyFill="1" applyBorder="1" applyAlignment="1">
      <alignment horizontal="center" vertical="center"/>
    </xf>
    <xf numFmtId="174" fontId="8" fillId="2" borderId="1" xfId="0" applyNumberFormat="1" applyFont="1" applyFill="1" applyBorder="1"/>
    <xf numFmtId="174" fontId="12" fillId="2" borderId="0"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0" fillId="2" borderId="0" xfId="0" applyFont="1" applyFill="1" applyBorder="1"/>
    <xf numFmtId="0" fontId="23" fillId="2" borderId="0" xfId="0" applyFont="1" applyFill="1" applyBorder="1" applyAlignment="1">
      <alignment horizontal="center" vertical="center"/>
    </xf>
    <xf numFmtId="167" fontId="13" fillId="2" borderId="2" xfId="0" applyNumberFormat="1" applyFont="1" applyFill="1" applyBorder="1" applyAlignment="1">
      <alignment horizontal="center" vertical="center"/>
    </xf>
    <xf numFmtId="174" fontId="13" fillId="13" borderId="1" xfId="0" applyNumberFormat="1" applyFont="1" applyFill="1" applyBorder="1" applyAlignment="1">
      <alignment horizontal="center" vertical="center"/>
    </xf>
    <xf numFmtId="0" fontId="0" fillId="9" borderId="0" xfId="0" applyFill="1"/>
    <xf numFmtId="0" fontId="12" fillId="9" borderId="0" xfId="0" applyFont="1" applyFill="1" applyBorder="1"/>
    <xf numFmtId="0" fontId="0" fillId="14" borderId="0" xfId="0" applyFill="1"/>
    <xf numFmtId="0" fontId="12" fillId="14" borderId="0" xfId="0" applyFont="1" applyFill="1" applyBorder="1"/>
    <xf numFmtId="0" fontId="12" fillId="0" borderId="0" xfId="0" applyFont="1" applyFill="1" applyBorder="1" applyAlignment="1">
      <alignment horizontal="center" vertical="center"/>
    </xf>
    <xf numFmtId="0" fontId="12" fillId="0" borderId="0" xfId="0" applyFont="1" applyFill="1" applyBorder="1"/>
    <xf numFmtId="0" fontId="1" fillId="9" borderId="14" xfId="0" applyFont="1" applyFill="1" applyBorder="1" applyAlignment="1">
      <alignment vertical="center"/>
    </xf>
    <xf numFmtId="0" fontId="1" fillId="9" borderId="0" xfId="0" applyFont="1" applyFill="1" applyBorder="1" applyAlignment="1">
      <alignment vertical="center"/>
    </xf>
    <xf numFmtId="0" fontId="1" fillId="9" borderId="15" xfId="0" applyFont="1" applyFill="1" applyBorder="1" applyAlignment="1">
      <alignment vertical="center"/>
    </xf>
    <xf numFmtId="0" fontId="1" fillId="9" borderId="11" xfId="0" applyFont="1" applyFill="1" applyBorder="1" applyAlignment="1">
      <alignment vertical="center"/>
    </xf>
    <xf numFmtId="0" fontId="1" fillId="9" borderId="5" xfId="0" applyFont="1" applyFill="1" applyBorder="1" applyAlignment="1">
      <alignment vertical="center"/>
    </xf>
    <xf numFmtId="0" fontId="1" fillId="9" borderId="12" xfId="0" applyFont="1" applyFill="1" applyBorder="1" applyAlignment="1">
      <alignment vertical="center"/>
    </xf>
    <xf numFmtId="0" fontId="3" fillId="9" borderId="0" xfId="0" applyFont="1" applyFill="1" applyBorder="1" applyAlignment="1">
      <alignment horizontal="center" vertical="center"/>
    </xf>
    <xf numFmtId="2" fontId="3"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alignment horizontal="right" vertical="center"/>
    </xf>
    <xf numFmtId="0" fontId="23" fillId="9" borderId="0" xfId="0" applyFont="1" applyFill="1"/>
    <xf numFmtId="0" fontId="0" fillId="9" borderId="0" xfId="0" applyFill="1" applyAlignment="1">
      <alignment wrapText="1"/>
    </xf>
    <xf numFmtId="0" fontId="0" fillId="9" borderId="0" xfId="0" applyFill="1" applyAlignment="1">
      <alignment horizontal="justify"/>
    </xf>
    <xf numFmtId="0" fontId="1" fillId="9" borderId="0" xfId="0" applyFont="1" applyFill="1"/>
    <xf numFmtId="12" fontId="13" fillId="10" borderId="1" xfId="0" applyNumberFormat="1" applyFont="1" applyFill="1" applyBorder="1" applyAlignment="1">
      <alignment horizontal="center" vertical="center"/>
    </xf>
    <xf numFmtId="174" fontId="13" fillId="10" borderId="1" xfId="0" applyNumberFormat="1" applyFont="1" applyFill="1" applyBorder="1" applyAlignment="1">
      <alignment horizontal="center" vertical="center"/>
    </xf>
    <xf numFmtId="173" fontId="13" fillId="10" borderId="1" xfId="0" applyNumberFormat="1" applyFont="1" applyFill="1" applyBorder="1" applyAlignment="1">
      <alignment horizontal="center" vertical="center"/>
    </xf>
    <xf numFmtId="2" fontId="13" fillId="10" borderId="1" xfId="0" applyNumberFormat="1" applyFont="1" applyFill="1" applyBorder="1" applyAlignment="1">
      <alignment horizontal="center" vertical="center"/>
    </xf>
    <xf numFmtId="0" fontId="23" fillId="9" borderId="0" xfId="0" applyFont="1" applyFill="1" applyBorder="1" applyAlignment="1">
      <alignment horizontal="left" vertical="center"/>
    </xf>
    <xf numFmtId="0" fontId="12" fillId="9" borderId="0" xfId="0" applyFont="1" applyFill="1" applyBorder="1" applyAlignment="1">
      <alignment horizontal="left" vertical="center"/>
    </xf>
    <xf numFmtId="0" fontId="13" fillId="10" borderId="1" xfId="0" applyFont="1" applyFill="1" applyBorder="1" applyAlignment="1">
      <alignment horizontal="right" vertical="center"/>
    </xf>
    <xf numFmtId="2"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center" vertical="center"/>
    </xf>
    <xf numFmtId="167" fontId="49" fillId="2" borderId="1" xfId="0" applyNumberFormat="1" applyFont="1" applyFill="1" applyBorder="1" applyAlignment="1">
      <alignment vertical="center"/>
    </xf>
    <xf numFmtId="0" fontId="1" fillId="9" borderId="0" xfId="0" applyFont="1" applyFill="1" applyBorder="1" applyAlignment="1">
      <alignment horizontal="left" vertical="center"/>
    </xf>
    <xf numFmtId="174" fontId="13" fillId="2" borderId="1" xfId="0" applyNumberFormat="1" applyFont="1" applyFill="1" applyBorder="1" applyAlignment="1">
      <alignment horizontal="center" vertical="center"/>
    </xf>
    <xf numFmtId="173" fontId="8" fillId="2"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170" fontId="13" fillId="2" borderId="1" xfId="0" applyNumberFormat="1" applyFont="1" applyFill="1" applyBorder="1" applyAlignment="1">
      <alignment horizontal="center" vertical="center"/>
    </xf>
    <xf numFmtId="177" fontId="0" fillId="2" borderId="0" xfId="0" applyNumberFormat="1" applyFont="1" applyFill="1" applyBorder="1" applyAlignment="1">
      <alignment horizontal="center" vertical="center"/>
    </xf>
    <xf numFmtId="178" fontId="0" fillId="8" borderId="1" xfId="0" applyNumberFormat="1" applyFill="1" applyBorder="1" applyAlignment="1">
      <alignment horizontal="center" vertical="center"/>
    </xf>
    <xf numFmtId="168" fontId="8" fillId="11" borderId="1" xfId="0" applyNumberFormat="1" applyFont="1" applyFill="1" applyBorder="1" applyAlignment="1">
      <alignment horizontal="center" vertical="center"/>
    </xf>
    <xf numFmtId="174" fontId="13" fillId="2" borderId="2" xfId="0" applyNumberFormat="1" applyFont="1" applyFill="1" applyBorder="1" applyAlignment="1">
      <alignment horizontal="center" vertical="center"/>
    </xf>
    <xf numFmtId="168" fontId="13" fillId="2"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74" fontId="13" fillId="9" borderId="2" xfId="0" applyNumberFormat="1" applyFont="1" applyFill="1" applyBorder="1" applyAlignment="1">
      <alignment horizontal="center" vertical="center"/>
    </xf>
    <xf numFmtId="0" fontId="23" fillId="2" borderId="0" xfId="0" applyFont="1" applyFill="1" applyBorder="1" applyAlignment="1">
      <alignment horizontal="center" vertical="center"/>
    </xf>
    <xf numFmtId="167" fontId="8" fillId="2" borderId="1" xfId="0" applyNumberFormat="1" applyFont="1" applyFill="1" applyBorder="1" applyAlignment="1">
      <alignment horizontal="center" vertical="center"/>
    </xf>
    <xf numFmtId="168" fontId="8" fillId="2" borderId="1" xfId="0" applyNumberFormat="1" applyFont="1" applyFill="1" applyBorder="1" applyAlignment="1">
      <alignment horizontal="center" vertical="center"/>
    </xf>
    <xf numFmtId="0" fontId="13" fillId="2" borderId="3" xfId="0" applyFont="1" applyFill="1" applyBorder="1" applyAlignment="1">
      <alignment horizontal="center" vertical="center"/>
    </xf>
    <xf numFmtId="0" fontId="13" fillId="2" borderId="1"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15" borderId="0" xfId="0" applyFont="1" applyFill="1" applyBorder="1" applyAlignment="1">
      <alignment vertical="center"/>
    </xf>
    <xf numFmtId="0" fontId="13" fillId="0" borderId="0" xfId="0" applyFont="1" applyFill="1" applyBorder="1" applyAlignment="1">
      <alignment horizontal="center" vertical="center"/>
    </xf>
    <xf numFmtId="174" fontId="1" fillId="15" borderId="0" xfId="0" applyNumberFormat="1" applyFont="1" applyFill="1" applyBorder="1" applyAlignment="1">
      <alignment horizontal="center" vertical="center"/>
    </xf>
    <xf numFmtId="0" fontId="1" fillId="15" borderId="10" xfId="0" applyFont="1" applyFill="1" applyBorder="1" applyAlignment="1"/>
    <xf numFmtId="0" fontId="1" fillId="15" borderId="15" xfId="0" applyFont="1" applyFill="1" applyBorder="1" applyAlignment="1"/>
    <xf numFmtId="0" fontId="1" fillId="15" borderId="2" xfId="0" applyFont="1" applyFill="1" applyBorder="1" applyAlignment="1"/>
    <xf numFmtId="0" fontId="1" fillId="15" borderId="8" xfId="0" applyFont="1" applyFill="1" applyBorder="1" applyAlignment="1"/>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1" fontId="23" fillId="2" borderId="4" xfId="0" applyNumberFormat="1"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7" xfId="0" applyFont="1" applyFill="1" applyBorder="1" applyAlignment="1">
      <alignment horizontal="left" vertical="center"/>
    </xf>
    <xf numFmtId="0" fontId="0" fillId="1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74" fontId="13" fillId="2" borderId="2" xfId="0" applyNumberFormat="1" applyFont="1" applyFill="1" applyBorder="1" applyAlignment="1">
      <alignment horizontal="center" vertical="center"/>
    </xf>
    <xf numFmtId="174" fontId="13" fillId="2" borderId="3" xfId="0" applyNumberFormat="1" applyFont="1" applyFill="1" applyBorder="1" applyAlignment="1">
      <alignment horizontal="center" vertical="center"/>
    </xf>
    <xf numFmtId="1" fontId="23" fillId="2" borderId="1" xfId="0" applyNumberFormat="1" applyFont="1" applyFill="1" applyBorder="1" applyAlignment="1">
      <alignment horizontal="center" vertical="center" wrapText="1"/>
    </xf>
    <xf numFmtId="0" fontId="23" fillId="2" borderId="9" xfId="0" applyFont="1" applyFill="1" applyBorder="1" applyAlignment="1">
      <alignment horizontal="center" vertical="center"/>
    </xf>
    <xf numFmtId="0" fontId="23" fillId="2" borderId="13"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12"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1" fontId="23" fillId="2" borderId="2" xfId="0" applyNumberFormat="1" applyFont="1" applyFill="1" applyBorder="1" applyAlignment="1">
      <alignment horizontal="center" vertical="center" wrapText="1"/>
    </xf>
    <xf numFmtId="1" fontId="23" fillId="2" borderId="8"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12" borderId="9" xfId="0" applyFont="1" applyFill="1" applyBorder="1" applyAlignment="1">
      <alignment horizontal="center" vertical="center"/>
    </xf>
    <xf numFmtId="0" fontId="0" fillId="12" borderId="13"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1" fontId="13" fillId="2" borderId="6" xfId="0" applyNumberFormat="1" applyFont="1" applyFill="1" applyBorder="1" applyAlignment="1">
      <alignment horizontal="left" vertical="center"/>
    </xf>
    <xf numFmtId="1" fontId="13" fillId="2" borderId="7" xfId="0" applyNumberFormat="1" applyFont="1" applyFill="1" applyBorder="1" applyAlignment="1">
      <alignment horizontal="left" vertical="center"/>
    </xf>
    <xf numFmtId="1" fontId="13" fillId="2" borderId="4" xfId="0" applyNumberFormat="1" applyFont="1" applyFill="1" applyBorder="1" applyAlignment="1">
      <alignment horizontal="left"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3"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5" xfId="0" applyFont="1" applyFill="1" applyBorder="1" applyAlignment="1">
      <alignment horizontal="center" vertical="center"/>
    </xf>
    <xf numFmtId="0" fontId="12" fillId="12" borderId="12"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173" fontId="13" fillId="2" borderId="2"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173" fontId="8" fillId="2" borderId="6" xfId="0" applyNumberFormat="1" applyFont="1" applyFill="1" applyBorder="1" applyAlignment="1">
      <alignment horizontal="center" vertical="center"/>
    </xf>
    <xf numFmtId="173" fontId="8" fillId="2" borderId="4" xfId="0" applyNumberFormat="1" applyFont="1" applyFill="1" applyBorder="1" applyAlignment="1">
      <alignment horizontal="center" vertical="center"/>
    </xf>
    <xf numFmtId="1" fontId="14" fillId="2" borderId="2" xfId="0" applyNumberFormat="1" applyFont="1" applyFill="1" applyBorder="1" applyAlignment="1">
      <alignment horizontal="center" vertical="center"/>
    </xf>
    <xf numFmtId="1" fontId="14" fillId="2" borderId="3" xfId="0" applyNumberFormat="1"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0" fontId="23" fillId="2" borderId="1" xfId="0" applyFont="1" applyFill="1" applyBorder="1" applyAlignment="1">
      <alignment horizontal="center"/>
    </xf>
    <xf numFmtId="0" fontId="12" fillId="2" borderId="1" xfId="0" applyFont="1" applyFill="1" applyBorder="1" applyAlignment="1">
      <alignment horizontal="center"/>
    </xf>
    <xf numFmtId="0" fontId="12" fillId="2" borderId="9" xfId="0" applyFont="1" applyFill="1" applyBorder="1" applyAlignment="1">
      <alignment horizontal="center"/>
    </xf>
    <xf numFmtId="0" fontId="12" fillId="2" borderId="10" xfId="0" applyFont="1" applyFill="1" applyBorder="1" applyAlignment="1">
      <alignment horizontal="center"/>
    </xf>
    <xf numFmtId="0" fontId="12" fillId="2" borderId="14" xfId="0" applyFont="1" applyFill="1" applyBorder="1" applyAlignment="1">
      <alignment horizontal="center"/>
    </xf>
    <xf numFmtId="0" fontId="12" fillId="2" borderId="15" xfId="0" applyFont="1" applyFill="1" applyBorder="1" applyAlignment="1">
      <alignment horizontal="center"/>
    </xf>
    <xf numFmtId="0" fontId="12" fillId="2" borderId="11" xfId="0" applyFont="1" applyFill="1" applyBorder="1" applyAlignment="1">
      <alignment horizontal="center"/>
    </xf>
    <xf numFmtId="0" fontId="12" fillId="2" borderId="12" xfId="0" applyFont="1" applyFill="1" applyBorder="1" applyAlignment="1">
      <alignment horizontal="center"/>
    </xf>
    <xf numFmtId="174" fontId="13" fillId="2" borderId="6" xfId="0" applyNumberFormat="1" applyFont="1" applyFill="1" applyBorder="1" applyAlignment="1">
      <alignment horizontal="center" vertical="center"/>
    </xf>
    <xf numFmtId="174" fontId="13" fillId="2" borderId="4" xfId="0" applyNumberFormat="1" applyFont="1" applyFill="1" applyBorder="1" applyAlignment="1">
      <alignment horizontal="center" vertical="center"/>
    </xf>
    <xf numFmtId="0" fontId="0" fillId="2" borderId="7" xfId="0" applyFont="1" applyFill="1" applyBorder="1" applyAlignment="1">
      <alignment horizontal="left" vertical="center"/>
    </xf>
    <xf numFmtId="0" fontId="0" fillId="12" borderId="9" xfId="0" applyFont="1" applyFill="1" applyBorder="1" applyAlignment="1">
      <alignment horizontal="right" vertical="center"/>
    </xf>
    <xf numFmtId="0" fontId="0" fillId="12" borderId="13" xfId="0" applyFont="1" applyFill="1" applyBorder="1" applyAlignment="1">
      <alignment horizontal="right" vertical="center"/>
    </xf>
    <xf numFmtId="0" fontId="0" fillId="12" borderId="10" xfId="0" applyFont="1" applyFill="1" applyBorder="1" applyAlignment="1">
      <alignment horizontal="right" vertical="center"/>
    </xf>
    <xf numFmtId="0" fontId="0" fillId="12" borderId="11" xfId="0" applyFont="1" applyFill="1" applyBorder="1" applyAlignment="1">
      <alignment horizontal="right" vertical="center"/>
    </xf>
    <xf numFmtId="0" fontId="0" fillId="12" borderId="5" xfId="0" applyFont="1" applyFill="1" applyBorder="1" applyAlignment="1">
      <alignment horizontal="right" vertical="center"/>
    </xf>
    <xf numFmtId="0" fontId="0" fillId="12" borderId="12" xfId="0" applyFont="1" applyFill="1" applyBorder="1" applyAlignment="1">
      <alignment horizontal="right" vertical="center"/>
    </xf>
    <xf numFmtId="174" fontId="12" fillId="2" borderId="1" xfId="0" applyNumberFormat="1" applyFont="1" applyFill="1" applyBorder="1" applyAlignment="1">
      <alignment horizontal="center" vertical="center"/>
    </xf>
    <xf numFmtId="174" fontId="12" fillId="2" borderId="8" xfId="0" applyNumberFormat="1" applyFont="1" applyFill="1" applyBorder="1" applyAlignment="1">
      <alignment horizontal="center" vertical="center"/>
    </xf>
    <xf numFmtId="174" fontId="12" fillId="2" borderId="3" xfId="0" applyNumberFormat="1" applyFont="1" applyFill="1" applyBorder="1" applyAlignment="1">
      <alignment horizontal="center" vertical="center"/>
    </xf>
    <xf numFmtId="0" fontId="13" fillId="2" borderId="9" xfId="0" applyFont="1" applyFill="1" applyBorder="1" applyAlignment="1">
      <alignment horizontal="right" vertical="center"/>
    </xf>
    <xf numFmtId="0" fontId="13" fillId="2" borderId="10"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15" xfId="0" applyFont="1" applyFill="1" applyBorder="1" applyAlignment="1">
      <alignment horizontal="right" vertical="center"/>
    </xf>
    <xf numFmtId="0" fontId="13" fillId="2" borderId="11" xfId="0" applyFont="1" applyFill="1" applyBorder="1" applyAlignment="1">
      <alignment horizontal="right" vertical="center"/>
    </xf>
    <xf numFmtId="0" fontId="13" fillId="2" borderId="12" xfId="0" applyFont="1" applyFill="1" applyBorder="1" applyAlignment="1">
      <alignment horizontal="right" vertical="center"/>
    </xf>
    <xf numFmtId="174" fontId="13" fillId="2" borderId="6" xfId="0" applyNumberFormat="1" applyFont="1" applyFill="1" applyBorder="1" applyAlignment="1">
      <alignment horizontal="right" vertical="center"/>
    </xf>
    <xf numFmtId="174" fontId="13" fillId="2" borderId="4" xfId="0" applyNumberFormat="1" applyFont="1" applyFill="1" applyBorder="1" applyAlignment="1">
      <alignment horizontal="right" vertical="center"/>
    </xf>
    <xf numFmtId="0" fontId="23" fillId="2" borderId="2" xfId="0" applyFont="1" applyFill="1" applyBorder="1" applyAlignment="1">
      <alignment horizontal="center"/>
    </xf>
    <xf numFmtId="0" fontId="23" fillId="2" borderId="8" xfId="0" applyFont="1" applyFill="1" applyBorder="1" applyAlignment="1">
      <alignment horizontal="center"/>
    </xf>
    <xf numFmtId="0" fontId="23" fillId="2" borderId="3" xfId="0" applyFont="1" applyFill="1" applyBorder="1" applyAlignment="1">
      <alignment horizontal="center"/>
    </xf>
    <xf numFmtId="0" fontId="12" fillId="2" borderId="10" xfId="0" applyFont="1" applyFill="1" applyBorder="1" applyAlignment="1">
      <alignment horizontal="left" vertical="center"/>
    </xf>
    <xf numFmtId="0" fontId="12" fillId="2" borderId="12" xfId="0" applyFont="1" applyFill="1" applyBorder="1" applyAlignment="1">
      <alignment horizontal="left"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15" borderId="8" xfId="0" applyFont="1" applyFill="1" applyBorder="1" applyAlignment="1">
      <alignment horizontal="center" vertical="center"/>
    </xf>
    <xf numFmtId="0" fontId="1" fillId="15" borderId="3" xfId="0" applyFont="1" applyFill="1" applyBorder="1" applyAlignment="1">
      <alignment horizontal="center" vertical="center"/>
    </xf>
    <xf numFmtId="167" fontId="8" fillId="2" borderId="6" xfId="0" applyNumberFormat="1" applyFont="1" applyFill="1" applyBorder="1" applyAlignment="1">
      <alignment horizontal="right" vertical="center"/>
    </xf>
    <xf numFmtId="167" fontId="8" fillId="2" borderId="4" xfId="0" applyNumberFormat="1" applyFont="1" applyFill="1" applyBorder="1" applyAlignment="1">
      <alignment horizontal="right" vertical="center"/>
    </xf>
    <xf numFmtId="0" fontId="13" fillId="2" borderId="13" xfId="0" applyFont="1" applyFill="1" applyBorder="1" applyAlignment="1">
      <alignment horizontal="right" vertical="center"/>
    </xf>
    <xf numFmtId="0" fontId="13" fillId="2" borderId="0" xfId="0" applyFont="1" applyFill="1" applyBorder="1" applyAlignment="1">
      <alignment horizontal="right" vertical="center"/>
    </xf>
    <xf numFmtId="0" fontId="13" fillId="2" borderId="5" xfId="0" applyFont="1" applyFill="1" applyBorder="1" applyAlignment="1">
      <alignment horizontal="right" vertical="center"/>
    </xf>
    <xf numFmtId="2" fontId="0" fillId="2" borderId="14" xfId="0" applyNumberFormat="1" applyFont="1" applyFill="1" applyBorder="1" applyAlignment="1">
      <alignment horizontal="left" vertical="center"/>
    </xf>
    <xf numFmtId="0" fontId="8" fillId="12" borderId="9"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0" xfId="0" applyFont="1" applyFill="1" applyBorder="1" applyAlignment="1">
      <alignment horizontal="center" vertical="center"/>
    </xf>
    <xf numFmtId="0" fontId="8" fillId="12" borderId="1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2" xfId="0" applyFont="1" applyFill="1" applyBorder="1" applyAlignment="1">
      <alignment horizontal="center" vertical="center"/>
    </xf>
    <xf numFmtId="174" fontId="8" fillId="2" borderId="2" xfId="0" applyNumberFormat="1" applyFont="1" applyFill="1" applyBorder="1" applyAlignment="1">
      <alignment horizontal="center" vertical="center"/>
    </xf>
    <xf numFmtId="174" fontId="8" fillId="2" borderId="3" xfId="0" applyNumberFormat="1" applyFont="1" applyFill="1" applyBorder="1" applyAlignment="1">
      <alignment horizontal="center" vertical="center"/>
    </xf>
    <xf numFmtId="2" fontId="8" fillId="12" borderId="1" xfId="0" applyNumberFormat="1" applyFont="1" applyFill="1" applyBorder="1" applyAlignment="1">
      <alignment horizontal="center" vertical="center"/>
    </xf>
    <xf numFmtId="0" fontId="22" fillId="12" borderId="6" xfId="0" applyFont="1" applyFill="1" applyBorder="1" applyAlignment="1">
      <alignment horizontal="center" vertical="center"/>
    </xf>
    <xf numFmtId="0" fontId="22" fillId="12" borderId="7" xfId="0" applyFont="1" applyFill="1" applyBorder="1" applyAlignment="1">
      <alignment horizontal="center" vertical="center"/>
    </xf>
    <xf numFmtId="0" fontId="22" fillId="12" borderId="4" xfId="0" applyFont="1" applyFill="1" applyBorder="1" applyAlignment="1">
      <alignment horizontal="center" vertical="center"/>
    </xf>
    <xf numFmtId="2" fontId="8" fillId="12" borderId="9" xfId="0" applyNumberFormat="1" applyFont="1" applyFill="1" applyBorder="1" applyAlignment="1">
      <alignment horizontal="center" vertical="center"/>
    </xf>
    <xf numFmtId="2" fontId="8" fillId="12" borderId="13" xfId="0" applyNumberFormat="1" applyFont="1" applyFill="1" applyBorder="1" applyAlignment="1">
      <alignment horizontal="center" vertical="center"/>
    </xf>
    <xf numFmtId="2" fontId="8" fillId="12" borderId="10" xfId="0" applyNumberFormat="1" applyFont="1" applyFill="1" applyBorder="1" applyAlignment="1">
      <alignment horizontal="center" vertical="center"/>
    </xf>
    <xf numFmtId="2" fontId="8" fillId="12" borderId="11" xfId="0" applyNumberFormat="1" applyFont="1" applyFill="1" applyBorder="1" applyAlignment="1">
      <alignment horizontal="center" vertical="center"/>
    </xf>
    <xf numFmtId="2" fontId="8" fillId="12" borderId="5" xfId="0" applyNumberFormat="1" applyFont="1" applyFill="1" applyBorder="1" applyAlignment="1">
      <alignment horizontal="center" vertical="center"/>
    </xf>
    <xf numFmtId="2" fontId="8" fillId="12" borderId="12" xfId="0" applyNumberFormat="1" applyFont="1" applyFill="1" applyBorder="1" applyAlignment="1">
      <alignment horizontal="center" vertical="center"/>
    </xf>
    <xf numFmtId="2" fontId="0" fillId="12" borderId="6" xfId="0"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2" fontId="0" fillId="12" borderId="4"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2" fontId="0" fillId="12" borderId="9" xfId="0" applyNumberFormat="1" applyFont="1" applyFill="1" applyBorder="1" applyAlignment="1">
      <alignment horizontal="center" vertical="center"/>
    </xf>
    <xf numFmtId="2" fontId="0" fillId="12" borderId="13" xfId="0" applyNumberFormat="1" applyFont="1" applyFill="1" applyBorder="1" applyAlignment="1">
      <alignment horizontal="center" vertical="center"/>
    </xf>
    <xf numFmtId="2" fontId="0" fillId="12" borderId="10" xfId="0" applyNumberFormat="1" applyFont="1" applyFill="1" applyBorder="1" applyAlignment="1">
      <alignment horizontal="center" vertical="center"/>
    </xf>
    <xf numFmtId="2" fontId="0" fillId="12" borderId="11"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2" fontId="0" fillId="12" borderId="12" xfId="0" applyNumberFormat="1"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173" fontId="8" fillId="2" borderId="2" xfId="0" applyNumberFormat="1" applyFont="1" applyFill="1" applyBorder="1" applyAlignment="1">
      <alignment horizontal="center" vertical="center"/>
    </xf>
    <xf numFmtId="173" fontId="8" fillId="2" borderId="3"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7" fontId="8"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 xfId="0" applyFont="1" applyFill="1" applyBorder="1" applyAlignment="1">
      <alignment horizontal="center" vertical="center"/>
    </xf>
    <xf numFmtId="0" fontId="38" fillId="8" borderId="6" xfId="0" applyFont="1" applyFill="1" applyBorder="1" applyAlignment="1">
      <alignment horizontal="left" vertical="center"/>
    </xf>
    <xf numFmtId="0" fontId="38" fillId="8" borderId="7" xfId="0" applyFont="1" applyFill="1" applyBorder="1" applyAlignment="1">
      <alignment horizontal="left" vertical="center"/>
    </xf>
    <xf numFmtId="0" fontId="38" fillId="8" borderId="4" xfId="0" applyFont="1" applyFill="1" applyBorder="1" applyAlignment="1">
      <alignment horizontal="left" vertical="center"/>
    </xf>
    <xf numFmtId="0" fontId="37" fillId="8" borderId="6" xfId="0" applyFont="1" applyFill="1" applyBorder="1" applyAlignment="1">
      <alignment horizontal="left" vertical="center"/>
    </xf>
    <xf numFmtId="0" fontId="37" fillId="8" borderId="7" xfId="0" applyFont="1" applyFill="1" applyBorder="1" applyAlignment="1">
      <alignment horizontal="left" vertical="center"/>
    </xf>
    <xf numFmtId="0" fontId="37" fillId="8" borderId="4" xfId="0" applyFont="1" applyFill="1" applyBorder="1" applyAlignment="1">
      <alignment horizontal="left" vertical="center"/>
    </xf>
    <xf numFmtId="2" fontId="8" fillId="12" borderId="6" xfId="0" applyNumberFormat="1" applyFont="1" applyFill="1" applyBorder="1" applyAlignment="1">
      <alignment horizontal="left" vertical="center" indent="1"/>
    </xf>
    <xf numFmtId="2" fontId="8" fillId="12" borderId="7" xfId="0" applyNumberFormat="1" applyFont="1" applyFill="1" applyBorder="1" applyAlignment="1">
      <alignment horizontal="left" vertical="center" indent="1"/>
    </xf>
    <xf numFmtId="2" fontId="8" fillId="12" borderId="4" xfId="0" applyNumberFormat="1" applyFont="1" applyFill="1" applyBorder="1" applyAlignment="1">
      <alignment horizontal="left" vertical="center" inden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1" xfId="0" applyFont="1" applyFill="1" applyBorder="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164" fontId="8" fillId="2" borderId="3" xfId="0" applyNumberFormat="1" applyFont="1" applyFill="1" applyBorder="1" applyAlignment="1">
      <alignment horizontal="center" vertic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1" fontId="13" fillId="11" borderId="6" xfId="0" applyNumberFormat="1" applyFont="1" applyFill="1" applyBorder="1" applyAlignment="1">
      <alignment horizontal="left" vertical="center"/>
    </xf>
    <xf numFmtId="1" fontId="13" fillId="11" borderId="7" xfId="0" applyNumberFormat="1" applyFont="1" applyFill="1" applyBorder="1" applyAlignment="1">
      <alignment horizontal="left" vertical="center"/>
    </xf>
    <xf numFmtId="1" fontId="13" fillId="11" borderId="4" xfId="0" applyNumberFormat="1" applyFont="1" applyFill="1" applyBorder="1" applyAlignment="1">
      <alignment horizontal="left"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4" xfId="0" applyFont="1" applyFill="1" applyBorder="1" applyAlignment="1">
      <alignment horizontal="center" vertical="center"/>
    </xf>
    <xf numFmtId="2" fontId="25" fillId="12" borderId="1" xfId="0" applyNumberFormat="1" applyFont="1" applyFill="1" applyBorder="1" applyAlignment="1">
      <alignment horizontal="center" vertical="center"/>
    </xf>
    <xf numFmtId="2" fontId="0" fillId="1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8" fillId="10" borderId="6" xfId="0" applyFont="1" applyFill="1" applyBorder="1" applyAlignment="1">
      <alignment horizontal="left" vertical="center"/>
    </xf>
    <xf numFmtId="0" fontId="8" fillId="10" borderId="7" xfId="0" applyFont="1" applyFill="1" applyBorder="1" applyAlignment="1">
      <alignment horizontal="left" vertical="center"/>
    </xf>
    <xf numFmtId="0" fontId="8" fillId="10" borderId="4" xfId="0" applyFont="1" applyFill="1" applyBorder="1" applyAlignment="1">
      <alignment horizontal="left" vertical="center"/>
    </xf>
    <xf numFmtId="0" fontId="23"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top" wrapText="1"/>
    </xf>
    <xf numFmtId="0" fontId="23" fillId="2" borderId="9"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3" xfId="0" applyFont="1" applyFill="1" applyBorder="1" applyAlignment="1">
      <alignment horizontal="center" vertical="top" wrapText="1"/>
    </xf>
    <xf numFmtId="0" fontId="12" fillId="2" borderId="13" xfId="0" applyFont="1" applyFill="1" applyBorder="1" applyAlignment="1">
      <alignment horizontal="center"/>
    </xf>
    <xf numFmtId="0" fontId="12" fillId="2" borderId="0" xfId="0" applyFont="1" applyFill="1" applyBorder="1" applyAlignment="1">
      <alignment horizontal="center"/>
    </xf>
    <xf numFmtId="0" fontId="12" fillId="2" borderId="5" xfId="0" applyFont="1" applyFill="1" applyBorder="1" applyAlignment="1">
      <alignment horizont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1" fillId="8" borderId="1"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 fillId="2" borderId="0"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23" fillId="12" borderId="3" xfId="0" applyFont="1" applyFill="1" applyBorder="1" applyAlignment="1">
      <alignment horizontal="center" vertical="center" wrapText="1"/>
    </xf>
    <xf numFmtId="2" fontId="23" fillId="2" borderId="1" xfId="0" applyNumberFormat="1" applyFont="1" applyFill="1" applyBorder="1" applyAlignment="1">
      <alignment horizontal="center" vertical="top" wrapText="1"/>
    </xf>
    <xf numFmtId="168" fontId="13" fillId="2" borderId="1" xfId="0" applyNumberFormat="1" applyFont="1" applyFill="1" applyBorder="1" applyAlignment="1">
      <alignment horizontal="center" vertical="center"/>
    </xf>
    <xf numFmtId="0" fontId="0" fillId="2" borderId="0" xfId="0" applyFill="1" applyAlignment="1">
      <alignment horizontal="justify" vertical="center"/>
    </xf>
    <xf numFmtId="0" fontId="12" fillId="8" borderId="6" xfId="0" applyFont="1" applyFill="1" applyBorder="1" applyAlignment="1">
      <alignment horizontal="left" vertical="center"/>
    </xf>
    <xf numFmtId="0" fontId="12" fillId="8" borderId="7" xfId="0" applyFont="1" applyFill="1" applyBorder="1" applyAlignment="1">
      <alignment horizontal="left" vertical="center"/>
    </xf>
    <xf numFmtId="0" fontId="12" fillId="8" borderId="4" xfId="0" applyFont="1" applyFill="1" applyBorder="1" applyAlignment="1">
      <alignment horizontal="left" vertical="center"/>
    </xf>
    <xf numFmtId="0" fontId="13" fillId="10" borderId="6" xfId="0" applyFont="1" applyFill="1" applyBorder="1" applyAlignment="1">
      <alignment horizontal="left" vertical="center"/>
    </xf>
    <xf numFmtId="0" fontId="13" fillId="10" borderId="4" xfId="0" applyFont="1" applyFill="1" applyBorder="1" applyAlignment="1">
      <alignment horizontal="left" vertical="center"/>
    </xf>
    <xf numFmtId="0" fontId="12" fillId="2" borderId="1" xfId="0" applyFont="1" applyFill="1" applyBorder="1" applyAlignment="1">
      <alignment horizontal="left"/>
    </xf>
    <xf numFmtId="173" fontId="12" fillId="2" borderId="1" xfId="0" applyNumberFormat="1" applyFont="1" applyFill="1" applyBorder="1" applyAlignment="1">
      <alignment horizontal="center" vertical="center"/>
    </xf>
    <xf numFmtId="0" fontId="13" fillId="2" borderId="6" xfId="0" applyFont="1" applyFill="1" applyBorder="1" applyAlignment="1">
      <alignment horizontal="left" vertical="center"/>
    </xf>
    <xf numFmtId="0" fontId="13" fillId="2" borderId="4" xfId="0" applyFont="1" applyFill="1" applyBorder="1" applyAlignment="1">
      <alignment horizontal="left" vertical="center"/>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2" borderId="0" xfId="0" applyFill="1" applyBorder="1" applyAlignment="1">
      <alignment horizontal="left" vertical="center"/>
    </xf>
    <xf numFmtId="0" fontId="12" fillId="8" borderId="9" xfId="0" applyFont="1" applyFill="1" applyBorder="1" applyAlignment="1">
      <alignment horizontal="left" vertical="top"/>
    </xf>
    <xf numFmtId="0" fontId="12" fillId="8" borderId="13" xfId="0" applyFont="1" applyFill="1" applyBorder="1" applyAlignment="1">
      <alignment horizontal="left" vertical="top"/>
    </xf>
    <xf numFmtId="0" fontId="12" fillId="8" borderId="10" xfId="0" applyFont="1" applyFill="1" applyBorder="1" applyAlignment="1">
      <alignment horizontal="left" vertical="top"/>
    </xf>
    <xf numFmtId="0" fontId="12" fillId="8" borderId="14" xfId="0" applyFont="1" applyFill="1" applyBorder="1" applyAlignment="1">
      <alignment horizontal="left" vertical="top"/>
    </xf>
    <xf numFmtId="0" fontId="12" fillId="8" borderId="0" xfId="0" applyFont="1" applyFill="1" applyBorder="1" applyAlignment="1">
      <alignment horizontal="left" vertical="top"/>
    </xf>
    <xf numFmtId="0" fontId="12" fillId="8" borderId="15" xfId="0" applyFont="1" applyFill="1" applyBorder="1" applyAlignment="1">
      <alignment horizontal="left" vertical="top"/>
    </xf>
    <xf numFmtId="0" fontId="12" fillId="8" borderId="11" xfId="0" applyFont="1" applyFill="1" applyBorder="1" applyAlignment="1">
      <alignment horizontal="left" vertical="top"/>
    </xf>
    <xf numFmtId="0" fontId="12" fillId="8" borderId="5" xfId="0" applyFont="1" applyFill="1" applyBorder="1" applyAlignment="1">
      <alignment horizontal="left" vertical="top"/>
    </xf>
    <xf numFmtId="0" fontId="12" fillId="8" borderId="12" xfId="0" applyFont="1" applyFill="1" applyBorder="1" applyAlignment="1">
      <alignment horizontal="left" vertical="top"/>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23" fillId="2" borderId="0" xfId="0" applyFont="1" applyFill="1" applyBorder="1" applyAlignment="1">
      <alignment horizontal="center" vertical="center" wrapText="1"/>
    </xf>
    <xf numFmtId="0" fontId="0" fillId="2" borderId="14" xfId="0" applyFont="1" applyFill="1" applyBorder="1" applyAlignment="1">
      <alignment horizontal="left" vertical="center"/>
    </xf>
    <xf numFmtId="49" fontId="8" fillId="12" borderId="6" xfId="0" applyNumberFormat="1" applyFont="1" applyFill="1" applyBorder="1" applyAlignment="1">
      <alignment horizontal="left" vertical="center" indent="1"/>
    </xf>
    <xf numFmtId="49" fontId="8" fillId="12" borderId="7" xfId="0" applyNumberFormat="1" applyFont="1" applyFill="1" applyBorder="1" applyAlignment="1">
      <alignment horizontal="left" vertical="center" indent="1"/>
    </xf>
    <xf numFmtId="49" fontId="8" fillId="12" borderId="4" xfId="0" applyNumberFormat="1" applyFont="1" applyFill="1" applyBorder="1" applyAlignment="1">
      <alignment horizontal="left" vertical="center" indent="1"/>
    </xf>
    <xf numFmtId="2" fontId="26" fillId="12" borderId="6" xfId="0" applyNumberFormat="1" applyFont="1" applyFill="1" applyBorder="1" applyAlignment="1">
      <alignment horizontal="center" vertical="center"/>
    </xf>
    <xf numFmtId="0" fontId="23" fillId="12" borderId="9" xfId="0" applyFont="1" applyFill="1" applyBorder="1" applyAlignment="1">
      <alignment horizontal="center" vertical="center"/>
    </xf>
    <xf numFmtId="0" fontId="23" fillId="12" borderId="13" xfId="0" applyFont="1" applyFill="1" applyBorder="1" applyAlignment="1">
      <alignment horizontal="center" vertical="center"/>
    </xf>
    <xf numFmtId="0" fontId="23" fillId="12" borderId="10"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5" xfId="0" applyFont="1" applyFill="1" applyBorder="1" applyAlignment="1">
      <alignment horizontal="center" vertical="center"/>
    </xf>
    <xf numFmtId="0" fontId="23" fillId="12" borderId="12" xfId="0" applyFont="1" applyFill="1" applyBorder="1" applyAlignment="1">
      <alignment horizontal="center" vertical="center"/>
    </xf>
    <xf numFmtId="0" fontId="0" fillId="2" borderId="14" xfId="0" applyFont="1" applyFill="1" applyBorder="1" applyAlignment="1">
      <alignment horizontal="center" vertical="center"/>
    </xf>
    <xf numFmtId="0" fontId="23" fillId="12" borderId="1" xfId="0" applyFont="1" applyFill="1" applyBorder="1" applyAlignment="1">
      <alignment horizontal="center" vertical="center"/>
    </xf>
    <xf numFmtId="168" fontId="13" fillId="2" borderId="2" xfId="0" applyNumberFormat="1" applyFont="1" applyFill="1" applyBorder="1" applyAlignment="1">
      <alignment horizontal="center" vertical="center"/>
    </xf>
    <xf numFmtId="168" fontId="13" fillId="2" borderId="3" xfId="0" applyNumberFormat="1" applyFont="1" applyFill="1" applyBorder="1" applyAlignment="1">
      <alignment horizontal="center" vertical="center"/>
    </xf>
    <xf numFmtId="174" fontId="0" fillId="12" borderId="9" xfId="0" applyNumberFormat="1" applyFont="1" applyFill="1" applyBorder="1" applyAlignment="1">
      <alignment horizontal="center" vertical="center"/>
    </xf>
    <xf numFmtId="174" fontId="0" fillId="12" borderId="13" xfId="0" applyNumberFormat="1" applyFont="1" applyFill="1" applyBorder="1" applyAlignment="1">
      <alignment horizontal="center" vertical="center"/>
    </xf>
    <xf numFmtId="174" fontId="0" fillId="12" borderId="10" xfId="0" applyNumberFormat="1" applyFont="1" applyFill="1" applyBorder="1" applyAlignment="1">
      <alignment horizontal="center" vertical="center"/>
    </xf>
    <xf numFmtId="174" fontId="0" fillId="12" borderId="11" xfId="0" applyNumberFormat="1" applyFont="1" applyFill="1" applyBorder="1" applyAlignment="1">
      <alignment horizontal="center" vertical="center"/>
    </xf>
    <xf numFmtId="174" fontId="0" fillId="12" borderId="5" xfId="0" applyNumberFormat="1" applyFont="1" applyFill="1" applyBorder="1" applyAlignment="1">
      <alignment horizontal="center" vertical="center"/>
    </xf>
    <xf numFmtId="174" fontId="0" fillId="12" borderId="12" xfId="0" applyNumberFormat="1" applyFont="1" applyFill="1" applyBorder="1" applyAlignment="1">
      <alignment horizontal="center" vertical="center"/>
    </xf>
    <xf numFmtId="0" fontId="30" fillId="12" borderId="1" xfId="0" applyFont="1" applyFill="1" applyBorder="1" applyAlignment="1">
      <alignment horizontal="center" vertical="center" wrapText="1"/>
    </xf>
    <xf numFmtId="17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4" fontId="12" fillId="2" borderId="0"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0" fontId="0" fillId="15" borderId="1" xfId="0" applyFill="1" applyBorder="1" applyAlignment="1">
      <alignment horizontal="center"/>
    </xf>
    <xf numFmtId="0" fontId="0" fillId="15" borderId="14" xfId="0" applyFill="1" applyBorder="1" applyAlignment="1">
      <alignment horizontal="center"/>
    </xf>
    <xf numFmtId="0" fontId="0" fillId="15" borderId="15"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1" fillId="15" borderId="8" xfId="0" applyFont="1" applyFill="1" applyBorder="1" applyAlignment="1">
      <alignment horizontal="center"/>
    </xf>
    <xf numFmtId="0" fontId="1" fillId="15" borderId="3"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174" fontId="0" fillId="12" borderId="6" xfId="0" applyNumberFormat="1" applyFont="1" applyFill="1" applyBorder="1" applyAlignment="1">
      <alignment horizontal="center" vertical="center"/>
    </xf>
    <xf numFmtId="174" fontId="0" fillId="12" borderId="7" xfId="0" applyNumberFormat="1" applyFont="1" applyFill="1" applyBorder="1" applyAlignment="1">
      <alignment horizontal="center" vertical="center"/>
    </xf>
    <xf numFmtId="174" fontId="0" fillId="12" borderId="4" xfId="0" applyNumberFormat="1" applyFont="1" applyFill="1" applyBorder="1" applyAlignment="1">
      <alignment horizontal="center" vertical="center"/>
    </xf>
    <xf numFmtId="0" fontId="23" fillId="9" borderId="6" xfId="0" applyFont="1" applyFill="1" applyBorder="1" applyAlignment="1">
      <alignment horizontal="center" vertical="center"/>
    </xf>
    <xf numFmtId="0" fontId="23" fillId="9" borderId="7" xfId="0" applyFont="1" applyFill="1" applyBorder="1" applyAlignment="1">
      <alignment horizontal="center" vertical="center"/>
    </xf>
    <xf numFmtId="0" fontId="23" fillId="9" borderId="4" xfId="0" applyFont="1" applyFill="1" applyBorder="1" applyAlignment="1">
      <alignment horizontal="center" vertical="center"/>
    </xf>
    <xf numFmtId="173" fontId="8"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8"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8" fillId="2" borderId="9"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1" xfId="0" applyFont="1" applyFill="1" applyBorder="1" applyAlignment="1">
      <alignment horizontal="right" vertical="center"/>
    </xf>
    <xf numFmtId="0" fontId="8" fillId="2" borderId="12" xfId="0" applyFont="1" applyFill="1" applyBorder="1" applyAlignment="1">
      <alignment horizontal="right"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0" fillId="2" borderId="10" xfId="0" applyFill="1" applyBorder="1" applyAlignment="1">
      <alignment horizontal="center"/>
    </xf>
    <xf numFmtId="0" fontId="0" fillId="2" borderId="15" xfId="0" applyFill="1" applyBorder="1" applyAlignment="1">
      <alignment horizontal="center"/>
    </xf>
    <xf numFmtId="0" fontId="0" fillId="2" borderId="12" xfId="0"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2" borderId="8" xfId="0" applyFill="1" applyBorder="1" applyAlignment="1">
      <alignment horizontal="center"/>
    </xf>
    <xf numFmtId="0" fontId="0" fillId="2" borderId="3" xfId="0" applyFill="1" applyBorder="1" applyAlignment="1">
      <alignment horizontal="center"/>
    </xf>
    <xf numFmtId="0" fontId="50" fillId="16" borderId="5" xfId="0" applyFont="1" applyFill="1" applyBorder="1" applyAlignment="1">
      <alignment horizontal="center"/>
    </xf>
  </cellXfs>
  <cellStyles count="2">
    <cellStyle name="Moneda" xfId="1" builtinId="4"/>
    <cellStyle name="Normal" xfId="0" builtinId="0"/>
  </cellStyles>
  <dxfs count="2">
    <dxf>
      <border>
        <bottom style="thin">
          <color auto="1"/>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19050</xdr:rowOff>
    </xdr:from>
    <xdr:to>
      <xdr:col>4</xdr:col>
      <xdr:colOff>741800</xdr:colOff>
      <xdr:row>4</xdr:row>
      <xdr:rowOff>29368</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0</xdr:colOff>
      <xdr:row>405</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7</xdr:col>
      <xdr:colOff>9525</xdr:colOff>
      <xdr:row>96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11</xdr:col>
      <xdr:colOff>338667</xdr:colOff>
      <xdr:row>94</xdr:row>
      <xdr:rowOff>224366</xdr:rowOff>
    </xdr:from>
    <xdr:ext cx="261930"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10</xdr:col>
      <xdr:colOff>395817</xdr:colOff>
      <xdr:row>107</xdr:row>
      <xdr:rowOff>153458</xdr:rowOff>
    </xdr:from>
    <xdr:ext cx="450251"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m:rPr>
                            <m:sty m:val="p"/>
                          </m:rPr>
                          <a:rPr lang="es-MX" sz="1100" b="0" i="0">
                            <a:latin typeface="Cambria Math" panose="02040503050406030204" pitchFamily="18" charset="0"/>
                          </a:rPr>
                          <m:t>f</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f</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12</xdr:col>
      <xdr:colOff>111655</xdr:colOff>
      <xdr:row>95</xdr:row>
      <xdr:rowOff>243417</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6" name="CuadroTexto 15"/>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148167</xdr:colOff>
      <xdr:row>95</xdr:row>
      <xdr:rowOff>196850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8" name="CuadroTexto 17"/>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twoCellAnchor editAs="oneCell">
    <xdr:from>
      <xdr:col>0</xdr:col>
      <xdr:colOff>0</xdr:colOff>
      <xdr:row>4</xdr:row>
      <xdr:rowOff>104775</xdr:rowOff>
    </xdr:from>
    <xdr:to>
      <xdr:col>0</xdr:col>
      <xdr:colOff>304800</xdr:colOff>
      <xdr:row>5</xdr:row>
      <xdr:rowOff>164307</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352425</xdr:colOff>
      <xdr:row>229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9</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6</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5</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10</xdr:col>
      <xdr:colOff>124883</xdr:colOff>
      <xdr:row>221</xdr:row>
      <xdr:rowOff>52121</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1</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d>
                      <m:dPr>
                        <m:ctrlPr>
                          <a:rPr lang="es-MX" sz="1100" b="0" i="1">
                            <a:latin typeface="Cambria Math" panose="02040503050406030204" pitchFamily="18" charset="0"/>
                            <a:ea typeface="Cambria Math" panose="02040503050406030204" pitchFamily="18" charset="0"/>
                          </a:rPr>
                        </m:ctrlPr>
                      </m:dPr>
                      <m:e>
                        <m:r>
                          <a:rPr lang="es-MX" sz="1100" b="0" i="0">
                            <a:latin typeface="Cambria Math" panose="02040503050406030204" pitchFamily="18" charset="0"/>
                            <a:ea typeface="Cambria Math" panose="02040503050406030204" pitchFamily="18" charset="0"/>
                          </a:rPr>
                          <m:t>1−</m:t>
                        </m:r>
                        <m:r>
                          <m:rPr>
                            <m:sty m:val="p"/>
                          </m:rPr>
                          <a:rPr lang="es-MX" sz="1100" b="0" i="0">
                            <a:latin typeface="Cambria Math" panose="02040503050406030204" pitchFamily="18" charset="0"/>
                            <a:ea typeface="Cambria Math" panose="02040503050406030204" pitchFamily="18" charset="0"/>
                          </a:rPr>
                          <m:t>e</m:t>
                        </m:r>
                      </m:e>
                    </m:d>
                    <m:r>
                      <a:rPr lang="es-MX" sz="1100" b="0" i="0">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S</m:t>
                            </m:r>
                          </m:e>
                          <m:sub>
                            <m:r>
                              <m:rPr>
                                <m:sty m:val="p"/>
                              </m:rPr>
                              <a:rPr lang="es-MX" sz="1100" b="0" i="0">
                                <a:latin typeface="Cambria Math" panose="02040503050406030204" pitchFamily="18" charset="0"/>
                                <a:ea typeface="Cambria Math" panose="02040503050406030204" pitchFamily="18" charset="0"/>
                              </a:rPr>
                              <m:t>s</m:t>
                            </m:r>
                          </m:sub>
                        </m:sSub>
                        <m:r>
                          <a:rPr lang="es-MX" sz="1100" b="0" i="0">
                            <a:latin typeface="Cambria Math" panose="02040503050406030204" pitchFamily="18" charset="0"/>
                            <a:ea typeface="Cambria Math" panose="02040503050406030204" pitchFamily="18" charset="0"/>
                          </a:rPr>
                          <m:t>−1</m:t>
                        </m:r>
                      </m:e>
                    </m:d>
                  </m:oMath>
                </m:oMathPara>
              </a14:m>
              <a:endParaRPr lang="es-CO" sz="1100" i="0"/>
            </a:p>
          </xdr:txBody>
        </xdr:sp>
      </mc:Choice>
      <mc:Fallback xmlns="">
        <xdr:sp macro="" textlink="">
          <xdr:nvSpPr>
            <xdr:cNvPr id="4" name="CuadroTexto 3"/>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L(1−e)  (S_s−1)</a:t>
              </a:r>
              <a:endParaRPr lang="es-CO" sz="1100" i="0"/>
            </a:p>
          </xdr:txBody>
        </xdr:sp>
      </mc:Fallback>
    </mc:AlternateContent>
    <xdr:clientData/>
  </xdr:oneCellAnchor>
  <xdr:oneCellAnchor>
    <xdr:from>
      <xdr:col>9</xdr:col>
      <xdr:colOff>717549</xdr:colOff>
      <xdr:row>157</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10</xdr:col>
      <xdr:colOff>63500</xdr:colOff>
      <xdr:row>159</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10</xdr:col>
      <xdr:colOff>135467</xdr:colOff>
      <xdr:row>161</xdr:row>
      <xdr:rowOff>29633</xdr:rowOff>
    </xdr:from>
    <xdr:ext cx="836768"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10</xdr:col>
      <xdr:colOff>29633</xdr:colOff>
      <xdr:row>162</xdr:row>
      <xdr:rowOff>50799</xdr:rowOff>
    </xdr:from>
    <xdr:ext cx="954617"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23" name="CuadroTexto 22"/>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10</xdr:col>
      <xdr:colOff>146049</xdr:colOff>
      <xdr:row>167</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9</xdr:col>
      <xdr:colOff>858276</xdr:colOff>
      <xdr:row>181</xdr:row>
      <xdr:rowOff>50994</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b="0" i="0">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N</m:t>
                        </m:r>
                      </m:e>
                      <m:sub>
                        <m:r>
                          <m:rPr>
                            <m:sty m:val="p"/>
                          </m:rPr>
                          <a:rPr lang="es-MX" sz="1100" b="0" i="0">
                            <a:solidFill>
                              <a:schemeClr val="tx1"/>
                            </a:solidFill>
                            <a:effectLst/>
                            <a:latin typeface="Cambria Math" panose="02040503050406030204" pitchFamily="18" charset="0"/>
                            <a:ea typeface="+mn-ea"/>
                            <a:cs typeface="+mn-cs"/>
                          </a:rPr>
                          <m:t>ori</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lat</m:t>
                        </m:r>
                      </m:sub>
                    </m:sSub>
                  </m:oMath>
                </m:oMathPara>
              </a14:m>
              <a:endParaRPr lang="es-CO" sz="1100" i="0"/>
            </a:p>
          </xdr:txBody>
        </xdr:sp>
      </mc:Choice>
      <mc:Fallback xmlns="">
        <xdr:sp macro="" textlink="">
          <xdr:nvSpPr>
            <xdr:cNvPr id="25" name="CuadroTexto 24"/>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N</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ori/lat</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10</xdr:col>
      <xdr:colOff>106362</xdr:colOff>
      <xdr:row>177</xdr:row>
      <xdr:rowOff>37571</xdr:rowOff>
    </xdr:from>
    <xdr:ext cx="848181"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X</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2∙L_f/X_lat </a:t>
              </a:r>
              <a:endParaRPr lang="es-CO" sz="1100" i="0"/>
            </a:p>
          </xdr:txBody>
        </xdr:sp>
      </mc:Fallback>
    </mc:AlternateContent>
    <xdr:clientData/>
  </xdr:oneCellAnchor>
  <xdr:oneCellAnchor>
    <xdr:from>
      <xdr:col>10</xdr:col>
      <xdr:colOff>38101</xdr:colOff>
      <xdr:row>174</xdr:row>
      <xdr:rowOff>38101</xdr:rowOff>
    </xdr:from>
    <xdr:ext cx="3143250" cy="17145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 </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−0,05;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 </m:t>
                    </m:r>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53" name="CuadroTexto 52"/>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L_lat=  L_f∕2−B_mul∕2−0,05;  L_f  [m]  ; 〖 B〗_mul [m]</a:t>
              </a:r>
              <a:endParaRPr lang="es-CO" sz="1100" i="0"/>
            </a:p>
          </xdr:txBody>
        </xdr:sp>
      </mc:Fallback>
    </mc:AlternateContent>
    <xdr:clientData/>
  </xdr:oneCellAnchor>
  <xdr:oneCellAnchor>
    <xdr:from>
      <xdr:col>9</xdr:col>
      <xdr:colOff>781050</xdr:colOff>
      <xdr:row>193</xdr:row>
      <xdr:rowOff>29826</xdr:rowOff>
    </xdr:from>
    <xdr:ext cx="1452033"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60" name="CuadroTexto 59"/>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10</xdr:col>
      <xdr:colOff>157595</xdr:colOff>
      <xdr:row>194</xdr:row>
      <xdr:rowOff>17318</xdr:rowOff>
    </xdr:from>
    <xdr:ext cx="1643495" cy="190501"/>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61" name="CuadroTexto 60"/>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Cambria Math" panose="02040503050406030204" pitchFamily="18" charset="0"/>
                  <a:ea typeface="+mn-ea"/>
                  <a:cs typeface="+mn-cs"/>
                </a:rPr>
                <a:t>〖  D〗_60 [mm]</a:t>
              </a:r>
              <a:endParaRPr lang="es-CO" sz="1100" i="0"/>
            </a:p>
          </xdr:txBody>
        </xdr:sp>
      </mc:Fallback>
    </mc:AlternateContent>
    <xdr:clientData/>
  </xdr:oneCellAnchor>
  <xdr:oneCellAnchor>
    <xdr:from>
      <xdr:col>10</xdr:col>
      <xdr:colOff>114301</xdr:colOff>
      <xdr:row>195</xdr:row>
      <xdr:rowOff>39831</xdr:rowOff>
    </xdr:from>
    <xdr:ext cx="1547860" cy="182166"/>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200-00003E000000}"/>
                </a:ext>
              </a:extLst>
            </xdr:cNvPr>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2" name="CuadroTexto 61"/>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10</xdr:col>
      <xdr:colOff>140278</xdr:colOff>
      <xdr:row>197</xdr:row>
      <xdr:rowOff>39831</xdr:rowOff>
    </xdr:from>
    <xdr:ext cx="1642244" cy="172227"/>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flT</m:t>
                      </m:r>
                    </m:sub>
                  </m:sSub>
                </m:oMath>
              </a14:m>
              <a:r>
                <a:rPr lang="es-CO" sz="1100" i="0"/>
                <a:t>   </a:t>
              </a:r>
            </a:p>
          </xdr:txBody>
        </xdr:sp>
      </mc:Choice>
      <mc:Fallback xmlns="">
        <xdr:sp macro="" textlink="">
          <xdr:nvSpPr>
            <xdr:cNvPr id="63" name="CuadroTexto 62"/>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Cambria Math" panose="02040503050406030204" pitchFamily="18" charset="0"/>
                  <a:ea typeface="+mn-ea"/>
                  <a:cs typeface="+mn-cs"/>
                </a:rPr>
                <a: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bT&gt;v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flT</a:t>
              </a:r>
              <a:r>
                <a:rPr lang="es-CO" sz="1100" i="0"/>
                <a:t>   </a:t>
              </a:r>
            </a:p>
          </xdr:txBody>
        </xdr:sp>
      </mc:Fallback>
    </mc:AlternateContent>
    <xdr:clientData/>
  </xdr:oneCellAnchor>
  <xdr:oneCellAnchor>
    <xdr:from>
      <xdr:col>10</xdr:col>
      <xdr:colOff>133350</xdr:colOff>
      <xdr:row>196</xdr:row>
      <xdr:rowOff>28575</xdr:rowOff>
    </xdr:from>
    <xdr:ext cx="894155" cy="23336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200-000040000000}"/>
                </a:ext>
              </a:extLst>
            </xdr:cNvPr>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flT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64" name="CuadroTexto 63"/>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flT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10</xdr:col>
      <xdr:colOff>42862</xdr:colOff>
      <xdr:row>213</xdr:row>
      <xdr:rowOff>31749</xdr:rowOff>
    </xdr:from>
    <xdr:ext cx="1375306" cy="21695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lav</m:t>
                        </m:r>
                      </m:sub>
                    </m:sSub>
                  </m:oMath>
                </m:oMathPara>
              </a14:m>
              <a:endParaRPr lang="es-CO" sz="1100" i="0"/>
            </a:p>
          </xdr:txBody>
        </xdr:sp>
      </mc:Choice>
      <mc:Fallback xmlns="">
        <xdr:sp macro="" textlink="">
          <xdr:nvSpPr>
            <xdr:cNvPr id="3" name="CuadroTexto 2"/>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t</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endParaRPr lang="es-CO" sz="1100" i="0"/>
            </a:p>
          </xdr:txBody>
        </xdr:sp>
      </mc:Fallback>
    </mc:AlternateContent>
    <xdr:clientData/>
  </xdr:oneCellAnchor>
  <xdr:oneCellAnchor>
    <xdr:from>
      <xdr:col>9</xdr:col>
      <xdr:colOff>788986</xdr:colOff>
      <xdr:row>214</xdr:row>
      <xdr:rowOff>55563</xdr:rowOff>
    </xdr:from>
    <xdr:ext cx="1699421"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ciclo</m:t>
                        </m:r>
                      </m:sub>
                    </m:sSub>
                  </m:oMath>
                </m:oMathPara>
              </a14:m>
              <a:endParaRPr lang="es-CO" sz="1100" i="0"/>
            </a:p>
          </xdr:txBody>
        </xdr:sp>
      </mc:Choice>
      <mc:Fallback xmlns="">
        <xdr:sp macro="" textlink="">
          <xdr:nvSpPr>
            <xdr:cNvPr id="5" name="CuadroTexto 4"/>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f∙t_ciclo</a:t>
              </a:r>
              <a:endParaRPr lang="es-CO" sz="1100" i="0"/>
            </a:p>
          </xdr:txBody>
        </xdr:sp>
      </mc:Fallback>
    </mc:AlternateContent>
    <xdr:clientData/>
  </xdr:oneCellAnchor>
  <xdr:oneCellAnchor>
    <xdr:from>
      <xdr:col>10</xdr:col>
      <xdr:colOff>59531</xdr:colOff>
      <xdr:row>242</xdr:row>
      <xdr:rowOff>19049</xdr:rowOff>
    </xdr:from>
    <xdr:ext cx="1154342" cy="51673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a:rPr lang="es-MX" sz="1100" b="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32" name="CuadroTexto 31"/>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247</xdr:row>
      <xdr:rowOff>66676</xdr:rowOff>
    </xdr:from>
    <xdr:ext cx="1195388" cy="31579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7" name="CuadroTexto 36"/>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=(v_tlav∙D_tlav)/𝑣</a:t>
              </a:r>
              <a:endParaRPr lang="es-CO" sz="1100"/>
            </a:p>
          </xdr:txBody>
        </xdr:sp>
      </mc:Fallback>
    </mc:AlternateContent>
    <xdr:clientData/>
  </xdr:oneCellAnchor>
  <xdr:oneCellAnchor>
    <xdr:from>
      <xdr:col>10</xdr:col>
      <xdr:colOff>105039</xdr:colOff>
      <xdr:row>250</xdr:row>
      <xdr:rowOff>31750</xdr:rowOff>
    </xdr:from>
    <xdr:ext cx="3429794" cy="370416"/>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tlav</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39" name="CuadroTexto 38"/>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baseline="0">
                  <a:latin typeface="Cambria Math" panose="02040503050406030204" pitchFamily="18" charset="0"/>
                  <a:ea typeface="Cambria Math" panose="02040503050406030204" pitchFamily="18" charset="0"/>
                </a:rPr>
                <a:t>1/√f=−2 log_10 (k_s/(3,7〖 D〗_tlav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255</xdr:row>
      <xdr:rowOff>29633</xdr:rowOff>
    </xdr:from>
    <xdr:ext cx="1130438" cy="36939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45" name="CuadroTexto 44"/>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L_tlav/D_tlav    〖v_tlav〗^2/2g</a:t>
              </a:r>
              <a:endParaRPr lang="es-CO" sz="1100" i="0"/>
            </a:p>
          </xdr:txBody>
        </xdr:sp>
      </mc:Fallback>
    </mc:AlternateContent>
    <xdr:clientData/>
  </xdr:oneCellAnchor>
  <xdr:oneCellAnchor>
    <xdr:from>
      <xdr:col>10</xdr:col>
      <xdr:colOff>114300</xdr:colOff>
      <xdr:row>265</xdr:row>
      <xdr:rowOff>21167</xdr:rowOff>
    </xdr:from>
    <xdr:ext cx="3076548" cy="429156"/>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a:rPr lang="es-MX" sz="1100" b="0" i="0">
                                    <a:latin typeface="Cambria Math" panose="02040503050406030204" pitchFamily="18" charset="0"/>
                                    <a:ea typeface="Cambria Math" panose="02040503050406030204" pitchFamily="18" charset="0"/>
                                  </a:rPr>
                                  <m:t>0,2785 </m:t>
                                </m:r>
                                <m:r>
                                  <m:rPr>
                                    <m:sty m:val="p"/>
                                  </m:rPr>
                                  <a:rPr lang="es-MX" sz="1100" b="0" i="0">
                                    <a:latin typeface="Cambria Math" panose="02040503050406030204" pitchFamily="18" charset="0"/>
                                    <a:ea typeface="Cambria Math" panose="02040503050406030204" pitchFamily="18" charset="0"/>
                                  </a:rPr>
                                  <m:t>C</m:t>
                                </m:r>
                                <m:r>
                                  <a:rPr lang="es-MX" sz="1100" b="0" i="0">
                                    <a:latin typeface="Cambria Math" panose="02040503050406030204" pitchFamily="18" charset="0"/>
                                    <a:ea typeface="Cambria Math" panose="02040503050406030204" pitchFamily="18" charset="0"/>
                                  </a:rPr>
                                  <m:t> </m:t>
                                </m:r>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D</m:t>
                                    </m:r>
                                  </m:e>
                                  <m:sup>
                                    <m:r>
                                      <a:rPr lang="es-MX" sz="1100" b="0" i="0">
                                        <a:latin typeface="Cambria Math" panose="02040503050406030204" pitchFamily="18" charset="0"/>
                                        <a:ea typeface="Cambria Math" panose="02040503050406030204" pitchFamily="18" charset="0"/>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r>
                      <a:rPr lang="es-MX" sz="1100" b="0" i="0">
                        <a:latin typeface="Cambria Math" panose="02040503050406030204" pitchFamily="18" charset="0"/>
                        <a:ea typeface="Cambria Math" panose="02040503050406030204" pitchFamily="18" charset="0"/>
                      </a:rPr>
                      <m:t>  ; </m:t>
                    </m:r>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0">
                                    <a:solidFill>
                                      <a:schemeClr val="tx1"/>
                                    </a:solidFill>
                                    <a:effectLst/>
                                    <a:latin typeface="Cambria Math" panose="02040503050406030204" pitchFamily="18" charset="0"/>
                                    <a:ea typeface="Cambria Math" panose="02040503050406030204" pitchFamily="18" charset="0"/>
                                    <a:cs typeface="+mn-cs"/>
                                  </a:rPr>
                                  <m:t>0,3546 </m:t>
                                </m:r>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C</m:t>
                                </m:r>
                                <m:r>
                                  <a:rPr lang="es-MX" sz="1100" b="0" i="0">
                                    <a:solidFill>
                                      <a:schemeClr val="tx1"/>
                                    </a:solidFill>
                                    <a:effectLst/>
                                    <a:latin typeface="Cambria Math" panose="02040503050406030204" pitchFamily="18" charset="0"/>
                                    <a:ea typeface="Cambria Math" panose="02040503050406030204" pitchFamily="18" charset="0"/>
                                    <a:cs typeface="+mn-cs"/>
                                  </a:rPr>
                                  <m:t> </m:t>
                                </m:r>
                                <m:sSup>
                                  <m:sSupPr>
                                    <m:ctrlPr>
                                      <a:rPr lang="es-MX" sz="1100" b="0" i="1">
                                        <a:solidFill>
                                          <a:schemeClr val="tx1"/>
                                        </a:solidFill>
                                        <a:effectLst/>
                                        <a:latin typeface="Cambria Math" panose="02040503050406030204" pitchFamily="18" charset="0"/>
                                        <a:ea typeface="Cambria Math" panose="02040503050406030204" pitchFamily="18" charset="0"/>
                                        <a:cs typeface="+mn-cs"/>
                                      </a:rPr>
                                    </m:ctrlPr>
                                  </m:sSupPr>
                                  <m:e>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D</m:t>
                                    </m:r>
                                  </m:e>
                                  <m:sup>
                                    <m:r>
                                      <a:rPr lang="es-ES" sz="1100" b="0" i="1">
                                        <a:solidFill>
                                          <a:schemeClr val="tx1"/>
                                        </a:solidFill>
                                        <a:effectLst/>
                                        <a:latin typeface="Cambria Math" panose="02040503050406030204" pitchFamily="18" charset="0"/>
                                        <a:ea typeface="Cambria Math" panose="02040503050406030204" pitchFamily="18" charset="0"/>
                                        <a:cs typeface="+mn-cs"/>
                                      </a:rPr>
                                      <m:t>0</m:t>
                                    </m:r>
                                    <m:r>
                                      <a:rPr lang="es-MX" sz="1100" b="0" i="0">
                                        <a:solidFill>
                                          <a:schemeClr val="tx1"/>
                                        </a:solidFill>
                                        <a:effectLst/>
                                        <a:latin typeface="Cambria Math" panose="02040503050406030204" pitchFamily="18" charset="0"/>
                                        <a:ea typeface="Cambria Math" panose="02040503050406030204" pitchFamily="18" charset="0"/>
                                        <a:cs typeface="+mn-cs"/>
                                      </a:rPr>
                                      <m:t>,63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oMath>
                </m:oMathPara>
              </a14:m>
              <a:endParaRPr lang="es-CO" sz="1100" i="0">
                <a:latin typeface="Cambria Math" panose="02040503050406030204" pitchFamily="18" charset="0"/>
                <a:ea typeface="Cambria Math" panose="02040503050406030204" pitchFamily="18" charset="0"/>
              </a:endParaRPr>
            </a:p>
          </xdr:txBody>
        </xdr:sp>
      </mc:Choice>
      <mc:Fallback>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S=[Q_lav/(0,2785 C D^2,63 )]^(1/0,54)   ; S=[v_tlav/(</a:t>
              </a:r>
              <a:r>
                <a:rPr lang="es-MX" sz="1100" b="0" i="0">
                  <a:solidFill>
                    <a:schemeClr val="tx1"/>
                  </a:solidFill>
                  <a:effectLst/>
                  <a:latin typeface="Cambria Math" panose="02040503050406030204" pitchFamily="18" charset="0"/>
                  <a:ea typeface="Cambria Math" panose="02040503050406030204" pitchFamily="18" charset="0"/>
                  <a:cs typeface="+mn-cs"/>
                </a:rPr>
                <a:t>0,3546 C D^</a:t>
              </a:r>
              <a:r>
                <a:rPr lang="es-ES" sz="1100" b="0" i="0">
                  <a:solidFill>
                    <a:schemeClr val="tx1"/>
                  </a:solidFill>
                  <a:effectLst/>
                  <a:latin typeface="Cambria Math" panose="02040503050406030204" pitchFamily="18" charset="0"/>
                  <a:ea typeface="Cambria Math" panose="02040503050406030204" pitchFamily="18" charset="0"/>
                  <a:cs typeface="+mn-cs"/>
                </a:rPr>
                <a:t>0</a:t>
              </a:r>
              <a:r>
                <a:rPr lang="es-MX" sz="1100" b="0" i="0">
                  <a:solidFill>
                    <a:schemeClr val="tx1"/>
                  </a:solidFill>
                  <a:effectLst/>
                  <a:latin typeface="Cambria Math" panose="02040503050406030204" pitchFamily="18" charset="0"/>
                  <a:ea typeface="Cambria Math" panose="02040503050406030204" pitchFamily="18" charset="0"/>
                  <a:cs typeface="+mn-cs"/>
                </a:rPr>
                <a:t>,63 )]^(</a:t>
              </a:r>
              <a:r>
                <a:rPr lang="es-MX" sz="1100" b="0" i="0">
                  <a:latin typeface="Cambria Math" panose="02040503050406030204" pitchFamily="18" charset="0"/>
                  <a:ea typeface="Cambria Math" panose="02040503050406030204" pitchFamily="18" charset="0"/>
                </a:rPr>
                <a:t>1/0,54)</a:t>
              </a:r>
              <a:endParaRPr lang="es-CO" sz="1100" i="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114299</xdr:colOff>
      <xdr:row>267</xdr:row>
      <xdr:rowOff>19049</xdr:rowOff>
    </xdr:from>
    <xdr:ext cx="826829" cy="172227"/>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200-00002F000000}"/>
                </a:ext>
              </a:extLst>
            </xdr:cNvPr>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MX" sz="1100" b="0" i="0">
                        <a:latin typeface="Cambria Math" panose="02040503050406030204" pitchFamily="18" charset="0"/>
                      </a:rPr>
                      <m: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oMath>
                </m:oMathPara>
              </a14:m>
              <a:endParaRPr lang="es-CO" sz="1100" i="0"/>
            </a:p>
          </xdr:txBody>
        </xdr:sp>
      </mc:Choice>
      <mc:Fallback xmlns="">
        <xdr:sp macro="" textlink="">
          <xdr:nvSpPr>
            <xdr:cNvPr id="47" name="CuadroTexto 46"/>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4=S</a:t>
              </a:r>
              <a:r>
                <a:rPr lang="es-MX" sz="1100" b="0" i="0">
                  <a:latin typeface="Cambria Math" panose="02040503050406030204" pitchFamily="18" charset="0"/>
                  <a:ea typeface="Cambria Math" panose="02040503050406030204" pitchFamily="18" charset="0"/>
                </a:rPr>
                <a:t>∙L_tlav</a:t>
              </a:r>
              <a:endParaRPr lang="es-CO" sz="1100" i="0"/>
            </a:p>
          </xdr:txBody>
        </xdr:sp>
      </mc:Fallback>
    </mc:AlternateContent>
    <xdr:clientData/>
  </xdr:oneCellAnchor>
  <xdr:oneCellAnchor>
    <xdr:from>
      <xdr:col>7</xdr:col>
      <xdr:colOff>261937</xdr:colOff>
      <xdr:row>244</xdr:row>
      <xdr:rowOff>47625</xdr:rowOff>
    </xdr:from>
    <xdr:ext cx="399025" cy="36939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56" name="CuadroTexto 55"/>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〖v_tlav〗^2/2g</a:t>
              </a:r>
              <a:endParaRPr lang="es-CO" sz="1100" i="0"/>
            </a:p>
          </xdr:txBody>
        </xdr:sp>
      </mc:Fallback>
    </mc:AlternateContent>
    <xdr:clientData/>
  </xdr:oneCellAnchor>
  <xdr:oneCellAnchor>
    <xdr:from>
      <xdr:col>10</xdr:col>
      <xdr:colOff>90488</xdr:colOff>
      <xdr:row>282</xdr:row>
      <xdr:rowOff>66674</xdr:rowOff>
    </xdr:from>
    <xdr:ext cx="1108765" cy="42838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a:rPr lang="es-MX" sz="1100" b="0" i="0">
                            <a:solidFill>
                              <a:schemeClr val="tx1"/>
                            </a:solidFill>
                            <a:effectLst/>
                            <a:latin typeface="Cambria Math" panose="02040503050406030204" pitchFamily="18" charset="0"/>
                            <a:ea typeface="+mn-ea"/>
                            <a:cs typeface="+mn-cs"/>
                          </a:rPr>
                          <m:t>5</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6" name="CuadroTexto 5"/>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Cambria Math" panose="02040503050406030204" pitchFamily="18" charset="0"/>
                  <a:ea typeface="+mn-ea"/>
                  <a:cs typeface="+mn-cs"/>
                </a:rPr>
                <a:t>h_5</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〖v_tlav〗^2/2g</a:t>
              </a:r>
              <a:r>
                <a:rPr lang="es-MX" sz="1100" b="0" i="0">
                  <a:solidFill>
                    <a:schemeClr val="tx1"/>
                  </a:solidFill>
                  <a:effectLst/>
                  <a:latin typeface="Cambria Math" panose="02040503050406030204" pitchFamily="18" charset="0"/>
                  <a:ea typeface="+mn-ea"/>
                  <a:cs typeface="+mn-cs"/>
                </a:rPr>
                <a:t> ∑▒k_m </a:t>
              </a:r>
              <a:endParaRPr lang="es-CO" sz="1100" b="0" i="0"/>
            </a:p>
          </xdr:txBody>
        </xdr:sp>
      </mc:Fallback>
    </mc:AlternateContent>
    <xdr:clientData/>
  </xdr:oneCellAnchor>
  <xdr:oneCellAnchor>
    <xdr:from>
      <xdr:col>10</xdr:col>
      <xdr:colOff>145089</xdr:colOff>
      <xdr:row>226</xdr:row>
      <xdr:rowOff>47690</xdr:rowOff>
    </xdr:from>
    <xdr:ext cx="2157962" cy="324063"/>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66" name="CuadroTexto 65"/>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42862</xdr:colOff>
      <xdr:row>233</xdr:row>
      <xdr:rowOff>42862</xdr:rowOff>
    </xdr:from>
    <xdr:ext cx="1135857" cy="41017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3</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52" name="CuadroTexto 51"/>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3</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10</xdr:col>
      <xdr:colOff>142875</xdr:colOff>
      <xdr:row>198</xdr:row>
      <xdr:rowOff>28575</xdr:rowOff>
    </xdr:from>
    <xdr:ext cx="869277" cy="410177"/>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den>
                            </m:f>
                          </m:e>
                        </m:d>
                      </m:e>
                      <m:sup>
                        <m:r>
                          <a:rPr lang="es-MX" sz="1100" b="0" i="0">
                            <a:latin typeface="Cambria Math" panose="02040503050406030204" pitchFamily="18" charset="0"/>
                            <a:ea typeface="Cambria Math" panose="02040503050406030204" pitchFamily="18" charset="0"/>
                          </a:rPr>
                          <m:t>0,22</m:t>
                        </m:r>
                      </m:sup>
                    </m:sSup>
                  </m:oMath>
                </m:oMathPara>
              </a14:m>
              <a:endParaRPr lang="es-CO" sz="1100" i="0"/>
            </a:p>
          </xdr:txBody>
        </xdr:sp>
      </mc:Choice>
      <mc:Fallback xmlns="">
        <xdr:sp macro="" textlink="">
          <xdr:nvSpPr>
            <xdr:cNvPr id="49" name="CuadroTexto 48"/>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e</a:t>
              </a:r>
              <a:r>
                <a:rPr lang="es-CO" sz="1100" b="0" i="0">
                  <a:latin typeface="Cambria Math" panose="02040503050406030204" pitchFamily="18" charset="0"/>
                </a:rPr>
                <a:t>_</a:t>
              </a:r>
              <a:r>
                <a:rPr lang="es-MX" sz="1100" b="0" i="0">
                  <a:latin typeface="Cambria Math" panose="02040503050406030204" pitchFamily="18" charset="0"/>
                </a:rPr>
                <a:t>e</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0,22</a:t>
              </a:r>
              <a:endParaRPr lang="es-CO" sz="1100" i="0"/>
            </a:p>
          </xdr:txBody>
        </xdr:sp>
      </mc:Fallback>
    </mc:AlternateContent>
    <xdr:clientData/>
  </xdr:oneCellAnchor>
  <xdr:oneCellAnchor>
    <xdr:from>
      <xdr:col>10</xdr:col>
      <xdr:colOff>85724</xdr:colOff>
      <xdr:row>201</xdr:row>
      <xdr:rowOff>85725</xdr:rowOff>
    </xdr:from>
    <xdr:ext cx="1000126" cy="34657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L</m:t>
                        </m:r>
                      </m:e>
                      <m:sub>
                        <m:r>
                          <m:rPr>
                            <m:sty m:val="p"/>
                          </m:rPr>
                          <a:rPr lang="es-MX" sz="1100" b="0" i="0">
                            <a:latin typeface="Cambria Math" panose="02040503050406030204" pitchFamily="18" charset="0"/>
                          </a:rPr>
                          <m:t>e</m:t>
                        </m:r>
                      </m:sub>
                    </m:sSub>
                    <m:r>
                      <a:rPr lang="es-MX" sz="1100" b="0" i="0">
                        <a:latin typeface="Cambria Math" panose="02040503050406030204" pitchFamily="18" charset="0"/>
                      </a:rPr>
                      <m:t>=</m:t>
                    </m:r>
                    <m:r>
                      <m:rPr>
                        <m:sty m:val="p"/>
                      </m:rPr>
                      <a:rPr lang="es-MX" sz="1100" b="0" i="0">
                        <a:latin typeface="Cambria Math" panose="02040503050406030204" pitchFamily="18" charset="0"/>
                      </a:rPr>
                      <m:t>L</m:t>
                    </m:r>
                    <m:f>
                      <m:fPr>
                        <m:ctrlPr>
                          <a:rPr lang="es-MX" sz="1100" b="0" i="1">
                            <a:latin typeface="Cambria Math" panose="02040503050406030204" pitchFamily="18" charset="0"/>
                          </a:rPr>
                        </m:ctrlPr>
                      </m:fPr>
                      <m:num>
                        <m:r>
                          <a:rPr lang="es-MX" sz="1100" b="0" i="0">
                            <a:latin typeface="Cambria Math" panose="02040503050406030204" pitchFamily="18" charset="0"/>
                          </a:rPr>
                          <m:t>1−</m:t>
                        </m:r>
                        <m:r>
                          <m:rPr>
                            <m:sty m:val="p"/>
                          </m:rPr>
                          <a:rPr lang="es-MX" sz="1100" b="0" i="0">
                            <a:latin typeface="Cambria Math" panose="02040503050406030204" pitchFamily="18" charset="0"/>
                          </a:rPr>
                          <m:t>e</m:t>
                        </m:r>
                      </m:num>
                      <m:den>
                        <m:r>
                          <a:rPr lang="es-MX" sz="1100" b="0" i="0">
                            <a:latin typeface="Cambria Math" panose="02040503050406030204" pitchFamily="18" charset="0"/>
                          </a:rPr>
                          <m:t>1−</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den>
                    </m:f>
                  </m:oMath>
                </m:oMathPara>
              </a14:m>
              <a:endParaRPr lang="es-CO" sz="1100" i="0"/>
            </a:p>
          </xdr:txBody>
        </xdr:sp>
      </mc:Choice>
      <mc:Fallback xmlns="">
        <xdr:sp macro="" textlink="">
          <xdr:nvSpPr>
            <xdr:cNvPr id="54" name="CuadroTexto 53"/>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e=L (1−e)/(1−e_e )</a:t>
              </a:r>
              <a:endParaRPr lang="es-CO" sz="1100" i="0"/>
            </a:p>
          </xdr:txBody>
        </xdr:sp>
      </mc:Fallback>
    </mc:AlternateContent>
    <xdr:clientData/>
  </xdr:oneCellAnchor>
  <xdr:oneCellAnchor>
    <xdr:from>
      <xdr:col>10</xdr:col>
      <xdr:colOff>180975</xdr:colOff>
      <xdr:row>203</xdr:row>
      <xdr:rowOff>66675</xdr:rowOff>
    </xdr:from>
    <xdr:ext cx="1345560" cy="345479"/>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200-000037000000}"/>
                </a:ext>
              </a:extLst>
            </xdr:cNvPr>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L</m:t>
                        </m:r>
                      </m:den>
                    </m:f>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num>
                      <m:den>
                        <m:r>
                          <a:rPr lang="es-MX" sz="1100" b="0" i="0">
                            <a:latin typeface="Cambria Math" panose="02040503050406030204" pitchFamily="18" charset="0"/>
                            <a:ea typeface="Cambria Math" panose="02040503050406030204" pitchFamily="18" charset="0"/>
                          </a:rPr>
                          <m:t>1−</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den>
                    </m:f>
                  </m:oMath>
                </m:oMathPara>
              </a14:m>
              <a:endParaRPr lang="es-CO" sz="1100" i="0"/>
            </a:p>
          </xdr:txBody>
        </xdr:sp>
      </mc:Choice>
      <mc:Fallback xmlns="">
        <xdr:sp macro="" textlink="">
          <xdr:nvSpPr>
            <xdr:cNvPr id="55" name="CuadroTexto 54"/>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=(L_e−L)/L=(e_e−e)/(1−e_e )</a:t>
              </a:r>
              <a:endParaRPr lang="es-CO" sz="1100" i="0"/>
            </a:p>
          </xdr:txBody>
        </xdr:sp>
      </mc:Fallback>
    </mc:AlternateContent>
    <xdr:clientData/>
  </xdr:oneCellAnchor>
  <xdr:oneCellAnchor>
    <xdr:from>
      <xdr:col>10</xdr:col>
      <xdr:colOff>177799</xdr:colOff>
      <xdr:row>212</xdr:row>
      <xdr:rowOff>8466</xdr:rowOff>
    </xdr:from>
    <xdr:ext cx="842858" cy="172227"/>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200-000044000000}"/>
                </a:ext>
              </a:extLst>
            </xdr:cNvPr>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68" name="CuadroTexto 67"/>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endParaRPr lang="es-CO" sz="1100" i="0"/>
            </a:p>
          </xdr:txBody>
        </xdr:sp>
      </mc:Fallback>
    </mc:AlternateContent>
    <xdr:clientData/>
  </xdr:oneCellAnchor>
  <xdr:oneCellAnchor>
    <xdr:from>
      <xdr:col>10</xdr:col>
      <xdr:colOff>93133</xdr:colOff>
      <xdr:row>367</xdr:row>
      <xdr:rowOff>40216</xdr:rowOff>
    </xdr:from>
    <xdr:ext cx="689420" cy="34657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200-000046000000}"/>
                </a:ext>
              </a:extLst>
            </xdr:cNvPr>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ca</m:t>
                            </m:r>
                          </m:sub>
                        </m:sSub>
                      </m:den>
                    </m:f>
                  </m:oMath>
                </m:oMathPara>
              </a14:m>
              <a:endParaRPr lang="es-CO" sz="1100" i="0"/>
            </a:p>
          </xdr:txBody>
        </xdr:sp>
      </mc:Choice>
      <mc:Fallback xmlns="">
        <xdr:sp macro="" textlink="">
          <xdr:nvSpPr>
            <xdr:cNvPr id="70" name="CuadroTexto 69"/>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8467</xdr:colOff>
      <xdr:row>370</xdr:row>
      <xdr:rowOff>8465</xdr:rowOff>
    </xdr:from>
    <xdr:ext cx="1388533" cy="428772"/>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200-000047000000}"/>
                </a:ext>
              </a:extLst>
            </xdr:cNvPr>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ca</m:t>
                                    </m:r>
                                  </m:sub>
                                </m:sSub>
                              </m:num>
                              <m:den>
                                <m:r>
                                  <a:rPr lang="es-MX" sz="1100" b="0" i="0">
                                    <a:latin typeface="Cambria Math" panose="02040503050406030204" pitchFamily="18" charset="0"/>
                                    <a:ea typeface="Cambria Math" panose="02040503050406030204" pitchFamily="18" charset="0"/>
                                  </a:rPr>
                                  <m:t>1,38</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W</m:t>
                                    </m:r>
                                  </m:e>
                                  <m:sub>
                                    <m:r>
                                      <m:rPr>
                                        <m:sty m:val="p"/>
                                      </m:rPr>
                                      <a:rPr lang="es-MX" sz="1100" b="0" i="0">
                                        <a:latin typeface="Cambria Math" panose="02040503050406030204" pitchFamily="18" charset="0"/>
                                        <a:ea typeface="Cambria Math" panose="02040503050406030204" pitchFamily="18" charset="0"/>
                                      </a:rPr>
                                      <m:t>ca</m:t>
                                    </m:r>
                                  </m:sub>
                                </m:sSub>
                              </m:den>
                            </m:f>
                          </m:e>
                        </m:d>
                      </m:e>
                      <m:sup>
                        <m:f>
                          <m:fPr>
                            <m:type m:val="lin"/>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2</m:t>
                            </m:r>
                          </m:num>
                          <m:den>
                            <m:r>
                              <a:rPr lang="es-MX" sz="1100" b="0" i="0">
                                <a:latin typeface="Cambria Math" panose="02040503050406030204" pitchFamily="18" charset="0"/>
                                <a:ea typeface="Cambria Math" panose="02040503050406030204" pitchFamily="18" charset="0"/>
                              </a:rPr>
                              <m:t>3</m:t>
                            </m:r>
                          </m:den>
                        </m:f>
                      </m:sup>
                    </m:sSup>
                  </m:oMath>
                </m:oMathPara>
              </a14:m>
              <a:endParaRPr lang="es-CO" sz="1100" i="0"/>
            </a:p>
          </xdr:txBody>
        </xdr:sp>
      </mc:Choice>
      <mc:Fallback xmlns="">
        <xdr:sp macro="" textlink="">
          <xdr:nvSpPr>
            <xdr:cNvPr id="71" name="CuadroTexto 70"/>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1,38〖 W〗_ca</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twoCellAnchor>
    <xdr:from>
      <xdr:col>9</xdr:col>
      <xdr:colOff>836083</xdr:colOff>
      <xdr:row>372</xdr:row>
      <xdr:rowOff>52916</xdr:rowOff>
    </xdr:from>
    <xdr:to>
      <xdr:col>12</xdr:col>
      <xdr:colOff>867833</xdr:colOff>
      <xdr:row>372</xdr:row>
      <xdr:rowOff>218282</xdr:rowOff>
    </xdr:to>
    <mc:AlternateContent xmlns:mc="http://schemas.openxmlformats.org/markup-compatibility/2006" xmlns:a14="http://schemas.microsoft.com/office/drawing/2010/main">
      <mc:Choice Requires="a14">
        <xdr:sp macro="" textlink="">
          <xdr:nvSpPr>
            <xdr:cNvPr id="73" name="CuadroTexto 71">
              <a:extLst>
                <a:ext uri="{FF2B5EF4-FFF2-40B4-BE49-F238E27FC236}">
                  <a16:creationId xmlns:a16="http://schemas.microsoft.com/office/drawing/2014/main" id="{00000000-0008-0000-0200-000049000000}"/>
                </a:ext>
              </a:extLst>
            </xdr:cNvPr>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14:m>
                <m:oMathPara xmlns:m="http://schemas.openxmlformats.org/officeDocument/2006/math">
                  <m:oMathParaPr>
                    <m:jc m:val="centerGroup"/>
                  </m:oMathParaPr>
                  <m:oMath xmlns:m="http://schemas.openxmlformats.org/officeDocument/2006/math">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=0,5</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;0,05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0,10 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oMath>
                </m:oMathPara>
              </a14:m>
              <a:endParaRPr lang="es-CO" sz="1200" i="0">
                <a:effectLst/>
                <a:latin typeface="Times New Roman" panose="02020603050405020304" pitchFamily="18" charset="0"/>
                <a:ea typeface="Times New Roman" panose="02020603050405020304" pitchFamily="18" charset="0"/>
              </a:endParaRPr>
            </a:p>
          </xdr:txBody>
        </xdr:sp>
      </mc:Choice>
      <mc:Fallback xmlns="">
        <xdr:sp macro="" textlink="">
          <xdr:nvSpPr>
            <xdr:cNvPr id="73" name="CuadroTexto 71"/>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ca=0,5H</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    ;0,05 m</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0,10 m</a:t>
              </a:r>
              <a:endParaRPr lang="es-CO" sz="1200" i="0">
                <a:effectLst/>
                <a:latin typeface="Times New Roman" panose="02020603050405020304" pitchFamily="18" charset="0"/>
                <a:ea typeface="Times New Roman" panose="02020603050405020304" pitchFamily="18" charset="0"/>
              </a:endParaRPr>
            </a:p>
          </xdr:txBody>
        </xdr:sp>
      </mc:Fallback>
    </mc:AlternateContent>
    <xdr:clientData/>
  </xdr:twoCellAnchor>
  <xdr:oneCellAnchor>
    <xdr:from>
      <xdr:col>10</xdr:col>
      <xdr:colOff>125942</xdr:colOff>
      <xdr:row>377</xdr:row>
      <xdr:rowOff>27516</xdr:rowOff>
    </xdr:from>
    <xdr:ext cx="1060547" cy="172227"/>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0">
                        <a:latin typeface="Cambria Math" panose="02040503050406030204" pitchFamily="18" charset="0"/>
                        <a:ea typeface="Cambria Math" panose="02040503050406030204" pitchFamily="18" charset="0"/>
                      </a:rPr>
                      <m:t>1,5</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&lt;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&lt;</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oMath>
                </m:oMathPara>
              </a14:m>
              <a:endParaRPr lang="es-CO" sz="1100" i="0"/>
            </a:p>
          </xdr:txBody>
        </xdr:sp>
      </mc:Choice>
      <mc:Fallback xmlns="">
        <xdr:sp macro="" textlink="">
          <xdr:nvSpPr>
            <xdr:cNvPr id="76" name="CuadroTexto 75"/>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1,5H_o&lt;</a:t>
              </a:r>
              <a:r>
                <a:rPr lang="es-MX" sz="1100" b="0" i="0">
                  <a:latin typeface="Cambria Math" panose="02040503050406030204" pitchFamily="18" charset="0"/>
                </a:rPr>
                <a:t>S</a:t>
              </a:r>
              <a:r>
                <a:rPr lang="es-MX" sz="1100" b="0" i="0">
                  <a:latin typeface="Cambria Math" panose="02040503050406030204" pitchFamily="18" charset="0"/>
                  <a:ea typeface="Cambria Math" panose="02040503050406030204" pitchFamily="18" charset="0"/>
                </a:rPr>
                <a:t>&lt;〖2H〗_o</a:t>
              </a:r>
              <a:endParaRPr lang="es-CO" sz="1100" i="0"/>
            </a:p>
          </xdr:txBody>
        </xdr:sp>
      </mc:Fallback>
    </mc:AlternateContent>
    <xdr:clientData/>
  </xdr:oneCellAnchor>
  <xdr:oneCellAnchor>
    <xdr:from>
      <xdr:col>9</xdr:col>
      <xdr:colOff>781048</xdr:colOff>
      <xdr:row>376</xdr:row>
      <xdr:rowOff>21167</xdr:rowOff>
    </xdr:from>
    <xdr:ext cx="2393952" cy="172227"/>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200-00004D000000}"/>
                </a:ext>
              </a:extLst>
            </xdr:cNvPr>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CO" sz="1100" i="1">
                            <a:latin typeface="Cambria Math" panose="02040503050406030204" pitchFamily="18" charset="0"/>
                          </a:rPr>
                        </m:ctrlPr>
                      </m:dPr>
                      <m:e>
                        <m:r>
                          <a:rPr lang="es-MX" sz="1100" b="0" i="0">
                            <a:latin typeface="Cambria Math" panose="02040503050406030204" pitchFamily="18" charset="0"/>
                          </a:rPr>
                          <m:t>0,75</m:t>
                        </m:r>
                        <m:r>
                          <m:rPr>
                            <m:sty m:val="p"/>
                          </m:rPr>
                          <a:rPr lang="es-MX" sz="1100" b="0" i="0">
                            <a:latin typeface="Cambria Math" panose="02040503050406030204" pitchFamily="18" charset="0"/>
                          </a:rPr>
                          <m:t>L</m:t>
                        </m:r>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P</m:t>
                            </m:r>
                          </m:e>
                          <m:sub>
                            <m:r>
                              <m:rPr>
                                <m:sty m:val="p"/>
                              </m:rPr>
                              <a:rPr lang="es-MX" sz="1100" b="0" i="0">
                                <a:latin typeface="Cambria Math" panose="02040503050406030204" pitchFamily="18" charset="0"/>
                              </a:rPr>
                              <m:t>ca</m:t>
                            </m:r>
                          </m:sub>
                        </m:sSub>
                      </m:e>
                    </m:d>
                    <m:r>
                      <a:rPr lang="es-CO" sz="1100" i="0">
                        <a:latin typeface="Cambria Math" panose="02040503050406030204" pitchFamily="18" charset="0"/>
                        <a:ea typeface="Cambria Math" panose="02040503050406030204" pitchFamily="18" charset="0"/>
                      </a:rPr>
                      <m:t>&lt;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CO" sz="1100" i="0">
                        <a:latin typeface="Cambria Math" panose="02040503050406030204" pitchFamily="18" charset="0"/>
                        <a:ea typeface="Cambria Math" panose="02040503050406030204" pitchFamily="18" charset="0"/>
                      </a:rPr>
                      <m:t>&lt;</m:t>
                    </m:r>
                    <m:d>
                      <m:dPr>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P</m:t>
                            </m:r>
                          </m:e>
                          <m:sub>
                            <m:r>
                              <m:rPr>
                                <m:sty m:val="p"/>
                              </m:rPr>
                              <a:rPr lang="es-MX" sz="1100" b="0" i="0">
                                <a:latin typeface="Cambria Math" panose="02040503050406030204" pitchFamily="18" charset="0"/>
                                <a:ea typeface="Cambria Math" panose="02040503050406030204" pitchFamily="18" charset="0"/>
                              </a:rPr>
                              <m:t>ca</m:t>
                            </m:r>
                          </m:sub>
                        </m:sSub>
                      </m:e>
                    </m:d>
                  </m:oMath>
                </m:oMathPara>
              </a14:m>
              <a:endParaRPr lang="es-CO" sz="1100" i="0"/>
            </a:p>
          </xdr:txBody>
        </xdr:sp>
      </mc:Choice>
      <mc:Fallback xmlns="">
        <xdr:sp macro="" textlink="">
          <xdr:nvSpPr>
            <xdr:cNvPr id="77" name="CuadroTexto 76"/>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0,75L+P_ca</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L+P_ca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146050</xdr:colOff>
      <xdr:row>378</xdr:row>
      <xdr:rowOff>40217</xdr:rowOff>
    </xdr:from>
    <xdr:ext cx="1224759" cy="172227"/>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00000000-0008-0000-0200-000050000000}"/>
                </a:ext>
              </a:extLst>
            </xdr:cNvPr>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s</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e</m:t>
                            </m:r>
                          </m:sub>
                        </m:sSub>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m:t>
                        </m:r>
                      </m:e>
                    </m:d>
                  </m:oMath>
                </m:oMathPara>
              </a14:m>
              <a:endParaRPr lang="es-CO" sz="1100"/>
            </a:p>
          </xdr:txBody>
        </xdr:sp>
      </mc:Choice>
      <mc:Fallback xmlns="">
        <xdr:sp macro="" textlink="">
          <xdr:nvSpPr>
            <xdr:cNvPr id="80" name="CuadroTexto 79"/>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s</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MX" sz="1100" b="0" i="0">
                  <a:solidFill>
                    <a:schemeClr val="tx1"/>
                  </a:solidFill>
                  <a:effectLst/>
                  <a:latin typeface="+mn-lt"/>
                  <a:ea typeface="+mn-ea"/>
                  <a:cs typeface="+mn-cs"/>
                </a:rPr>
                <a:t>L_e−L</a:t>
              </a:r>
              <a:r>
                <a:rPr lang="es-MX"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93132</xdr:colOff>
      <xdr:row>164</xdr:row>
      <xdr:rowOff>29633</xdr:rowOff>
    </xdr:from>
    <xdr:ext cx="1683923"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48" name="CuadroTexto 47"/>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10</xdr:col>
      <xdr:colOff>135466</xdr:colOff>
      <xdr:row>165</xdr:row>
      <xdr:rowOff>40217</xdr:rowOff>
    </xdr:from>
    <xdr:ext cx="511935" cy="345672"/>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57" name="CuadroTexto 56"/>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oneCellAnchor>
    <xdr:from>
      <xdr:col>10</xdr:col>
      <xdr:colOff>145089</xdr:colOff>
      <xdr:row>307</xdr:row>
      <xdr:rowOff>48780</xdr:rowOff>
    </xdr:from>
    <xdr:ext cx="2099549" cy="321883"/>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200-00004A000000}"/>
                </a:ext>
              </a:extLst>
            </xdr:cNvPr>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4" name="CuadroTexto 73"/>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66674</xdr:colOff>
      <xdr:row>314</xdr:row>
      <xdr:rowOff>19049</xdr:rowOff>
    </xdr:from>
    <xdr:ext cx="1135857" cy="41017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75" name="CuadroTexto 74"/>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9</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78" name="CuadroTexto 77"/>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329</xdr:row>
      <xdr:rowOff>66676</xdr:rowOff>
    </xdr:from>
    <xdr:ext cx="1195388" cy="31579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200-00004F000000}"/>
                </a:ext>
              </a:extLst>
            </xdr:cNvPr>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79" name="CuadroTexto 78"/>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=(v_tef∙D_tef)/𝑣</a:t>
              </a:r>
              <a:endParaRPr lang="es-CO" sz="1100"/>
            </a:p>
          </xdr:txBody>
        </xdr:sp>
      </mc:Fallback>
    </mc:AlternateContent>
    <xdr:clientData/>
  </xdr:oneCellAnchor>
  <xdr:oneCellAnchor>
    <xdr:from>
      <xdr:col>10</xdr:col>
      <xdr:colOff>105039</xdr:colOff>
      <xdr:row>332</xdr:row>
      <xdr:rowOff>31750</xdr:rowOff>
    </xdr:from>
    <xdr:ext cx="3429794" cy="370416"/>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81" name="CuadroTexto 80"/>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337</xdr:row>
      <xdr:rowOff>29633</xdr:rowOff>
    </xdr:from>
    <xdr:ext cx="1125565" cy="369397"/>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2" name="CuadroTexto 81"/>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〖v_tef〗^2/2g</a:t>
              </a:r>
              <a:endParaRPr lang="es-CO" sz="1100" i="0"/>
            </a:p>
          </xdr:txBody>
        </xdr:sp>
      </mc:Fallback>
    </mc:AlternateContent>
    <xdr:clientData/>
  </xdr:oneCellAnchor>
  <xdr:oneCellAnchor>
    <xdr:from>
      <xdr:col>7</xdr:col>
      <xdr:colOff>261937</xdr:colOff>
      <xdr:row>326</xdr:row>
      <xdr:rowOff>47625</xdr:rowOff>
    </xdr:from>
    <xdr:ext cx="399025" cy="374141"/>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00000000-0008-0000-0200-000053000000}"/>
                </a:ext>
              </a:extLst>
            </xdr:cNvPr>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3" name="CuadroTexto 82"/>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〖v_tef〗^2/2g</a:t>
              </a:r>
              <a:endParaRPr lang="es-CO" sz="1100" i="0"/>
            </a:p>
          </xdr:txBody>
        </xdr:sp>
      </mc:Fallback>
    </mc:AlternateContent>
    <xdr:clientData/>
  </xdr:oneCellAnchor>
  <xdr:oneCellAnchor>
    <xdr:from>
      <xdr:col>10</xdr:col>
      <xdr:colOff>150018</xdr:colOff>
      <xdr:row>323</xdr:row>
      <xdr:rowOff>36407</xdr:rowOff>
    </xdr:from>
    <xdr:ext cx="703333" cy="172227"/>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58" name="CuadroTexto 57"/>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f=v_f</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10</xdr:col>
      <xdr:colOff>90488</xdr:colOff>
      <xdr:row>350</xdr:row>
      <xdr:rowOff>66674</xdr:rowOff>
    </xdr:from>
    <xdr:ext cx="1217193" cy="424090"/>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84" name="CuadroTexto 83"/>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〖v_tlav〗^2/2g ∑▒k_m </a:t>
              </a:r>
              <a:endParaRPr lang="es-CO" sz="1100" b="0" i="0"/>
            </a:p>
          </xdr:txBody>
        </xdr:sp>
      </mc:Fallback>
    </mc:AlternateContent>
    <xdr:clientData/>
  </xdr:oneCellAnchor>
  <xdr:oneCellAnchor>
    <xdr:from>
      <xdr:col>9</xdr:col>
      <xdr:colOff>726280</xdr:colOff>
      <xdr:row>297</xdr:row>
      <xdr:rowOff>11906</xdr:rowOff>
    </xdr:from>
    <xdr:ext cx="1512094" cy="346570"/>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00000000-0008-0000-0200-000059000000}"/>
                </a:ext>
              </a:extLst>
            </xdr:cNvPr>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mul</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oMath>
                </m:oMathPara>
              </a14:m>
              <a:endParaRPr lang="es-CO" sz="1100" i="0"/>
            </a:p>
          </xdr:txBody>
        </xdr:sp>
      </mc:Choice>
      <mc:Fallback xmlns="">
        <xdr:sp macro="" textlink="">
          <xdr:nvSpPr>
            <xdr:cNvPr id="89" name="CuadroTexto 88"/>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mul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 </a:t>
              </a:r>
              <a:endParaRPr lang="es-CO" sz="1100" i="0"/>
            </a:p>
          </xdr:txBody>
        </xdr:sp>
      </mc:Fallback>
    </mc:AlternateContent>
    <xdr:clientData/>
  </xdr:oneCellAnchor>
  <xdr:oneCellAnchor>
    <xdr:from>
      <xdr:col>10</xdr:col>
      <xdr:colOff>35719</xdr:colOff>
      <xdr:row>299</xdr:row>
      <xdr:rowOff>47624</xdr:rowOff>
    </xdr:from>
    <xdr:ext cx="1273968" cy="346570"/>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lat</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90" name="CuadroTexto 89"/>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lat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lat</a:t>
              </a:r>
              <a:r>
                <a:rPr lang="es-MX" sz="1100" b="0" i="0">
                  <a:latin typeface="Cambria Math" panose="02040503050406030204" pitchFamily="18" charset="0"/>
                  <a:ea typeface="Cambria Math" panose="02040503050406030204" pitchFamily="18" charset="0"/>
                </a:rPr>
                <a:t>∙N_lat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93133</xdr:colOff>
      <xdr:row>173</xdr:row>
      <xdr:rowOff>0</xdr:rowOff>
    </xdr:from>
    <xdr:ext cx="647699" cy="172227"/>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7094008" y="33283789"/>
          <a:ext cx="6476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CO" sz="1100" i="0"/>
        </a:p>
      </xdr:txBody>
    </xdr:sp>
    <xdr:clientData/>
  </xdr:oneCellAnchor>
  <xdr:oneCellAnchor>
    <xdr:from>
      <xdr:col>10</xdr:col>
      <xdr:colOff>130969</xdr:colOff>
      <xdr:row>179</xdr:row>
      <xdr:rowOff>59531</xdr:rowOff>
    </xdr:from>
    <xdr:ext cx="1117101" cy="345479"/>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200-000056000000}"/>
                </a:ext>
              </a:extLst>
            </xdr:cNvPr>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r>
                          <a:rPr lang="es-MX" sz="1100" b="0" i="0">
                            <a:latin typeface="Cambria Math" panose="02040503050406030204" pitchFamily="18" charset="0"/>
                          </a:rPr>
                          <m:t>/</m:t>
                        </m:r>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lat</m:t>
                            </m:r>
                          </m:sub>
                        </m:sSub>
                      </m:num>
                      <m:den>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X</m:t>
                            </m:r>
                          </m:e>
                          <m:sub>
                            <m:r>
                              <m:rPr>
                                <m:sty m:val="p"/>
                              </m:rPr>
                              <a:rPr lang="es-MX" sz="1100" b="0" i="0">
                                <a:solidFill>
                                  <a:schemeClr val="tx1"/>
                                </a:solidFill>
                                <a:effectLst/>
                                <a:latin typeface="Cambria Math" panose="02040503050406030204" pitchFamily="18" charset="0"/>
                                <a:ea typeface="+mn-ea"/>
                                <a:cs typeface="+mn-cs"/>
                              </a:rPr>
                              <m:t>ori</m:t>
                            </m:r>
                          </m:sub>
                        </m:sSub>
                      </m:den>
                    </m:f>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m:t>
                    </m:r>
                  </m:oMath>
                </m:oMathPara>
              </a14:m>
              <a:endParaRPr lang="es-CO" sz="1100" i="0"/>
            </a:p>
          </xdr:txBody>
        </xdr:sp>
      </mc:Choice>
      <mc:Fallback xmlns="">
        <xdr:sp macro="" textlink="">
          <xdr:nvSpPr>
            <xdr:cNvPr id="86" name="CuadroTexto 85"/>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ori/lat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lat</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X</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 </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2</a:t>
              </a:r>
              <a:endParaRPr lang="es-CO" sz="1100" i="0"/>
            </a:p>
          </xdr:txBody>
        </xdr:sp>
      </mc:Fallback>
    </mc:AlternateContent>
    <xdr:clientData/>
  </xdr:oneCellAnchor>
  <xdr:oneCellAnchor>
    <xdr:from>
      <xdr:col>7</xdr:col>
      <xdr:colOff>9525</xdr:colOff>
      <xdr:row>114</xdr:row>
      <xdr:rowOff>171450</xdr:rowOff>
    </xdr:from>
    <xdr:ext cx="967509" cy="195631"/>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88" name="CuadroTexto 87"/>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113</xdr:row>
      <xdr:rowOff>57150</xdr:rowOff>
    </xdr:from>
    <xdr:ext cx="185627" cy="352661"/>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92" name="CuadroTexto 91"/>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125</xdr:row>
      <xdr:rowOff>154781</xdr:rowOff>
    </xdr:from>
    <xdr:ext cx="396199" cy="464344"/>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93" name="CuadroTexto 92"/>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113</xdr:row>
      <xdr:rowOff>121444</xdr:rowOff>
    </xdr:from>
    <xdr:ext cx="2238433" cy="458395"/>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94" name="CuadroTexto 93"/>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113</xdr:row>
      <xdr:rowOff>76200</xdr:rowOff>
    </xdr:from>
    <xdr:ext cx="261930" cy="342594"/>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200-00005F000000}"/>
                </a:ext>
              </a:extLst>
            </xdr:cNvPr>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95" name="CuadroTexto 94"/>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125</xdr:row>
      <xdr:rowOff>142875</xdr:rowOff>
    </xdr:from>
    <xdr:ext cx="472501" cy="409920"/>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6" name="CuadroTexto 95"/>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161925</xdr:colOff>
      <xdr:row>113</xdr:row>
      <xdr:rowOff>107156</xdr:rowOff>
    </xdr:from>
    <xdr:ext cx="1623072" cy="428387"/>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7" name="CuadroTexto 96"/>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28575</xdr:colOff>
      <xdr:row>113</xdr:row>
      <xdr:rowOff>152400</xdr:rowOff>
    </xdr:from>
    <xdr:ext cx="770181" cy="330090"/>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200-000062000000}"/>
                </a:ext>
              </a:extLst>
            </xdr:cNvPr>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98" name="CuadroTexto 97"/>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13</xdr:col>
      <xdr:colOff>333375</xdr:colOff>
      <xdr:row>113</xdr:row>
      <xdr:rowOff>228600</xdr:rowOff>
    </xdr:from>
    <xdr:ext cx="1370696" cy="31688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200-000063000000}"/>
                </a:ext>
              </a:extLst>
            </xdr:cNvPr>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99" name="CuadroTexto 98"/>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150585</xdr:colOff>
      <xdr:row>114</xdr:row>
      <xdr:rowOff>11642</xdr:rowOff>
    </xdr:from>
    <xdr:ext cx="653256" cy="328808"/>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200-000064000000}"/>
                </a:ext>
              </a:extLst>
            </xdr:cNvPr>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00" name="CuadroTexto 99"/>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115660</xdr:colOff>
      <xdr:row>113</xdr:row>
      <xdr:rowOff>219075</xdr:rowOff>
    </xdr:from>
    <xdr:ext cx="1464568" cy="31906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200-000065000000}"/>
                </a:ext>
              </a:extLst>
            </xdr:cNvPr>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01" name="CuadroTexto 100"/>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113</xdr:row>
      <xdr:rowOff>133350</xdr:rowOff>
    </xdr:from>
    <xdr:ext cx="466724" cy="372025"/>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02" name="CuadroTexto 101"/>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125</xdr:row>
      <xdr:rowOff>161925</xdr:rowOff>
    </xdr:from>
    <xdr:ext cx="742951" cy="39052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200-000067000000}"/>
                </a:ext>
              </a:extLst>
            </xdr:cNvPr>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03" name="CuadroTexto 102"/>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8</xdr:col>
      <xdr:colOff>121709</xdr:colOff>
      <xdr:row>96</xdr:row>
      <xdr:rowOff>7938</xdr:rowOff>
    </xdr:from>
    <xdr:ext cx="770181" cy="330090"/>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200-00006E000000}"/>
                </a:ext>
              </a:extLst>
            </xdr:cNvPr>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0" name="CuadroTexto 109"/>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14</xdr:col>
      <xdr:colOff>387615</xdr:colOff>
      <xdr:row>94</xdr:row>
      <xdr:rowOff>192616</xdr:rowOff>
    </xdr:from>
    <xdr:ext cx="179601" cy="342594"/>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11" name="CuadroTexto 110"/>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13</xdr:col>
      <xdr:colOff>525199</xdr:colOff>
      <xdr:row>107</xdr:row>
      <xdr:rowOff>183886</xdr:rowOff>
    </xdr:from>
    <xdr:ext cx="390170" cy="409920"/>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2" name="CuadroTexto 111"/>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15</xdr:col>
      <xdr:colOff>317500</xdr:colOff>
      <xdr:row>95</xdr:row>
      <xdr:rowOff>127000</xdr:rowOff>
    </xdr:from>
    <xdr:ext cx="2201334" cy="535780"/>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𝐤</m:t>
                    </m:r>
                    <m:r>
                      <a:rPr lang="es-MX" sz="1100" b="1" i="0">
                        <a:latin typeface="Cambria Math" panose="02040503050406030204" pitchFamily="18" charset="0"/>
                        <a:ea typeface="Cambria Math" panose="02040503050406030204" pitchFamily="18" charset="0"/>
                      </a:rPr>
                      <m:t>=</m:t>
                    </m:r>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𝛄</m:t>
                        </m:r>
                      </m:num>
                      <m:den>
                        <m:r>
                          <a:rPr lang="es-MX" sz="1100" b="1" i="0">
                            <a:solidFill>
                              <a:schemeClr val="tx1"/>
                            </a:solidFill>
                            <a:effectLst/>
                            <a:latin typeface="Cambria Math" panose="02040503050406030204" pitchFamily="18" charset="0"/>
                            <a:ea typeface="+mn-ea"/>
                            <a:cs typeface="+mn-cs"/>
                          </a:rPr>
                          <m:t>𝛍</m:t>
                        </m:r>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den>
                    </m:f>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𝟏</m:t>
                        </m:r>
                      </m:num>
                      <m:den>
                        <m:sSup>
                          <m:sSupPr>
                            <m:ctrlPr>
                              <a:rPr lang="es-MX" sz="1100" b="1" i="1">
                                <a:solidFill>
                                  <a:schemeClr val="tx1"/>
                                </a:solidFill>
                                <a:effectLst/>
                                <a:latin typeface="Cambria Math" panose="02040503050406030204" pitchFamily="18" charset="0"/>
                                <a:ea typeface="+mn-ea"/>
                                <a:cs typeface="+mn-cs"/>
                              </a:rPr>
                            </m:ctrlPr>
                          </m:sSupPr>
                          <m:e>
                            <m:d>
                              <m:dPr>
                                <m:ctrlPr>
                                  <a:rPr lang="es-MX" sz="1100" b="1" i="1">
                                    <a:solidFill>
                                      <a:schemeClr val="tx1"/>
                                    </a:solidFill>
                                    <a:effectLst/>
                                    <a:latin typeface="Cambria Math" panose="02040503050406030204" pitchFamily="18" charset="0"/>
                                    <a:ea typeface="+mn-ea"/>
                                    <a:cs typeface="+mn-cs"/>
                                  </a:rPr>
                                </m:ctrlPr>
                              </m:dPr>
                              <m:e>
                                <m:r>
                                  <a:rPr lang="es-MX" sz="1100" b="1" i="0">
                                    <a:solidFill>
                                      <a:schemeClr val="tx1"/>
                                    </a:solidFill>
                                    <a:effectLst/>
                                    <a:latin typeface="Cambria Math" panose="02040503050406030204" pitchFamily="18" charset="0"/>
                                    <a:ea typeface="Cambria Math" panose="02040503050406030204" pitchFamily="18" charset="0"/>
                                    <a:cs typeface="+mn-cs"/>
                                  </a:rPr>
                                  <m:t>𝛂</m:t>
                                </m:r>
                                <m:r>
                                  <a:rPr lang="es-MX" sz="1100" b="1" i="0">
                                    <a:solidFill>
                                      <a:schemeClr val="tx1"/>
                                    </a:solidFill>
                                    <a:effectLst/>
                                    <a:latin typeface="Cambria Math" panose="02040503050406030204" pitchFamily="18" charset="0"/>
                                    <a:ea typeface="Cambria Math" panose="02040503050406030204" pitchFamily="18" charset="0"/>
                                    <a:cs typeface="+mn-cs"/>
                                  </a:rPr>
                                  <m:t>/</m:t>
                                </m:r>
                                <m:r>
                                  <a:rPr lang="es-MX" sz="1100" b="1" i="0">
                                    <a:solidFill>
                                      <a:schemeClr val="tx1"/>
                                    </a:solidFill>
                                    <a:effectLst/>
                                    <a:latin typeface="Cambria Math" panose="02040503050406030204" pitchFamily="18" charset="0"/>
                                    <a:ea typeface="Cambria Math" panose="02040503050406030204" pitchFamily="18" charset="0"/>
                                    <a:cs typeface="+mn-cs"/>
                                  </a:rPr>
                                  <m:t>𝛃</m:t>
                                </m:r>
                              </m:e>
                            </m:d>
                          </m:e>
                          <m:sup>
                            <m:r>
                              <a:rPr lang="es-MX" sz="1100" b="1" i="0">
                                <a:solidFill>
                                  <a:schemeClr val="tx1"/>
                                </a:solidFill>
                                <a:effectLst/>
                                <a:latin typeface="Cambria Math" panose="02040503050406030204" pitchFamily="18" charset="0"/>
                                <a:ea typeface="+mn-ea"/>
                                <a:cs typeface="+mn-cs"/>
                              </a:rPr>
                              <m:t>𝟐</m:t>
                            </m:r>
                          </m:sup>
                        </m:sSup>
                      </m:den>
                    </m:f>
                    <m:r>
                      <a:rPr lang="es-MX" sz="1100" b="1" i="0">
                        <a:solidFill>
                          <a:schemeClr val="tx1"/>
                        </a:solidFill>
                        <a:effectLst/>
                        <a:latin typeface="Cambria Math" panose="02040503050406030204" pitchFamily="18" charset="0"/>
                        <a:ea typeface="+mn-ea"/>
                        <a:cs typeface="+mn-cs"/>
                      </a:rPr>
                      <m:t> </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r>
                              <a:rPr lang="es-MX" sz="1100" b="1" i="0">
                                <a:latin typeface="Cambria Math" panose="02040503050406030204" pitchFamily="18" charset="0"/>
                                <a:ea typeface="Cambria Math" panose="02040503050406030204" pitchFamily="18" charset="0"/>
                              </a:rPr>
                              <m:t>𝛆</m:t>
                            </m:r>
                          </m:e>
                          <m:sup>
                            <m:r>
                              <a:rPr lang="es-MX" sz="1100" b="1" i="0">
                                <a:latin typeface="Cambria Math" panose="02040503050406030204" pitchFamily="18" charset="0"/>
                                <a:ea typeface="Cambria Math" panose="02040503050406030204" pitchFamily="18" charset="0"/>
                              </a:rPr>
                              <m:t>𝟑</m:t>
                            </m:r>
                          </m:sup>
                        </m:sSup>
                      </m:num>
                      <m:den>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e>
                        </m:d>
                      </m:e>
                      <m:sup>
                        <m:r>
                          <a:rPr lang="es-MX" sz="1100" b="1" i="0">
                            <a:solidFill>
                              <a:schemeClr val="tx1"/>
                            </a:solidFill>
                            <a:effectLst/>
                            <a:latin typeface="Cambria Math" panose="02040503050406030204" pitchFamily="18" charset="0"/>
                            <a:ea typeface="+mn-ea"/>
                            <a:cs typeface="+mn-cs"/>
                          </a:rPr>
                          <m:t>−</m:t>
                        </m:r>
                        <m:r>
                          <a:rPr lang="es-MX" sz="1100" b="1" i="0">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1" name="CuadroTexto 90"/>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1" i="0">
                  <a:latin typeface="Cambria Math" panose="02040503050406030204" pitchFamily="18" charset="0"/>
                </a:rPr>
                <a:t>𝐤</a:t>
              </a:r>
              <a:r>
                <a:rPr lang="es-MX"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𝛄/𝛍</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𝟏/𝐂_𝐤 </a:t>
              </a:r>
              <a:r>
                <a:rPr lang="es-MX" sz="1100" b="1" i="0">
                  <a:solidFill>
                    <a:schemeClr val="tx1"/>
                  </a:solidFill>
                  <a:effectLst/>
                  <a:latin typeface="Cambria Math" panose="02040503050406030204" pitchFamily="18" charset="0"/>
                  <a:ea typeface="+mn-ea"/>
                  <a:cs typeface="+mn-cs"/>
                </a:rPr>
                <a:t>  𝟏/(</a:t>
              </a:r>
              <a:r>
                <a:rPr lang="es-MX" sz="1100" b="1" i="0">
                  <a:solidFill>
                    <a:schemeClr val="tx1"/>
                  </a:solidFill>
                  <a:effectLst/>
                  <a:latin typeface="Cambria Math" panose="02040503050406030204" pitchFamily="18" charset="0"/>
                  <a:ea typeface="Cambria Math" panose="02040503050406030204" pitchFamily="18" charset="0"/>
                  <a:cs typeface="+mn-cs"/>
                </a:rPr>
                <a:t>𝛂/𝛃</a:t>
              </a:r>
              <a:r>
                <a:rPr lang="es-MX" sz="1100" b="1" i="0">
                  <a:solidFill>
                    <a:schemeClr val="tx1"/>
                  </a:solidFill>
                  <a:effectLst/>
                  <a:latin typeface="Cambria Math" panose="02040503050406030204" pitchFamily="18" charset="0"/>
                  <a:ea typeface="+mn-ea"/>
                  <a:cs typeface="+mn-cs"/>
                </a:rPr>
                <a:t>)^𝟐   </a:t>
              </a:r>
              <a:r>
                <a:rPr lang="es-MX" sz="1100" b="1" i="0">
                  <a:latin typeface="Cambria Math" panose="02040503050406030204" pitchFamily="18" charset="0"/>
                  <a:ea typeface="Cambria Math" panose="02040503050406030204" pitchFamily="18" charset="0"/>
                </a:rPr>
                <a:t> 𝛆^𝟑/(𝟏−𝛆) (</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ea typeface="Cambria Math" panose="02040503050406030204" pitchFamily="18" charset="0"/>
                </a:rPr>
                <a:t>𝟐)</a:t>
              </a:r>
              <a:endParaRPr lang="es-CO" sz="1100" b="1" i="0"/>
            </a:p>
          </xdr:txBody>
        </xdr:sp>
      </mc:Fallback>
    </mc:AlternateContent>
    <xdr:clientData/>
  </xdr:oneCellAnchor>
  <xdr:oneCellAnchor>
    <xdr:from>
      <xdr:col>7</xdr:col>
      <xdr:colOff>9525</xdr:colOff>
      <xdr:row>132</xdr:row>
      <xdr:rowOff>171450</xdr:rowOff>
    </xdr:from>
    <xdr:ext cx="967509" cy="195631"/>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200-000069000000}"/>
                </a:ext>
              </a:extLst>
            </xdr:cNvPr>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5" name="CuadroTexto 104"/>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131</xdr:row>
      <xdr:rowOff>57150</xdr:rowOff>
    </xdr:from>
    <xdr:ext cx="185627" cy="352661"/>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200-00006A000000}"/>
                </a:ext>
              </a:extLst>
            </xdr:cNvPr>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06" name="CuadroTexto 105"/>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143</xdr:row>
      <xdr:rowOff>154781</xdr:rowOff>
    </xdr:from>
    <xdr:ext cx="396199" cy="464344"/>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200-00006B000000}"/>
                </a:ext>
              </a:extLst>
            </xdr:cNvPr>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107" name="CuadroTexto 106"/>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131</xdr:row>
      <xdr:rowOff>121444</xdr:rowOff>
    </xdr:from>
    <xdr:ext cx="2363660" cy="458395"/>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200-00006C000000}"/>
                </a:ext>
              </a:extLst>
            </xdr:cNvPr>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08" name="CuadroTexto 107"/>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131</xdr:row>
      <xdr:rowOff>76200</xdr:rowOff>
    </xdr:from>
    <xdr:ext cx="261930" cy="342594"/>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200-00006D000000}"/>
                </a:ext>
              </a:extLst>
            </xdr:cNvPr>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09" name="CuadroTexto 108"/>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143</xdr:row>
      <xdr:rowOff>142875</xdr:rowOff>
    </xdr:from>
    <xdr:ext cx="472501" cy="40992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3" name="CuadroTexto 112"/>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28311</xdr:colOff>
      <xdr:row>131</xdr:row>
      <xdr:rowOff>138907</xdr:rowOff>
    </xdr:from>
    <xdr:ext cx="1820242" cy="428387"/>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200-000072000000}"/>
                </a:ext>
              </a:extLst>
            </xdr:cNvPr>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4" name="CuadroTexto 113"/>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113242</xdr:colOff>
      <xdr:row>131</xdr:row>
      <xdr:rowOff>194734</xdr:rowOff>
    </xdr:from>
    <xdr:ext cx="987425" cy="33015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200-000073000000}"/>
                </a:ext>
              </a:extLst>
            </xdr:cNvPr>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5" name="CuadroTexto 114"/>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𝐯_𝐚𝐦𝐚𝐱  )/𝒗</a:t>
              </a:r>
              <a:endParaRPr lang="es-CO" sz="1100" b="1"/>
            </a:p>
          </xdr:txBody>
        </xdr:sp>
      </mc:Fallback>
    </mc:AlternateContent>
    <xdr:clientData/>
  </xdr:oneCellAnchor>
  <xdr:oneCellAnchor>
    <xdr:from>
      <xdr:col>13</xdr:col>
      <xdr:colOff>333375</xdr:colOff>
      <xdr:row>131</xdr:row>
      <xdr:rowOff>228600</xdr:rowOff>
    </xdr:from>
    <xdr:ext cx="1370696" cy="316882"/>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16" name="CuadroTexto 115"/>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44752</xdr:colOff>
      <xdr:row>131</xdr:row>
      <xdr:rowOff>202142</xdr:rowOff>
    </xdr:from>
    <xdr:ext cx="888192" cy="328808"/>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200-000075000000}"/>
                </a:ext>
              </a:extLst>
            </xdr:cNvPr>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7" name="CuadroTexto 116"/>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𝐦𝐚𝐱)  )/𝒗</a:t>
              </a:r>
              <a:endParaRPr lang="es-CO" sz="1100" b="1"/>
            </a:p>
          </xdr:txBody>
        </xdr:sp>
      </mc:Fallback>
    </mc:AlternateContent>
    <xdr:clientData/>
  </xdr:oneCellAnchor>
  <xdr:oneCellAnchor>
    <xdr:from>
      <xdr:col>19</xdr:col>
      <xdr:colOff>258535</xdr:colOff>
      <xdr:row>131</xdr:row>
      <xdr:rowOff>242887</xdr:rowOff>
    </xdr:from>
    <xdr:ext cx="1464568" cy="319062"/>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200-000076000000}"/>
                </a:ext>
              </a:extLst>
            </xdr:cNvPr>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18" name="CuadroTexto 117"/>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131</xdr:row>
      <xdr:rowOff>133350</xdr:rowOff>
    </xdr:from>
    <xdr:ext cx="466724" cy="372025"/>
    <mc:AlternateContent xmlns:mc="http://schemas.openxmlformats.org/markup-compatibility/2006" xmlns:a14="http://schemas.microsoft.com/office/drawing/2010/main">
      <mc:Choice Requires="a14">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19" name="CuadroTexto 118"/>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143</xdr:row>
      <xdr:rowOff>161925</xdr:rowOff>
    </xdr:from>
    <xdr:ext cx="742951" cy="390525"/>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200-000078000000}"/>
                </a:ext>
              </a:extLst>
            </xdr:cNvPr>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20" name="CuadroTexto 119"/>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21</xdr:col>
      <xdr:colOff>869157</xdr:colOff>
      <xdr:row>113</xdr:row>
      <xdr:rowOff>146844</xdr:rowOff>
    </xdr:from>
    <xdr:ext cx="1957916" cy="428387"/>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200-00007A000000}"/>
                </a:ext>
              </a:extLst>
            </xdr:cNvPr>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2" name="CuadroTexto 121"/>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97898</xdr:colOff>
      <xdr:row>131</xdr:row>
      <xdr:rowOff>137584</xdr:rowOff>
    </xdr:from>
    <xdr:ext cx="1795196" cy="428387"/>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200-00007B000000}"/>
                </a:ext>
              </a:extLst>
            </xdr:cNvPr>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3" name="CuadroTexto 122"/>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 𝐦𝐚𝐱)^𝟐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145089</xdr:colOff>
      <xdr:row>307</xdr:row>
      <xdr:rowOff>47690</xdr:rowOff>
    </xdr:from>
    <xdr:ext cx="2556790" cy="324063"/>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00000000-0008-0000-0200-000087000000}"/>
                </a:ext>
              </a:extLst>
            </xdr:cNvPr>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135" name="CuadroTexto 134"/>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22</xdr:col>
      <xdr:colOff>66674</xdr:colOff>
      <xdr:row>314</xdr:row>
      <xdr:rowOff>19049</xdr:rowOff>
    </xdr:from>
    <xdr:ext cx="1540669" cy="410177"/>
    <mc:AlternateContent xmlns:mc="http://schemas.openxmlformats.org/markup-compatibility/2006" xmlns:a14="http://schemas.microsoft.com/office/drawing/2010/main">
      <mc:Choice Requires="a14">
        <xdr:sp macro="" textlink="">
          <xdr:nvSpPr>
            <xdr:cNvPr id="136" name="CuadroTexto 135">
              <a:extLst>
                <a:ext uri="{FF2B5EF4-FFF2-40B4-BE49-F238E27FC236}">
                  <a16:creationId xmlns:a16="http://schemas.microsoft.com/office/drawing/2014/main" id="{00000000-0008-0000-0200-000088000000}"/>
                </a:ext>
              </a:extLst>
            </xdr:cNvPr>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 </m:t>
                                </m:r>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136" name="CuadroTexto 135"/>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21</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200-000089000000}"/>
                </a:ext>
              </a:extLst>
            </xdr:cNvPr>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137" name="CuadroTexto 136"/>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22</xdr:col>
      <xdr:colOff>114299</xdr:colOff>
      <xdr:row>329</xdr:row>
      <xdr:rowOff>66676</xdr:rowOff>
    </xdr:from>
    <xdr:ext cx="1457326" cy="316946"/>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200-00008A000000}"/>
                </a:ext>
              </a:extLst>
            </xdr:cNvPr>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Re</m:t>
                        </m:r>
                      </m:e>
                      <m:sub>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38" name="CuadroTexto 137"/>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Re_( max)=(v_(tef max)∙D_tef)/𝑣</a:t>
              </a:r>
              <a:endParaRPr lang="es-CO" sz="1100"/>
            </a:p>
          </xdr:txBody>
        </xdr:sp>
      </mc:Fallback>
    </mc:AlternateContent>
    <xdr:clientData/>
  </xdr:oneCellAnchor>
  <xdr:oneCellAnchor>
    <xdr:from>
      <xdr:col>22</xdr:col>
      <xdr:colOff>105039</xdr:colOff>
      <xdr:row>332</xdr:row>
      <xdr:rowOff>31750</xdr:rowOff>
    </xdr:from>
    <xdr:ext cx="3466836" cy="456406"/>
    <mc:AlternateContent xmlns:mc="http://schemas.openxmlformats.org/markup-compatibility/2006" xmlns:a14="http://schemas.microsoft.com/office/drawing/2010/main">
      <mc:Choice Requires="a14">
        <xdr:sp macro="" textlink="">
          <xdr:nvSpPr>
            <xdr:cNvPr id="139" name="CuadroTexto 138">
              <a:extLst>
                <a:ext uri="{FF2B5EF4-FFF2-40B4-BE49-F238E27FC236}">
                  <a16:creationId xmlns:a16="http://schemas.microsoft.com/office/drawing/2014/main" id="{00000000-0008-0000-0200-00008B000000}"/>
                </a:ext>
              </a:extLst>
            </xdr:cNvPr>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Re</m:t>
                                </m:r>
                              </m:e>
                              <m:sub>
                                <m:r>
                                  <m:rPr>
                                    <m:sty m:val="p"/>
                                  </m:rPr>
                                  <a:rPr lang="es-MX" sz="1100" b="0" i="0" baseline="0">
                                    <a:latin typeface="Cambria Math" panose="02040503050406030204" pitchFamily="18" charset="0"/>
                                    <a:ea typeface="Cambria Math" panose="02040503050406030204" pitchFamily="18" charset="0"/>
                                  </a:rPr>
                                  <m:t>max</m:t>
                                </m:r>
                              </m:sub>
                            </m:sSub>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139" name="CuadroTexto 138"/>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)+2,51/(Re_max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22</xdr:col>
      <xdr:colOff>198965</xdr:colOff>
      <xdr:row>337</xdr:row>
      <xdr:rowOff>29633</xdr:rowOff>
    </xdr:from>
    <xdr:ext cx="1556067" cy="369397"/>
    <mc:AlternateContent xmlns:mc="http://schemas.openxmlformats.org/markup-compatibility/2006" xmlns:a14="http://schemas.microsoft.com/office/drawing/2010/main">
      <mc:Choice Requires="a14">
        <xdr:sp macro="" textlink="">
          <xdr:nvSpPr>
            <xdr:cNvPr id="140" name="CuadroTexto 139">
              <a:extLst>
                <a:ext uri="{FF2B5EF4-FFF2-40B4-BE49-F238E27FC236}">
                  <a16:creationId xmlns:a16="http://schemas.microsoft.com/office/drawing/2014/main" id="{00000000-0008-0000-0200-00008C000000}"/>
                </a:ext>
              </a:extLst>
            </xdr:cNvPr>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0" name="CuadroTexto 139"/>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 max)〗^2/2g</a:t>
              </a:r>
              <a:endParaRPr lang="es-CO" sz="1100" i="0"/>
            </a:p>
          </xdr:txBody>
        </xdr:sp>
      </mc:Fallback>
    </mc:AlternateContent>
    <xdr:clientData/>
  </xdr:oneCellAnchor>
  <xdr:oneCellAnchor>
    <xdr:from>
      <xdr:col>19</xdr:col>
      <xdr:colOff>261937</xdr:colOff>
      <xdr:row>326</xdr:row>
      <xdr:rowOff>47625</xdr:rowOff>
    </xdr:from>
    <xdr:ext cx="607219" cy="374141"/>
    <mc:AlternateContent xmlns:mc="http://schemas.openxmlformats.org/markup-compatibility/2006" xmlns:a14="http://schemas.microsoft.com/office/drawing/2010/main">
      <mc:Choice Requires="a14">
        <xdr:sp macro="" textlink="">
          <xdr:nvSpPr>
            <xdr:cNvPr id="141" name="CuadroTexto 140">
              <a:extLst>
                <a:ext uri="{FF2B5EF4-FFF2-40B4-BE49-F238E27FC236}">
                  <a16:creationId xmlns:a16="http://schemas.microsoft.com/office/drawing/2014/main" id="{00000000-0008-0000-0200-00008D000000}"/>
                </a:ext>
              </a:extLst>
            </xdr:cNvPr>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1" name="CuadroTexto 140"/>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 max)〗^2/2g</a:t>
              </a:r>
              <a:endParaRPr lang="es-CO" sz="1100" i="0"/>
            </a:p>
          </xdr:txBody>
        </xdr:sp>
      </mc:Fallback>
    </mc:AlternateContent>
    <xdr:clientData/>
  </xdr:oneCellAnchor>
  <xdr:oneCellAnchor>
    <xdr:from>
      <xdr:col>22</xdr:col>
      <xdr:colOff>150018</xdr:colOff>
      <xdr:row>323</xdr:row>
      <xdr:rowOff>36407</xdr:rowOff>
    </xdr:from>
    <xdr:ext cx="1197187" cy="172227"/>
    <mc:AlternateContent xmlns:mc="http://schemas.openxmlformats.org/markup-compatibility/2006" xmlns:a14="http://schemas.microsoft.com/office/drawing/2010/main">
      <mc:Choice Requires="a14">
        <xdr:sp macro="" textlink="">
          <xdr:nvSpPr>
            <xdr:cNvPr id="142" name="CuadroTexto 141">
              <a:extLst>
                <a:ext uri="{FF2B5EF4-FFF2-40B4-BE49-F238E27FC236}">
                  <a16:creationId xmlns:a16="http://schemas.microsoft.com/office/drawing/2014/main" id="{00000000-0008-0000-0200-00008E000000}"/>
                </a:ext>
              </a:extLst>
            </xdr:cNvPr>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42" name="CuadroTexto 141"/>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 max</a:t>
              </a:r>
              <a:r>
                <a:rPr lang="es-CO" sz="1100" b="0" i="0">
                  <a:latin typeface="Cambria Math" panose="02040503050406030204" pitchFamily="18" charset="0"/>
                </a:rPr>
                <a:t>)</a:t>
              </a:r>
              <a:r>
                <a:rPr lang="es-MX" sz="1100" b="0" i="0">
                  <a:latin typeface="Cambria Math" panose="02040503050406030204" pitchFamily="18" charset="0"/>
                </a:rPr>
                <a:t>=v_(f max)</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22</xdr:col>
      <xdr:colOff>90488</xdr:colOff>
      <xdr:row>350</xdr:row>
      <xdr:rowOff>66674</xdr:rowOff>
    </xdr:from>
    <xdr:ext cx="1433854" cy="424090"/>
    <mc:AlternateContent xmlns:mc="http://schemas.openxmlformats.org/markup-compatibility/2006" xmlns:a14="http://schemas.microsoft.com/office/drawing/2010/main">
      <mc:Choice Requires="a14">
        <xdr:sp macro="" textlink="">
          <xdr:nvSpPr>
            <xdr:cNvPr id="143" name="CuadroTexto 142">
              <a:extLst>
                <a:ext uri="{FF2B5EF4-FFF2-40B4-BE49-F238E27FC236}">
                  <a16:creationId xmlns:a16="http://schemas.microsoft.com/office/drawing/2014/main" id="{00000000-0008-0000-0200-00008F000000}"/>
                </a:ext>
              </a:extLst>
            </xdr:cNvPr>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ma</m:t>
                                </m:r>
                                <m:r>
                                  <a:rPr lang="es-MX" sz="1100" b="0" i="1">
                                    <a:solidFill>
                                      <a:schemeClr val="tx1"/>
                                    </a:solidFill>
                                    <a:effectLst/>
                                    <a:latin typeface="Cambria Math" panose="02040503050406030204" pitchFamily="18" charset="0"/>
                                    <a:ea typeface="+mn-ea"/>
                                    <a:cs typeface="+mn-cs"/>
                                  </a:rPr>
                                  <m:t>𝑥</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143" name="CuadroTexto 142"/>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 ma𝑥)〗^2/2g ∑▒k_m </a:t>
              </a:r>
              <a:endParaRPr lang="es-CO" sz="1100" b="0" i="0"/>
            </a:p>
          </xdr:txBody>
        </xdr:sp>
      </mc:Fallback>
    </mc:AlternateContent>
    <xdr:clientData/>
  </xdr:oneCellAnchor>
  <xdr:oneCellAnchor>
    <xdr:from>
      <xdr:col>10</xdr:col>
      <xdr:colOff>142875</xdr:colOff>
      <xdr:row>388</xdr:row>
      <xdr:rowOff>59531</xdr:rowOff>
    </xdr:from>
    <xdr:ext cx="1800686" cy="18550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200-000079000000}"/>
                </a:ext>
              </a:extLst>
            </xdr:cNvPr>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21" name="CuadroTexto 120"/>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)+h_f</a:t>
              </a:r>
              <a:endParaRPr lang="es-CO" sz="1100" i="0"/>
            </a:p>
          </xdr:txBody>
        </xdr:sp>
      </mc:Fallback>
    </mc:AlternateContent>
    <xdr:clientData/>
  </xdr:oneCellAnchor>
  <xdr:oneCellAnchor>
    <xdr:from>
      <xdr:col>10</xdr:col>
      <xdr:colOff>119062</xdr:colOff>
      <xdr:row>389</xdr:row>
      <xdr:rowOff>59531</xdr:rowOff>
    </xdr:from>
    <xdr:ext cx="1910716" cy="185500"/>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200-00007D000000}"/>
                </a:ext>
              </a:extLst>
            </xdr:cNvPr>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oMath>
                </m:oMathPara>
              </a14:m>
              <a:endParaRPr lang="es-CO" sz="1100" i="0"/>
            </a:p>
          </xdr:txBody>
        </xdr:sp>
      </mc:Choice>
      <mc:Fallback xmlns="">
        <xdr:sp macro="" textlink="">
          <xdr:nvSpPr>
            <xdr:cNvPr id="125" name="CuadroTexto 124"/>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a:t>
              </a:r>
              <a:endParaRPr lang="es-CO" sz="1100" i="0"/>
            </a:p>
          </xdr:txBody>
        </xdr:sp>
      </mc:Fallback>
    </mc:AlternateContent>
    <xdr:clientData/>
  </xdr:oneCellAnchor>
  <xdr:oneCellAnchor>
    <xdr:from>
      <xdr:col>10</xdr:col>
      <xdr:colOff>126205</xdr:colOff>
      <xdr:row>390</xdr:row>
      <xdr:rowOff>30956</xdr:rowOff>
    </xdr:from>
    <xdr:ext cx="2143279" cy="185500"/>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200-00007E000000}"/>
                </a:ext>
              </a:extLst>
            </xdr:cNvPr>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bl</m:t>
                    </m:r>
                  </m:oMath>
                </m:oMathPara>
              </a14:m>
              <a:endParaRPr lang="es-CO" sz="1100" i="0"/>
            </a:p>
          </xdr:txBody>
        </xdr:sp>
      </mc:Choice>
      <mc:Fallback xmlns="">
        <xdr:sp macro="" textlink="">
          <xdr:nvSpPr>
            <xdr:cNvPr id="126" name="CuadroTexto 125"/>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)+h_m+bl</a:t>
              </a:r>
              <a:endParaRPr lang="es-CO" sz="1100" i="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11</xdr:col>
      <xdr:colOff>717549</xdr:colOff>
      <xdr:row>8</xdr:row>
      <xdr:rowOff>42332</xdr:rowOff>
    </xdr:from>
    <xdr:ext cx="1134534" cy="345672"/>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12</xdr:col>
      <xdr:colOff>63500</xdr:colOff>
      <xdr:row>10</xdr:row>
      <xdr:rowOff>42334</xdr:rowOff>
    </xdr:from>
    <xdr:ext cx="793750" cy="346570"/>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12</xdr:col>
      <xdr:colOff>135467</xdr:colOff>
      <xdr:row>12</xdr:row>
      <xdr:rowOff>29633</xdr:rowOff>
    </xdr:from>
    <xdr:ext cx="836768" cy="17222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12</xdr:col>
      <xdr:colOff>29633</xdr:colOff>
      <xdr:row>13</xdr:row>
      <xdr:rowOff>50799</xdr:rowOff>
    </xdr:from>
    <xdr:ext cx="954617" cy="345672"/>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12</xdr:col>
      <xdr:colOff>146049</xdr:colOff>
      <xdr:row>18</xdr:row>
      <xdr:rowOff>19050</xdr:rowOff>
    </xdr:from>
    <xdr:ext cx="571310" cy="20499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12</xdr:col>
      <xdr:colOff>93132</xdr:colOff>
      <xdr:row>15</xdr:row>
      <xdr:rowOff>29633</xdr:rowOff>
    </xdr:from>
    <xdr:ext cx="1683923" cy="20499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12</xdr:col>
      <xdr:colOff>135466</xdr:colOff>
      <xdr:row>16</xdr:row>
      <xdr:rowOff>40217</xdr:rowOff>
    </xdr:from>
    <xdr:ext cx="511935" cy="345672"/>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topLeftCell="A4" zoomScale="90" zoomScaleNormal="90" workbookViewId="0">
      <selection activeCell="G12" sqref="G12"/>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639"/>
      <c r="D2" s="41" t="s">
        <v>119</v>
      </c>
      <c r="P2" s="62">
        <v>7850</v>
      </c>
      <c r="Q2" s="12">
        <f>P2*1.2*1.2*F19</f>
        <v>45.216000000000001</v>
      </c>
    </row>
    <row r="3" spans="2:23" x14ac:dyDescent="0.25">
      <c r="B3" s="43"/>
      <c r="C3" s="639"/>
      <c r="D3" s="41" t="s">
        <v>120</v>
      </c>
    </row>
    <row r="4" spans="2:23" x14ac:dyDescent="0.25">
      <c r="B4" s="43"/>
      <c r="C4" s="639"/>
      <c r="D4" s="41" t="s">
        <v>121</v>
      </c>
      <c r="G4"/>
      <c r="H4"/>
    </row>
    <row r="5" spans="2:23" x14ac:dyDescent="0.25">
      <c r="B5" s="43"/>
      <c r="C5" s="639"/>
      <c r="D5" s="41" t="s">
        <v>127</v>
      </c>
    </row>
    <row r="6" spans="2:23" x14ac:dyDescent="0.25">
      <c r="R6" s="12">
        <v>0.105</v>
      </c>
      <c r="S6" s="12">
        <v>0.12</v>
      </c>
      <c r="T6" s="12">
        <v>0.13500000000000001</v>
      </c>
      <c r="V6" s="12">
        <f>48*0.0254</f>
        <v>1.2191999999999998</v>
      </c>
    </row>
    <row r="7" spans="2:23" ht="18" x14ac:dyDescent="0.25">
      <c r="B7" s="649" t="s">
        <v>150</v>
      </c>
      <c r="C7" s="649"/>
      <c r="D7" s="649"/>
      <c r="E7" s="649"/>
      <c r="F7" s="649"/>
      <c r="G7" s="649"/>
      <c r="H7" s="40"/>
      <c r="J7" s="648" t="s">
        <v>41</v>
      </c>
      <c r="K7" s="648"/>
      <c r="L7" s="648"/>
      <c r="M7" s="648"/>
    </row>
    <row r="8" spans="2:23" ht="17.25" x14ac:dyDescent="0.25">
      <c r="B8" s="638" t="s">
        <v>33</v>
      </c>
      <c r="C8" s="638"/>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638" t="s">
        <v>31</v>
      </c>
      <c r="C9" s="638"/>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638" t="s">
        <v>32</v>
      </c>
      <c r="C10" s="638"/>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638" t="s">
        <v>10</v>
      </c>
      <c r="C11" s="638"/>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638" t="s">
        <v>106</v>
      </c>
      <c r="C12" s="638"/>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638" t="str">
        <f>"Eficiencia crítica para sedimentador de "&amp;F12</f>
        <v>Eficiencia crítica para sedimentador de Placas paralelas</v>
      </c>
      <c r="C13" s="638"/>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638" t="s">
        <v>22</v>
      </c>
      <c r="C14" s="638"/>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638" t="s">
        <v>15</v>
      </c>
      <c r="C15" s="638"/>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638" t="s">
        <v>15</v>
      </c>
      <c r="C16" s="638"/>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638" t="s">
        <v>15</v>
      </c>
      <c r="C17" s="638"/>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638" t="s">
        <v>16</v>
      </c>
      <c r="C18" s="638"/>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638" t="s">
        <v>17</v>
      </c>
      <c r="C19" s="638"/>
      <c r="D19" s="146"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638" t="s">
        <v>18</v>
      </c>
      <c r="C20" s="638"/>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638" t="s">
        <v>19</v>
      </c>
      <c r="C21" s="638"/>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638" t="s">
        <v>52</v>
      </c>
      <c r="C24" s="638"/>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641" t="s">
        <v>58</v>
      </c>
      <c r="C25" s="642"/>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638" t="s">
        <v>53</v>
      </c>
      <c r="C26" s="638"/>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641" t="s">
        <v>67</v>
      </c>
      <c r="C27" s="642"/>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641" t="s">
        <v>74</v>
      </c>
      <c r="C28" s="642"/>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638" t="s">
        <v>81</v>
      </c>
      <c r="C30" s="638"/>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639"/>
      <c r="C31" s="639"/>
      <c r="D31" s="11"/>
      <c r="E31" s="5"/>
      <c r="F31" s="6"/>
      <c r="J31" s="22"/>
      <c r="K31" s="23"/>
      <c r="L31" s="23"/>
      <c r="M31" s="24"/>
    </row>
    <row r="32" spans="2:13" x14ac:dyDescent="0.25">
      <c r="B32" s="634" t="s">
        <v>152</v>
      </c>
      <c r="C32" s="634"/>
      <c r="D32" s="634"/>
      <c r="E32" s="634"/>
      <c r="F32" s="634"/>
      <c r="G32" s="634"/>
      <c r="H32" s="66"/>
      <c r="J32" s="22"/>
      <c r="K32" s="23"/>
      <c r="L32" s="23"/>
      <c r="M32" s="24"/>
    </row>
    <row r="33" spans="2:17" ht="17.25" x14ac:dyDescent="0.25">
      <c r="B33" s="640" t="s">
        <v>162</v>
      </c>
      <c r="C33" s="640"/>
      <c r="D33" s="7" t="s">
        <v>157</v>
      </c>
      <c r="E33" s="1" t="s">
        <v>28</v>
      </c>
      <c r="F33" s="87">
        <v>10</v>
      </c>
      <c r="G33" s="13"/>
      <c r="H33" s="23"/>
      <c r="J33" s="22"/>
      <c r="K33" s="23"/>
      <c r="L33" s="23"/>
      <c r="M33" s="24"/>
    </row>
    <row r="34" spans="2:17" ht="17.25" x14ac:dyDescent="0.25">
      <c r="B34" s="622" t="s">
        <v>165</v>
      </c>
      <c r="C34" s="62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638" t="s">
        <v>128</v>
      </c>
      <c r="C37" s="638"/>
      <c r="D37" s="38" t="s">
        <v>246</v>
      </c>
      <c r="E37" s="1" t="s">
        <v>5</v>
      </c>
      <c r="F37" s="31">
        <f>J9</f>
        <v>3.4760947255444699E-3</v>
      </c>
      <c r="G37" s="626"/>
      <c r="H37" s="628"/>
      <c r="I37" s="645" t="s">
        <v>72</v>
      </c>
      <c r="J37" s="646"/>
      <c r="K37" s="646"/>
      <c r="L37" s="646"/>
      <c r="M37" s="646"/>
      <c r="N37" s="647"/>
    </row>
    <row r="38" spans="2:17" ht="75" customHeight="1" x14ac:dyDescent="0.25">
      <c r="B38" s="640" t="s">
        <v>42</v>
      </c>
      <c r="C38" s="640"/>
      <c r="D38" s="45" t="s">
        <v>135</v>
      </c>
      <c r="E38" s="46" t="s">
        <v>5</v>
      </c>
      <c r="F38" s="47">
        <f>ROUND(MIN(J16:J30),5)</f>
        <v>2.5100000000000001E-3</v>
      </c>
      <c r="G38" s="626"/>
      <c r="H38" s="628"/>
      <c r="I38" s="626"/>
      <c r="J38" s="627"/>
      <c r="K38" s="627"/>
      <c r="L38" s="627"/>
      <c r="M38" s="627"/>
      <c r="N38" s="628"/>
    </row>
    <row r="39" spans="2:17" ht="69.95" customHeight="1" x14ac:dyDescent="0.25">
      <c r="B39" s="640" t="s">
        <v>43</v>
      </c>
      <c r="C39" s="640"/>
      <c r="D39" s="45" t="s">
        <v>135</v>
      </c>
      <c r="E39" s="46" t="s">
        <v>5</v>
      </c>
      <c r="F39" s="58">
        <f>ROUND((F16/F13*(SIN(F21*PI()/180)+(F18/F14)*COS(F21*PI()/180)))/(1+0.058*(F16/F13)*(F14/F11)*COS(F21*PI()/180)),5)</f>
        <v>2.5100000000000001E-3</v>
      </c>
      <c r="G39" s="626"/>
      <c r="H39" s="628"/>
      <c r="I39" s="626"/>
      <c r="J39" s="627"/>
      <c r="K39" s="627"/>
      <c r="L39" s="627"/>
      <c r="M39" s="627"/>
      <c r="N39" s="628"/>
    </row>
    <row r="40" spans="2:17" ht="39.950000000000003" customHeight="1" x14ac:dyDescent="0.25">
      <c r="B40" s="640" t="s">
        <v>26</v>
      </c>
      <c r="C40" s="640"/>
      <c r="D40" s="45" t="s">
        <v>247</v>
      </c>
      <c r="E40" s="46" t="s">
        <v>70</v>
      </c>
      <c r="F40" s="44">
        <f>(F18/F39)/60</f>
        <v>8.095617529880478</v>
      </c>
      <c r="G40" s="626"/>
      <c r="H40" s="628"/>
      <c r="I40" s="626"/>
      <c r="J40" s="627"/>
      <c r="K40" s="627"/>
      <c r="L40" s="627"/>
      <c r="M40" s="627"/>
      <c r="N40" s="628"/>
    </row>
    <row r="41" spans="2:17" ht="39.950000000000003" customHeight="1" x14ac:dyDescent="0.25">
      <c r="B41" s="640" t="s">
        <v>44</v>
      </c>
      <c r="C41" s="640"/>
      <c r="D41" s="45" t="s">
        <v>27</v>
      </c>
      <c r="E41" s="46" t="s">
        <v>28</v>
      </c>
      <c r="F41" s="49">
        <f>ROUND(F10/(F20*F14*F39),0)</f>
        <v>94</v>
      </c>
      <c r="G41" s="626"/>
      <c r="H41" s="628"/>
      <c r="I41" s="626"/>
      <c r="J41" s="627"/>
      <c r="K41" s="627"/>
      <c r="L41" s="627"/>
      <c r="M41" s="627"/>
      <c r="N41" s="628"/>
    </row>
    <row r="42" spans="2:17" ht="39.950000000000003" customHeight="1" x14ac:dyDescent="0.25">
      <c r="B42" s="640" t="s">
        <v>29</v>
      </c>
      <c r="C42" s="640"/>
      <c r="D42" s="45" t="s">
        <v>248</v>
      </c>
      <c r="E42" s="46" t="s">
        <v>3</v>
      </c>
      <c r="F42" s="73">
        <f>((F41*F14+(F41-1)*F19)/SIN(F21*PI()/180))</f>
        <v>5.8566411306595638</v>
      </c>
      <c r="G42" s="626"/>
      <c r="H42" s="628"/>
      <c r="I42" s="635" t="s">
        <v>129</v>
      </c>
      <c r="J42" s="636"/>
      <c r="K42" s="636"/>
      <c r="L42" s="636"/>
      <c r="M42" s="636"/>
      <c r="N42" s="637"/>
      <c r="O42" s="74"/>
    </row>
    <row r="43" spans="2:17" ht="30" customHeight="1" x14ac:dyDescent="0.25">
      <c r="B43" s="640" t="s">
        <v>30</v>
      </c>
      <c r="C43" s="640"/>
      <c r="D43" s="45" t="s">
        <v>249</v>
      </c>
      <c r="E43" s="46" t="s">
        <v>3</v>
      </c>
      <c r="F43" s="73">
        <f>F18*SIN(F21*PI()/180)</f>
        <v>1.0558581722939875</v>
      </c>
      <c r="G43" s="626"/>
      <c r="H43" s="628"/>
      <c r="I43" s="626"/>
      <c r="J43" s="627"/>
      <c r="K43" s="627"/>
      <c r="L43" s="627"/>
      <c r="M43" s="627"/>
      <c r="N43" s="628"/>
    </row>
    <row r="44" spans="2:17" ht="39.950000000000003" customHeight="1" x14ac:dyDescent="0.25">
      <c r="B44" s="622" t="s">
        <v>48</v>
      </c>
      <c r="C44" s="623"/>
      <c r="D44" s="56" t="s">
        <v>250</v>
      </c>
      <c r="E44" s="46" t="s">
        <v>3</v>
      </c>
      <c r="F44" s="44">
        <f>1.5*F24</f>
        <v>0.89999999999999991</v>
      </c>
      <c r="G44" s="626"/>
      <c r="H44" s="628"/>
      <c r="I44" s="626"/>
      <c r="J44" s="627"/>
      <c r="K44" s="627"/>
      <c r="L44" s="627"/>
      <c r="M44" s="627"/>
      <c r="N44" s="628"/>
    </row>
    <row r="45" spans="2:17" ht="39.950000000000003" customHeight="1" x14ac:dyDescent="0.25">
      <c r="B45" s="622" t="s">
        <v>177</v>
      </c>
      <c r="C45" s="623"/>
      <c r="D45" s="56" t="s">
        <v>251</v>
      </c>
      <c r="E45" s="46" t="s">
        <v>28</v>
      </c>
      <c r="F45" s="44">
        <f>ROUNDDOWN(F42/F44,0)</f>
        <v>6</v>
      </c>
      <c r="G45" s="92"/>
      <c r="H45" s="93"/>
      <c r="I45" s="92"/>
      <c r="J45" s="94"/>
      <c r="K45" s="94"/>
      <c r="L45" s="94"/>
      <c r="M45" s="94"/>
      <c r="N45" s="93"/>
    </row>
    <row r="46" spans="2:17" ht="39.950000000000003" customHeight="1" x14ac:dyDescent="0.25">
      <c r="B46" s="622" t="s">
        <v>179</v>
      </c>
      <c r="C46" s="623"/>
      <c r="D46" s="56" t="s">
        <v>250</v>
      </c>
      <c r="E46" s="46" t="s">
        <v>3</v>
      </c>
      <c r="F46" s="85">
        <f>F42/F45</f>
        <v>0.97610685510992734</v>
      </c>
      <c r="G46" s="92"/>
      <c r="H46" s="93"/>
      <c r="I46" s="92"/>
      <c r="J46" s="94"/>
      <c r="K46" s="94"/>
      <c r="L46" s="94"/>
      <c r="M46" s="94"/>
      <c r="N46" s="93"/>
    </row>
    <row r="47" spans="2:17" ht="30" customHeight="1" x14ac:dyDescent="0.25">
      <c r="B47" s="640" t="s">
        <v>62</v>
      </c>
      <c r="C47" s="640"/>
      <c r="D47" s="56" t="s">
        <v>252</v>
      </c>
      <c r="E47" s="46" t="s">
        <v>3</v>
      </c>
      <c r="F47" s="72">
        <f>F25+F43+F24</f>
        <v>2.2558581722939874</v>
      </c>
      <c r="G47" s="626"/>
      <c r="H47" s="628"/>
      <c r="I47" s="626"/>
      <c r="J47" s="627"/>
      <c r="K47" s="627"/>
      <c r="L47" s="627"/>
      <c r="M47" s="627"/>
      <c r="N47" s="628"/>
      <c r="Q47" s="12">
        <f>6*0.0254</f>
        <v>0.15239999999999998</v>
      </c>
    </row>
    <row r="48" spans="2:17" ht="30" customHeight="1" x14ac:dyDescent="0.25">
      <c r="B48" s="622" t="s">
        <v>69</v>
      </c>
      <c r="C48" s="623"/>
      <c r="D48" s="56" t="s">
        <v>253</v>
      </c>
      <c r="E48" s="46" t="s">
        <v>141</v>
      </c>
      <c r="F48" s="44">
        <f>F47*F42*F20-(F41-1)*F18*F20*F19</f>
        <v>15.554808847800167</v>
      </c>
      <c r="G48" s="626"/>
      <c r="H48" s="628"/>
      <c r="I48" s="635" t="s">
        <v>130</v>
      </c>
      <c r="J48" s="636"/>
      <c r="K48" s="636"/>
      <c r="L48" s="636"/>
      <c r="M48" s="636"/>
      <c r="N48" s="637"/>
      <c r="Q48" s="75">
        <f>Q47/2</f>
        <v>7.619999999999999E-2</v>
      </c>
    </row>
    <row r="49" spans="2:19" ht="39.950000000000003" customHeight="1" x14ac:dyDescent="0.25">
      <c r="B49" s="640" t="s">
        <v>68</v>
      </c>
      <c r="C49" s="640"/>
      <c r="D49" s="56" t="s">
        <v>254</v>
      </c>
      <c r="E49" s="46" t="s">
        <v>70</v>
      </c>
      <c r="F49" s="57">
        <f>(F48/F10)/60</f>
        <v>18.110151179182871</v>
      </c>
      <c r="G49" s="626"/>
      <c r="H49" s="628"/>
      <c r="I49" s="626"/>
      <c r="J49" s="627"/>
      <c r="K49" s="627"/>
      <c r="L49" s="627"/>
      <c r="M49" s="627"/>
      <c r="N49" s="628"/>
      <c r="Q49" s="12">
        <f>Q48/3</f>
        <v>2.5399999999999995E-2</v>
      </c>
    </row>
    <row r="50" spans="2:19" ht="39.950000000000003" customHeight="1" x14ac:dyDescent="0.25">
      <c r="B50" s="622" t="s">
        <v>90</v>
      </c>
      <c r="C50" s="623"/>
      <c r="D50" s="56" t="s">
        <v>91</v>
      </c>
      <c r="E50" s="46" t="s">
        <v>143</v>
      </c>
      <c r="F50" s="57">
        <f>F10*86400/(F42*F20)</f>
        <v>173.21341640466753</v>
      </c>
      <c r="G50" s="626"/>
      <c r="H50" s="628"/>
      <c r="I50" s="626"/>
      <c r="J50" s="627"/>
      <c r="K50" s="627"/>
      <c r="L50" s="627"/>
      <c r="M50" s="627"/>
      <c r="N50" s="628"/>
      <c r="Q50" s="12">
        <f>Q49/2</f>
        <v>1.2699999999999998E-2</v>
      </c>
      <c r="S50" s="12">
        <f>36/8</f>
        <v>4.5</v>
      </c>
    </row>
    <row r="51" spans="2:19" ht="39.950000000000003" customHeight="1" x14ac:dyDescent="0.25">
      <c r="B51" s="640" t="s">
        <v>149</v>
      </c>
      <c r="C51" s="640"/>
      <c r="D51" s="56" t="s">
        <v>73</v>
      </c>
      <c r="E51" s="46"/>
      <c r="F51" s="61" t="str">
        <f>"1: "&amp;ROUND(F42/F20,1)</f>
        <v>1: 4,8</v>
      </c>
      <c r="G51" s="626"/>
      <c r="H51" s="628"/>
      <c r="I51" s="626"/>
      <c r="J51" s="627"/>
      <c r="K51" s="627"/>
      <c r="L51" s="627"/>
      <c r="M51" s="627"/>
      <c r="N51" s="628"/>
    </row>
    <row r="52" spans="2:19" ht="39.950000000000003" customHeight="1" x14ac:dyDescent="0.25">
      <c r="B52" s="622" t="s">
        <v>80</v>
      </c>
      <c r="C52" s="623"/>
      <c r="D52" s="56" t="s">
        <v>255</v>
      </c>
      <c r="E52" s="46" t="s">
        <v>3</v>
      </c>
      <c r="F52" s="71">
        <f>((F20-F30)/2)*TAN(F29*PI()/180)</f>
        <v>0.79919162457288717</v>
      </c>
      <c r="G52" s="626"/>
      <c r="H52" s="628"/>
      <c r="I52" s="626"/>
      <c r="J52" s="627"/>
      <c r="K52" s="627"/>
      <c r="L52" s="627"/>
      <c r="M52" s="627"/>
      <c r="N52" s="628"/>
    </row>
    <row r="53" spans="2:19" ht="30" customHeight="1" x14ac:dyDescent="0.25">
      <c r="B53" s="622" t="s">
        <v>87</v>
      </c>
      <c r="C53" s="623"/>
      <c r="D53" s="56" t="s">
        <v>256</v>
      </c>
      <c r="E53" s="46" t="s">
        <v>3</v>
      </c>
      <c r="F53" s="47">
        <f>2*F28+F42</f>
        <v>6.4566411306595635</v>
      </c>
      <c r="G53" s="626"/>
      <c r="H53" s="628"/>
      <c r="I53" s="626"/>
      <c r="J53" s="627"/>
      <c r="K53" s="627"/>
      <c r="L53" s="627"/>
      <c r="M53" s="627"/>
      <c r="N53" s="628"/>
    </row>
    <row r="54" spans="2:19" ht="30" customHeight="1" x14ac:dyDescent="0.25">
      <c r="B54" s="622" t="s">
        <v>89</v>
      </c>
      <c r="C54" s="623"/>
      <c r="D54" s="56" t="s">
        <v>257</v>
      </c>
      <c r="E54" s="46" t="s">
        <v>3</v>
      </c>
      <c r="F54" s="52">
        <f>(2*F28+F20)*F9+(F9-1)*F27</f>
        <v>7.8767999999999994</v>
      </c>
      <c r="G54" s="626"/>
      <c r="H54" s="628"/>
      <c r="I54" s="626"/>
      <c r="J54" s="627"/>
      <c r="K54" s="627"/>
      <c r="L54" s="627"/>
      <c r="M54" s="627"/>
      <c r="N54" s="628"/>
    </row>
    <row r="55" spans="2:19" ht="30" customHeight="1" x14ac:dyDescent="0.25">
      <c r="B55" s="640" t="s">
        <v>86</v>
      </c>
      <c r="C55" s="640"/>
      <c r="D55" s="56" t="s">
        <v>258</v>
      </c>
      <c r="E55" s="46" t="s">
        <v>3</v>
      </c>
      <c r="F55" s="70">
        <f>F28+F52+F25+F43+F24+F26</f>
        <v>3.6550497968668743</v>
      </c>
      <c r="G55" s="626"/>
      <c r="H55" s="628"/>
      <c r="I55" s="626"/>
      <c r="J55" s="627"/>
      <c r="K55" s="627"/>
      <c r="L55" s="627"/>
      <c r="M55" s="627"/>
      <c r="N55" s="628"/>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622" t="s">
        <v>156</v>
      </c>
      <c r="C58" s="623"/>
      <c r="D58" s="56" t="s">
        <v>259</v>
      </c>
      <c r="E58" s="46" t="s">
        <v>3</v>
      </c>
      <c r="F58" s="85">
        <f>F42+F28</f>
        <v>6.1566411306595636</v>
      </c>
      <c r="G58" s="626"/>
      <c r="H58" s="628"/>
      <c r="I58" s="626"/>
      <c r="J58" s="627"/>
      <c r="K58" s="627"/>
      <c r="L58" s="627"/>
      <c r="M58" s="627"/>
      <c r="N58" s="628"/>
    </row>
    <row r="59" spans="2:19" ht="69.95" customHeight="1" x14ac:dyDescent="0.25">
      <c r="B59" s="622" t="s">
        <v>155</v>
      </c>
      <c r="C59" s="623"/>
      <c r="D59" s="56" t="s">
        <v>260</v>
      </c>
      <c r="E59" s="46" t="s">
        <v>153</v>
      </c>
      <c r="F59" s="95">
        <v>8</v>
      </c>
      <c r="G59" s="626"/>
      <c r="H59" s="628"/>
      <c r="I59" s="626"/>
      <c r="J59" s="627"/>
      <c r="K59" s="627"/>
      <c r="L59" s="627"/>
      <c r="M59" s="627"/>
      <c r="N59" s="628"/>
    </row>
    <row r="60" spans="2:19" ht="90" customHeight="1" x14ac:dyDescent="0.25">
      <c r="B60" s="622" t="s">
        <v>178</v>
      </c>
      <c r="C60" s="623"/>
      <c r="D60" s="56" t="s">
        <v>261</v>
      </c>
      <c r="E60" s="46" t="s">
        <v>3</v>
      </c>
      <c r="F60" s="50">
        <f>IF(F59=4,0.10342,IF(F59=6,0.15222,IF(F59=8,0.20942)))</f>
        <v>0.20942</v>
      </c>
      <c r="G60" s="626"/>
      <c r="H60" s="628"/>
      <c r="I60" s="67"/>
      <c r="J60" s="68"/>
      <c r="K60" s="68"/>
      <c r="L60" s="68"/>
      <c r="M60" s="68"/>
      <c r="N60" s="69"/>
    </row>
    <row r="61" spans="2:19" ht="50.1" customHeight="1" x14ac:dyDescent="0.25">
      <c r="B61" s="629" t="s">
        <v>161</v>
      </c>
      <c r="C61" s="629"/>
      <c r="D61" s="145" t="s">
        <v>262</v>
      </c>
      <c r="E61" s="46" t="s">
        <v>3</v>
      </c>
      <c r="F61" s="50">
        <f>F60*SQRT(0.4/F33)</f>
        <v>4.1884000000000005E-2</v>
      </c>
      <c r="G61" s="626"/>
      <c r="H61" s="628"/>
      <c r="I61" s="630"/>
      <c r="J61" s="631"/>
      <c r="K61" s="631"/>
      <c r="L61" s="631"/>
      <c r="M61" s="631"/>
      <c r="N61" s="632"/>
    </row>
    <row r="62" spans="2:19" ht="30" customHeight="1" x14ac:dyDescent="0.25">
      <c r="B62" s="629" t="s">
        <v>163</v>
      </c>
      <c r="C62" s="629"/>
      <c r="D62" s="145" t="s">
        <v>263</v>
      </c>
      <c r="E62" s="46" t="s">
        <v>153</v>
      </c>
      <c r="F62" s="102">
        <f>IF(AND(F61&gt;0.02363,F61&lt;0.0302),1,IF(AND(F61&gt;0.0302,F61&lt;0.03814),1.25,IF(AND(F61&gt;0.03814,F61&lt;0.04368),1.5,IF(AND(F61&gt;0.04368,F61&lt;0.05458),2,IF(AND(F61&gt;0.05458,F61&lt;0.06607),2.5,IF(AND(F61&gt;0.06607,F61&lt;0.08042),3,IF(AND(F61&gt;0.08042,F61&lt;0.10342),4)))))))</f>
        <v>1.5</v>
      </c>
      <c r="G62" s="624"/>
      <c r="H62" s="625"/>
      <c r="I62" s="76"/>
      <c r="J62" s="77"/>
      <c r="K62" s="77"/>
      <c r="L62" s="77"/>
      <c r="M62" s="77"/>
      <c r="N62" s="78"/>
    </row>
    <row r="63" spans="2:19" ht="52.5" customHeight="1" x14ac:dyDescent="0.25">
      <c r="B63" s="629" t="s">
        <v>172</v>
      </c>
      <c r="C63" s="629"/>
      <c r="D63" s="145" t="s">
        <v>262</v>
      </c>
      <c r="E63" s="46" t="s">
        <v>3</v>
      </c>
      <c r="F63" s="50">
        <f>IF(F62=1,0.0302,IF(F62=1.25,0.03814,IF(F62=1.5,0.04368,IF(F62=2,0.05458,IF(F62=2.5,0.06607,IF(F62=3,0.08042,IF(F62=4,0.10342,4)))))))</f>
        <v>4.3679999999999997E-2</v>
      </c>
      <c r="G63" s="626"/>
      <c r="H63" s="628"/>
      <c r="I63" s="98"/>
      <c r="J63" s="77"/>
      <c r="K63" s="77"/>
      <c r="L63" s="77"/>
      <c r="M63" s="77"/>
      <c r="N63" s="78"/>
    </row>
    <row r="64" spans="2:19" ht="47.25" customHeight="1" x14ac:dyDescent="0.25">
      <c r="B64" s="643" t="s">
        <v>173</v>
      </c>
      <c r="C64" s="644"/>
      <c r="D64" s="56"/>
      <c r="E64" s="46"/>
      <c r="F64" s="89">
        <f>(F63/F60)^2*F33</f>
        <v>0.4350397582251469</v>
      </c>
      <c r="G64" s="626"/>
      <c r="H64" s="628"/>
      <c r="I64" s="626"/>
      <c r="J64" s="627"/>
      <c r="K64" s="627"/>
      <c r="L64" s="627"/>
      <c r="M64" s="627"/>
      <c r="N64" s="628"/>
    </row>
    <row r="65" spans="2:14" ht="39.950000000000003" customHeight="1" x14ac:dyDescent="0.25">
      <c r="B65" s="629" t="s">
        <v>174</v>
      </c>
      <c r="C65" s="629"/>
      <c r="D65" s="145" t="s">
        <v>263</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629" t="s">
        <v>175</v>
      </c>
      <c r="C66" s="629"/>
      <c r="D66" s="145" t="s">
        <v>262</v>
      </c>
      <c r="E66" s="46"/>
      <c r="F66" s="89">
        <f>IF(F65=1,0.0302,IF(F65=1.25,0.03814,IF(F65=1.5,0.04368,IF(F65=2,0.05458,IF(F65=2.5,0.06607,IF(F65=3,0.08042,IF(F65=4,0.10342,4)))))))</f>
        <v>4.3679999999999997E-2</v>
      </c>
      <c r="G66" s="626"/>
      <c r="H66" s="628"/>
      <c r="I66" s="92"/>
      <c r="J66" s="94"/>
      <c r="K66" s="94"/>
      <c r="L66" s="94"/>
      <c r="M66" s="94"/>
      <c r="N66" s="93"/>
    </row>
    <row r="67" spans="2:14" ht="39.950000000000003" customHeight="1" x14ac:dyDescent="0.25">
      <c r="B67" s="643" t="s">
        <v>164</v>
      </c>
      <c r="C67" s="644"/>
      <c r="D67" s="56"/>
      <c r="E67" s="46"/>
      <c r="F67" s="89">
        <f>(F66/F60)^2*F33</f>
        <v>0.4350397582251469</v>
      </c>
      <c r="G67" s="626"/>
      <c r="H67" s="628"/>
      <c r="I67" s="92"/>
      <c r="J67" s="101"/>
      <c r="K67" s="94"/>
      <c r="L67" s="94"/>
      <c r="M67" s="94"/>
      <c r="N67" s="93"/>
    </row>
    <row r="68" spans="2:14" ht="39.950000000000003" customHeight="1" x14ac:dyDescent="0.25">
      <c r="B68" s="622" t="s">
        <v>160</v>
      </c>
      <c r="C68" s="623"/>
      <c r="D68" s="56" t="s">
        <v>264</v>
      </c>
      <c r="E68" s="46" t="s">
        <v>3</v>
      </c>
      <c r="F68" s="85">
        <f>F52+F25+F43+F24</f>
        <v>3.0550497968668746</v>
      </c>
      <c r="G68" s="626"/>
      <c r="H68" s="628"/>
      <c r="I68" s="76"/>
      <c r="J68" s="77"/>
      <c r="K68" s="77"/>
      <c r="L68" s="77"/>
      <c r="M68" s="77"/>
      <c r="N68" s="78"/>
    </row>
    <row r="69" spans="2:14" ht="39.950000000000003" customHeight="1" x14ac:dyDescent="0.25">
      <c r="B69" s="622" t="s">
        <v>159</v>
      </c>
      <c r="C69" s="623"/>
      <c r="D69" s="56" t="s">
        <v>265</v>
      </c>
      <c r="E69" s="46"/>
      <c r="F69" s="99">
        <f>F58/F33</f>
        <v>0.61566411306595636</v>
      </c>
      <c r="G69" s="624"/>
      <c r="H69" s="625"/>
      <c r="I69" s="76"/>
      <c r="J69" s="77"/>
      <c r="K69" s="77"/>
      <c r="L69" s="77"/>
      <c r="M69" s="77"/>
      <c r="N69" s="78"/>
    </row>
    <row r="70" spans="2:14" ht="50.1" customHeight="1" x14ac:dyDescent="0.25">
      <c r="B70" s="643" t="s">
        <v>170</v>
      </c>
      <c r="C70" s="644"/>
      <c r="D70" s="56" t="s">
        <v>266</v>
      </c>
      <c r="E70" s="46" t="s">
        <v>3</v>
      </c>
      <c r="F70" s="89">
        <f>1.16*F66*((F68^0.5)/F34)^0.5</f>
        <v>0.66987719376829002</v>
      </c>
      <c r="G70" s="76"/>
      <c r="H70" s="78"/>
      <c r="I70" s="76"/>
      <c r="J70" s="77"/>
      <c r="K70" s="77"/>
      <c r="L70" s="77"/>
      <c r="M70" s="77"/>
      <c r="N70" s="78"/>
    </row>
    <row r="71" spans="2:14" ht="39.950000000000003" customHeight="1" x14ac:dyDescent="0.25">
      <c r="B71" s="643" t="s">
        <v>176</v>
      </c>
      <c r="C71" s="644"/>
      <c r="D71" s="56" t="s">
        <v>266</v>
      </c>
      <c r="E71" s="1"/>
      <c r="F71" s="100">
        <f>F42/F33</f>
        <v>0.58566411306595634</v>
      </c>
      <c r="G71" s="626"/>
      <c r="H71" s="628"/>
      <c r="I71" s="650" t="s">
        <v>171</v>
      </c>
      <c r="J71" s="651"/>
      <c r="K71" s="651"/>
      <c r="L71" s="651"/>
      <c r="M71" s="651"/>
      <c r="N71" s="652"/>
    </row>
    <row r="72" spans="2:14" x14ac:dyDescent="0.25">
      <c r="B72" s="639"/>
      <c r="C72" s="639"/>
      <c r="J72" s="22"/>
      <c r="K72" s="23"/>
      <c r="L72" s="23"/>
      <c r="M72" s="24"/>
    </row>
    <row r="73" spans="2:14" x14ac:dyDescent="0.25">
      <c r="B73" s="634" t="s">
        <v>34</v>
      </c>
      <c r="C73" s="634"/>
      <c r="J73" s="22"/>
      <c r="K73" s="23"/>
      <c r="L73" s="23"/>
      <c r="M73" s="24"/>
    </row>
    <row r="74" spans="2:14" x14ac:dyDescent="0.25">
      <c r="J74" s="22"/>
      <c r="K74" s="23"/>
      <c r="L74" s="23"/>
      <c r="M74" s="24"/>
    </row>
    <row r="75" spans="2:14" ht="30" customHeight="1" x14ac:dyDescent="0.25">
      <c r="B75" s="12" t="s">
        <v>35</v>
      </c>
      <c r="C75" s="621" t="s">
        <v>51</v>
      </c>
      <c r="D75" s="621"/>
      <c r="E75" s="621"/>
      <c r="F75" s="621"/>
      <c r="G75" s="621"/>
      <c r="H75" s="65"/>
      <c r="I75" s="96"/>
      <c r="J75" s="22"/>
      <c r="K75" s="23"/>
      <c r="L75" s="23"/>
      <c r="M75" s="24"/>
    </row>
    <row r="76" spans="2:14" ht="30" customHeight="1" x14ac:dyDescent="0.25">
      <c r="B76" s="12" t="s">
        <v>37</v>
      </c>
      <c r="C76" s="621" t="s">
        <v>64</v>
      </c>
      <c r="D76" s="621"/>
      <c r="E76" s="621"/>
      <c r="F76" s="621"/>
      <c r="G76" s="621"/>
      <c r="H76" s="65"/>
      <c r="J76" s="97"/>
      <c r="K76" s="23"/>
      <c r="L76" s="23"/>
      <c r="M76" s="24"/>
    </row>
    <row r="77" spans="2:14" x14ac:dyDescent="0.25">
      <c r="B77" s="12" t="s">
        <v>39</v>
      </c>
      <c r="C77" s="633" t="s">
        <v>40</v>
      </c>
      <c r="D77" s="633"/>
      <c r="E77" s="633"/>
      <c r="F77" s="633"/>
      <c r="G77" s="633"/>
      <c r="H77" s="64"/>
      <c r="J77" s="22"/>
      <c r="K77" s="23"/>
      <c r="L77" s="23"/>
      <c r="M77" s="24"/>
    </row>
    <row r="78" spans="2:14" ht="30" customHeight="1" x14ac:dyDescent="0.25">
      <c r="B78" s="12" t="s">
        <v>50</v>
      </c>
      <c r="C78" s="621" t="s">
        <v>65</v>
      </c>
      <c r="D78" s="621"/>
      <c r="E78" s="621"/>
      <c r="F78" s="621"/>
      <c r="G78" s="621"/>
      <c r="H78" s="65"/>
      <c r="J78" s="22"/>
      <c r="K78" s="23"/>
      <c r="L78" s="23"/>
      <c r="M78" s="24"/>
    </row>
    <row r="79" spans="2:14" ht="30" customHeight="1" x14ac:dyDescent="0.25">
      <c r="B79" s="12" t="s">
        <v>57</v>
      </c>
      <c r="C79" s="621" t="s">
        <v>66</v>
      </c>
      <c r="D79" s="621"/>
      <c r="E79" s="621"/>
      <c r="F79" s="621"/>
      <c r="G79" s="621"/>
      <c r="H79" s="65"/>
      <c r="J79" s="653"/>
      <c r="K79" s="653"/>
      <c r="L79" s="23"/>
      <c r="M79" s="24"/>
    </row>
    <row r="80" spans="2:14" x14ac:dyDescent="0.25">
      <c r="B80" s="12" t="s">
        <v>60</v>
      </c>
      <c r="C80" s="633" t="s">
        <v>56</v>
      </c>
      <c r="D80" s="633"/>
      <c r="E80" s="633"/>
      <c r="F80" s="633"/>
      <c r="G80" s="633"/>
      <c r="H80" s="64"/>
      <c r="J80" s="22"/>
      <c r="K80" s="23"/>
      <c r="L80" s="23"/>
      <c r="M80" s="24"/>
    </row>
    <row r="81" spans="2:13" x14ac:dyDescent="0.25">
      <c r="B81" s="12" t="s">
        <v>79</v>
      </c>
      <c r="C81" s="633" t="s">
        <v>78</v>
      </c>
      <c r="D81" s="633"/>
      <c r="E81" s="633"/>
      <c r="F81" s="633"/>
      <c r="G81" s="633"/>
      <c r="H81" s="64"/>
      <c r="J81" s="22"/>
      <c r="K81" s="23"/>
      <c r="L81" s="23"/>
      <c r="M81" s="24"/>
    </row>
    <row r="82" spans="2:13" ht="30" customHeight="1" x14ac:dyDescent="0.25">
      <c r="B82" s="12" t="s">
        <v>93</v>
      </c>
      <c r="C82" s="621" t="s">
        <v>83</v>
      </c>
      <c r="D82" s="621"/>
      <c r="E82" s="621"/>
      <c r="F82" s="621"/>
      <c r="G82" s="621"/>
      <c r="H82" s="65"/>
      <c r="J82" s="22"/>
      <c r="K82" s="23"/>
      <c r="L82" s="23"/>
      <c r="M82" s="24"/>
    </row>
    <row r="83" spans="2:13" ht="30" customHeight="1" x14ac:dyDescent="0.25">
      <c r="B83" s="12" t="s">
        <v>168</v>
      </c>
      <c r="C83" s="621" t="s">
        <v>169</v>
      </c>
      <c r="D83" s="621"/>
      <c r="E83" s="621"/>
      <c r="F83" s="621"/>
      <c r="G83" s="621"/>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209</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43" zoomScale="90" zoomScaleNormal="90" workbookViewId="0">
      <selection activeCell="F11" sqref="F11"/>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655" t="s">
        <v>125</v>
      </c>
      <c r="C7" s="655"/>
      <c r="D7" s="655"/>
      <c r="E7" s="655"/>
      <c r="F7" s="655"/>
    </row>
    <row r="9" spans="2:6" x14ac:dyDescent="0.25">
      <c r="B9" s="41" t="s">
        <v>45</v>
      </c>
      <c r="C9" s="41"/>
    </row>
    <row r="10" spans="2:6" ht="17.25" x14ac:dyDescent="0.25">
      <c r="B10" s="641" t="s">
        <v>33</v>
      </c>
      <c r="C10" s="642"/>
      <c r="D10" s="9" t="s">
        <v>0</v>
      </c>
      <c r="E10" s="1" t="s">
        <v>20</v>
      </c>
      <c r="F10" s="3">
        <v>5.7259999999999998E-2</v>
      </c>
    </row>
    <row r="11" spans="2:6" x14ac:dyDescent="0.25">
      <c r="B11" s="641" t="s">
        <v>31</v>
      </c>
      <c r="C11" s="642"/>
      <c r="D11" s="9" t="s">
        <v>3</v>
      </c>
      <c r="E11" s="1" t="s">
        <v>28</v>
      </c>
      <c r="F11" s="3">
        <v>4</v>
      </c>
    </row>
    <row r="12" spans="2:6" ht="17.25" x14ac:dyDescent="0.25">
      <c r="B12" s="641" t="s">
        <v>32</v>
      </c>
      <c r="C12" s="642"/>
      <c r="D12" s="9" t="s">
        <v>92</v>
      </c>
      <c r="E12" s="1" t="s">
        <v>20</v>
      </c>
      <c r="F12" s="18">
        <f>F10/F11</f>
        <v>1.4315E-2</v>
      </c>
    </row>
    <row r="13" spans="2:6" ht="17.25" x14ac:dyDescent="0.25">
      <c r="B13" s="641" t="s">
        <v>10</v>
      </c>
      <c r="C13" s="642"/>
      <c r="D13" s="9" t="s">
        <v>2</v>
      </c>
      <c r="E13" s="1" t="s">
        <v>21</v>
      </c>
      <c r="F13" s="19">
        <v>1.0070000000000001E-6</v>
      </c>
    </row>
    <row r="14" spans="2:6" x14ac:dyDescent="0.25">
      <c r="B14" s="641" t="s">
        <v>106</v>
      </c>
      <c r="C14" s="642"/>
      <c r="D14" s="36"/>
      <c r="E14" s="1"/>
      <c r="F14" s="3" t="s">
        <v>107</v>
      </c>
    </row>
    <row r="15" spans="2:6" ht="17.25" x14ac:dyDescent="0.25">
      <c r="B15" s="641" t="str">
        <f>"Eficiencia crítica para sedimentador de "&amp;F14</f>
        <v>Eficiencia crítica para sedimentador de Placas paralelas</v>
      </c>
      <c r="C15" s="642"/>
      <c r="D15" s="8" t="s">
        <v>108</v>
      </c>
      <c r="E15" s="2"/>
      <c r="F15" s="4">
        <v>1</v>
      </c>
    </row>
    <row r="16" spans="2:6" x14ac:dyDescent="0.25">
      <c r="B16" s="641" t="s">
        <v>22</v>
      </c>
      <c r="C16" s="642"/>
      <c r="D16" s="9" t="s">
        <v>11</v>
      </c>
      <c r="E16" s="1" t="s">
        <v>3</v>
      </c>
      <c r="F16" s="59">
        <f>'Sedimentador alta tasa'!F14</f>
        <v>0.05</v>
      </c>
    </row>
    <row r="17" spans="2:7" x14ac:dyDescent="0.25">
      <c r="B17" s="641" t="s">
        <v>95</v>
      </c>
      <c r="C17" s="642"/>
      <c r="D17" s="9" t="s">
        <v>12</v>
      </c>
      <c r="E17" s="1" t="s">
        <v>3</v>
      </c>
      <c r="F17" s="59">
        <f>'Sedimentador alta tasa'!F18</f>
        <v>1.2192000000000001</v>
      </c>
    </row>
    <row r="18" spans="2:7" x14ac:dyDescent="0.25">
      <c r="B18" s="641" t="s">
        <v>17</v>
      </c>
      <c r="C18" s="642"/>
      <c r="D18" s="25" t="s">
        <v>13</v>
      </c>
      <c r="E18" s="26" t="s">
        <v>3</v>
      </c>
      <c r="F18" s="59">
        <f>'Sedimentador alta tasa'!F19</f>
        <v>4.0000000000000001E-3</v>
      </c>
      <c r="G18" s="6"/>
    </row>
    <row r="19" spans="2:7" x14ac:dyDescent="0.25">
      <c r="B19" s="641" t="s">
        <v>96</v>
      </c>
      <c r="C19" s="642"/>
      <c r="D19" s="9" t="s">
        <v>14</v>
      </c>
      <c r="E19" s="1" t="s">
        <v>3</v>
      </c>
      <c r="F19" s="59">
        <f>'Sedimentador alta tasa'!F20</f>
        <v>1.2192000000000001</v>
      </c>
    </row>
    <row r="20" spans="2:7" x14ac:dyDescent="0.25">
      <c r="B20" s="641" t="s">
        <v>19</v>
      </c>
      <c r="C20" s="642"/>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641" t="s">
        <v>52</v>
      </c>
      <c r="C23" s="642"/>
      <c r="D23" s="9" t="s">
        <v>46</v>
      </c>
      <c r="E23" s="1" t="s">
        <v>3</v>
      </c>
      <c r="F23" s="27">
        <v>0.6</v>
      </c>
    </row>
    <row r="24" spans="2:7" ht="17.25" x14ac:dyDescent="0.25">
      <c r="B24" s="657" t="s">
        <v>58</v>
      </c>
      <c r="C24" s="658"/>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654" t="s">
        <v>112</v>
      </c>
      <c r="C28" s="654"/>
      <c r="D28" s="654"/>
      <c r="E28" s="654"/>
      <c r="F28" s="654"/>
      <c r="G28" s="654"/>
    </row>
    <row r="29" spans="2:7" x14ac:dyDescent="0.25">
      <c r="B29" s="654"/>
      <c r="C29" s="654"/>
      <c r="D29" s="654"/>
      <c r="E29" s="654"/>
      <c r="F29" s="654"/>
      <c r="G29" s="654"/>
    </row>
    <row r="30" spans="2:7" x14ac:dyDescent="0.25">
      <c r="B30" s="53"/>
      <c r="C30" s="53"/>
      <c r="D30" s="53"/>
      <c r="E30" s="53"/>
      <c r="F30" s="53"/>
      <c r="G30" s="53"/>
    </row>
    <row r="31" spans="2:7" ht="17.25" x14ac:dyDescent="0.25">
      <c r="B31" s="622" t="s">
        <v>134</v>
      </c>
      <c r="C31" s="623"/>
      <c r="D31" s="51" t="s">
        <v>137</v>
      </c>
      <c r="E31" s="54" t="s">
        <v>3</v>
      </c>
      <c r="F31" s="44">
        <f>'Sedimentador alta tasa'!F42</f>
        <v>5.8566411306595638</v>
      </c>
      <c r="G31" s="53"/>
    </row>
    <row r="32" spans="2:7" x14ac:dyDescent="0.25">
      <c r="B32" s="622" t="s">
        <v>18</v>
      </c>
      <c r="C32" s="623"/>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622" t="s">
        <v>90</v>
      </c>
      <c r="C36" s="623"/>
      <c r="D36" s="55" t="s">
        <v>91</v>
      </c>
      <c r="E36" s="46" t="s">
        <v>143</v>
      </c>
      <c r="F36" s="44">
        <f>(F12*86400)/(F31*F32)</f>
        <v>173.21341640466753</v>
      </c>
      <c r="G36" s="49"/>
    </row>
    <row r="37" spans="2:8" x14ac:dyDescent="0.25">
      <c r="B37" s="53"/>
      <c r="C37" s="53"/>
      <c r="D37" s="53"/>
      <c r="E37" s="53"/>
      <c r="F37" s="53"/>
      <c r="G37" s="53"/>
    </row>
    <row r="38" spans="2:8" ht="74.25" customHeight="1" x14ac:dyDescent="0.25">
      <c r="B38" s="654" t="s">
        <v>132</v>
      </c>
      <c r="C38" s="654"/>
      <c r="D38" s="654"/>
      <c r="E38" s="654"/>
      <c r="F38" s="654"/>
      <c r="G38" s="654"/>
    </row>
    <row r="39" spans="2:8" x14ac:dyDescent="0.25">
      <c r="B39" s="53"/>
      <c r="C39" s="53"/>
      <c r="D39" s="53"/>
      <c r="E39" s="53"/>
      <c r="F39" s="53"/>
      <c r="G39" s="53"/>
    </row>
    <row r="40" spans="2:8" ht="75" customHeight="1" x14ac:dyDescent="0.25">
      <c r="B40" s="622" t="s">
        <v>98</v>
      </c>
      <c r="C40" s="623"/>
      <c r="D40" s="51" t="s">
        <v>131</v>
      </c>
      <c r="E40" s="46" t="s">
        <v>28</v>
      </c>
      <c r="F40" s="49">
        <f>ROUND(((F31*SIN(F20*PI()/180)+F18)/(F16+F18)-1),0)</f>
        <v>93</v>
      </c>
      <c r="G40" s="49"/>
    </row>
    <row r="41" spans="2:8" ht="30" customHeight="1" x14ac:dyDescent="0.25">
      <c r="B41" s="622" t="s">
        <v>97</v>
      </c>
      <c r="C41" s="623"/>
      <c r="D41" s="48" t="s">
        <v>144</v>
      </c>
      <c r="E41" s="46" t="s">
        <v>3</v>
      </c>
      <c r="F41" s="52">
        <f>F31</f>
        <v>5.8566411306595638</v>
      </c>
      <c r="G41" s="44"/>
      <c r="H41" s="23"/>
    </row>
    <row r="42" spans="2:8" ht="42" customHeight="1" x14ac:dyDescent="0.25">
      <c r="B42" s="622" t="s">
        <v>94</v>
      </c>
      <c r="C42" s="623"/>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622" t="s">
        <v>99</v>
      </c>
      <c r="C46" s="623"/>
      <c r="D46" s="51" t="s">
        <v>88</v>
      </c>
      <c r="E46" s="49"/>
      <c r="F46" s="49">
        <f>F17/F16</f>
        <v>24.384</v>
      </c>
      <c r="G46" s="49"/>
    </row>
    <row r="47" spans="2:8" ht="39.950000000000003" customHeight="1" x14ac:dyDescent="0.25">
      <c r="B47" s="622" t="s">
        <v>100</v>
      </c>
      <c r="C47" s="623"/>
      <c r="D47" s="51" t="s">
        <v>101</v>
      </c>
      <c r="E47" s="49"/>
      <c r="F47" s="44">
        <f>(0.058*F42*F16)/F13</f>
        <v>7.1996027805362459</v>
      </c>
      <c r="G47" s="49"/>
    </row>
    <row r="48" spans="2:8" ht="30" customHeight="1" x14ac:dyDescent="0.25">
      <c r="B48" s="622" t="s">
        <v>102</v>
      </c>
      <c r="C48" s="623"/>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622" t="s">
        <v>104</v>
      </c>
      <c r="C52" s="623"/>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622" t="s">
        <v>109</v>
      </c>
      <c r="C58" s="623"/>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622" t="s">
        <v>26</v>
      </c>
      <c r="C62" s="623"/>
      <c r="D62" s="48" t="s">
        <v>136</v>
      </c>
      <c r="E62" s="46" t="s">
        <v>70</v>
      </c>
      <c r="F62" s="44">
        <f>(F17/F42)/60</f>
        <v>8.1280000000000001</v>
      </c>
      <c r="G62" s="49"/>
    </row>
    <row r="63" spans="2:7" x14ac:dyDescent="0.25">
      <c r="B63" s="53"/>
      <c r="C63" s="53"/>
      <c r="D63" s="53"/>
      <c r="E63" s="53"/>
      <c r="F63" s="53"/>
      <c r="G63" s="53"/>
    </row>
    <row r="64" spans="2:7" ht="60" customHeight="1" x14ac:dyDescent="0.25">
      <c r="B64" s="654" t="s">
        <v>133</v>
      </c>
      <c r="C64" s="654"/>
      <c r="D64" s="654"/>
      <c r="E64" s="654"/>
      <c r="F64" s="654"/>
      <c r="G64" s="654"/>
    </row>
    <row r="65" spans="2:7" x14ac:dyDescent="0.25">
      <c r="B65" s="53"/>
      <c r="C65" s="53"/>
      <c r="D65" s="53"/>
      <c r="E65" s="53"/>
      <c r="F65" s="53"/>
      <c r="G65" s="53"/>
    </row>
    <row r="66" spans="2:7" ht="39.950000000000003" customHeight="1" x14ac:dyDescent="0.25">
      <c r="B66" s="622" t="s">
        <v>44</v>
      </c>
      <c r="C66" s="623"/>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622" t="s">
        <v>30</v>
      </c>
      <c r="C70" s="623"/>
      <c r="D70" s="48" t="s">
        <v>138</v>
      </c>
      <c r="E70" s="46" t="s">
        <v>3</v>
      </c>
      <c r="F70" s="44">
        <f>F17*SIN(F20*PI()/180)</f>
        <v>1.0558581722939875</v>
      </c>
      <c r="G70" s="49"/>
    </row>
    <row r="71" spans="2:7" ht="30" customHeight="1" x14ac:dyDescent="0.25">
      <c r="B71" s="622" t="s">
        <v>62</v>
      </c>
      <c r="C71" s="623"/>
      <c r="D71" s="51" t="s">
        <v>139</v>
      </c>
      <c r="E71" s="46" t="s">
        <v>3</v>
      </c>
      <c r="F71" s="44">
        <f>F24+F70+F23</f>
        <v>2.2558581722939874</v>
      </c>
      <c r="G71" s="49"/>
    </row>
    <row r="72" spans="2:7" ht="30" customHeight="1" x14ac:dyDescent="0.25">
      <c r="B72" s="622" t="s">
        <v>69</v>
      </c>
      <c r="C72" s="623"/>
      <c r="D72" s="51" t="s">
        <v>140</v>
      </c>
      <c r="E72" s="46" t="s">
        <v>141</v>
      </c>
      <c r="F72" s="44">
        <f>F71*F31*F19-(F66-1)*F17*F19*F18</f>
        <v>15.554808847800167</v>
      </c>
      <c r="G72" s="49"/>
    </row>
    <row r="73" spans="2:7" ht="39.950000000000003" customHeight="1" x14ac:dyDescent="0.25">
      <c r="B73" s="622" t="s">
        <v>68</v>
      </c>
      <c r="C73" s="623"/>
      <c r="D73" s="51" t="s">
        <v>142</v>
      </c>
      <c r="E73" s="46" t="s">
        <v>70</v>
      </c>
      <c r="F73" s="44">
        <f>(F72/F12)/60</f>
        <v>18.110151179182871</v>
      </c>
      <c r="G73" s="49"/>
    </row>
    <row r="75" spans="2:7" x14ac:dyDescent="0.25">
      <c r="B75" s="41" t="s">
        <v>113</v>
      </c>
      <c r="C75" s="41"/>
    </row>
    <row r="76" spans="2:7" ht="15" customHeight="1" x14ac:dyDescent="0.25">
      <c r="B76" s="656" t="s">
        <v>148</v>
      </c>
      <c r="C76" s="656"/>
      <c r="D76" s="656"/>
      <c r="E76" s="656"/>
      <c r="F76" s="656"/>
      <c r="G76" s="656"/>
    </row>
    <row r="77" spans="2:7" x14ac:dyDescent="0.25">
      <c r="B77" s="656"/>
      <c r="C77" s="656"/>
      <c r="D77" s="656"/>
      <c r="E77" s="656"/>
      <c r="F77" s="656"/>
      <c r="G77" s="656"/>
    </row>
    <row r="78" spans="2:7" x14ac:dyDescent="0.25">
      <c r="B78" s="656"/>
      <c r="C78" s="656"/>
      <c r="D78" s="656"/>
      <c r="E78" s="656"/>
      <c r="F78" s="656"/>
      <c r="G78" s="656"/>
    </row>
    <row r="79" spans="2:7" x14ac:dyDescent="0.25">
      <c r="B79" s="656"/>
      <c r="C79" s="656"/>
      <c r="D79" s="656"/>
      <c r="E79" s="656"/>
      <c r="F79" s="656"/>
      <c r="G79" s="656"/>
    </row>
    <row r="80" spans="2:7" ht="24.75" customHeight="1" x14ac:dyDescent="0.25">
      <c r="B80" s="656"/>
      <c r="C80" s="656"/>
      <c r="D80" s="656"/>
      <c r="E80" s="656"/>
      <c r="F80" s="656"/>
      <c r="G80" s="656"/>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209</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O473"/>
  <sheetViews>
    <sheetView tabSelected="1" topLeftCell="A16" zoomScaleNormal="100" workbookViewId="0">
      <selection activeCell="H73" sqref="H73:J73"/>
    </sheetView>
  </sheetViews>
  <sheetFormatPr baseColWidth="10" defaultRowHeight="17.100000000000001" customHeight="1" x14ac:dyDescent="0.25"/>
  <cols>
    <col min="1" max="1" width="5.42578125" style="107" customWidth="1"/>
    <col min="2" max="2" width="12.85546875" style="107" customWidth="1"/>
    <col min="3" max="3" width="9.42578125" style="107" customWidth="1"/>
    <col min="4" max="4" width="11.140625" style="107" customWidth="1"/>
    <col min="5" max="5" width="14.5703125" style="107" customWidth="1"/>
    <col min="6" max="6" width="14.7109375" style="107" customWidth="1"/>
    <col min="7" max="7" width="13.85546875" style="107" customWidth="1"/>
    <col min="8" max="8" width="14.5703125" style="107" customWidth="1"/>
    <col min="9" max="9" width="15" style="107" customWidth="1"/>
    <col min="10" max="12" width="13.85546875" style="107" customWidth="1"/>
    <col min="13" max="13" width="17.42578125" style="107" customWidth="1"/>
    <col min="14" max="16" width="13.85546875" style="107" customWidth="1"/>
    <col min="17" max="17" width="15.140625" style="107" customWidth="1"/>
    <col min="18" max="18" width="13.85546875" style="107" customWidth="1"/>
    <col min="19" max="19" width="15.28515625" style="107" customWidth="1"/>
    <col min="20" max="23" width="13.85546875" style="107" customWidth="1"/>
    <col min="24" max="24" width="15.7109375" style="107" customWidth="1"/>
    <col min="25" max="25" width="16.140625" style="107" customWidth="1"/>
    <col min="26" max="26" width="15.42578125" style="107" customWidth="1"/>
    <col min="27" max="27" width="12.7109375" style="107" customWidth="1"/>
    <col min="28" max="28" width="24.5703125" style="107" customWidth="1"/>
    <col min="29" max="29" width="32.28515625" style="107" customWidth="1"/>
    <col min="30" max="30" width="11.42578125" style="107"/>
    <col min="31" max="31" width="13.28515625" style="107" customWidth="1"/>
    <col min="32" max="33" width="11.42578125" style="107"/>
    <col min="34" max="34" width="14.5703125" style="107" customWidth="1"/>
    <col min="35" max="35" width="11.42578125" style="107"/>
    <col min="36" max="36" width="14.7109375" style="107" customWidth="1"/>
    <col min="37" max="46" width="12.7109375" style="107" customWidth="1"/>
    <col min="47" max="47" width="15.7109375" style="107" customWidth="1"/>
    <col min="48" max="48" width="11.42578125" style="107"/>
    <col min="49" max="49" width="13.28515625" style="107" customWidth="1"/>
    <col min="50" max="50" width="19.7109375" style="107" bestFit="1" customWidth="1"/>
    <col min="51" max="53" width="11.42578125" style="107"/>
    <col min="54" max="54" width="16.140625" style="107" customWidth="1"/>
    <col min="55" max="56" width="11.42578125" style="107"/>
    <col min="57" max="57" width="16.28515625" style="107" customWidth="1"/>
    <col min="58" max="58" width="11.42578125" style="107"/>
    <col min="59" max="59" width="13" style="107" bestFit="1" customWidth="1"/>
    <col min="60" max="60" width="14" style="107" customWidth="1"/>
    <col min="61" max="64" width="11.42578125" style="107"/>
    <col min="65" max="65" width="14.140625" style="107" customWidth="1"/>
    <col min="66" max="66" width="11.42578125" style="107"/>
    <col min="67" max="67" width="21.140625" style="107" customWidth="1"/>
    <col min="68" max="68" width="11.42578125" style="107"/>
    <col min="69" max="69" width="49.85546875" style="107" customWidth="1"/>
    <col min="70" max="70" width="15.28515625" style="107" customWidth="1"/>
    <col min="71" max="71" width="19.140625" style="107" customWidth="1"/>
    <col min="72" max="75" width="11.42578125" style="107"/>
    <col min="76" max="76" width="12.28515625" style="107" customWidth="1"/>
    <col min="77" max="79" width="11.42578125" style="107"/>
    <col min="80" max="80" width="13.140625" style="107" bestFit="1" customWidth="1"/>
    <col min="81" max="82" width="13.140625" style="107" customWidth="1"/>
    <col min="83" max="83" width="47.28515625" style="107" customWidth="1"/>
    <col min="84" max="87" width="11.42578125" style="107" customWidth="1"/>
    <col min="88" max="116" width="11.42578125" style="107"/>
    <col min="117" max="117" width="58.85546875" style="107" customWidth="1"/>
    <col min="118" max="16384" width="11.42578125" style="107"/>
  </cols>
  <sheetData>
    <row r="1" spans="1:119" ht="20.100000000000001" customHeight="1" x14ac:dyDescent="0.25">
      <c r="A1" s="12"/>
      <c r="B1" s="174"/>
      <c r="C1" s="174"/>
      <c r="D1" s="174"/>
      <c r="E1" s="174"/>
      <c r="F1" s="174"/>
      <c r="G1" s="174"/>
      <c r="H1" s="174"/>
      <c r="I1" s="174"/>
      <c r="J1" s="174"/>
      <c r="K1" s="174"/>
      <c r="L1" s="174"/>
      <c r="Y1" s="111"/>
    </row>
    <row r="2" spans="1:119" ht="20.100000000000001" customHeight="1" x14ac:dyDescent="0.25">
      <c r="A2" s="12"/>
      <c r="B2" s="867"/>
      <c r="C2" s="867"/>
      <c r="D2" s="867"/>
      <c r="E2" s="867"/>
      <c r="F2" s="175" t="s">
        <v>119</v>
      </c>
      <c r="G2" s="174"/>
      <c r="H2" s="174"/>
      <c r="I2" s="174"/>
      <c r="J2" s="174"/>
      <c r="K2" s="174"/>
      <c r="L2" s="174"/>
      <c r="Y2" s="111"/>
    </row>
    <row r="3" spans="1:119" ht="20.100000000000001" customHeight="1" x14ac:dyDescent="0.25">
      <c r="A3" s="12"/>
      <c r="B3" s="867"/>
      <c r="C3" s="867"/>
      <c r="D3" s="867"/>
      <c r="E3" s="867"/>
      <c r="F3" s="175" t="s">
        <v>120</v>
      </c>
      <c r="G3" s="174"/>
      <c r="H3" s="174"/>
      <c r="I3" s="174"/>
      <c r="J3" s="174"/>
      <c r="K3" s="174"/>
      <c r="L3" s="174"/>
      <c r="Y3" s="111"/>
    </row>
    <row r="4" spans="1:119" ht="20.100000000000001" customHeight="1" x14ac:dyDescent="0.25">
      <c r="A4" s="12"/>
      <c r="B4" s="867"/>
      <c r="C4" s="867"/>
      <c r="D4" s="867"/>
      <c r="E4" s="867"/>
      <c r="F4" s="175" t="s">
        <v>121</v>
      </c>
      <c r="G4" s="174"/>
      <c r="H4" s="174"/>
      <c r="I4" s="174"/>
      <c r="J4" s="174"/>
      <c r="K4" s="174"/>
      <c r="L4" s="174"/>
      <c r="Y4" s="111"/>
      <c r="AT4" s="132"/>
      <c r="AU4" s="132"/>
      <c r="BM4" s="212"/>
      <c r="BO4" s="158"/>
      <c r="BQ4" s="158"/>
      <c r="BR4" s="158"/>
      <c r="BS4" s="158"/>
      <c r="BU4" s="158"/>
      <c r="BV4" s="158"/>
      <c r="BW4" s="158"/>
      <c r="BX4" s="158"/>
      <c r="BY4" s="158"/>
      <c r="BZ4" s="158"/>
      <c r="CA4" s="158"/>
      <c r="CB4" s="158"/>
      <c r="CC4" s="158"/>
      <c r="CD4" s="158"/>
      <c r="CE4" s="158"/>
      <c r="CF4" s="158"/>
      <c r="CG4" s="158"/>
      <c r="CH4" s="158"/>
      <c r="CI4" s="158"/>
      <c r="CJ4" s="158"/>
      <c r="CK4" s="158"/>
      <c r="CL4" s="158"/>
      <c r="CM4" s="158"/>
      <c r="CN4" s="158"/>
      <c r="CO4" s="158"/>
      <c r="CP4" s="158"/>
      <c r="CQ4" s="158"/>
      <c r="CR4" s="158"/>
      <c r="CS4" s="158"/>
      <c r="CT4" s="158"/>
      <c r="CU4" s="158"/>
      <c r="CV4" s="158"/>
      <c r="CW4" s="158"/>
    </row>
    <row r="5" spans="1:119" ht="20.100000000000001" customHeight="1" x14ac:dyDescent="0.25">
      <c r="A5" s="12"/>
      <c r="B5" s="867"/>
      <c r="C5" s="867"/>
      <c r="D5" s="867"/>
      <c r="E5" s="867"/>
      <c r="F5" s="175" t="s">
        <v>296</v>
      </c>
      <c r="G5" s="174"/>
      <c r="H5" s="174"/>
      <c r="I5" s="174"/>
      <c r="J5" s="174"/>
      <c r="K5" s="174"/>
      <c r="L5" s="174"/>
      <c r="Y5" s="111"/>
      <c r="AE5" s="441" t="s">
        <v>234</v>
      </c>
      <c r="AF5" s="442" t="s">
        <v>294</v>
      </c>
      <c r="AG5" s="881" t="s">
        <v>237</v>
      </c>
      <c r="AH5" s="881" t="s">
        <v>235</v>
      </c>
      <c r="AJ5" s="880" t="s">
        <v>337</v>
      </c>
      <c r="AK5" s="880"/>
      <c r="AL5" s="313"/>
      <c r="AM5" s="871" t="s">
        <v>524</v>
      </c>
      <c r="AN5" s="871" t="s">
        <v>531</v>
      </c>
      <c r="AO5" s="871" t="s">
        <v>532</v>
      </c>
      <c r="AP5" s="871" t="s">
        <v>589</v>
      </c>
      <c r="AQ5" s="871" t="s">
        <v>590</v>
      </c>
      <c r="AR5" s="871" t="s">
        <v>530</v>
      </c>
      <c r="AS5" s="370"/>
      <c r="AT5" s="886" t="s">
        <v>183</v>
      </c>
      <c r="AU5" s="886" t="s">
        <v>184</v>
      </c>
      <c r="AV5" s="162"/>
      <c r="AW5" s="871" t="s">
        <v>366</v>
      </c>
      <c r="AX5" s="871" t="s">
        <v>365</v>
      </c>
      <c r="AY5" s="339"/>
      <c r="AZ5" s="871" t="s">
        <v>576</v>
      </c>
      <c r="BA5" s="195"/>
      <c r="BB5" s="871" t="s">
        <v>370</v>
      </c>
      <c r="BC5" s="871" t="s">
        <v>371</v>
      </c>
      <c r="BD5" s="162"/>
      <c r="BE5" s="871" t="s">
        <v>369</v>
      </c>
      <c r="BF5" s="162"/>
      <c r="BG5" s="871" t="s">
        <v>367</v>
      </c>
      <c r="BH5" s="871" t="s">
        <v>368</v>
      </c>
      <c r="BI5" s="871" t="s">
        <v>376</v>
      </c>
      <c r="BJ5" s="281"/>
      <c r="BK5" s="871" t="s">
        <v>469</v>
      </c>
      <c r="BL5" s="111"/>
      <c r="BM5" s="871" t="s">
        <v>381</v>
      </c>
      <c r="BO5" s="883" t="s">
        <v>383</v>
      </c>
      <c r="BQ5" s="879" t="s">
        <v>420</v>
      </c>
      <c r="BR5" s="879" t="s">
        <v>399</v>
      </c>
      <c r="BS5" s="879" t="s">
        <v>400</v>
      </c>
      <c r="BU5" s="871" t="s">
        <v>392</v>
      </c>
      <c r="BV5" s="871" t="s">
        <v>403</v>
      </c>
      <c r="BW5" s="871" t="s">
        <v>410</v>
      </c>
      <c r="BX5" s="871" t="s">
        <v>409</v>
      </c>
      <c r="BY5" s="871" t="s">
        <v>398</v>
      </c>
      <c r="BZ5" s="871" t="s">
        <v>404</v>
      </c>
      <c r="CA5" s="871" t="s">
        <v>397</v>
      </c>
      <c r="CB5" s="871" t="s">
        <v>407</v>
      </c>
      <c r="CC5" s="250"/>
      <c r="CD5" s="221"/>
      <c r="CE5" s="871" t="s">
        <v>408</v>
      </c>
      <c r="CF5" s="871" t="s">
        <v>451</v>
      </c>
      <c r="CG5" s="871" t="s">
        <v>452</v>
      </c>
      <c r="CH5" s="871" t="s">
        <v>456</v>
      </c>
      <c r="CI5" s="871"/>
      <c r="CJ5" s="871"/>
      <c r="CK5" s="871"/>
      <c r="CL5" s="871"/>
      <c r="CM5" s="871"/>
      <c r="CN5" s="871"/>
      <c r="CO5" s="871"/>
      <c r="CP5" s="871"/>
      <c r="CQ5" s="871"/>
      <c r="CR5" s="871"/>
      <c r="CS5" s="871"/>
      <c r="CT5" s="871"/>
      <c r="CU5" s="871"/>
      <c r="CV5" s="871"/>
      <c r="CW5" s="871"/>
      <c r="CX5" s="871"/>
      <c r="CY5" s="871"/>
      <c r="CZ5" s="871"/>
      <c r="DA5" s="871"/>
      <c r="DB5" s="871"/>
      <c r="DC5" s="871"/>
      <c r="DD5" s="871"/>
      <c r="DE5" s="871"/>
      <c r="DF5" s="871"/>
      <c r="DG5" s="871"/>
      <c r="DH5" s="871"/>
      <c r="DI5" s="871"/>
      <c r="DJ5" s="871"/>
      <c r="DK5" s="871"/>
      <c r="DM5" s="301"/>
      <c r="DO5" s="871" t="s">
        <v>506</v>
      </c>
    </row>
    <row r="6" spans="1:119" ht="20.100000000000001" customHeight="1" x14ac:dyDescent="0.25">
      <c r="B6" s="174"/>
      <c r="C6" s="174"/>
      <c r="D6" s="174"/>
      <c r="E6" s="174"/>
      <c r="F6" s="174"/>
      <c r="G6" s="174"/>
      <c r="H6" s="174"/>
      <c r="I6" s="174"/>
      <c r="J6" s="174"/>
      <c r="K6" s="174"/>
      <c r="L6" s="174"/>
      <c r="Y6" s="880" t="s">
        <v>307</v>
      </c>
      <c r="Z6" s="880"/>
      <c r="AA6" s="880"/>
      <c r="AB6" s="880"/>
      <c r="AC6" s="880"/>
      <c r="AE6" s="443" t="s">
        <v>240</v>
      </c>
      <c r="AF6" s="443" t="s">
        <v>239</v>
      </c>
      <c r="AG6" s="882"/>
      <c r="AH6" s="882"/>
      <c r="AJ6" s="880"/>
      <c r="AK6" s="880"/>
      <c r="AL6" s="313"/>
      <c r="AM6" s="871"/>
      <c r="AN6" s="871"/>
      <c r="AO6" s="871"/>
      <c r="AP6" s="871"/>
      <c r="AQ6" s="871"/>
      <c r="AR6" s="871"/>
      <c r="AS6" s="370"/>
      <c r="AT6" s="887"/>
      <c r="AU6" s="887"/>
      <c r="AV6" s="165"/>
      <c r="AW6" s="871"/>
      <c r="AX6" s="871"/>
      <c r="AY6" s="339"/>
      <c r="AZ6" s="871"/>
      <c r="BA6" s="195"/>
      <c r="BB6" s="871"/>
      <c r="BC6" s="871"/>
      <c r="BD6" s="162"/>
      <c r="BE6" s="871"/>
      <c r="BF6" s="162"/>
      <c r="BG6" s="871"/>
      <c r="BH6" s="871"/>
      <c r="BI6" s="871"/>
      <c r="BJ6" s="281"/>
      <c r="BK6" s="871"/>
      <c r="BL6" s="111"/>
      <c r="BM6" s="871"/>
      <c r="BO6" s="884"/>
      <c r="BQ6" s="879"/>
      <c r="BR6" s="879"/>
      <c r="BS6" s="879"/>
      <c r="BU6" s="871"/>
      <c r="BV6" s="871"/>
      <c r="BW6" s="871"/>
      <c r="BX6" s="871"/>
      <c r="BY6" s="871"/>
      <c r="BZ6" s="871"/>
      <c r="CA6" s="871"/>
      <c r="CB6" s="871"/>
      <c r="CC6" s="250"/>
      <c r="CD6" s="221"/>
      <c r="CE6" s="871"/>
      <c r="CF6" s="871"/>
      <c r="CG6" s="871"/>
      <c r="CH6" s="901" t="s">
        <v>403</v>
      </c>
      <c r="CI6" s="902"/>
      <c r="CJ6" s="902"/>
      <c r="CK6" s="902"/>
      <c r="CL6" s="902"/>
      <c r="CM6" s="902"/>
      <c r="CN6" s="902"/>
      <c r="CO6" s="902"/>
      <c r="CP6" s="902"/>
      <c r="CQ6" s="902"/>
      <c r="CR6" s="902"/>
      <c r="CS6" s="902"/>
      <c r="CT6" s="902"/>
      <c r="CU6" s="902"/>
      <c r="CV6" s="902"/>
      <c r="CW6" s="903"/>
      <c r="CX6" s="901" t="s">
        <v>455</v>
      </c>
      <c r="CY6" s="902"/>
      <c r="CZ6" s="902"/>
      <c r="DA6" s="902"/>
      <c r="DB6" s="902"/>
      <c r="DC6" s="902"/>
      <c r="DD6" s="902"/>
      <c r="DE6" s="902"/>
      <c r="DF6" s="902"/>
      <c r="DG6" s="902"/>
      <c r="DH6" s="902"/>
      <c r="DI6" s="902"/>
      <c r="DJ6" s="902"/>
      <c r="DK6" s="903"/>
      <c r="DM6" s="883" t="s">
        <v>477</v>
      </c>
      <c r="DO6" s="871"/>
    </row>
    <row r="7" spans="1:119" ht="20.100000000000001" customHeight="1" x14ac:dyDescent="0.25">
      <c r="B7" s="86" t="s">
        <v>289</v>
      </c>
      <c r="C7" s="171"/>
      <c r="D7" s="171"/>
      <c r="E7" s="171"/>
      <c r="F7" s="171"/>
      <c r="G7" s="171"/>
      <c r="H7" s="127"/>
      <c r="I7" s="127"/>
      <c r="J7" s="127"/>
      <c r="K7" s="174"/>
      <c r="L7" s="174"/>
      <c r="Y7" s="880"/>
      <c r="Z7" s="880"/>
      <c r="AA7" s="880"/>
      <c r="AB7" s="880"/>
      <c r="AC7" s="880"/>
      <c r="AD7" s="111"/>
      <c r="AE7" s="444" t="s">
        <v>236</v>
      </c>
      <c r="AF7" s="444" t="s">
        <v>241</v>
      </c>
      <c r="AG7" s="445" t="s">
        <v>238</v>
      </c>
      <c r="AH7" s="444" t="s">
        <v>242</v>
      </c>
      <c r="AI7" s="111"/>
      <c r="AJ7" s="880"/>
      <c r="AK7" s="880"/>
      <c r="AL7" s="313"/>
      <c r="AM7" s="871"/>
      <c r="AN7" s="871"/>
      <c r="AO7" s="871"/>
      <c r="AP7" s="871"/>
      <c r="AQ7" s="871"/>
      <c r="AR7" s="871"/>
      <c r="AS7" s="370"/>
      <c r="AT7" s="888"/>
      <c r="AU7" s="888"/>
      <c r="AV7" s="165"/>
      <c r="AW7" s="871"/>
      <c r="AX7" s="871"/>
      <c r="AY7" s="339"/>
      <c r="AZ7" s="871"/>
      <c r="BA7" s="195"/>
      <c r="BB7" s="871"/>
      <c r="BC7" s="871"/>
      <c r="BD7" s="162"/>
      <c r="BE7" s="871"/>
      <c r="BF7" s="162"/>
      <c r="BG7" s="871"/>
      <c r="BH7" s="871"/>
      <c r="BI7" s="871"/>
      <c r="BJ7" s="281"/>
      <c r="BK7" s="871"/>
      <c r="BL7" s="111"/>
      <c r="BM7" s="871"/>
      <c r="BO7" s="885"/>
      <c r="BQ7" s="879"/>
      <c r="BR7" s="879"/>
      <c r="BS7" s="879"/>
      <c r="BU7" s="871"/>
      <c r="BV7" s="871"/>
      <c r="BW7" s="871"/>
      <c r="BX7" s="871"/>
      <c r="BY7" s="871"/>
      <c r="BZ7" s="871"/>
      <c r="CA7" s="871"/>
      <c r="CB7" s="871"/>
      <c r="CC7" s="250"/>
      <c r="CD7" s="272">
        <v>1</v>
      </c>
      <c r="CE7" s="871"/>
      <c r="CF7" s="871"/>
      <c r="CG7" s="871"/>
      <c r="CH7" s="396">
        <v>150</v>
      </c>
      <c r="CI7" s="396">
        <v>160</v>
      </c>
      <c r="CJ7" s="396">
        <v>200</v>
      </c>
      <c r="CK7" s="397">
        <v>250</v>
      </c>
      <c r="CL7" s="397">
        <v>300</v>
      </c>
      <c r="CM7" s="397">
        <v>315</v>
      </c>
      <c r="CN7" s="397">
        <v>350</v>
      </c>
      <c r="CO7" s="397">
        <v>355</v>
      </c>
      <c r="CP7" s="397">
        <v>400</v>
      </c>
      <c r="CQ7" s="397">
        <v>450</v>
      </c>
      <c r="CR7" s="397">
        <v>500</v>
      </c>
      <c r="CS7" s="397">
        <v>600</v>
      </c>
      <c r="CT7" s="397">
        <v>700</v>
      </c>
      <c r="CU7" s="397">
        <v>800</v>
      </c>
      <c r="CV7" s="397">
        <v>900</v>
      </c>
      <c r="CW7" s="397">
        <v>1000</v>
      </c>
      <c r="CX7" s="396">
        <v>6</v>
      </c>
      <c r="CY7" s="396">
        <v>8</v>
      </c>
      <c r="CZ7" s="396">
        <v>10</v>
      </c>
      <c r="DA7" s="396">
        <v>12</v>
      </c>
      <c r="DB7" s="396">
        <v>14</v>
      </c>
      <c r="DC7" s="396">
        <v>16</v>
      </c>
      <c r="DD7" s="396">
        <v>18</v>
      </c>
      <c r="DE7" s="396">
        <v>20</v>
      </c>
      <c r="DF7" s="396">
        <v>24</v>
      </c>
      <c r="DG7" s="396">
        <v>28</v>
      </c>
      <c r="DH7" s="396">
        <v>32</v>
      </c>
      <c r="DI7" s="396">
        <v>34</v>
      </c>
      <c r="DJ7" s="396">
        <v>36</v>
      </c>
      <c r="DK7" s="396">
        <v>40</v>
      </c>
      <c r="DM7" s="885"/>
      <c r="DO7" s="871"/>
    </row>
    <row r="8" spans="1:119" ht="20.100000000000001" customHeight="1" x14ac:dyDescent="0.25">
      <c r="B8" s="640" t="s">
        <v>290</v>
      </c>
      <c r="C8" s="640"/>
      <c r="D8" s="640"/>
      <c r="E8" s="640"/>
      <c r="F8" s="640"/>
      <c r="G8" s="640"/>
      <c r="H8" s="185" t="s">
        <v>292</v>
      </c>
      <c r="I8" s="383">
        <v>1.3</v>
      </c>
      <c r="J8" s="344"/>
      <c r="K8" s="174"/>
      <c r="L8" s="174"/>
      <c r="Y8" s="892" t="s">
        <v>297</v>
      </c>
      <c r="Z8" s="893"/>
      <c r="AA8" s="894"/>
      <c r="AB8" s="404" t="s">
        <v>295</v>
      </c>
      <c r="AC8" s="404" t="s">
        <v>320</v>
      </c>
      <c r="AD8" s="23"/>
      <c r="AE8" s="446" t="s">
        <v>245</v>
      </c>
      <c r="AF8" s="447"/>
      <c r="AG8" s="448"/>
      <c r="AH8" s="449"/>
      <c r="AI8" s="23"/>
      <c r="AJ8" s="427" t="s">
        <v>339</v>
      </c>
      <c r="AK8" s="428"/>
      <c r="AL8" s="23"/>
      <c r="AM8" s="404"/>
      <c r="AN8" s="404"/>
      <c r="AO8" s="404"/>
      <c r="AP8" s="404"/>
      <c r="AQ8" s="404"/>
      <c r="AR8" s="404"/>
      <c r="AS8" s="23"/>
      <c r="AT8" s="439">
        <v>140</v>
      </c>
      <c r="AU8" s="440">
        <v>0.105</v>
      </c>
      <c r="AV8" s="23"/>
      <c r="AW8" s="426"/>
      <c r="AX8" s="426"/>
      <c r="AY8" s="196"/>
      <c r="AZ8" s="426"/>
      <c r="BA8" s="196"/>
      <c r="BB8" s="426"/>
      <c r="BC8" s="424"/>
      <c r="BD8" s="162"/>
      <c r="BE8" s="425"/>
      <c r="BF8" s="162"/>
      <c r="BG8" s="140"/>
      <c r="BH8" s="424"/>
      <c r="BI8" s="424"/>
      <c r="BJ8" s="192"/>
      <c r="BK8" s="424"/>
      <c r="BL8" s="204"/>
      <c r="BM8" s="140"/>
      <c r="BO8" s="395"/>
      <c r="BQ8" s="454"/>
      <c r="BR8" s="454"/>
      <c r="BS8" s="454"/>
      <c r="BT8" s="107">
        <v>8</v>
      </c>
      <c r="BU8" s="813" t="str">
        <f>BQ9</f>
        <v>Acero al carbono API 5L SCH-40</v>
      </c>
      <c r="BV8" s="814"/>
      <c r="BW8" s="814"/>
      <c r="BX8" s="814"/>
      <c r="BY8" s="814"/>
      <c r="BZ8" s="814"/>
      <c r="CA8" s="814"/>
      <c r="CB8" s="815"/>
      <c r="CC8" s="278">
        <v>8</v>
      </c>
      <c r="CD8" s="272">
        <v>2</v>
      </c>
      <c r="CE8" s="140"/>
      <c r="CF8" s="140"/>
      <c r="CG8" s="140"/>
      <c r="CH8" s="140"/>
      <c r="CI8" s="140"/>
      <c r="CJ8" s="394"/>
      <c r="CK8" s="394"/>
      <c r="CL8" s="394"/>
      <c r="CM8" s="394"/>
      <c r="CN8" s="394"/>
      <c r="CO8" s="394"/>
      <c r="CP8" s="394"/>
      <c r="CQ8" s="394"/>
      <c r="CR8" s="394"/>
      <c r="CS8" s="394"/>
      <c r="CT8" s="394"/>
      <c r="CU8" s="394"/>
      <c r="CV8" s="394"/>
      <c r="CW8" s="394"/>
      <c r="CX8" s="140"/>
      <c r="CY8" s="394"/>
      <c r="CZ8" s="394"/>
      <c r="DA8" s="394"/>
      <c r="DB8" s="394"/>
      <c r="DC8" s="394"/>
      <c r="DD8" s="394"/>
      <c r="DE8" s="394"/>
      <c r="DF8" s="394"/>
      <c r="DG8" s="394"/>
      <c r="DH8" s="394"/>
      <c r="DI8" s="394"/>
      <c r="DJ8" s="394"/>
      <c r="DK8" s="394"/>
      <c r="DM8" s="395" t="s">
        <v>475</v>
      </c>
      <c r="DO8" s="394">
        <v>0.1</v>
      </c>
    </row>
    <row r="9" spans="1:119" ht="20.100000000000001" customHeight="1" x14ac:dyDescent="0.25">
      <c r="B9" s="640" t="s">
        <v>291</v>
      </c>
      <c r="C9" s="640"/>
      <c r="D9" s="640"/>
      <c r="E9" s="640"/>
      <c r="F9" s="640"/>
      <c r="G9" s="640"/>
      <c r="H9" s="185" t="s">
        <v>293</v>
      </c>
      <c r="I9" s="383">
        <v>1.6</v>
      </c>
      <c r="J9" s="344"/>
      <c r="K9" s="174"/>
      <c r="L9" s="174"/>
      <c r="Y9" s="892" t="s">
        <v>298</v>
      </c>
      <c r="Z9" s="893"/>
      <c r="AA9" s="894"/>
      <c r="AB9" s="404" t="s">
        <v>308</v>
      </c>
      <c r="AC9" s="404" t="s">
        <v>321</v>
      </c>
      <c r="AD9" s="23"/>
      <c r="AE9" s="446">
        <v>0</v>
      </c>
      <c r="AF9" s="447">
        <v>999.82</v>
      </c>
      <c r="AG9" s="450">
        <v>1.792E-3</v>
      </c>
      <c r="AH9" s="449">
        <f t="shared" ref="AH9:AH44" si="0">AG9/AF9</f>
        <v>1.7923226180712527E-6</v>
      </c>
      <c r="AI9" s="23"/>
      <c r="AJ9" s="427" t="s">
        <v>33</v>
      </c>
      <c r="AK9" s="428"/>
      <c r="AL9" s="23"/>
      <c r="AM9" s="404" t="s">
        <v>525</v>
      </c>
      <c r="AN9" s="394">
        <v>0.73</v>
      </c>
      <c r="AO9" s="394">
        <v>0.73</v>
      </c>
      <c r="AP9" s="394">
        <v>0.81</v>
      </c>
      <c r="AQ9" s="394">
        <v>7.7</v>
      </c>
      <c r="AR9" s="410">
        <v>6.9</v>
      </c>
      <c r="AS9" s="119"/>
      <c r="AT9" s="439">
        <v>100</v>
      </c>
      <c r="AU9" s="440">
        <v>0.14899999999999999</v>
      </c>
      <c r="AV9" s="23"/>
      <c r="AW9" s="426">
        <v>0.25</v>
      </c>
      <c r="AX9" s="599">
        <f>PI()*((AW9*0.0254)^2)/4</f>
        <v>3.1669217443593606E-5</v>
      </c>
      <c r="AY9" s="192"/>
      <c r="AZ9" s="399">
        <v>0.75</v>
      </c>
      <c r="BA9" s="192"/>
      <c r="BB9" s="426">
        <v>1.5</v>
      </c>
      <c r="BC9" s="424">
        <f t="shared" ref="BC9" si="1">PI()*((BB9*0.0254)^2)/4</f>
        <v>1.1400918279693697E-3</v>
      </c>
      <c r="BD9" s="162"/>
      <c r="BE9" s="399">
        <v>0.2</v>
      </c>
      <c r="BF9" s="162"/>
      <c r="BG9" s="140" t="s">
        <v>355</v>
      </c>
      <c r="BH9" s="424">
        <f>(6*0.0254)^2</f>
        <v>2.3225759999999995E-2</v>
      </c>
      <c r="BI9" s="424">
        <f>6*0.0254</f>
        <v>0.15239999999999998</v>
      </c>
      <c r="BJ9" s="192"/>
      <c r="BK9" s="394">
        <v>0.6</v>
      </c>
      <c r="BL9" s="204"/>
      <c r="BM9" s="140">
        <v>10</v>
      </c>
      <c r="BO9" s="395">
        <v>36</v>
      </c>
      <c r="BP9" s="107">
        <v>9</v>
      </c>
      <c r="BQ9" s="455" t="s">
        <v>395</v>
      </c>
      <c r="BR9" s="456">
        <v>0.15</v>
      </c>
      <c r="BS9" s="451">
        <v>140</v>
      </c>
      <c r="BT9" s="107">
        <v>9</v>
      </c>
      <c r="BU9" s="140"/>
      <c r="BV9" s="140"/>
      <c r="BW9" s="140"/>
      <c r="BX9" s="140"/>
      <c r="BY9" s="140"/>
      <c r="BZ9" s="140"/>
      <c r="CA9" s="140"/>
      <c r="CB9" s="140"/>
      <c r="CC9" s="278">
        <v>9</v>
      </c>
      <c r="CD9" s="272">
        <v>3</v>
      </c>
      <c r="CE9" s="395" t="s">
        <v>412</v>
      </c>
      <c r="CF9" s="140">
        <v>1</v>
      </c>
      <c r="CG9" s="140">
        <v>1</v>
      </c>
      <c r="CH9" s="140">
        <v>0.12</v>
      </c>
      <c r="CI9" s="140">
        <v>0.12</v>
      </c>
      <c r="CJ9" s="394">
        <v>0.11</v>
      </c>
      <c r="CK9" s="394">
        <v>0.11</v>
      </c>
      <c r="CL9" s="394">
        <v>0.1</v>
      </c>
      <c r="CM9" s="394">
        <v>0.1</v>
      </c>
      <c r="CN9" s="394">
        <v>0.1</v>
      </c>
      <c r="CO9" s="394">
        <v>0.1</v>
      </c>
      <c r="CP9" s="394">
        <v>0.1</v>
      </c>
      <c r="CQ9" s="394">
        <v>0.1</v>
      </c>
      <c r="CR9" s="394">
        <v>0.1</v>
      </c>
      <c r="CS9" s="394">
        <v>0.1</v>
      </c>
      <c r="CT9" s="394">
        <v>0.1</v>
      </c>
      <c r="CU9" s="394">
        <v>0.1</v>
      </c>
      <c r="CV9" s="394">
        <v>0.1</v>
      </c>
      <c r="CW9" s="394">
        <v>0.1</v>
      </c>
      <c r="CX9" s="399">
        <f>CH9</f>
        <v>0.12</v>
      </c>
      <c r="CY9" s="399">
        <f>CJ9</f>
        <v>0.11</v>
      </c>
      <c r="CZ9" s="399">
        <f>CK9</f>
        <v>0.11</v>
      </c>
      <c r="DA9" s="399">
        <f>CL9</f>
        <v>0.1</v>
      </c>
      <c r="DB9" s="399">
        <f>CN9</f>
        <v>0.1</v>
      </c>
      <c r="DC9" s="399">
        <f t="shared" ref="DC9:DH9" si="2">CP9</f>
        <v>0.1</v>
      </c>
      <c r="DD9" s="399">
        <f t="shared" si="2"/>
        <v>0.1</v>
      </c>
      <c r="DE9" s="399">
        <f t="shared" si="2"/>
        <v>0.1</v>
      </c>
      <c r="DF9" s="399">
        <f t="shared" si="2"/>
        <v>0.1</v>
      </c>
      <c r="DG9" s="394">
        <f t="shared" si="2"/>
        <v>0.1</v>
      </c>
      <c r="DH9" s="394">
        <f t="shared" si="2"/>
        <v>0.1</v>
      </c>
      <c r="DI9" s="394">
        <v>0.1</v>
      </c>
      <c r="DJ9" s="394">
        <f t="shared" ref="DJ9:DJ23" si="3">CV9</f>
        <v>0.1</v>
      </c>
      <c r="DK9" s="394">
        <f t="shared" ref="DK9:DK23" si="4">CW9</f>
        <v>0.1</v>
      </c>
      <c r="DM9" s="395" t="s">
        <v>476</v>
      </c>
      <c r="DO9" s="394">
        <v>0.15</v>
      </c>
    </row>
    <row r="10" spans="1:119" ht="20.100000000000001" customHeight="1" x14ac:dyDescent="0.25">
      <c r="B10" s="640" t="s">
        <v>286</v>
      </c>
      <c r="C10" s="640"/>
      <c r="D10" s="640"/>
      <c r="E10" s="640"/>
      <c r="F10" s="640"/>
      <c r="G10" s="640"/>
      <c r="H10" s="185" t="s">
        <v>287</v>
      </c>
      <c r="I10" s="383">
        <v>4.4040000000000003E-2</v>
      </c>
      <c r="J10" s="185" t="s">
        <v>274</v>
      </c>
      <c r="K10" s="174"/>
      <c r="L10" s="174"/>
      <c r="Y10" s="892" t="s">
        <v>299</v>
      </c>
      <c r="Z10" s="893"/>
      <c r="AA10" s="894"/>
      <c r="AB10" s="404" t="s">
        <v>309</v>
      </c>
      <c r="AC10" s="404" t="s">
        <v>322</v>
      </c>
      <c r="AD10" s="23"/>
      <c r="AE10" s="451">
        <v>1</v>
      </c>
      <c r="AF10" s="452">
        <v>999.89</v>
      </c>
      <c r="AG10" s="453">
        <v>1.7310000000000001E-3</v>
      </c>
      <c r="AH10" s="449">
        <f t="shared" si="0"/>
        <v>1.7311904309474043E-6</v>
      </c>
      <c r="AI10" s="23"/>
      <c r="AJ10" s="427" t="s">
        <v>338</v>
      </c>
      <c r="AK10" s="428"/>
      <c r="AL10" s="23"/>
      <c r="AM10" s="404" t="s">
        <v>526</v>
      </c>
      <c r="AN10" s="394"/>
      <c r="AO10" s="394"/>
      <c r="AP10" s="394">
        <v>0.85</v>
      </c>
      <c r="AQ10" s="394"/>
      <c r="AR10" s="410">
        <v>6.2</v>
      </c>
      <c r="AS10" s="119"/>
      <c r="AT10" s="439">
        <v>80</v>
      </c>
      <c r="AU10" s="440">
        <v>0.17699999999999999</v>
      </c>
      <c r="AV10" s="138"/>
      <c r="AW10" s="426">
        <v>0.375</v>
      </c>
      <c r="AX10" s="599">
        <f t="shared" ref="AX10:AX12" si="5">PI()*((AW10*0.0254)^2)/4</f>
        <v>7.1255739248085606E-5</v>
      </c>
      <c r="AY10" s="192"/>
      <c r="AZ10" s="399">
        <v>0.1</v>
      </c>
      <c r="BA10" s="192"/>
      <c r="BB10" s="398">
        <v>2</v>
      </c>
      <c r="BC10" s="424">
        <f t="shared" ref="BC10:BC12" si="6">PI()*((BB10*0.0254)^2)/4</f>
        <v>2.0268299163899908E-3</v>
      </c>
      <c r="BD10" s="162"/>
      <c r="BE10" s="399">
        <v>0.25</v>
      </c>
      <c r="BF10" s="162"/>
      <c r="BG10" s="140" t="s">
        <v>356</v>
      </c>
      <c r="BH10" s="424">
        <f>(8*0.0254)^2</f>
        <v>4.1290239999999999E-2</v>
      </c>
      <c r="BI10" s="424">
        <f>8*0.0254</f>
        <v>0.20319999999999999</v>
      </c>
      <c r="BJ10" s="192"/>
      <c r="BK10" s="192"/>
      <c r="BL10" s="204"/>
      <c r="BM10" s="140">
        <v>11</v>
      </c>
      <c r="BO10" s="111"/>
      <c r="BP10" s="107">
        <v>10</v>
      </c>
      <c r="BQ10" s="455" t="s">
        <v>396</v>
      </c>
      <c r="BR10" s="456">
        <v>0.15</v>
      </c>
      <c r="BS10" s="451">
        <v>140</v>
      </c>
      <c r="BT10" s="107">
        <v>10</v>
      </c>
      <c r="BU10" s="140">
        <v>6</v>
      </c>
      <c r="BV10" s="140">
        <f>IF(BU10=6,150,IF(BU10=8,200,IF(BU10=10,250,IF(BU10=12,300,IF(BU10=14,350,IF(BU10=16,400,IF(BU10=18,450,IF(BU10=20,500,IF(BU10=22,550,IF(BU10=24,600,IF(BU10=32,800,IF(BU10=34,850,IF(BU10=36,900)))))))))))))</f>
        <v>150</v>
      </c>
      <c r="BW10" s="399">
        <v>6.625</v>
      </c>
      <c r="BX10" s="399"/>
      <c r="BY10" s="399">
        <v>0.28000000000000003</v>
      </c>
      <c r="BZ10" s="399"/>
      <c r="CA10" s="399">
        <f>ROUND((BW10-(2*BY10))*0.0254,3)</f>
        <v>0.154</v>
      </c>
      <c r="CB10" s="401">
        <f t="shared" ref="CB10:CB18" si="7">ROUND(BW10/BY10,0)</f>
        <v>24</v>
      </c>
      <c r="CC10" s="278">
        <v>10</v>
      </c>
      <c r="CD10" s="272">
        <v>4</v>
      </c>
      <c r="CE10" s="395"/>
      <c r="CF10" s="140"/>
      <c r="CG10" s="398"/>
      <c r="CH10" s="398"/>
      <c r="CI10" s="398"/>
      <c r="CJ10" s="394"/>
      <c r="CK10" s="394"/>
      <c r="CL10" s="394"/>
      <c r="CM10" s="394"/>
      <c r="CN10" s="394"/>
      <c r="CO10" s="394"/>
      <c r="CP10" s="394"/>
      <c r="CQ10" s="394"/>
      <c r="CR10" s="394"/>
      <c r="CS10" s="394"/>
      <c r="CT10" s="394"/>
      <c r="CU10" s="394"/>
      <c r="CV10" s="394"/>
      <c r="CW10" s="394"/>
      <c r="CX10" s="399"/>
      <c r="CY10" s="399"/>
      <c r="CZ10" s="399"/>
      <c r="DA10" s="399"/>
      <c r="DB10" s="399"/>
      <c r="DC10" s="399"/>
      <c r="DD10" s="399"/>
      <c r="DE10" s="399"/>
      <c r="DF10" s="399"/>
      <c r="DG10" s="394"/>
      <c r="DH10" s="394"/>
      <c r="DI10" s="394"/>
      <c r="DJ10" s="394"/>
      <c r="DK10" s="394"/>
      <c r="DM10" s="111"/>
      <c r="DO10" s="394">
        <v>0.2</v>
      </c>
    </row>
    <row r="11" spans="1:119" ht="20.100000000000001" customHeight="1" x14ac:dyDescent="0.25">
      <c r="B11" s="640" t="s">
        <v>285</v>
      </c>
      <c r="C11" s="640"/>
      <c r="D11" s="640"/>
      <c r="E11" s="640"/>
      <c r="F11" s="640"/>
      <c r="G11" s="640"/>
      <c r="H11" s="185" t="s">
        <v>284</v>
      </c>
      <c r="I11" s="345">
        <f>I10*I8</f>
        <v>5.7252000000000004E-2</v>
      </c>
      <c r="J11" s="185" t="s">
        <v>274</v>
      </c>
      <c r="K11" s="171"/>
      <c r="L11" s="187"/>
      <c r="Y11" s="892" t="s">
        <v>335</v>
      </c>
      <c r="Z11" s="893"/>
      <c r="AA11" s="894"/>
      <c r="AB11" s="429">
        <v>120</v>
      </c>
      <c r="AC11" s="429" t="s">
        <v>323</v>
      </c>
      <c r="AD11" s="23"/>
      <c r="AE11" s="451">
        <v>2</v>
      </c>
      <c r="AF11" s="452">
        <v>999.94</v>
      </c>
      <c r="AG11" s="453">
        <v>1.673E-3</v>
      </c>
      <c r="AH11" s="449">
        <f t="shared" si="0"/>
        <v>1.6731003860231613E-6</v>
      </c>
      <c r="AI11" s="23"/>
      <c r="AJ11" s="23"/>
      <c r="AK11" s="23"/>
      <c r="AL11" s="23"/>
      <c r="AM11" s="404" t="s">
        <v>527</v>
      </c>
      <c r="AN11" s="394">
        <v>0.75</v>
      </c>
      <c r="AO11" s="394">
        <v>0.75</v>
      </c>
      <c r="AP11" s="394">
        <v>0.89</v>
      </c>
      <c r="AQ11" s="394">
        <v>6.4</v>
      </c>
      <c r="AR11" s="410">
        <v>5.7</v>
      </c>
      <c r="AS11" s="119"/>
      <c r="AT11" s="439">
        <v>70</v>
      </c>
      <c r="AU11" s="440">
        <v>0.21</v>
      </c>
      <c r="AV11" s="23"/>
      <c r="AW11" s="426">
        <v>0.5</v>
      </c>
      <c r="AX11" s="599">
        <f t="shared" si="5"/>
        <v>1.2667686977437442E-4</v>
      </c>
      <c r="AY11" s="192"/>
      <c r="AZ11" s="399">
        <v>0.125</v>
      </c>
      <c r="BA11" s="192"/>
      <c r="BB11" s="426">
        <v>2.5</v>
      </c>
      <c r="BC11" s="424">
        <f t="shared" si="6"/>
        <v>3.1669217443593611E-3</v>
      </c>
      <c r="BD11" s="162"/>
      <c r="BE11" s="399">
        <v>0.3</v>
      </c>
      <c r="BF11" s="162"/>
      <c r="BG11" s="140" t="s">
        <v>357</v>
      </c>
      <c r="BH11" s="424">
        <f>(10*0.0254)^2</f>
        <v>6.4516000000000004E-2</v>
      </c>
      <c r="BI11" s="424">
        <f>10*0.0254</f>
        <v>0.254</v>
      </c>
      <c r="BJ11" s="192"/>
      <c r="BK11" s="192"/>
      <c r="BL11" s="204"/>
      <c r="BM11" s="140">
        <v>12</v>
      </c>
      <c r="BO11" s="111"/>
      <c r="BP11" s="107">
        <v>11</v>
      </c>
      <c r="BQ11" s="455" t="s">
        <v>401</v>
      </c>
      <c r="BR11" s="456">
        <v>0.25</v>
      </c>
      <c r="BS11" s="451">
        <v>140</v>
      </c>
      <c r="BT11" s="107">
        <v>11</v>
      </c>
      <c r="BU11" s="140">
        <v>8</v>
      </c>
      <c r="BV11" s="140">
        <f t="shared" ref="BV11:BV18" si="8">IF(BU11=6,150,IF(BU11=8,200,IF(BU11=10,250,IF(BU11=12,300,IF(BU11=14,350,IF(BU11=16,400,IF(BU11=18,450,IF(BU11=20,500,IF(BU11=22,550,IF(BU11=24,600,IF(BU11=32,800,IF(BU11=34,850,IF(BU11=36,900)))))))))))))</f>
        <v>200</v>
      </c>
      <c r="BW11" s="399">
        <v>8.625</v>
      </c>
      <c r="BX11" s="399"/>
      <c r="BY11" s="399">
        <v>0.32200000000000001</v>
      </c>
      <c r="BZ11" s="399"/>
      <c r="CA11" s="399">
        <f>ROUND((BW11-(2*BY11))*0.0254,3)</f>
        <v>0.20300000000000001</v>
      </c>
      <c r="CB11" s="401">
        <f t="shared" si="7"/>
        <v>27</v>
      </c>
      <c r="CC11" s="278">
        <v>11</v>
      </c>
      <c r="CD11" s="272">
        <v>5</v>
      </c>
      <c r="CE11" s="395" t="s">
        <v>411</v>
      </c>
      <c r="CF11" s="140">
        <v>1</v>
      </c>
      <c r="CG11" s="398">
        <v>4</v>
      </c>
      <c r="CH11" s="394">
        <v>0.3</v>
      </c>
      <c r="CI11" s="394">
        <v>0.3</v>
      </c>
      <c r="CJ11" s="394">
        <v>0.28000000000000003</v>
      </c>
      <c r="CK11" s="394">
        <v>0.28000000000000003</v>
      </c>
      <c r="CL11" s="394">
        <v>0.26</v>
      </c>
      <c r="CM11" s="394">
        <v>0.26</v>
      </c>
      <c r="CN11" s="394">
        <v>0.26</v>
      </c>
      <c r="CO11" s="394">
        <v>0.26</v>
      </c>
      <c r="CP11" s="394">
        <v>0.26</v>
      </c>
      <c r="CQ11" s="394">
        <v>0.24</v>
      </c>
      <c r="CR11" s="394">
        <v>0.24</v>
      </c>
      <c r="CS11" s="394">
        <v>0.24</v>
      </c>
      <c r="CT11" s="394">
        <v>0.22</v>
      </c>
      <c r="CU11" s="394">
        <v>0.22</v>
      </c>
      <c r="CV11" s="394">
        <v>0.22</v>
      </c>
      <c r="CW11" s="394">
        <v>0.22</v>
      </c>
      <c r="CX11" s="399">
        <f>CH11</f>
        <v>0.3</v>
      </c>
      <c r="CY11" s="399">
        <f t="shared" ref="CY11:DA12" si="9">CJ11</f>
        <v>0.28000000000000003</v>
      </c>
      <c r="CZ11" s="399">
        <f t="shared" si="9"/>
        <v>0.28000000000000003</v>
      </c>
      <c r="DA11" s="399">
        <f t="shared" si="9"/>
        <v>0.26</v>
      </c>
      <c r="DB11" s="399">
        <f>CN11</f>
        <v>0.26</v>
      </c>
      <c r="DC11" s="399">
        <f t="shared" ref="DC11:DH12" si="10">CP11</f>
        <v>0.26</v>
      </c>
      <c r="DD11" s="399">
        <f t="shared" si="10"/>
        <v>0.24</v>
      </c>
      <c r="DE11" s="399">
        <f t="shared" si="10"/>
        <v>0.24</v>
      </c>
      <c r="DF11" s="399">
        <f t="shared" si="10"/>
        <v>0.24</v>
      </c>
      <c r="DG11" s="394">
        <f t="shared" si="10"/>
        <v>0.22</v>
      </c>
      <c r="DH11" s="394">
        <f t="shared" si="10"/>
        <v>0.22</v>
      </c>
      <c r="DI11" s="394">
        <v>0.22</v>
      </c>
      <c r="DJ11" s="394">
        <f t="shared" si="3"/>
        <v>0.22</v>
      </c>
      <c r="DK11" s="394">
        <f t="shared" si="4"/>
        <v>0.22</v>
      </c>
      <c r="DO11" s="394">
        <v>0.25</v>
      </c>
    </row>
    <row r="12" spans="1:119" ht="20.100000000000001" customHeight="1" x14ac:dyDescent="0.25">
      <c r="B12" s="640" t="s">
        <v>288</v>
      </c>
      <c r="C12" s="640"/>
      <c r="D12" s="640"/>
      <c r="E12" s="640"/>
      <c r="F12" s="640"/>
      <c r="G12" s="640"/>
      <c r="H12" s="185" t="s">
        <v>328</v>
      </c>
      <c r="I12" s="345">
        <f>I10*I9</f>
        <v>7.0464000000000013E-2</v>
      </c>
      <c r="J12" s="185" t="s">
        <v>274</v>
      </c>
      <c r="K12" s="171"/>
      <c r="L12" s="187"/>
      <c r="Y12" s="892" t="s">
        <v>336</v>
      </c>
      <c r="Z12" s="893"/>
      <c r="AA12" s="894"/>
      <c r="AB12" s="429">
        <v>150</v>
      </c>
      <c r="AC12" s="430">
        <v>480</v>
      </c>
      <c r="AD12" s="23"/>
      <c r="AE12" s="451">
        <v>3</v>
      </c>
      <c r="AF12" s="452">
        <v>999.98</v>
      </c>
      <c r="AG12" s="453">
        <v>1.619E-3</v>
      </c>
      <c r="AH12" s="449">
        <f t="shared" si="0"/>
        <v>1.6190323806476128E-6</v>
      </c>
      <c r="AI12" s="23"/>
      <c r="AJ12" s="23"/>
      <c r="AK12" s="23"/>
      <c r="AL12" s="23"/>
      <c r="AM12" s="404" t="s">
        <v>528</v>
      </c>
      <c r="AN12" s="394">
        <v>0.82</v>
      </c>
      <c r="AO12" s="394">
        <v>0.82</v>
      </c>
      <c r="AP12" s="394">
        <v>0.91</v>
      </c>
      <c r="AQ12" s="394">
        <v>6.1</v>
      </c>
      <c r="AR12" s="410">
        <v>5.5</v>
      </c>
      <c r="AS12" s="119"/>
      <c r="AT12" s="439">
        <v>60</v>
      </c>
      <c r="AU12" s="440">
        <v>0.25</v>
      </c>
      <c r="AV12" s="23"/>
      <c r="AW12" s="426">
        <v>0.625</v>
      </c>
      <c r="AX12" s="599">
        <f t="shared" si="5"/>
        <v>1.9793260902246007E-4</v>
      </c>
      <c r="AY12" s="192"/>
      <c r="AZ12" s="399">
        <v>0.15</v>
      </c>
      <c r="BA12" s="192"/>
      <c r="BB12" s="398">
        <v>3</v>
      </c>
      <c r="BC12" s="424">
        <f t="shared" si="6"/>
        <v>4.5603673118774788E-3</v>
      </c>
      <c r="BD12" s="162"/>
      <c r="BE12" s="162"/>
      <c r="BF12" s="162"/>
      <c r="BG12" s="140" t="s">
        <v>358</v>
      </c>
      <c r="BH12" s="424">
        <f>(12*0.0254)^2</f>
        <v>9.2903039999999978E-2</v>
      </c>
      <c r="BI12" s="424">
        <f>12*0.0254</f>
        <v>0.30479999999999996</v>
      </c>
      <c r="BJ12" s="192"/>
      <c r="BK12" s="192"/>
      <c r="BL12" s="204"/>
      <c r="BM12" s="140">
        <v>13</v>
      </c>
      <c r="BP12" s="107">
        <v>12</v>
      </c>
      <c r="BQ12" s="455" t="s">
        <v>402</v>
      </c>
      <c r="BR12" s="456">
        <v>0.25</v>
      </c>
      <c r="BS12" s="451">
        <v>140</v>
      </c>
      <c r="BT12" s="107">
        <v>12</v>
      </c>
      <c r="BU12" s="140">
        <v>10</v>
      </c>
      <c r="BV12" s="140">
        <f t="shared" si="8"/>
        <v>250</v>
      </c>
      <c r="BW12" s="399">
        <v>10.75</v>
      </c>
      <c r="BX12" s="399"/>
      <c r="BY12" s="399">
        <v>0.36499999999999999</v>
      </c>
      <c r="BZ12" s="399"/>
      <c r="CA12" s="399">
        <f t="shared" ref="CA12:CA18" si="11">ROUND((BW12-(2*BY12))*0.0254,3)</f>
        <v>0.255</v>
      </c>
      <c r="CB12" s="401">
        <f t="shared" si="7"/>
        <v>29</v>
      </c>
      <c r="CC12" s="278">
        <v>12</v>
      </c>
      <c r="CD12" s="272">
        <v>6</v>
      </c>
      <c r="CE12" s="395" t="s">
        <v>418</v>
      </c>
      <c r="CF12" s="140">
        <v>1</v>
      </c>
      <c r="CG12" s="398">
        <v>4</v>
      </c>
      <c r="CH12" s="399">
        <v>0.18</v>
      </c>
      <c r="CI12" s="399">
        <v>0.17799999999999999</v>
      </c>
      <c r="CJ12" s="400">
        <v>0.16800000000000001</v>
      </c>
      <c r="CK12" s="400">
        <v>0.16800000000000001</v>
      </c>
      <c r="CL12" s="400">
        <v>0.156</v>
      </c>
      <c r="CM12" s="400">
        <v>0.156</v>
      </c>
      <c r="CN12" s="400">
        <v>0.156</v>
      </c>
      <c r="CO12" s="400">
        <v>0.156</v>
      </c>
      <c r="CP12" s="400">
        <v>0.156</v>
      </c>
      <c r="CQ12" s="400">
        <v>0.14399999999999999</v>
      </c>
      <c r="CR12" s="400">
        <v>0.14399999999999999</v>
      </c>
      <c r="CS12" s="400">
        <v>0.14399999999999999</v>
      </c>
      <c r="CT12" s="400">
        <v>0.13200000000000001</v>
      </c>
      <c r="CU12" s="400">
        <v>0.13200000000000001</v>
      </c>
      <c r="CV12" s="400">
        <v>0.13200000000000001</v>
      </c>
      <c r="CW12" s="400">
        <v>0.13200000000000001</v>
      </c>
      <c r="CX12" s="399">
        <f>CH12</f>
        <v>0.18</v>
      </c>
      <c r="CY12" s="399">
        <f t="shared" si="9"/>
        <v>0.16800000000000001</v>
      </c>
      <c r="CZ12" s="399">
        <f t="shared" si="9"/>
        <v>0.16800000000000001</v>
      </c>
      <c r="DA12" s="399">
        <f t="shared" si="9"/>
        <v>0.156</v>
      </c>
      <c r="DB12" s="399">
        <f>CN12</f>
        <v>0.156</v>
      </c>
      <c r="DC12" s="399">
        <f t="shared" si="10"/>
        <v>0.156</v>
      </c>
      <c r="DD12" s="399">
        <f t="shared" si="10"/>
        <v>0.14399999999999999</v>
      </c>
      <c r="DE12" s="399">
        <f t="shared" si="10"/>
        <v>0.14399999999999999</v>
      </c>
      <c r="DF12" s="399">
        <f t="shared" si="10"/>
        <v>0.14399999999999999</v>
      </c>
      <c r="DG12" s="394">
        <f t="shared" si="10"/>
        <v>0.13200000000000001</v>
      </c>
      <c r="DH12" s="394">
        <f t="shared" si="10"/>
        <v>0.13200000000000001</v>
      </c>
      <c r="DI12" s="394">
        <v>0.13200000000000001</v>
      </c>
      <c r="DJ12" s="394">
        <f t="shared" si="3"/>
        <v>0.13200000000000001</v>
      </c>
      <c r="DK12" s="394">
        <f t="shared" si="4"/>
        <v>0.13200000000000001</v>
      </c>
      <c r="DO12" s="394">
        <v>0.3</v>
      </c>
    </row>
    <row r="13" spans="1:119" ht="20.100000000000001" customHeight="1" x14ac:dyDescent="0.25">
      <c r="B13" s="169"/>
      <c r="C13" s="169"/>
      <c r="D13" s="169"/>
      <c r="E13" s="169"/>
      <c r="F13" s="169"/>
      <c r="G13" s="169"/>
      <c r="H13" s="152"/>
      <c r="I13" s="153"/>
      <c r="J13" s="152"/>
      <c r="K13" s="171"/>
      <c r="L13" s="187"/>
      <c r="Y13" s="892" t="s">
        <v>300</v>
      </c>
      <c r="Z13" s="893"/>
      <c r="AA13" s="894"/>
      <c r="AB13" s="429" t="s">
        <v>315</v>
      </c>
      <c r="AC13" s="431" t="s">
        <v>315</v>
      </c>
      <c r="AD13" s="23"/>
      <c r="AE13" s="451">
        <v>4</v>
      </c>
      <c r="AF13" s="452">
        <v>1000</v>
      </c>
      <c r="AG13" s="453">
        <v>1.567E-3</v>
      </c>
      <c r="AH13" s="449">
        <f t="shared" si="0"/>
        <v>1.567E-6</v>
      </c>
      <c r="AI13" s="23"/>
      <c r="AJ13" s="23"/>
      <c r="AK13" s="23"/>
      <c r="AL13" s="23"/>
      <c r="AM13" s="404" t="s">
        <v>529</v>
      </c>
      <c r="AN13" s="394">
        <v>1</v>
      </c>
      <c r="AO13" s="394">
        <v>1</v>
      </c>
      <c r="AP13" s="394">
        <v>1</v>
      </c>
      <c r="AQ13" s="394">
        <v>6</v>
      </c>
      <c r="AR13" s="410">
        <v>6</v>
      </c>
      <c r="AS13" s="119"/>
      <c r="AT13" s="439">
        <v>50</v>
      </c>
      <c r="AU13" s="440">
        <v>0.29699999999999999</v>
      </c>
      <c r="AV13" s="23"/>
      <c r="AW13" s="188"/>
      <c r="AX13" s="188"/>
      <c r="AY13" s="188"/>
      <c r="AZ13" s="188"/>
      <c r="BA13" s="188"/>
      <c r="BB13" s="188"/>
      <c r="BC13" s="188"/>
      <c r="BD13" s="162"/>
      <c r="BE13" s="197"/>
      <c r="BF13" s="162"/>
      <c r="BG13" s="140" t="s">
        <v>359</v>
      </c>
      <c r="BH13" s="424">
        <f>(14*0.0254)^2</f>
        <v>0.12645135999999998</v>
      </c>
      <c r="BI13" s="424">
        <f>14*0.0254</f>
        <v>0.35559999999999997</v>
      </c>
      <c r="BJ13" s="192"/>
      <c r="BK13" s="192"/>
      <c r="BL13" s="204"/>
      <c r="BM13" s="140">
        <v>14</v>
      </c>
      <c r="BP13" s="107">
        <v>13</v>
      </c>
      <c r="BQ13" s="455" t="s">
        <v>406</v>
      </c>
      <c r="BR13" s="456">
        <v>7.0000000000000001E-3</v>
      </c>
      <c r="BS13" s="451">
        <v>150</v>
      </c>
      <c r="BT13" s="107">
        <v>13</v>
      </c>
      <c r="BU13" s="140">
        <v>12</v>
      </c>
      <c r="BV13" s="140">
        <f t="shared" si="8"/>
        <v>300</v>
      </c>
      <c r="BW13" s="399">
        <v>12.75</v>
      </c>
      <c r="BX13" s="399"/>
      <c r="BY13" s="399">
        <v>0.40600000000000003</v>
      </c>
      <c r="BZ13" s="399"/>
      <c r="CA13" s="399">
        <f t="shared" si="11"/>
        <v>0.30299999999999999</v>
      </c>
      <c r="CB13" s="401">
        <f t="shared" si="7"/>
        <v>31</v>
      </c>
      <c r="CC13" s="278">
        <v>13</v>
      </c>
      <c r="CD13" s="272">
        <v>7</v>
      </c>
      <c r="CE13" s="395"/>
      <c r="CF13" s="140"/>
      <c r="CG13" s="398"/>
      <c r="CH13" s="394"/>
      <c r="CI13" s="394"/>
      <c r="CJ13" s="394"/>
      <c r="CK13" s="394"/>
      <c r="CL13" s="394"/>
      <c r="CM13" s="394"/>
      <c r="CN13" s="394"/>
      <c r="CO13" s="394"/>
      <c r="CP13" s="394"/>
      <c r="CQ13" s="394"/>
      <c r="CR13" s="394"/>
      <c r="CS13" s="394"/>
      <c r="CT13" s="394"/>
      <c r="CU13" s="394"/>
      <c r="CV13" s="394"/>
      <c r="CW13" s="394"/>
      <c r="CX13" s="399"/>
      <c r="CY13" s="399"/>
      <c r="CZ13" s="399"/>
      <c r="DA13" s="399"/>
      <c r="DB13" s="399"/>
      <c r="DC13" s="399"/>
      <c r="DD13" s="399"/>
      <c r="DE13" s="399"/>
      <c r="DF13" s="399"/>
      <c r="DG13" s="394"/>
      <c r="DH13" s="394"/>
      <c r="DI13" s="394"/>
      <c r="DJ13" s="394"/>
      <c r="DK13" s="394"/>
      <c r="DO13" s="394">
        <v>0.35</v>
      </c>
    </row>
    <row r="14" spans="1:119" ht="20.100000000000001" customHeight="1" x14ac:dyDescent="0.25">
      <c r="B14" s="86" t="s">
        <v>306</v>
      </c>
      <c r="C14" s="169"/>
      <c r="D14" s="169"/>
      <c r="E14" s="169"/>
      <c r="F14" s="169"/>
      <c r="G14" s="169"/>
      <c r="H14" s="152"/>
      <c r="I14" s="153"/>
      <c r="J14" s="152"/>
      <c r="K14" s="171"/>
      <c r="L14" s="187"/>
      <c r="Y14" s="892" t="s">
        <v>301</v>
      </c>
      <c r="Z14" s="893"/>
      <c r="AA14" s="894"/>
      <c r="AB14" s="429">
        <v>0.3</v>
      </c>
      <c r="AC14" s="429">
        <v>0.3</v>
      </c>
      <c r="AD14" s="23"/>
      <c r="AE14" s="451">
        <v>5</v>
      </c>
      <c r="AF14" s="452">
        <v>1000</v>
      </c>
      <c r="AG14" s="453">
        <v>1.519E-3</v>
      </c>
      <c r="AH14" s="449">
        <f t="shared" si="0"/>
        <v>1.519E-6</v>
      </c>
      <c r="AI14" s="23"/>
      <c r="AJ14" s="23"/>
      <c r="AK14" s="23"/>
      <c r="AL14" s="23"/>
      <c r="AM14" s="23"/>
      <c r="AN14" s="23"/>
      <c r="AO14" s="23"/>
      <c r="AP14" s="23"/>
      <c r="AQ14" s="23"/>
      <c r="AR14" s="23"/>
      <c r="AS14" s="23"/>
      <c r="AT14" s="439">
        <v>45</v>
      </c>
      <c r="AU14" s="440">
        <v>0.35399999999999998</v>
      </c>
      <c r="AV14" s="23"/>
      <c r="AW14" s="162"/>
      <c r="AX14" s="162"/>
      <c r="AY14" s="162"/>
      <c r="AZ14" s="162"/>
      <c r="BA14" s="162"/>
      <c r="BB14" s="162"/>
      <c r="BC14" s="162"/>
      <c r="BD14" s="162"/>
      <c r="BE14" s="162"/>
      <c r="BF14" s="162"/>
      <c r="BG14" s="140" t="s">
        <v>360</v>
      </c>
      <c r="BH14" s="424">
        <f>(16*0.0254)^2</f>
        <v>0.16516096</v>
      </c>
      <c r="BI14" s="424">
        <f>16*0.0254</f>
        <v>0.40639999999999998</v>
      </c>
      <c r="BJ14" s="192"/>
      <c r="BK14" s="192"/>
      <c r="BL14" s="204"/>
      <c r="BP14" s="107">
        <v>14</v>
      </c>
      <c r="BQ14" s="455" t="s">
        <v>405</v>
      </c>
      <c r="BR14" s="456">
        <v>7.0000000000000001E-3</v>
      </c>
      <c r="BS14" s="451">
        <v>150</v>
      </c>
      <c r="BT14" s="107">
        <v>14</v>
      </c>
      <c r="BU14" s="140">
        <v>14</v>
      </c>
      <c r="BV14" s="140">
        <f t="shared" si="8"/>
        <v>350</v>
      </c>
      <c r="BW14" s="399">
        <v>14</v>
      </c>
      <c r="BX14" s="399"/>
      <c r="BY14" s="399">
        <v>0.438</v>
      </c>
      <c r="BZ14" s="399"/>
      <c r="CA14" s="399">
        <f t="shared" si="11"/>
        <v>0.33300000000000002</v>
      </c>
      <c r="CB14" s="401">
        <f t="shared" si="7"/>
        <v>32</v>
      </c>
      <c r="CC14" s="278">
        <v>14</v>
      </c>
      <c r="CD14" s="272">
        <v>8</v>
      </c>
      <c r="CE14" s="395" t="s">
        <v>413</v>
      </c>
      <c r="CF14" s="140">
        <v>0</v>
      </c>
      <c r="CG14" s="398">
        <f>I168</f>
        <v>2.8712868195288328</v>
      </c>
      <c r="CH14" s="394">
        <v>0.3</v>
      </c>
      <c r="CI14" s="394">
        <v>0.3</v>
      </c>
      <c r="CJ14" s="394">
        <v>0.28000000000000003</v>
      </c>
      <c r="CK14" s="394">
        <v>0.28000000000000003</v>
      </c>
      <c r="CL14" s="394">
        <v>0.26</v>
      </c>
      <c r="CM14" s="394">
        <v>0.26</v>
      </c>
      <c r="CN14" s="394">
        <v>0.26</v>
      </c>
      <c r="CO14" s="394">
        <v>0.26</v>
      </c>
      <c r="CP14" s="394">
        <v>0.26</v>
      </c>
      <c r="CQ14" s="394">
        <v>0.24</v>
      </c>
      <c r="CR14" s="394">
        <v>0.24</v>
      </c>
      <c r="CS14" s="394">
        <v>0.24</v>
      </c>
      <c r="CT14" s="394">
        <v>0.22</v>
      </c>
      <c r="CU14" s="394">
        <v>0.22</v>
      </c>
      <c r="CV14" s="394">
        <v>0.22</v>
      </c>
      <c r="CW14" s="394">
        <v>0.22</v>
      </c>
      <c r="CX14" s="399">
        <f>CH14</f>
        <v>0.3</v>
      </c>
      <c r="CY14" s="399">
        <f>CJ14</f>
        <v>0.28000000000000003</v>
      </c>
      <c r="CZ14" s="399">
        <f>CK14</f>
        <v>0.28000000000000003</v>
      </c>
      <c r="DA14" s="399">
        <f>CL14</f>
        <v>0.26</v>
      </c>
      <c r="DB14" s="399">
        <f>CN14</f>
        <v>0.26</v>
      </c>
      <c r="DC14" s="399">
        <f t="shared" ref="DC14:DH14" si="12">CP14</f>
        <v>0.26</v>
      </c>
      <c r="DD14" s="399">
        <f t="shared" si="12"/>
        <v>0.24</v>
      </c>
      <c r="DE14" s="399">
        <f t="shared" si="12"/>
        <v>0.24</v>
      </c>
      <c r="DF14" s="399">
        <f t="shared" si="12"/>
        <v>0.24</v>
      </c>
      <c r="DG14" s="394">
        <f t="shared" si="12"/>
        <v>0.22</v>
      </c>
      <c r="DH14" s="394">
        <f t="shared" si="12"/>
        <v>0.22</v>
      </c>
      <c r="DI14" s="394">
        <v>0.22</v>
      </c>
      <c r="DJ14" s="394">
        <f t="shared" si="3"/>
        <v>0.22</v>
      </c>
      <c r="DK14" s="394">
        <f t="shared" si="4"/>
        <v>0.22</v>
      </c>
    </row>
    <row r="15" spans="1:119" ht="20.100000000000001" customHeight="1" x14ac:dyDescent="0.25">
      <c r="B15" s="622" t="s">
        <v>297</v>
      </c>
      <c r="C15" s="663"/>
      <c r="D15" s="663"/>
      <c r="E15" s="663"/>
      <c r="F15" s="623"/>
      <c r="G15" s="895" t="s">
        <v>295</v>
      </c>
      <c r="H15" s="896"/>
      <c r="I15" s="333"/>
      <c r="J15" s="152"/>
      <c r="K15" s="171"/>
      <c r="L15" s="187"/>
      <c r="Y15" s="892" t="s">
        <v>302</v>
      </c>
      <c r="Z15" s="893"/>
      <c r="AA15" s="894"/>
      <c r="AB15" s="429" t="s">
        <v>316</v>
      </c>
      <c r="AC15" s="429" t="s">
        <v>316</v>
      </c>
      <c r="AD15" s="23"/>
      <c r="AE15" s="451">
        <v>6</v>
      </c>
      <c r="AF15" s="452">
        <v>999.99</v>
      </c>
      <c r="AG15" s="453">
        <v>1.4730000000000001E-3</v>
      </c>
      <c r="AH15" s="449">
        <f t="shared" si="0"/>
        <v>1.4730147301473016E-6</v>
      </c>
      <c r="AI15" s="23"/>
      <c r="AJ15" s="23"/>
      <c r="AK15" s="23"/>
      <c r="AL15" s="23"/>
      <c r="AM15" s="23"/>
      <c r="AN15" s="23"/>
      <c r="AO15" s="23"/>
      <c r="AP15" s="23"/>
      <c r="AQ15" s="23"/>
      <c r="AR15" s="23"/>
      <c r="AS15" s="23"/>
      <c r="AT15" s="439">
        <v>40</v>
      </c>
      <c r="AU15" s="440">
        <v>0.4</v>
      </c>
      <c r="AV15" s="23"/>
      <c r="AW15" s="162"/>
      <c r="AX15" s="162"/>
      <c r="AY15" s="162"/>
      <c r="AZ15" s="162"/>
      <c r="BA15" s="162"/>
      <c r="BB15" s="12"/>
      <c r="BC15" s="162"/>
      <c r="BD15" s="162"/>
      <c r="BE15" s="162"/>
      <c r="BF15" s="162"/>
      <c r="BG15" s="140" t="s">
        <v>361</v>
      </c>
      <c r="BH15" s="424">
        <f>(18*0.0254)^2</f>
        <v>0.20903184</v>
      </c>
      <c r="BI15" s="424">
        <f>18*0.0254</f>
        <v>0.4572</v>
      </c>
      <c r="BJ15" s="192"/>
      <c r="BK15" s="192"/>
      <c r="BL15" s="204"/>
      <c r="BP15" s="107">
        <v>15</v>
      </c>
      <c r="BQ15" s="455" t="s">
        <v>394</v>
      </c>
      <c r="BR15" s="451">
        <v>1.5E-3</v>
      </c>
      <c r="BS15" s="451">
        <v>150</v>
      </c>
      <c r="BT15" s="107">
        <v>15</v>
      </c>
      <c r="BU15" s="140">
        <v>16</v>
      </c>
      <c r="BV15" s="140">
        <f t="shared" si="8"/>
        <v>400</v>
      </c>
      <c r="BW15" s="399">
        <v>16</v>
      </c>
      <c r="BX15" s="399"/>
      <c r="BY15" s="399">
        <v>0.5</v>
      </c>
      <c r="BZ15" s="399"/>
      <c r="CA15" s="399">
        <f t="shared" si="11"/>
        <v>0.38100000000000001</v>
      </c>
      <c r="CB15" s="401">
        <f t="shared" si="7"/>
        <v>32</v>
      </c>
      <c r="CC15" s="278">
        <v>15</v>
      </c>
      <c r="CD15" s="272">
        <v>9</v>
      </c>
      <c r="CE15" s="395"/>
      <c r="CF15" s="140"/>
      <c r="CG15" s="140"/>
      <c r="CH15" s="394"/>
      <c r="CI15" s="394"/>
      <c r="CJ15" s="394"/>
      <c r="CK15" s="394"/>
      <c r="CL15" s="394"/>
      <c r="CM15" s="394"/>
      <c r="CN15" s="394"/>
      <c r="CO15" s="394"/>
      <c r="CP15" s="394"/>
      <c r="CQ15" s="394"/>
      <c r="CR15" s="394"/>
      <c r="CS15" s="394"/>
      <c r="CT15" s="394"/>
      <c r="CU15" s="394"/>
      <c r="CV15" s="394"/>
      <c r="CW15" s="394"/>
      <c r="CX15" s="399"/>
      <c r="CY15" s="399"/>
      <c r="CZ15" s="399"/>
      <c r="DA15" s="399"/>
      <c r="DB15" s="399"/>
      <c r="DC15" s="399"/>
      <c r="DD15" s="399"/>
      <c r="DE15" s="399"/>
      <c r="DF15" s="399"/>
      <c r="DG15" s="394"/>
      <c r="DH15" s="394"/>
      <c r="DI15" s="394"/>
      <c r="DJ15" s="394"/>
      <c r="DK15" s="394"/>
    </row>
    <row r="16" spans="1:119" ht="20.100000000000001" customHeight="1" x14ac:dyDescent="0.25">
      <c r="B16" s="622" t="s">
        <v>298</v>
      </c>
      <c r="C16" s="663"/>
      <c r="D16" s="663"/>
      <c r="E16" s="663"/>
      <c r="F16" s="623"/>
      <c r="G16" s="899" t="str">
        <f>IF($G$15=$AB$8,$AB$9,IF($G$15=$AC$8,$AC$9,""))</f>
        <v>Arena</v>
      </c>
      <c r="H16" s="900"/>
      <c r="I16" s="333"/>
      <c r="J16" s="152"/>
      <c r="K16" s="171"/>
      <c r="L16" s="187"/>
      <c r="Y16" s="892" t="s">
        <v>312</v>
      </c>
      <c r="Z16" s="893"/>
      <c r="AA16" s="894"/>
      <c r="AB16" s="429" t="s">
        <v>317</v>
      </c>
      <c r="AC16" s="429">
        <v>6</v>
      </c>
      <c r="AD16" s="23"/>
      <c r="AE16" s="451">
        <v>7</v>
      </c>
      <c r="AF16" s="452">
        <v>999.96</v>
      </c>
      <c r="AG16" s="453">
        <v>1.428E-3</v>
      </c>
      <c r="AH16" s="449">
        <f t="shared" si="0"/>
        <v>1.4280571222848913E-6</v>
      </c>
      <c r="AI16" s="23"/>
      <c r="AJ16" s="23"/>
      <c r="AK16" s="23"/>
      <c r="AL16" s="23"/>
      <c r="AM16" s="23"/>
      <c r="AN16" s="23"/>
      <c r="AO16" s="23"/>
      <c r="AP16" s="23"/>
      <c r="AQ16" s="23"/>
      <c r="AR16" s="23"/>
      <c r="AS16" s="23"/>
      <c r="AT16" s="439">
        <v>35</v>
      </c>
      <c r="AU16" s="440">
        <v>0.5</v>
      </c>
      <c r="AV16" s="23"/>
      <c r="AW16" s="162"/>
      <c r="AX16" s="162"/>
      <c r="AY16" s="162"/>
      <c r="AZ16" s="162"/>
      <c r="BA16" s="162"/>
      <c r="BB16" s="162"/>
      <c r="BC16" s="162"/>
      <c r="BD16" s="162"/>
      <c r="BE16" s="162"/>
      <c r="BF16" s="162"/>
      <c r="BG16" s="140" t="s">
        <v>362</v>
      </c>
      <c r="BH16" s="424">
        <f>(20*0.0254)^2</f>
        <v>0.25806400000000002</v>
      </c>
      <c r="BI16" s="424">
        <f>20*0.0254</f>
        <v>0.50800000000000001</v>
      </c>
      <c r="BJ16" s="192"/>
      <c r="BK16" s="192"/>
      <c r="BL16" s="204"/>
      <c r="BP16" s="107">
        <v>16</v>
      </c>
      <c r="BQ16" s="455" t="s">
        <v>393</v>
      </c>
      <c r="BR16" s="451">
        <v>1.5E-3</v>
      </c>
      <c r="BS16" s="451">
        <v>150</v>
      </c>
      <c r="BT16" s="107">
        <v>16</v>
      </c>
      <c r="BU16" s="402">
        <v>18</v>
      </c>
      <c r="BV16" s="140">
        <f t="shared" si="8"/>
        <v>450</v>
      </c>
      <c r="BW16" s="403">
        <v>18</v>
      </c>
      <c r="BX16" s="403"/>
      <c r="BY16" s="403">
        <v>0.56200000000000006</v>
      </c>
      <c r="BZ16" s="403"/>
      <c r="CA16" s="403">
        <f t="shared" si="11"/>
        <v>0.42899999999999999</v>
      </c>
      <c r="CB16" s="401">
        <f t="shared" si="7"/>
        <v>32</v>
      </c>
      <c r="CC16" s="278">
        <v>16</v>
      </c>
      <c r="CD16" s="272">
        <v>10</v>
      </c>
      <c r="CE16" s="395" t="s">
        <v>414</v>
      </c>
      <c r="CF16" s="140">
        <v>1</v>
      </c>
      <c r="CG16" s="140">
        <v>2</v>
      </c>
      <c r="CH16" s="394">
        <v>0.9</v>
      </c>
      <c r="CI16" s="394">
        <v>0.9</v>
      </c>
      <c r="CJ16" s="394">
        <v>0.84</v>
      </c>
      <c r="CK16" s="394">
        <v>0.84</v>
      </c>
      <c r="CL16" s="394">
        <v>0.78</v>
      </c>
      <c r="CM16" s="394">
        <v>0.78</v>
      </c>
      <c r="CN16" s="394">
        <v>0.78</v>
      </c>
      <c r="CO16" s="394">
        <v>0.78</v>
      </c>
      <c r="CP16" s="394">
        <v>0.78</v>
      </c>
      <c r="CQ16" s="394">
        <v>0.72</v>
      </c>
      <c r="CR16" s="394">
        <v>0.72</v>
      </c>
      <c r="CS16" s="394">
        <v>0.72</v>
      </c>
      <c r="CT16" s="394">
        <v>0.66</v>
      </c>
      <c r="CU16" s="394">
        <v>0.66</v>
      </c>
      <c r="CV16" s="394">
        <v>0.66</v>
      </c>
      <c r="CW16" s="394">
        <v>0.66</v>
      </c>
      <c r="CX16" s="399">
        <f>CH16</f>
        <v>0.9</v>
      </c>
      <c r="CY16" s="399">
        <f>CJ16</f>
        <v>0.84</v>
      </c>
      <c r="CZ16" s="399">
        <f>CK16</f>
        <v>0.84</v>
      </c>
      <c r="DA16" s="399">
        <f>CL16</f>
        <v>0.78</v>
      </c>
      <c r="DB16" s="399">
        <f>CN16</f>
        <v>0.78</v>
      </c>
      <c r="DC16" s="399">
        <f t="shared" ref="DC16:DH16" si="13">CP16</f>
        <v>0.78</v>
      </c>
      <c r="DD16" s="399">
        <f t="shared" si="13"/>
        <v>0.72</v>
      </c>
      <c r="DE16" s="399">
        <f t="shared" si="13"/>
        <v>0.72</v>
      </c>
      <c r="DF16" s="399">
        <f t="shared" si="13"/>
        <v>0.72</v>
      </c>
      <c r="DG16" s="394">
        <f t="shared" si="13"/>
        <v>0.66</v>
      </c>
      <c r="DH16" s="394">
        <f t="shared" si="13"/>
        <v>0.66</v>
      </c>
      <c r="DI16" s="394">
        <v>0.66</v>
      </c>
      <c r="DJ16" s="394">
        <f t="shared" si="3"/>
        <v>0.66</v>
      </c>
      <c r="DK16" s="394">
        <f t="shared" si="4"/>
        <v>0.66</v>
      </c>
    </row>
    <row r="17" spans="2:115" ht="20.100000000000001" customHeight="1" x14ac:dyDescent="0.25">
      <c r="B17" s="622" t="s">
        <v>299</v>
      </c>
      <c r="C17" s="663"/>
      <c r="D17" s="663"/>
      <c r="E17" s="663"/>
      <c r="F17" s="623"/>
      <c r="G17" s="899" t="str">
        <f>IF($G$15=$AB$8,AB10,IF($G$15=$AC$8,AC10,""))</f>
        <v>Estratificado fino a grueso</v>
      </c>
      <c r="H17" s="900"/>
      <c r="I17" s="333"/>
      <c r="J17" s="152"/>
      <c r="K17" s="171"/>
      <c r="L17" s="187"/>
      <c r="Y17" s="892" t="s">
        <v>303</v>
      </c>
      <c r="Z17" s="893"/>
      <c r="AA17" s="894"/>
      <c r="AB17" s="429" t="s">
        <v>318</v>
      </c>
      <c r="AC17" s="429" t="s">
        <v>324</v>
      </c>
      <c r="AD17" s="23"/>
      <c r="AE17" s="451">
        <v>8</v>
      </c>
      <c r="AF17" s="452">
        <v>999.91</v>
      </c>
      <c r="AG17" s="453">
        <v>1.3859999999999999E-3</v>
      </c>
      <c r="AH17" s="449">
        <f t="shared" si="0"/>
        <v>1.3861247512276103E-6</v>
      </c>
      <c r="AI17" s="23"/>
      <c r="AJ17" s="23"/>
      <c r="AK17" s="23"/>
      <c r="AL17" s="23"/>
      <c r="AM17" s="23"/>
      <c r="AN17" s="23"/>
      <c r="AO17" s="23"/>
      <c r="AP17" s="23"/>
      <c r="AQ17" s="23"/>
      <c r="AR17" s="138"/>
      <c r="AS17" s="138"/>
      <c r="AT17" s="439">
        <v>30</v>
      </c>
      <c r="AU17" s="440">
        <v>0.59499999999999997</v>
      </c>
      <c r="AV17" s="23"/>
      <c r="AW17" s="162"/>
      <c r="AX17" s="162"/>
      <c r="AY17" s="162"/>
      <c r="AZ17" s="162"/>
      <c r="BA17" s="162"/>
      <c r="BB17" s="162"/>
      <c r="BC17" s="162"/>
      <c r="BD17" s="162"/>
      <c r="BE17" s="162"/>
      <c r="BF17" s="162"/>
      <c r="BH17" s="192"/>
      <c r="BI17" s="111"/>
      <c r="BJ17" s="111"/>
      <c r="BK17" s="111"/>
      <c r="BL17" s="111"/>
      <c r="BQ17" s="231"/>
      <c r="BR17" s="83"/>
      <c r="BS17" s="83"/>
      <c r="BT17" s="107">
        <v>17</v>
      </c>
      <c r="BU17" s="140">
        <v>20</v>
      </c>
      <c r="BV17" s="140">
        <f t="shared" si="8"/>
        <v>500</v>
      </c>
      <c r="BW17" s="399">
        <v>20</v>
      </c>
      <c r="BX17" s="399"/>
      <c r="BY17" s="399">
        <v>0.59399999999999997</v>
      </c>
      <c r="BZ17" s="399"/>
      <c r="CA17" s="399">
        <f t="shared" si="11"/>
        <v>0.47799999999999998</v>
      </c>
      <c r="CB17" s="401">
        <f t="shared" si="7"/>
        <v>34</v>
      </c>
      <c r="CC17" s="278">
        <v>17</v>
      </c>
      <c r="CD17" s="272">
        <v>11</v>
      </c>
      <c r="CE17" s="395"/>
      <c r="CF17" s="140"/>
      <c r="CG17" s="140"/>
      <c r="CH17" s="394"/>
      <c r="CI17" s="394"/>
      <c r="CJ17" s="394"/>
      <c r="CK17" s="394"/>
      <c r="CL17" s="394"/>
      <c r="CM17" s="394"/>
      <c r="CN17" s="394"/>
      <c r="CO17" s="394"/>
      <c r="CP17" s="394"/>
      <c r="CQ17" s="394"/>
      <c r="CR17" s="394"/>
      <c r="CS17" s="394"/>
      <c r="CT17" s="394"/>
      <c r="CU17" s="394"/>
      <c r="CV17" s="394"/>
      <c r="CW17" s="394"/>
      <c r="CX17" s="399"/>
      <c r="CY17" s="399"/>
      <c r="CZ17" s="399"/>
      <c r="DA17" s="399"/>
      <c r="DB17" s="399"/>
      <c r="DC17" s="399"/>
      <c r="DD17" s="399"/>
      <c r="DE17" s="399"/>
      <c r="DF17" s="399"/>
      <c r="DG17" s="394"/>
      <c r="DH17" s="394"/>
      <c r="DI17" s="394"/>
      <c r="DJ17" s="394"/>
      <c r="DK17" s="394"/>
    </row>
    <row r="18" spans="2:115" ht="20.100000000000001" customHeight="1" x14ac:dyDescent="0.25">
      <c r="B18" s="622" t="s">
        <v>305</v>
      </c>
      <c r="C18" s="663"/>
      <c r="D18" s="663"/>
      <c r="E18" s="663"/>
      <c r="F18" s="623"/>
      <c r="G18" s="895" t="s">
        <v>310</v>
      </c>
      <c r="H18" s="896"/>
      <c r="I18" s="333"/>
      <c r="J18" s="615"/>
      <c r="K18" s="171"/>
      <c r="L18" s="187"/>
      <c r="Y18" s="892"/>
      <c r="Z18" s="893"/>
      <c r="AA18" s="894"/>
      <c r="AB18" s="432"/>
      <c r="AC18" s="429" t="s">
        <v>325</v>
      </c>
      <c r="AD18" s="23"/>
      <c r="AE18" s="451">
        <v>9</v>
      </c>
      <c r="AF18" s="452">
        <v>999.85</v>
      </c>
      <c r="AG18" s="453">
        <v>1.3460000000000002E-3</v>
      </c>
      <c r="AH18" s="449">
        <f t="shared" si="0"/>
        <v>1.3462019302895435E-6</v>
      </c>
      <c r="AI18" s="23"/>
      <c r="AJ18" s="23"/>
      <c r="AK18" s="23"/>
      <c r="AL18" s="23"/>
      <c r="AM18" s="23"/>
      <c r="AN18" s="23"/>
      <c r="AO18" s="23"/>
      <c r="AP18" s="23"/>
      <c r="AQ18" s="23"/>
      <c r="AR18" s="23"/>
      <c r="AS18" s="23"/>
      <c r="AT18" s="439">
        <v>25</v>
      </c>
      <c r="AU18" s="440">
        <v>0.70699999999999996</v>
      </c>
      <c r="AV18" s="23"/>
      <c r="AW18" s="162"/>
      <c r="AX18" s="162"/>
      <c r="AY18" s="162"/>
      <c r="AZ18" s="162"/>
      <c r="BA18" s="162"/>
      <c r="BB18" s="162"/>
      <c r="BC18" s="162"/>
      <c r="BD18" s="162"/>
      <c r="BE18" s="162"/>
      <c r="BF18" s="162"/>
      <c r="BQ18" s="231"/>
      <c r="BR18" s="83"/>
      <c r="BS18" s="83"/>
      <c r="BT18" s="107">
        <v>18</v>
      </c>
      <c r="BU18" s="140">
        <v>24</v>
      </c>
      <c r="BV18" s="140">
        <f t="shared" si="8"/>
        <v>600</v>
      </c>
      <c r="BW18" s="399">
        <v>24</v>
      </c>
      <c r="BX18" s="399"/>
      <c r="BY18" s="399">
        <v>0.68799999999999994</v>
      </c>
      <c r="BZ18" s="399"/>
      <c r="CA18" s="399">
        <f t="shared" si="11"/>
        <v>0.57499999999999996</v>
      </c>
      <c r="CB18" s="401">
        <f t="shared" si="7"/>
        <v>35</v>
      </c>
      <c r="CC18" s="278">
        <v>18</v>
      </c>
      <c r="CD18" s="272">
        <v>12</v>
      </c>
      <c r="CE18" s="395" t="s">
        <v>417</v>
      </c>
      <c r="CF18" s="140">
        <v>0</v>
      </c>
      <c r="CG18" s="140">
        <f>ROUND(I266/6,0)</f>
        <v>0</v>
      </c>
      <c r="CH18" s="394">
        <v>0.3</v>
      </c>
      <c r="CI18" s="394">
        <v>0.3</v>
      </c>
      <c r="CJ18" s="394">
        <v>0.3</v>
      </c>
      <c r="CK18" s="394">
        <v>0.3</v>
      </c>
      <c r="CL18" s="394">
        <v>0.3</v>
      </c>
      <c r="CM18" s="394">
        <v>0.3</v>
      </c>
      <c r="CN18" s="394">
        <v>0.3</v>
      </c>
      <c r="CO18" s="394">
        <v>0.3</v>
      </c>
      <c r="CP18" s="394">
        <v>0.3</v>
      </c>
      <c r="CQ18" s="394">
        <v>0.3</v>
      </c>
      <c r="CR18" s="394">
        <v>0.3</v>
      </c>
      <c r="CS18" s="394">
        <v>0.3</v>
      </c>
      <c r="CT18" s="394">
        <v>0.3</v>
      </c>
      <c r="CU18" s="394">
        <v>0.3</v>
      </c>
      <c r="CV18" s="394">
        <v>0.3</v>
      </c>
      <c r="CW18" s="394">
        <v>0.3</v>
      </c>
      <c r="CX18" s="399">
        <f>CH18</f>
        <v>0.3</v>
      </c>
      <c r="CY18" s="399">
        <f>CJ18</f>
        <v>0.3</v>
      </c>
      <c r="CZ18" s="399">
        <f>CK18</f>
        <v>0.3</v>
      </c>
      <c r="DA18" s="399">
        <f>CL18</f>
        <v>0.3</v>
      </c>
      <c r="DB18" s="399">
        <f>CN18</f>
        <v>0.3</v>
      </c>
      <c r="DC18" s="399">
        <f t="shared" ref="DC18:DH18" si="14">CP18</f>
        <v>0.3</v>
      </c>
      <c r="DD18" s="399">
        <f t="shared" si="14"/>
        <v>0.3</v>
      </c>
      <c r="DE18" s="399">
        <f t="shared" si="14"/>
        <v>0.3</v>
      </c>
      <c r="DF18" s="399">
        <f t="shared" si="14"/>
        <v>0.3</v>
      </c>
      <c r="DG18" s="394">
        <f t="shared" si="14"/>
        <v>0.3</v>
      </c>
      <c r="DH18" s="394">
        <f t="shared" si="14"/>
        <v>0.3</v>
      </c>
      <c r="DI18" s="394">
        <v>0.3</v>
      </c>
      <c r="DJ18" s="394">
        <f t="shared" si="3"/>
        <v>0.3</v>
      </c>
      <c r="DK18" s="394">
        <f t="shared" si="4"/>
        <v>0.3</v>
      </c>
    </row>
    <row r="19" spans="2:115" ht="20.100000000000001" customHeight="1" x14ac:dyDescent="0.25">
      <c r="B19" s="622" t="s">
        <v>601</v>
      </c>
      <c r="C19" s="663"/>
      <c r="D19" s="663"/>
      <c r="E19" s="663"/>
      <c r="F19" s="623"/>
      <c r="G19" s="872">
        <f>IF($G$15=$AB$8,AB11,IF($G$15=$AC$8,AC11,""))</f>
        <v>120</v>
      </c>
      <c r="H19" s="873"/>
      <c r="I19" s="185" t="s">
        <v>4</v>
      </c>
      <c r="J19" s="152"/>
      <c r="K19" s="171"/>
      <c r="L19" s="187"/>
      <c r="M19" s="167"/>
      <c r="N19" s="167"/>
      <c r="Y19" s="892" t="s">
        <v>304</v>
      </c>
      <c r="Z19" s="893"/>
      <c r="AA19" s="894"/>
      <c r="AB19" s="432" t="s">
        <v>319</v>
      </c>
      <c r="AC19" s="429" t="s">
        <v>319</v>
      </c>
      <c r="AD19" s="163"/>
      <c r="AE19" s="451">
        <v>10</v>
      </c>
      <c r="AF19" s="452">
        <v>999.77</v>
      </c>
      <c r="AG19" s="453">
        <v>1.3080000000000001E-3</v>
      </c>
      <c r="AH19" s="449">
        <f t="shared" si="0"/>
        <v>1.3083009092091183E-6</v>
      </c>
      <c r="AI19" s="215"/>
      <c r="AJ19" s="23"/>
      <c r="AK19" s="23"/>
      <c r="AL19" s="23"/>
      <c r="AM19" s="23"/>
      <c r="AN19" s="23"/>
      <c r="AO19" s="23"/>
      <c r="AP19" s="23"/>
      <c r="AQ19" s="23"/>
      <c r="AR19" s="23"/>
      <c r="AS19" s="23"/>
      <c r="AT19" s="439">
        <v>20</v>
      </c>
      <c r="AU19" s="440">
        <v>0.84099999999999997</v>
      </c>
      <c r="AV19" s="23"/>
      <c r="AW19" s="162"/>
      <c r="AX19" s="162"/>
      <c r="AY19" s="162"/>
      <c r="AZ19" s="162"/>
      <c r="BA19" s="162"/>
      <c r="BB19" s="162"/>
      <c r="BC19" s="162"/>
      <c r="BD19" s="162"/>
      <c r="BE19" s="162"/>
      <c r="BF19" s="162"/>
      <c r="BQ19" s="111"/>
      <c r="BR19" s="111"/>
      <c r="BS19" s="111"/>
      <c r="BT19" s="107">
        <v>19</v>
      </c>
      <c r="BU19" s="813" t="str">
        <f>BQ10</f>
        <v>Acero al carbono API 5L SCH-80</v>
      </c>
      <c r="BV19" s="814"/>
      <c r="BW19" s="814"/>
      <c r="BX19" s="814"/>
      <c r="BY19" s="814"/>
      <c r="BZ19" s="814"/>
      <c r="CA19" s="814"/>
      <c r="CB19" s="815"/>
      <c r="CC19" s="278">
        <v>19</v>
      </c>
      <c r="CD19" s="272">
        <v>13</v>
      </c>
      <c r="CE19" s="395"/>
      <c r="CF19" s="140"/>
      <c r="CG19" s="140"/>
      <c r="CH19" s="394"/>
      <c r="CI19" s="394"/>
      <c r="CJ19" s="394"/>
      <c r="CK19" s="394"/>
      <c r="CL19" s="394"/>
      <c r="CM19" s="394"/>
      <c r="CN19" s="394"/>
      <c r="CO19" s="394"/>
      <c r="CP19" s="394"/>
      <c r="CQ19" s="394"/>
      <c r="CR19" s="394"/>
      <c r="CS19" s="394"/>
      <c r="CT19" s="394"/>
      <c r="CU19" s="394"/>
      <c r="CV19" s="394"/>
      <c r="CW19" s="394"/>
      <c r="CX19" s="399"/>
      <c r="CY19" s="399"/>
      <c r="CZ19" s="399"/>
      <c r="DA19" s="399"/>
      <c r="DB19" s="399"/>
      <c r="DC19" s="399"/>
      <c r="DD19" s="399"/>
      <c r="DE19" s="399"/>
      <c r="DF19" s="399"/>
      <c r="DG19" s="394"/>
      <c r="DH19" s="394"/>
      <c r="DI19" s="394"/>
      <c r="DJ19" s="394"/>
      <c r="DK19" s="394"/>
    </row>
    <row r="20" spans="2:115" ht="20.100000000000001" customHeight="1" x14ac:dyDescent="0.25">
      <c r="B20" s="622" t="s">
        <v>336</v>
      </c>
      <c r="C20" s="663"/>
      <c r="D20" s="663"/>
      <c r="E20" s="663"/>
      <c r="F20" s="623"/>
      <c r="G20" s="872">
        <f t="shared" ref="G20:G25" si="15">IF($G$15=$AB$8,AB12,IF($G$15=$AC$8,AC12,""))</f>
        <v>150</v>
      </c>
      <c r="H20" s="873"/>
      <c r="I20" s="185" t="s">
        <v>4</v>
      </c>
      <c r="J20" s="152"/>
      <c r="K20" s="171"/>
      <c r="L20" s="187"/>
      <c r="M20" s="167"/>
      <c r="N20" s="167"/>
      <c r="Y20" s="905" t="s">
        <v>305</v>
      </c>
      <c r="Z20" s="906"/>
      <c r="AA20" s="907"/>
      <c r="AB20" s="433"/>
      <c r="AC20" s="434" t="s">
        <v>311</v>
      </c>
      <c r="AD20" s="163"/>
      <c r="AE20" s="451">
        <v>11</v>
      </c>
      <c r="AF20" s="452">
        <v>999.68</v>
      </c>
      <c r="AG20" s="453">
        <v>1.271E-3</v>
      </c>
      <c r="AH20" s="449">
        <f t="shared" si="0"/>
        <v>1.2714068501920614E-6</v>
      </c>
      <c r="AI20" s="215"/>
      <c r="AJ20" s="23"/>
      <c r="AK20" s="23"/>
      <c r="AL20" s="23"/>
      <c r="AM20" s="23"/>
      <c r="AN20" s="23"/>
      <c r="AO20" s="23"/>
      <c r="AP20" s="23"/>
      <c r="AQ20" s="23"/>
      <c r="AR20" s="23"/>
      <c r="AS20" s="23"/>
      <c r="AT20" s="439">
        <v>18</v>
      </c>
      <c r="AU20" s="440">
        <v>1</v>
      </c>
      <c r="AV20" s="23"/>
      <c r="AW20" s="162"/>
      <c r="AX20" s="162"/>
      <c r="AY20" s="162"/>
      <c r="AZ20" s="162"/>
      <c r="BA20" s="162"/>
      <c r="BB20" s="162"/>
      <c r="BC20" s="162"/>
      <c r="BD20" s="162"/>
      <c r="BE20" s="162"/>
      <c r="BF20" s="162"/>
      <c r="BQ20" s="111"/>
      <c r="BR20" s="111"/>
      <c r="BS20" s="111"/>
      <c r="BT20" s="107">
        <v>20</v>
      </c>
      <c r="BU20" s="404"/>
      <c r="BV20" s="404"/>
      <c r="BW20" s="404"/>
      <c r="BX20" s="404"/>
      <c r="BY20" s="404"/>
      <c r="BZ20" s="404"/>
      <c r="CA20" s="404"/>
      <c r="CB20" s="404"/>
      <c r="CC20" s="278">
        <v>20</v>
      </c>
      <c r="CD20" s="272">
        <v>14</v>
      </c>
      <c r="CE20" s="395" t="s">
        <v>415</v>
      </c>
      <c r="CF20" s="140">
        <v>0</v>
      </c>
      <c r="CG20" s="140">
        <v>1</v>
      </c>
      <c r="CH20" s="394">
        <v>0.5</v>
      </c>
      <c r="CI20" s="394">
        <v>0.5</v>
      </c>
      <c r="CJ20" s="394">
        <v>0.5</v>
      </c>
      <c r="CK20" s="394">
        <v>0.5</v>
      </c>
      <c r="CL20" s="394">
        <v>0.5</v>
      </c>
      <c r="CM20" s="394">
        <v>0.5</v>
      </c>
      <c r="CN20" s="394">
        <v>0.5</v>
      </c>
      <c r="CO20" s="394">
        <v>0.5</v>
      </c>
      <c r="CP20" s="394">
        <v>0.5</v>
      </c>
      <c r="CQ20" s="394">
        <v>0.5</v>
      </c>
      <c r="CR20" s="394">
        <v>0.5</v>
      </c>
      <c r="CS20" s="394">
        <v>0.5</v>
      </c>
      <c r="CT20" s="394">
        <v>0.5</v>
      </c>
      <c r="CU20" s="394">
        <v>0.5</v>
      </c>
      <c r="CV20" s="394">
        <v>0.5</v>
      </c>
      <c r="CW20" s="394">
        <v>0.5</v>
      </c>
      <c r="CX20" s="399">
        <f>CH20</f>
        <v>0.5</v>
      </c>
      <c r="CY20" s="399">
        <f t="shared" ref="CY20:DA21" si="16">CJ20</f>
        <v>0.5</v>
      </c>
      <c r="CZ20" s="399">
        <f t="shared" si="16"/>
        <v>0.5</v>
      </c>
      <c r="DA20" s="399">
        <f t="shared" si="16"/>
        <v>0.5</v>
      </c>
      <c r="DB20" s="399">
        <f>CN20</f>
        <v>0.5</v>
      </c>
      <c r="DC20" s="399">
        <f t="shared" ref="DC20:DH21" si="17">CP20</f>
        <v>0.5</v>
      </c>
      <c r="DD20" s="399">
        <f t="shared" si="17"/>
        <v>0.5</v>
      </c>
      <c r="DE20" s="399">
        <f t="shared" si="17"/>
        <v>0.5</v>
      </c>
      <c r="DF20" s="399">
        <f t="shared" si="17"/>
        <v>0.5</v>
      </c>
      <c r="DG20" s="394">
        <f t="shared" si="17"/>
        <v>0.5</v>
      </c>
      <c r="DH20" s="394">
        <f t="shared" si="17"/>
        <v>0.5</v>
      </c>
      <c r="DI20" s="394">
        <v>0.5</v>
      </c>
      <c r="DJ20" s="394">
        <f t="shared" si="3"/>
        <v>0.5</v>
      </c>
      <c r="DK20" s="394">
        <f t="shared" si="4"/>
        <v>0.5</v>
      </c>
    </row>
    <row r="21" spans="2:115" ht="20.100000000000001" customHeight="1" x14ac:dyDescent="0.25">
      <c r="B21" s="622" t="s">
        <v>300</v>
      </c>
      <c r="C21" s="663"/>
      <c r="D21" s="663"/>
      <c r="E21" s="663"/>
      <c r="F21" s="623"/>
      <c r="G21" s="872" t="str">
        <f t="shared" si="15"/>
        <v>12 - 36</v>
      </c>
      <c r="H21" s="873"/>
      <c r="I21" s="333" t="s">
        <v>313</v>
      </c>
      <c r="J21" s="152"/>
      <c r="K21" s="171"/>
      <c r="L21" s="187"/>
      <c r="M21" s="167"/>
      <c r="N21" s="167"/>
      <c r="Y21" s="908"/>
      <c r="Z21" s="909"/>
      <c r="AA21" s="910"/>
      <c r="AB21" s="435" t="s">
        <v>310</v>
      </c>
      <c r="AC21" s="436"/>
      <c r="AD21" s="163"/>
      <c r="AE21" s="451">
        <v>12</v>
      </c>
      <c r="AF21" s="452">
        <v>999.58</v>
      </c>
      <c r="AG21" s="453">
        <v>1.2359999999999999E-3</v>
      </c>
      <c r="AH21" s="449">
        <f t="shared" si="0"/>
        <v>1.2365193381220111E-6</v>
      </c>
      <c r="AI21" s="215"/>
      <c r="AJ21" s="23"/>
      <c r="AK21" s="23"/>
      <c r="AL21" s="23"/>
      <c r="AM21" s="23"/>
      <c r="AN21" s="23"/>
      <c r="AO21" s="23"/>
      <c r="AP21" s="23"/>
      <c r="AQ21" s="23"/>
      <c r="AR21" s="23"/>
      <c r="AS21" s="23"/>
      <c r="AT21" s="439">
        <v>14</v>
      </c>
      <c r="AU21" s="440">
        <v>1.41</v>
      </c>
      <c r="AV21" s="23"/>
      <c r="AW21" s="162"/>
      <c r="AX21" s="162"/>
      <c r="AY21" s="162"/>
      <c r="AZ21" s="162"/>
      <c r="BA21" s="162"/>
      <c r="BB21" s="162"/>
      <c r="BC21" s="162"/>
      <c r="BD21" s="162"/>
      <c r="BE21" s="162"/>
      <c r="BF21" s="162"/>
      <c r="BT21" s="107">
        <v>21</v>
      </c>
      <c r="BU21" s="140">
        <v>6</v>
      </c>
      <c r="BV21" s="140">
        <f>IF(BU21=6,150,IF(BU21=8,200,IF(BU21=10,250,IF(BU21=12,300,IF(BU21=14,350,IF(BU21=16,400,IF(BU21=18,450,IF(BU21=20,500,IF(BU21=24,600)))))))))</f>
        <v>150</v>
      </c>
      <c r="BW21" s="399">
        <v>6.625</v>
      </c>
      <c r="BX21" s="399"/>
      <c r="BY21" s="399">
        <v>0.432</v>
      </c>
      <c r="BZ21" s="399"/>
      <c r="CA21" s="399">
        <f>ROUND((BW21-(2*BY21))*0.0254,3)</f>
        <v>0.14599999999999999</v>
      </c>
      <c r="CB21" s="401">
        <f t="shared" ref="CB21:CB30" si="18">ROUND(BW21/BY21,0)</f>
        <v>15</v>
      </c>
      <c r="CC21" s="278">
        <v>21</v>
      </c>
      <c r="CD21" s="272">
        <v>15</v>
      </c>
      <c r="CE21" s="395" t="s">
        <v>416</v>
      </c>
      <c r="CF21" s="140">
        <v>0</v>
      </c>
      <c r="CG21" s="140">
        <v>1</v>
      </c>
      <c r="CH21" s="394">
        <v>0.1</v>
      </c>
      <c r="CI21" s="394">
        <v>0.1</v>
      </c>
      <c r="CJ21" s="394">
        <v>0.1</v>
      </c>
      <c r="CK21" s="394">
        <v>0.1</v>
      </c>
      <c r="CL21" s="394">
        <v>0.1</v>
      </c>
      <c r="CM21" s="394">
        <v>0.1</v>
      </c>
      <c r="CN21" s="394">
        <v>0.1</v>
      </c>
      <c r="CO21" s="394">
        <v>0.1</v>
      </c>
      <c r="CP21" s="394">
        <v>0.1</v>
      </c>
      <c r="CQ21" s="394">
        <v>0.1</v>
      </c>
      <c r="CR21" s="394">
        <v>0.1</v>
      </c>
      <c r="CS21" s="394">
        <v>0.1</v>
      </c>
      <c r="CT21" s="394">
        <v>0.1</v>
      </c>
      <c r="CU21" s="394">
        <v>0.1</v>
      </c>
      <c r="CV21" s="394">
        <v>0.1</v>
      </c>
      <c r="CW21" s="394">
        <v>0.1</v>
      </c>
      <c r="CX21" s="399">
        <f>CH21</f>
        <v>0.1</v>
      </c>
      <c r="CY21" s="399">
        <f t="shared" si="16"/>
        <v>0.1</v>
      </c>
      <c r="CZ21" s="399">
        <f t="shared" si="16"/>
        <v>0.1</v>
      </c>
      <c r="DA21" s="399">
        <f t="shared" si="16"/>
        <v>0.1</v>
      </c>
      <c r="DB21" s="399">
        <f>CN21</f>
        <v>0.1</v>
      </c>
      <c r="DC21" s="399">
        <f t="shared" si="17"/>
        <v>0.1</v>
      </c>
      <c r="DD21" s="399">
        <f t="shared" si="17"/>
        <v>0.1</v>
      </c>
      <c r="DE21" s="399">
        <f t="shared" si="17"/>
        <v>0.1</v>
      </c>
      <c r="DF21" s="399">
        <f t="shared" si="17"/>
        <v>0.1</v>
      </c>
      <c r="DG21" s="394">
        <f t="shared" si="17"/>
        <v>0.1</v>
      </c>
      <c r="DH21" s="394">
        <f t="shared" si="17"/>
        <v>0.1</v>
      </c>
      <c r="DI21" s="394">
        <v>0.1</v>
      </c>
      <c r="DJ21" s="394">
        <f t="shared" si="3"/>
        <v>0.1</v>
      </c>
      <c r="DK21" s="394">
        <f t="shared" si="4"/>
        <v>0.1</v>
      </c>
    </row>
    <row r="22" spans="2:115" ht="20.100000000000001" customHeight="1" x14ac:dyDescent="0.25">
      <c r="B22" s="622" t="s">
        <v>301</v>
      </c>
      <c r="C22" s="663"/>
      <c r="D22" s="663"/>
      <c r="E22" s="663"/>
      <c r="F22" s="623"/>
      <c r="G22" s="872">
        <f t="shared" si="15"/>
        <v>0.3</v>
      </c>
      <c r="H22" s="873"/>
      <c r="I22" s="333" t="s">
        <v>3</v>
      </c>
      <c r="J22" s="152"/>
      <c r="K22" s="171"/>
      <c r="L22" s="187"/>
      <c r="M22" s="167"/>
      <c r="N22" s="167"/>
      <c r="Y22" s="911"/>
      <c r="Z22" s="912"/>
      <c r="AA22" s="913"/>
      <c r="AB22" s="437" t="s">
        <v>311</v>
      </c>
      <c r="AC22" s="438"/>
      <c r="AD22" s="163"/>
      <c r="AE22" s="451">
        <v>13</v>
      </c>
      <c r="AF22" s="452">
        <v>999.46</v>
      </c>
      <c r="AG22" s="453">
        <v>1.2030000000000001E-3</v>
      </c>
      <c r="AH22" s="449">
        <f t="shared" si="0"/>
        <v>1.2036499709843315E-6</v>
      </c>
      <c r="AI22" s="215"/>
      <c r="AJ22" s="165"/>
      <c r="AK22" s="165"/>
      <c r="AL22" s="165"/>
      <c r="AM22" s="165"/>
      <c r="AN22" s="165"/>
      <c r="AO22" s="165"/>
      <c r="AP22" s="165"/>
      <c r="AQ22" s="165"/>
      <c r="AR22" s="165"/>
      <c r="AS22" s="165"/>
      <c r="AT22" s="439">
        <v>12</v>
      </c>
      <c r="AU22" s="440">
        <v>1.68</v>
      </c>
      <c r="AV22" s="165"/>
      <c r="AW22" s="162"/>
      <c r="AX22" s="162"/>
      <c r="AY22" s="162"/>
      <c r="AZ22" s="162"/>
      <c r="BA22" s="162"/>
      <c r="BB22" s="162"/>
      <c r="BC22" s="162"/>
      <c r="BD22" s="162"/>
      <c r="BE22" s="162"/>
      <c r="BF22" s="162"/>
      <c r="BT22" s="107">
        <v>22</v>
      </c>
      <c r="BU22" s="140">
        <v>8</v>
      </c>
      <c r="BV22" s="140">
        <f t="shared" ref="BV22:BV28" si="19">IF(BU22=6,150,IF(BU22=8,200,IF(BU22=10,250,IF(BU22=12,300,IF(BU22=14,350,IF(BU22=16,400,IF(BU22=18,450,IF(BU22=20,500,IF(BU22=24,600)))))))))</f>
        <v>200</v>
      </c>
      <c r="BW22" s="399">
        <v>8.625</v>
      </c>
      <c r="BX22" s="399"/>
      <c r="BY22" s="399">
        <v>0.5</v>
      </c>
      <c r="BZ22" s="399"/>
      <c r="CA22" s="399">
        <f>ROUND((BW22-(2*BY22))*0.0254,3)</f>
        <v>0.19400000000000001</v>
      </c>
      <c r="CB22" s="401">
        <f t="shared" si="18"/>
        <v>17</v>
      </c>
      <c r="CC22" s="278">
        <v>22</v>
      </c>
      <c r="CD22" s="272">
        <v>16</v>
      </c>
      <c r="CE22" s="395"/>
      <c r="CF22" s="140"/>
      <c r="CG22" s="140"/>
      <c r="CH22" s="394"/>
      <c r="CI22" s="394"/>
      <c r="CJ22" s="394"/>
      <c r="CK22" s="394"/>
      <c r="CL22" s="394"/>
      <c r="CM22" s="394"/>
      <c r="CN22" s="394"/>
      <c r="CO22" s="394"/>
      <c r="CP22" s="394"/>
      <c r="CQ22" s="394"/>
      <c r="CR22" s="394"/>
      <c r="CS22" s="394"/>
      <c r="CT22" s="394"/>
      <c r="CU22" s="394"/>
      <c r="CV22" s="394"/>
      <c r="CW22" s="394"/>
      <c r="CX22" s="399"/>
      <c r="CY22" s="399"/>
      <c r="CZ22" s="399"/>
      <c r="DA22" s="399"/>
      <c r="DB22" s="399"/>
      <c r="DC22" s="399"/>
      <c r="DD22" s="399"/>
      <c r="DE22" s="399"/>
      <c r="DF22" s="399"/>
      <c r="DG22" s="394"/>
      <c r="DH22" s="394"/>
      <c r="DI22" s="394"/>
      <c r="DJ22" s="394"/>
      <c r="DK22" s="394"/>
    </row>
    <row r="23" spans="2:115" ht="20.100000000000001" customHeight="1" x14ac:dyDescent="0.25">
      <c r="B23" s="622" t="s">
        <v>302</v>
      </c>
      <c r="C23" s="663"/>
      <c r="D23" s="663"/>
      <c r="E23" s="663"/>
      <c r="F23" s="623"/>
      <c r="G23" s="872" t="str">
        <f t="shared" si="15"/>
        <v>2,4 - 3,0</v>
      </c>
      <c r="H23" s="873"/>
      <c r="I23" s="333" t="s">
        <v>3</v>
      </c>
      <c r="J23" s="152"/>
      <c r="K23" s="171"/>
      <c r="L23" s="187"/>
      <c r="M23" s="167"/>
      <c r="N23" s="167"/>
      <c r="Y23" s="169"/>
      <c r="Z23" s="169"/>
      <c r="AA23" s="158"/>
      <c r="AB23" s="163"/>
      <c r="AC23" s="165"/>
      <c r="AD23" s="111"/>
      <c r="AE23" s="451">
        <v>14</v>
      </c>
      <c r="AF23" s="452">
        <v>999.33</v>
      </c>
      <c r="AG23" s="453">
        <v>1.1709999999999999E-3</v>
      </c>
      <c r="AH23" s="449">
        <f t="shared" si="0"/>
        <v>1.1717850960143296E-6</v>
      </c>
      <c r="AI23" s="111"/>
      <c r="AJ23" s="162"/>
      <c r="AK23" s="162"/>
      <c r="AL23" s="162"/>
      <c r="AM23" s="162"/>
      <c r="AN23" s="162"/>
      <c r="AO23" s="162"/>
      <c r="AP23" s="162"/>
      <c r="AQ23" s="162"/>
      <c r="AR23" s="162"/>
      <c r="AS23" s="162"/>
      <c r="AT23" s="439">
        <v>8</v>
      </c>
      <c r="AU23" s="440">
        <v>2.38</v>
      </c>
      <c r="AV23" s="162"/>
      <c r="AW23" s="162"/>
      <c r="AX23" s="162"/>
      <c r="AY23" s="162"/>
      <c r="AZ23" s="162"/>
      <c r="BA23" s="162"/>
      <c r="BB23" s="162"/>
      <c r="BC23" s="162"/>
      <c r="BD23" s="162"/>
      <c r="BE23" s="162"/>
      <c r="BF23" s="162"/>
      <c r="BT23" s="107">
        <v>23</v>
      </c>
      <c r="BU23" s="140">
        <v>10</v>
      </c>
      <c r="BV23" s="140">
        <f t="shared" si="19"/>
        <v>250</v>
      </c>
      <c r="BW23" s="399">
        <v>10.75</v>
      </c>
      <c r="BX23" s="399"/>
      <c r="BY23" s="399">
        <v>0.59399999999999997</v>
      </c>
      <c r="BZ23" s="399"/>
      <c r="CA23" s="399">
        <f t="shared" ref="CA23:CA30" si="20">ROUND((BW23-(2*BY23))*0.0254,3)</f>
        <v>0.24299999999999999</v>
      </c>
      <c r="CB23" s="401">
        <f t="shared" si="18"/>
        <v>18</v>
      </c>
      <c r="CC23" s="278">
        <v>23</v>
      </c>
      <c r="CD23" s="272">
        <v>17</v>
      </c>
      <c r="CE23" s="395" t="s">
        <v>453</v>
      </c>
      <c r="CF23" s="140">
        <v>1</v>
      </c>
      <c r="CG23" s="140">
        <v>1</v>
      </c>
      <c r="CH23" s="394">
        <v>1</v>
      </c>
      <c r="CI23" s="394">
        <v>1</v>
      </c>
      <c r="CJ23" s="394">
        <v>1</v>
      </c>
      <c r="CK23" s="394">
        <v>1</v>
      </c>
      <c r="CL23" s="394">
        <v>1</v>
      </c>
      <c r="CM23" s="394">
        <v>1</v>
      </c>
      <c r="CN23" s="394">
        <v>1</v>
      </c>
      <c r="CO23" s="394">
        <v>1</v>
      </c>
      <c r="CP23" s="394">
        <v>1</v>
      </c>
      <c r="CQ23" s="394">
        <v>1</v>
      </c>
      <c r="CR23" s="394">
        <v>1</v>
      </c>
      <c r="CS23" s="394">
        <v>1</v>
      </c>
      <c r="CT23" s="394">
        <v>1</v>
      </c>
      <c r="CU23" s="394">
        <v>1</v>
      </c>
      <c r="CV23" s="394">
        <v>1</v>
      </c>
      <c r="CW23" s="394">
        <v>1</v>
      </c>
      <c r="CX23" s="399">
        <f>CH23</f>
        <v>1</v>
      </c>
      <c r="CY23" s="399">
        <f>CJ23</f>
        <v>1</v>
      </c>
      <c r="CZ23" s="399">
        <f>CK23</f>
        <v>1</v>
      </c>
      <c r="DA23" s="399">
        <f>CL23</f>
        <v>1</v>
      </c>
      <c r="DB23" s="399">
        <f>CN23</f>
        <v>1</v>
      </c>
      <c r="DC23" s="399">
        <f t="shared" ref="DC23:DH23" si="21">CP23</f>
        <v>1</v>
      </c>
      <c r="DD23" s="399">
        <f t="shared" si="21"/>
        <v>1</v>
      </c>
      <c r="DE23" s="399">
        <f t="shared" si="21"/>
        <v>1</v>
      </c>
      <c r="DF23" s="399">
        <f t="shared" si="21"/>
        <v>1</v>
      </c>
      <c r="DG23" s="394">
        <f t="shared" si="21"/>
        <v>1</v>
      </c>
      <c r="DH23" s="394">
        <f t="shared" si="21"/>
        <v>1</v>
      </c>
      <c r="DI23" s="394">
        <v>1</v>
      </c>
      <c r="DJ23" s="394">
        <f t="shared" si="3"/>
        <v>1</v>
      </c>
      <c r="DK23" s="394">
        <f t="shared" si="4"/>
        <v>1</v>
      </c>
    </row>
    <row r="24" spans="2:115" ht="20.100000000000001" customHeight="1" x14ac:dyDescent="0.25">
      <c r="B24" s="622" t="s">
        <v>312</v>
      </c>
      <c r="C24" s="663"/>
      <c r="D24" s="663"/>
      <c r="E24" s="663"/>
      <c r="F24" s="623"/>
      <c r="G24" s="872" t="str">
        <f t="shared" si="15"/>
        <v>2 - 4</v>
      </c>
      <c r="H24" s="873"/>
      <c r="I24" s="333" t="s">
        <v>314</v>
      </c>
      <c r="J24" s="152"/>
      <c r="K24" s="171"/>
      <c r="L24" s="187"/>
      <c r="M24" s="167"/>
      <c r="N24" s="167"/>
      <c r="Y24" s="870"/>
      <c r="Z24" s="870"/>
      <c r="AA24" s="158"/>
      <c r="AB24" s="869"/>
      <c r="AC24" s="869"/>
      <c r="AD24" s="111"/>
      <c r="AE24" s="451">
        <v>15</v>
      </c>
      <c r="AF24" s="452">
        <v>999.19</v>
      </c>
      <c r="AG24" s="453">
        <v>1.14E-3</v>
      </c>
      <c r="AH24" s="449">
        <f t="shared" si="0"/>
        <v>1.1409241485603338E-6</v>
      </c>
      <c r="AI24" s="111"/>
      <c r="AJ24" s="162"/>
      <c r="AK24" s="162"/>
      <c r="AL24" s="162"/>
      <c r="AM24" s="162"/>
      <c r="AN24" s="162"/>
      <c r="AO24" s="162"/>
      <c r="AP24" s="162"/>
      <c r="AQ24" s="162"/>
      <c r="AR24" s="162"/>
      <c r="AS24" s="162"/>
      <c r="AT24" s="439">
        <v>6</v>
      </c>
      <c r="AU24" s="440">
        <v>3.35</v>
      </c>
      <c r="AV24" s="162"/>
      <c r="AW24" s="162"/>
      <c r="AX24" s="162"/>
      <c r="AY24" s="162"/>
      <c r="AZ24" s="162"/>
      <c r="BA24" s="162"/>
      <c r="BB24" s="162"/>
      <c r="BC24" s="162"/>
      <c r="BD24" s="162"/>
      <c r="BE24" s="162"/>
      <c r="BF24" s="162"/>
      <c r="BT24" s="107">
        <v>24</v>
      </c>
      <c r="BU24" s="140">
        <v>12</v>
      </c>
      <c r="BV24" s="140">
        <f t="shared" si="19"/>
        <v>300</v>
      </c>
      <c r="BW24" s="399">
        <v>12.75</v>
      </c>
      <c r="BX24" s="399"/>
      <c r="BY24" s="399">
        <v>0.68799999999999994</v>
      </c>
      <c r="BZ24" s="399"/>
      <c r="CA24" s="399">
        <f t="shared" si="20"/>
        <v>0.28899999999999998</v>
      </c>
      <c r="CB24" s="401">
        <f t="shared" si="18"/>
        <v>19</v>
      </c>
      <c r="CC24" s="225"/>
      <c r="CD24" s="249"/>
      <c r="CE24" s="111"/>
      <c r="CF24" s="111"/>
      <c r="CG24" s="111"/>
      <c r="CH24" s="111"/>
      <c r="CI24" s="111"/>
      <c r="CJ24" s="120"/>
      <c r="CK24" s="120"/>
      <c r="CL24" s="120"/>
      <c r="CM24" s="120"/>
      <c r="CN24" s="120"/>
      <c r="CO24" s="120"/>
      <c r="CP24" s="120"/>
      <c r="CQ24" s="120"/>
      <c r="CR24" s="120"/>
      <c r="CS24" s="120"/>
      <c r="CT24" s="120"/>
      <c r="CU24" s="120"/>
      <c r="CV24" s="120"/>
      <c r="CW24" s="120"/>
    </row>
    <row r="25" spans="2:115" ht="20.100000000000001" customHeight="1" x14ac:dyDescent="0.25">
      <c r="B25" s="622" t="str">
        <f>IF($G$15=$AB$8,$Y$17,IF($G$15=$AC$8,Y17&amp;" (antracita)",IF($G$15="",Y17&amp;" (antracita)")))</f>
        <v>Profundidad del medio</v>
      </c>
      <c r="C25" s="663"/>
      <c r="D25" s="663"/>
      <c r="E25" s="663"/>
      <c r="F25" s="623"/>
      <c r="G25" s="872" t="str">
        <f t="shared" si="15"/>
        <v>0,60 - 0,75</v>
      </c>
      <c r="H25" s="873"/>
      <c r="I25" s="333" t="s">
        <v>3</v>
      </c>
      <c r="J25" s="152"/>
      <c r="K25" s="171"/>
      <c r="L25" s="187"/>
      <c r="M25" s="167"/>
      <c r="N25" s="167"/>
      <c r="Y25" s="870"/>
      <c r="Z25" s="870"/>
      <c r="AA25" s="158"/>
      <c r="AB25" s="869"/>
      <c r="AC25" s="869"/>
      <c r="AD25" s="111"/>
      <c r="AE25" s="451">
        <v>16</v>
      </c>
      <c r="AF25" s="452">
        <v>999.03</v>
      </c>
      <c r="AG25" s="453">
        <v>1.111E-3</v>
      </c>
      <c r="AH25" s="449">
        <f t="shared" si="0"/>
        <v>1.1120787163548642E-6</v>
      </c>
      <c r="AI25" s="111"/>
      <c r="AJ25" s="162"/>
      <c r="AK25" s="162"/>
      <c r="AL25" s="162"/>
      <c r="AM25" s="162"/>
      <c r="AN25" s="162"/>
      <c r="AO25" s="162"/>
      <c r="AP25" s="162"/>
      <c r="AQ25" s="162"/>
      <c r="AR25" s="162"/>
      <c r="AS25" s="162"/>
      <c r="AT25" s="439">
        <v>4</v>
      </c>
      <c r="AU25" s="440">
        <v>4.76</v>
      </c>
      <c r="AV25" s="162"/>
      <c r="AW25" s="162"/>
      <c r="AX25" s="162"/>
      <c r="AY25" s="162"/>
      <c r="AZ25" s="162"/>
      <c r="BA25" s="162"/>
      <c r="BB25" s="162"/>
      <c r="BC25" s="162"/>
      <c r="BD25" s="162"/>
      <c r="BE25" s="162"/>
      <c r="BF25" s="162"/>
      <c r="BT25" s="107">
        <v>25</v>
      </c>
      <c r="BU25" s="140">
        <v>14</v>
      </c>
      <c r="BV25" s="140">
        <f t="shared" si="19"/>
        <v>350</v>
      </c>
      <c r="BW25" s="399">
        <v>14</v>
      </c>
      <c r="BX25" s="399"/>
      <c r="BY25" s="399">
        <v>0.75</v>
      </c>
      <c r="BZ25" s="399"/>
      <c r="CA25" s="399">
        <f t="shared" si="20"/>
        <v>0.318</v>
      </c>
      <c r="CB25" s="401">
        <f t="shared" si="18"/>
        <v>19</v>
      </c>
      <c r="CC25" s="225"/>
      <c r="CD25" s="249"/>
      <c r="CE25" s="111"/>
      <c r="CF25" s="111"/>
      <c r="CG25" s="111"/>
      <c r="CH25" s="111"/>
      <c r="CI25" s="111"/>
      <c r="CJ25" s="120"/>
      <c r="CK25" s="120"/>
      <c r="CL25" s="120"/>
      <c r="CM25" s="120"/>
      <c r="CN25" s="120"/>
      <c r="CO25" s="120"/>
      <c r="CP25" s="120"/>
      <c r="CQ25" s="120"/>
      <c r="CR25" s="120"/>
      <c r="CS25" s="120"/>
      <c r="CT25" s="120"/>
      <c r="CU25" s="120"/>
      <c r="CV25" s="120"/>
      <c r="CW25" s="120"/>
    </row>
    <row r="26" spans="2:115" ht="20.100000000000001" customHeight="1" x14ac:dyDescent="0.25">
      <c r="B26" s="622" t="str">
        <f>IF($G$15=$AB$8,$Y$19,IF($G$15=$AC$8,Y17&amp;" (arena)",IF($G$15="",Y17&amp;" (arena)")))</f>
        <v>Profundidad de grava</v>
      </c>
      <c r="C26" s="663"/>
      <c r="D26" s="663"/>
      <c r="E26" s="663"/>
      <c r="F26" s="623"/>
      <c r="G26" s="872" t="str">
        <f>IF($G$15=$AB$8,AB19,IF($G$15=$AC$8,AC18,""))</f>
        <v>0,30 - 0,45</v>
      </c>
      <c r="H26" s="873"/>
      <c r="I26" s="333" t="s">
        <v>3</v>
      </c>
      <c r="J26" s="152"/>
      <c r="K26" s="171"/>
      <c r="L26" s="187"/>
      <c r="M26" s="167"/>
      <c r="N26" s="167"/>
      <c r="Y26" s="870"/>
      <c r="Z26" s="870"/>
      <c r="AA26" s="158"/>
      <c r="AB26" s="869"/>
      <c r="AC26" s="869"/>
      <c r="AE26" s="451">
        <v>17</v>
      </c>
      <c r="AF26" s="452">
        <v>998.86</v>
      </c>
      <c r="AG26" s="453">
        <v>1.083E-3</v>
      </c>
      <c r="AH26" s="449">
        <f t="shared" si="0"/>
        <v>1.0842360290731433E-6</v>
      </c>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T26" s="107">
        <v>26</v>
      </c>
      <c r="BU26" s="140">
        <v>16</v>
      </c>
      <c r="BV26" s="140">
        <f t="shared" si="19"/>
        <v>400</v>
      </c>
      <c r="BW26" s="399">
        <v>16</v>
      </c>
      <c r="BX26" s="399"/>
      <c r="BY26" s="399">
        <v>0.84399999999999997</v>
      </c>
      <c r="BZ26" s="399"/>
      <c r="CA26" s="399">
        <f t="shared" si="20"/>
        <v>0.36399999999999999</v>
      </c>
      <c r="CB26" s="401">
        <f t="shared" si="18"/>
        <v>19</v>
      </c>
      <c r="CC26" s="225"/>
      <c r="CD26" s="249"/>
      <c r="CM26" s="252"/>
    </row>
    <row r="27" spans="2:115" ht="20.100000000000001" customHeight="1" x14ac:dyDescent="0.25">
      <c r="B27" s="622" t="str">
        <f>IF($G$15=$AB$8,"",IF($G$15=$AC$8,$Y$19,IF($G$15="",$Y$19)))</f>
        <v/>
      </c>
      <c r="C27" s="663"/>
      <c r="D27" s="663"/>
      <c r="E27" s="663"/>
      <c r="F27" s="663"/>
      <c r="G27" s="877" t="str">
        <f>IF($G$15=$AB$8,"",IF($G$15=$AC$8,$AC$19,IF($G$15="","")))</f>
        <v/>
      </c>
      <c r="H27" s="878"/>
      <c r="I27" s="184" t="str">
        <f>IF($G$15=$AB$8,"",IF($G$15=$AC$8,"m",IF($G$15="","m")))</f>
        <v/>
      </c>
      <c r="J27" s="152"/>
      <c r="K27" s="171"/>
      <c r="L27" s="187"/>
      <c r="M27" s="167"/>
      <c r="N27" s="167"/>
      <c r="Y27" s="159"/>
      <c r="Z27" s="159"/>
      <c r="AA27" s="158"/>
      <c r="AB27" s="160"/>
      <c r="AC27" s="160"/>
      <c r="AE27" s="451">
        <v>18</v>
      </c>
      <c r="AF27" s="452">
        <v>998.68</v>
      </c>
      <c r="AG27" s="453">
        <v>1.0560000000000001E-3</v>
      </c>
      <c r="AH27" s="449">
        <f t="shared" si="0"/>
        <v>1.0573957624063765E-6</v>
      </c>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T27" s="107">
        <v>27</v>
      </c>
      <c r="BU27" s="402">
        <v>18</v>
      </c>
      <c r="BV27" s="140">
        <f t="shared" si="19"/>
        <v>450</v>
      </c>
      <c r="BW27" s="403">
        <v>18</v>
      </c>
      <c r="BX27" s="403"/>
      <c r="BY27" s="403">
        <v>0.93799999999999994</v>
      </c>
      <c r="BZ27" s="403"/>
      <c r="CA27" s="403">
        <f t="shared" si="20"/>
        <v>0.41</v>
      </c>
      <c r="CB27" s="401">
        <f t="shared" si="18"/>
        <v>19</v>
      </c>
      <c r="CC27" s="225"/>
      <c r="CD27" s="249"/>
    </row>
    <row r="28" spans="2:115" ht="20.100000000000001" customHeight="1" x14ac:dyDescent="0.25">
      <c r="B28" s="169"/>
      <c r="C28" s="169"/>
      <c r="D28" s="169"/>
      <c r="E28" s="169"/>
      <c r="F28" s="169"/>
      <c r="G28" s="169"/>
      <c r="H28" s="169"/>
      <c r="I28" s="164"/>
      <c r="J28" s="152"/>
      <c r="K28" s="171"/>
      <c r="L28" s="187"/>
      <c r="Y28" s="159"/>
      <c r="Z28" s="159"/>
      <c r="AA28" s="158"/>
      <c r="AB28" s="160"/>
      <c r="AC28" s="160"/>
      <c r="AE28" s="451">
        <v>19</v>
      </c>
      <c r="AF28" s="452">
        <v>998.49</v>
      </c>
      <c r="AG28" s="453">
        <v>1.0300000000000001E-3</v>
      </c>
      <c r="AH28" s="449">
        <f t="shared" si="0"/>
        <v>1.0315576520546026E-6</v>
      </c>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T28" s="107">
        <v>28</v>
      </c>
      <c r="BU28" s="140">
        <v>20</v>
      </c>
      <c r="BV28" s="140">
        <f t="shared" si="19"/>
        <v>500</v>
      </c>
      <c r="BW28" s="399">
        <v>20</v>
      </c>
      <c r="BX28" s="399"/>
      <c r="BY28" s="399">
        <v>1.0309999999999999</v>
      </c>
      <c r="BZ28" s="399"/>
      <c r="CA28" s="399">
        <f t="shared" si="20"/>
        <v>0.45600000000000002</v>
      </c>
      <c r="CB28" s="401">
        <f t="shared" si="18"/>
        <v>19</v>
      </c>
      <c r="CC28" s="225"/>
      <c r="CD28" s="249"/>
    </row>
    <row r="29" spans="2:115" ht="20.100000000000001" customHeight="1" x14ac:dyDescent="0.25">
      <c r="B29" s="86" t="s">
        <v>267</v>
      </c>
      <c r="C29" s="169"/>
      <c r="D29" s="169"/>
      <c r="E29" s="169"/>
      <c r="F29" s="169"/>
      <c r="G29" s="169"/>
      <c r="H29" s="152"/>
      <c r="I29" s="153"/>
      <c r="J29" s="152"/>
      <c r="K29" s="171"/>
      <c r="L29" s="187"/>
      <c r="Y29" s="158"/>
      <c r="Z29" s="148"/>
      <c r="AA29" s="158"/>
      <c r="AB29" s="158"/>
      <c r="AC29" s="158"/>
      <c r="AE29" s="451">
        <v>20</v>
      </c>
      <c r="AF29" s="452">
        <v>998.29</v>
      </c>
      <c r="AG29" s="453">
        <v>1.005E-3</v>
      </c>
      <c r="AH29" s="449">
        <f t="shared" si="0"/>
        <v>1.0067214937543199E-6</v>
      </c>
      <c r="BT29" s="107">
        <v>29</v>
      </c>
      <c r="BU29" s="140">
        <v>22</v>
      </c>
      <c r="BV29" s="140">
        <f>IF(BU29=6,150,IF(BU29=8,200,IF(BU29=10,250,IF(BU29=12,300,IF(BU29=14,350,IF(BU29=16,400,IF(BU29=18,450,IF(BU29=20,500,IF(BU29=22,550,IF(BU29=24,600))))))))))</f>
        <v>550</v>
      </c>
      <c r="BW29" s="399">
        <v>22</v>
      </c>
      <c r="BX29" s="399"/>
      <c r="BY29" s="399">
        <v>1.125</v>
      </c>
      <c r="BZ29" s="399"/>
      <c r="CA29" s="399">
        <f t="shared" si="20"/>
        <v>0.502</v>
      </c>
      <c r="CB29" s="401">
        <f t="shared" si="18"/>
        <v>20</v>
      </c>
      <c r="CC29" s="225"/>
      <c r="CD29" s="249"/>
      <c r="CN29" s="223"/>
      <c r="CO29" s="247"/>
      <c r="CP29" s="223"/>
      <c r="CQ29" s="223"/>
      <c r="CR29" s="223"/>
      <c r="CS29" s="223"/>
      <c r="CT29" s="223"/>
      <c r="CU29" s="223"/>
      <c r="CV29" s="223"/>
    </row>
    <row r="30" spans="2:115" ht="20.100000000000001" customHeight="1" x14ac:dyDescent="0.25">
      <c r="B30" s="640" t="s">
        <v>243</v>
      </c>
      <c r="C30" s="640"/>
      <c r="D30" s="640"/>
      <c r="E30" s="640"/>
      <c r="F30" s="640"/>
      <c r="G30" s="640"/>
      <c r="H30" s="185" t="s">
        <v>240</v>
      </c>
      <c r="I30" s="588">
        <v>3</v>
      </c>
      <c r="J30" s="185" t="s">
        <v>244</v>
      </c>
      <c r="K30" s="171"/>
      <c r="L30" s="187"/>
      <c r="Y30" s="158"/>
      <c r="Z30" s="148"/>
      <c r="AA30" s="158"/>
      <c r="AB30" s="158"/>
      <c r="AC30" s="158"/>
      <c r="AE30" s="451">
        <v>21</v>
      </c>
      <c r="AF30" s="452">
        <v>998.08</v>
      </c>
      <c r="AG30" s="453">
        <v>9.810000000000001E-4</v>
      </c>
      <c r="AH30" s="449">
        <f t="shared" si="0"/>
        <v>9.8288714331516507E-7</v>
      </c>
      <c r="BT30" s="107">
        <v>30</v>
      </c>
      <c r="BU30" s="140">
        <v>24</v>
      </c>
      <c r="BV30" s="140">
        <f t="shared" ref="BV30" si="22">IF(BU30=6,150,IF(BU30=8,200,IF(BU30=10,250,IF(BU30=12,300,IF(BU30=14,350,IF(BU30=16,400,IF(BU30=18,450,IF(BU30=20,500,IF(BU30=24,600)))))))))</f>
        <v>600</v>
      </c>
      <c r="BW30" s="399">
        <v>24</v>
      </c>
      <c r="BX30" s="399"/>
      <c r="BY30" s="399">
        <v>1.2190000000000001</v>
      </c>
      <c r="BZ30" s="399"/>
      <c r="CA30" s="399">
        <f t="shared" si="20"/>
        <v>0.54800000000000004</v>
      </c>
      <c r="CB30" s="401">
        <f t="shared" si="18"/>
        <v>20</v>
      </c>
      <c r="CC30" s="225"/>
      <c r="CD30" s="249"/>
      <c r="CN30" s="223"/>
      <c r="CO30" s="247"/>
      <c r="CP30" s="223"/>
      <c r="CQ30" s="223"/>
      <c r="CR30" s="223"/>
      <c r="CS30" s="223"/>
      <c r="CT30" s="223"/>
      <c r="CU30" s="223"/>
      <c r="CV30" s="223"/>
    </row>
    <row r="31" spans="2:115" ht="20.100000000000001" customHeight="1" x14ac:dyDescent="0.25">
      <c r="B31" s="640" t="str">
        <f>"Densidad del agua a "&amp;I30&amp;" °C"</f>
        <v>Densidad del agua a 3 °C</v>
      </c>
      <c r="C31" s="640"/>
      <c r="D31" s="640"/>
      <c r="E31" s="640"/>
      <c r="F31" s="640"/>
      <c r="G31" s="640"/>
      <c r="H31" s="185" t="s">
        <v>239</v>
      </c>
      <c r="I31" s="346">
        <f>IF(I30="…","",ROUND(VLOOKUP(I30,AE$9:AH$44,2,FALSE),9))</f>
        <v>999.98</v>
      </c>
      <c r="J31" s="185" t="s">
        <v>275</v>
      </c>
      <c r="K31" s="171"/>
      <c r="L31" s="187"/>
      <c r="Y31" s="158"/>
      <c r="Z31" s="148"/>
      <c r="AA31" s="874"/>
      <c r="AB31" s="874"/>
      <c r="AC31" s="148"/>
      <c r="AE31" s="451">
        <v>22</v>
      </c>
      <c r="AF31" s="452">
        <v>997.86</v>
      </c>
      <c r="AG31" s="453">
        <v>9.5790000000000003E-4</v>
      </c>
      <c r="AH31" s="449">
        <f t="shared" si="0"/>
        <v>9.5995430220672237E-7</v>
      </c>
      <c r="BT31" s="107">
        <v>31</v>
      </c>
      <c r="BU31" s="810" t="str">
        <f>BQ11</f>
        <v>Hierro dúctil C30</v>
      </c>
      <c r="BV31" s="811"/>
      <c r="BW31" s="811"/>
      <c r="BX31" s="811"/>
      <c r="BY31" s="811"/>
      <c r="BZ31" s="811"/>
      <c r="CA31" s="811"/>
      <c r="CB31" s="812"/>
      <c r="CC31" s="225"/>
      <c r="CD31" s="249"/>
      <c r="CN31" s="223"/>
      <c r="CO31" s="247"/>
      <c r="CP31" s="223"/>
      <c r="CQ31" s="223"/>
      <c r="CR31" s="223"/>
      <c r="CS31" s="223"/>
      <c r="CT31" s="223"/>
      <c r="CU31" s="223"/>
      <c r="CV31" s="223"/>
    </row>
    <row r="32" spans="2:115" ht="20.100000000000001" customHeight="1" x14ac:dyDescent="0.25">
      <c r="B32" s="640" t="str">
        <f>"Viscocidad dinámica del agua a "&amp;I30&amp;" °C"</f>
        <v>Viscocidad dinámica del agua a 3 °C</v>
      </c>
      <c r="C32" s="640"/>
      <c r="D32" s="640"/>
      <c r="E32" s="640"/>
      <c r="F32" s="640"/>
      <c r="G32" s="640"/>
      <c r="H32" s="185" t="s">
        <v>208</v>
      </c>
      <c r="I32" s="347">
        <f>IF(I30="…","",ROUND(VLOOKUP(I30,AE$9:AH$44,3,FALSE),9))</f>
        <v>1.619E-3</v>
      </c>
      <c r="J32" s="156" t="s">
        <v>276</v>
      </c>
      <c r="K32" s="171"/>
      <c r="L32" s="187"/>
      <c r="Y32" s="148"/>
      <c r="Z32" s="148"/>
      <c r="AA32" s="874"/>
      <c r="AB32" s="874"/>
      <c r="AC32" s="148"/>
      <c r="AE32" s="451">
        <v>23</v>
      </c>
      <c r="AF32" s="452">
        <v>997.62</v>
      </c>
      <c r="AG32" s="453">
        <v>9.3579999999999998E-4</v>
      </c>
      <c r="AH32" s="449">
        <f t="shared" si="0"/>
        <v>9.3803251739139144E-7</v>
      </c>
      <c r="BT32" s="107">
        <v>32</v>
      </c>
      <c r="BU32" s="405"/>
      <c r="BV32" s="405"/>
      <c r="BW32" s="405"/>
      <c r="BX32" s="405"/>
      <c r="BY32" s="405"/>
      <c r="BZ32" s="405"/>
      <c r="CA32" s="405"/>
      <c r="CB32" s="405"/>
      <c r="CC32" s="225"/>
      <c r="CD32" s="249"/>
      <c r="CN32" s="223"/>
      <c r="CO32" s="247"/>
      <c r="CP32" s="223"/>
      <c r="CQ32" s="223"/>
      <c r="CR32" s="223"/>
      <c r="CS32" s="223"/>
      <c r="CT32" s="223"/>
      <c r="CU32" s="223"/>
      <c r="CV32" s="223"/>
    </row>
    <row r="33" spans="2:100" ht="20.100000000000001" customHeight="1" x14ac:dyDescent="0.25">
      <c r="B33" s="897" t="str">
        <f>"Viscocidad cinemática del agua a "&amp;I30&amp;" °C"</f>
        <v>Viscocidad cinemática del agua a 3 °C</v>
      </c>
      <c r="C33" s="897"/>
      <c r="D33" s="897"/>
      <c r="E33" s="897"/>
      <c r="F33" s="897"/>
      <c r="G33" s="897"/>
      <c r="H33" s="51" t="s">
        <v>2</v>
      </c>
      <c r="I33" s="347">
        <f>IF(I30="…","",ROUND(VLOOKUP(I30,AE$9:AH$44,4,FALSE),9))</f>
        <v>1.6190000000000001E-6</v>
      </c>
      <c r="J33" s="156" t="s">
        <v>277</v>
      </c>
      <c r="K33" s="147"/>
      <c r="L33" s="147"/>
      <c r="Y33" s="148"/>
      <c r="Z33" s="148"/>
      <c r="AA33" s="217"/>
      <c r="AB33" s="148"/>
      <c r="AC33" s="142"/>
      <c r="AD33" s="135"/>
      <c r="AE33" s="451">
        <v>24</v>
      </c>
      <c r="AF33" s="452">
        <v>997.38</v>
      </c>
      <c r="AG33" s="453">
        <v>9.142E-4</v>
      </c>
      <c r="AH33" s="449">
        <f t="shared" si="0"/>
        <v>9.1660149591930864E-7</v>
      </c>
      <c r="AI33" s="135"/>
      <c r="BT33" s="107">
        <v>33</v>
      </c>
      <c r="BU33" s="406"/>
      <c r="BV33" s="140">
        <v>300</v>
      </c>
      <c r="BW33" s="140"/>
      <c r="BX33" s="407">
        <v>326</v>
      </c>
      <c r="BY33" s="140"/>
      <c r="BZ33" s="140">
        <v>5.0999999999999996</v>
      </c>
      <c r="CA33" s="399">
        <f>ROUND((BX33-2*BZ33)/1000,3)</f>
        <v>0.316</v>
      </c>
      <c r="CB33" s="408">
        <f>ROUND(BX33/BZ33,0)</f>
        <v>64</v>
      </c>
      <c r="CC33" s="225"/>
      <c r="CD33" s="249"/>
      <c r="CN33" s="223"/>
      <c r="CO33" s="247"/>
      <c r="CP33" s="223"/>
      <c r="CQ33" s="223"/>
      <c r="CR33" s="223"/>
      <c r="CS33" s="223"/>
      <c r="CT33" s="223"/>
      <c r="CU33" s="223"/>
      <c r="CV33" s="223"/>
    </row>
    <row r="34" spans="2:100" ht="20.100000000000001" customHeight="1" x14ac:dyDescent="0.25">
      <c r="B34" s="174"/>
      <c r="C34" s="174"/>
      <c r="D34" s="174"/>
      <c r="E34" s="174"/>
      <c r="F34" s="174"/>
      <c r="G34" s="174"/>
      <c r="H34" s="174"/>
      <c r="I34" s="174"/>
      <c r="J34" s="174"/>
      <c r="K34" s="174"/>
      <c r="L34" s="174"/>
      <c r="Y34" s="83"/>
      <c r="Z34" s="216"/>
      <c r="AA34" s="111"/>
      <c r="AB34" s="218"/>
      <c r="AC34" s="137"/>
      <c r="AE34" s="451">
        <v>25</v>
      </c>
      <c r="AF34" s="452">
        <v>997.13</v>
      </c>
      <c r="AG34" s="453">
        <v>8.9370000000000009E-4</v>
      </c>
      <c r="AH34" s="449">
        <f t="shared" si="0"/>
        <v>8.9627230150532037E-7</v>
      </c>
      <c r="BT34" s="107">
        <v>34</v>
      </c>
      <c r="BU34" s="140"/>
      <c r="BV34" s="140">
        <v>350</v>
      </c>
      <c r="BW34" s="140"/>
      <c r="BX34" s="407">
        <v>378</v>
      </c>
      <c r="BY34" s="140"/>
      <c r="BZ34" s="140">
        <v>6.3</v>
      </c>
      <c r="CA34" s="399">
        <f t="shared" ref="CA34:CA38" si="23">ROUND((BX34-2*BZ34)/1000,3)</f>
        <v>0.36499999999999999</v>
      </c>
      <c r="CB34" s="408">
        <f t="shared" ref="CB34:CB38" si="24">ROUND(BX34/BZ34,0)</f>
        <v>60</v>
      </c>
      <c r="CC34" s="274"/>
      <c r="CD34" s="249"/>
      <c r="CN34" s="223"/>
      <c r="CO34" s="247"/>
      <c r="CP34" s="223"/>
      <c r="CQ34" s="223"/>
      <c r="CR34" s="223"/>
      <c r="CS34" s="223"/>
      <c r="CT34" s="223"/>
      <c r="CU34" s="223"/>
      <c r="CV34" s="223"/>
    </row>
    <row r="35" spans="2:100" ht="20.100000000000001" customHeight="1" x14ac:dyDescent="0.25">
      <c r="B35" s="176" t="s">
        <v>210</v>
      </c>
      <c r="C35" s="177"/>
      <c r="D35" s="171"/>
      <c r="E35" s="171"/>
      <c r="F35" s="171"/>
      <c r="G35" s="171"/>
      <c r="H35" s="127"/>
      <c r="I35" s="171"/>
      <c r="J35" s="153"/>
      <c r="K35" s="174"/>
      <c r="L35" s="174"/>
      <c r="Y35" s="83"/>
      <c r="Z35" s="216"/>
      <c r="AA35" s="219"/>
      <c r="AB35" s="218"/>
      <c r="AC35" s="137"/>
      <c r="AE35" s="451">
        <v>26</v>
      </c>
      <c r="AF35" s="452">
        <v>996.86</v>
      </c>
      <c r="AG35" s="453">
        <v>8.7370000000000004E-4</v>
      </c>
      <c r="AH35" s="449">
        <f t="shared" si="0"/>
        <v>8.7645205946672558E-7</v>
      </c>
      <c r="BT35" s="107">
        <v>35</v>
      </c>
      <c r="BU35" s="140"/>
      <c r="BV35" s="402">
        <v>400</v>
      </c>
      <c r="BW35" s="402"/>
      <c r="BX35" s="409">
        <v>429</v>
      </c>
      <c r="BY35" s="402"/>
      <c r="BZ35" s="402">
        <v>6.5</v>
      </c>
      <c r="CA35" s="403">
        <f t="shared" si="23"/>
        <v>0.41599999999999998</v>
      </c>
      <c r="CB35" s="408">
        <f t="shared" si="24"/>
        <v>66</v>
      </c>
      <c r="CC35" s="275"/>
      <c r="CD35" s="249"/>
      <c r="CN35" s="223"/>
      <c r="CO35" s="247"/>
      <c r="CP35" s="223"/>
      <c r="CQ35" s="223"/>
      <c r="CR35" s="223"/>
      <c r="CS35" s="223"/>
      <c r="CT35" s="223"/>
      <c r="CU35" s="223"/>
      <c r="CV35" s="223"/>
    </row>
    <row r="36" spans="2:100" ht="20.100000000000001" customHeight="1" x14ac:dyDescent="0.25">
      <c r="B36" s="176"/>
      <c r="C36" s="177"/>
      <c r="D36" s="171"/>
      <c r="E36" s="171"/>
      <c r="F36" s="171"/>
      <c r="G36" s="171"/>
      <c r="H36" s="127"/>
      <c r="I36" s="171"/>
      <c r="J36" s="153"/>
      <c r="K36" s="174"/>
      <c r="L36" s="174"/>
      <c r="Y36" s="83"/>
      <c r="Z36" s="216"/>
      <c r="AA36" s="219"/>
      <c r="AB36" s="218"/>
      <c r="AC36" s="137"/>
      <c r="AE36" s="451">
        <v>27</v>
      </c>
      <c r="AF36" s="452">
        <v>996.59</v>
      </c>
      <c r="AG36" s="453">
        <v>8.5450000000000001E-4</v>
      </c>
      <c r="AH36" s="449">
        <f t="shared" si="0"/>
        <v>8.5742381520986557E-7</v>
      </c>
      <c r="BT36" s="107">
        <v>36</v>
      </c>
      <c r="BU36" s="140"/>
      <c r="BV36" s="140">
        <v>450</v>
      </c>
      <c r="BW36" s="140"/>
      <c r="BX36" s="407">
        <v>480</v>
      </c>
      <c r="BY36" s="140"/>
      <c r="BZ36" s="140">
        <v>6.9</v>
      </c>
      <c r="CA36" s="399">
        <f t="shared" si="23"/>
        <v>0.46600000000000003</v>
      </c>
      <c r="CB36" s="408">
        <f t="shared" si="24"/>
        <v>70</v>
      </c>
      <c r="CC36" s="227"/>
      <c r="CD36" s="249"/>
    </row>
    <row r="37" spans="2:100" ht="20.100000000000001" customHeight="1" x14ac:dyDescent="0.25">
      <c r="B37" s="176" t="s">
        <v>271</v>
      </c>
      <c r="C37" s="177"/>
      <c r="D37" s="171"/>
      <c r="E37" s="171"/>
      <c r="F37" s="171"/>
      <c r="G37" s="171"/>
      <c r="H37" s="127"/>
      <c r="I37" s="171"/>
      <c r="J37" s="153"/>
      <c r="K37" s="174"/>
      <c r="L37" s="174"/>
      <c r="Y37" s="83"/>
      <c r="Z37" s="216"/>
      <c r="AA37" s="219"/>
      <c r="AB37" s="218"/>
      <c r="AC37" s="137"/>
      <c r="AE37" s="451">
        <v>28</v>
      </c>
      <c r="AF37" s="452">
        <v>996.31</v>
      </c>
      <c r="AG37" s="453">
        <v>8.3599999999999994E-4</v>
      </c>
      <c r="AH37" s="449">
        <f t="shared" si="0"/>
        <v>8.3909626521865684E-7</v>
      </c>
      <c r="BT37" s="107">
        <v>37</v>
      </c>
      <c r="BU37" s="140"/>
      <c r="BV37" s="140">
        <v>500</v>
      </c>
      <c r="BW37" s="140"/>
      <c r="BX37" s="407">
        <v>532</v>
      </c>
      <c r="BY37" s="140"/>
      <c r="BZ37" s="140">
        <v>7.5</v>
      </c>
      <c r="CA37" s="399">
        <f t="shared" si="23"/>
        <v>0.51700000000000002</v>
      </c>
      <c r="CB37" s="408">
        <f t="shared" si="24"/>
        <v>71</v>
      </c>
      <c r="CC37" s="227"/>
      <c r="CD37" s="249"/>
    </row>
    <row r="38" spans="2:100" ht="20.100000000000001" customHeight="1" x14ac:dyDescent="0.25">
      <c r="B38" s="856" t="s">
        <v>188</v>
      </c>
      <c r="C38" s="54"/>
      <c r="D38" s="170"/>
      <c r="E38" s="849" t="s">
        <v>199</v>
      </c>
      <c r="F38" s="852" t="s">
        <v>198</v>
      </c>
      <c r="G38" s="875" t="s">
        <v>205</v>
      </c>
      <c r="H38" s="876"/>
      <c r="I38" s="875" t="s">
        <v>204</v>
      </c>
      <c r="J38" s="876"/>
      <c r="K38" s="174"/>
      <c r="L38" s="174"/>
      <c r="Y38" s="83"/>
      <c r="Z38" s="216"/>
      <c r="AA38" s="219"/>
      <c r="AB38" s="218"/>
      <c r="AC38" s="137"/>
      <c r="AE38" s="451">
        <v>29</v>
      </c>
      <c r="AF38" s="452">
        <v>996.02</v>
      </c>
      <c r="AG38" s="453">
        <v>8.1799999999999993E-4</v>
      </c>
      <c r="AH38" s="449">
        <f t="shared" si="0"/>
        <v>8.2126864922391111E-7</v>
      </c>
      <c r="BT38" s="107">
        <v>38</v>
      </c>
      <c r="BU38" s="140"/>
      <c r="BV38" s="140">
        <v>600</v>
      </c>
      <c r="BW38" s="140"/>
      <c r="BX38" s="407">
        <v>635</v>
      </c>
      <c r="BY38" s="140"/>
      <c r="BZ38" s="140">
        <v>8.6999999999999993</v>
      </c>
      <c r="CA38" s="399">
        <f t="shared" si="23"/>
        <v>0.61799999999999999</v>
      </c>
      <c r="CB38" s="408">
        <f t="shared" si="24"/>
        <v>73</v>
      </c>
      <c r="CC38" s="227"/>
      <c r="CD38" s="249"/>
    </row>
    <row r="39" spans="2:100" ht="20.100000000000001" customHeight="1" x14ac:dyDescent="0.25">
      <c r="B39" s="857"/>
      <c r="C39" s="54"/>
      <c r="D39" s="170"/>
      <c r="E39" s="850"/>
      <c r="F39" s="853"/>
      <c r="G39" s="852" t="s">
        <v>184</v>
      </c>
      <c r="H39" s="852" t="s">
        <v>202</v>
      </c>
      <c r="I39" s="852" t="s">
        <v>184</v>
      </c>
      <c r="J39" s="852" t="s">
        <v>202</v>
      </c>
      <c r="K39" s="174"/>
      <c r="L39" s="174"/>
      <c r="Y39" s="83"/>
      <c r="Z39" s="216"/>
      <c r="AA39" s="219"/>
      <c r="AB39" s="218"/>
      <c r="AC39" s="137"/>
      <c r="AE39" s="451">
        <v>30</v>
      </c>
      <c r="AF39" s="452">
        <v>995.71</v>
      </c>
      <c r="AG39" s="453">
        <v>8.007E-4</v>
      </c>
      <c r="AH39" s="449">
        <f t="shared" si="0"/>
        <v>8.0414980265338299E-7</v>
      </c>
      <c r="BT39" s="107">
        <v>39</v>
      </c>
      <c r="BU39" s="810" t="str">
        <f>BQ12</f>
        <v>Hierro dúctil C40</v>
      </c>
      <c r="BV39" s="811"/>
      <c r="BW39" s="811"/>
      <c r="BX39" s="811"/>
      <c r="BY39" s="811"/>
      <c r="BZ39" s="811"/>
      <c r="CA39" s="811"/>
      <c r="CB39" s="812"/>
      <c r="CC39" s="227"/>
      <c r="CD39" s="249"/>
    </row>
    <row r="40" spans="2:100" ht="20.100000000000001" customHeight="1" x14ac:dyDescent="0.25">
      <c r="B40" s="857"/>
      <c r="C40" s="54"/>
      <c r="D40" s="170"/>
      <c r="E40" s="850"/>
      <c r="F40" s="853"/>
      <c r="G40" s="853"/>
      <c r="H40" s="853"/>
      <c r="I40" s="853"/>
      <c r="J40" s="853"/>
      <c r="K40" s="174"/>
      <c r="L40" s="174"/>
      <c r="Y40" s="83"/>
      <c r="Z40" s="216"/>
      <c r="AA40" s="219"/>
      <c r="AB40" s="218"/>
      <c r="AC40" s="137"/>
      <c r="AE40" s="451">
        <v>31</v>
      </c>
      <c r="AF40" s="452">
        <v>995.41</v>
      </c>
      <c r="AG40" s="453">
        <v>7.8400000000000008E-4</v>
      </c>
      <c r="AH40" s="449">
        <f t="shared" si="0"/>
        <v>7.8761515355481675E-7</v>
      </c>
      <c r="BT40" s="107">
        <v>40</v>
      </c>
      <c r="BU40" s="140"/>
      <c r="BV40" s="405"/>
      <c r="BW40" s="405"/>
      <c r="BX40" s="405"/>
      <c r="BY40" s="405"/>
      <c r="BZ40" s="405"/>
      <c r="CA40" s="405"/>
      <c r="CB40" s="405"/>
      <c r="CC40" s="227"/>
      <c r="CD40" s="249"/>
    </row>
    <row r="41" spans="2:100" ht="20.100000000000001" customHeight="1" x14ac:dyDescent="0.25">
      <c r="B41" s="858"/>
      <c r="C41" s="54"/>
      <c r="D41" s="170"/>
      <c r="E41" s="851"/>
      <c r="F41" s="854"/>
      <c r="G41" s="854"/>
      <c r="H41" s="854"/>
      <c r="I41" s="854"/>
      <c r="J41" s="854"/>
      <c r="K41" s="174"/>
      <c r="L41" s="174"/>
      <c r="Y41" s="83"/>
      <c r="Z41" s="216"/>
      <c r="AA41" s="219"/>
      <c r="AB41" s="218"/>
      <c r="AC41" s="137"/>
      <c r="AE41" s="451">
        <v>32</v>
      </c>
      <c r="AF41" s="452">
        <v>995.09</v>
      </c>
      <c r="AG41" s="453">
        <v>7.6790000000000007E-4</v>
      </c>
      <c r="AH41" s="449">
        <f t="shared" si="0"/>
        <v>7.7168899295541107E-7</v>
      </c>
      <c r="BT41" s="107">
        <v>41</v>
      </c>
      <c r="BU41" s="140"/>
      <c r="BV41" s="140">
        <v>150</v>
      </c>
      <c r="BW41" s="140"/>
      <c r="BX41" s="407">
        <v>170</v>
      </c>
      <c r="BY41" s="140"/>
      <c r="BZ41" s="140">
        <v>4.5</v>
      </c>
      <c r="CA41" s="399">
        <f>ROUND((BX41-2*BZ41)/1000,3)</f>
        <v>0.161</v>
      </c>
      <c r="CB41" s="408">
        <f t="shared" ref="CB41:CB49" si="25">ROUND(BX41/BZ41,0)</f>
        <v>38</v>
      </c>
      <c r="CC41" s="227"/>
      <c r="CD41" s="249"/>
    </row>
    <row r="42" spans="2:100" ht="20.100000000000001" customHeight="1" x14ac:dyDescent="0.25">
      <c r="B42" s="384" t="s">
        <v>189</v>
      </c>
      <c r="C42" s="385"/>
      <c r="D42" s="386"/>
      <c r="E42" s="386">
        <v>16.2</v>
      </c>
      <c r="F42" s="333">
        <f t="shared" ref="F42:F50" si="26">MID(B42,4,3)+0</f>
        <v>20</v>
      </c>
      <c r="G42" s="334">
        <f t="shared" ref="G42:G50" si="27">VLOOKUP(F42,AT$5:AU$25,2,FALSE)</f>
        <v>0.84099999999999997</v>
      </c>
      <c r="H42" s="349">
        <f>SUM(E$42:E$50)-SUM(E$42:E42)</f>
        <v>83.8</v>
      </c>
      <c r="I42" s="334">
        <f>G50</f>
        <v>0.14899999999999999</v>
      </c>
      <c r="J42" s="349">
        <f>H50</f>
        <v>0</v>
      </c>
      <c r="K42" s="174"/>
      <c r="L42" s="174"/>
      <c r="M42" s="150"/>
      <c r="N42" s="166"/>
      <c r="Y42" s="83"/>
      <c r="Z42" s="216"/>
      <c r="AA42" s="219"/>
      <c r="AB42" s="218"/>
      <c r="AC42" s="137"/>
      <c r="AE42" s="451">
        <v>33</v>
      </c>
      <c r="AF42" s="452">
        <v>994.76</v>
      </c>
      <c r="AG42" s="453">
        <v>7.5230000000000002E-4</v>
      </c>
      <c r="AH42" s="449">
        <f t="shared" si="0"/>
        <v>7.5626281716192853E-7</v>
      </c>
      <c r="BT42" s="107">
        <v>42</v>
      </c>
      <c r="BU42" s="140"/>
      <c r="BV42" s="140">
        <v>200</v>
      </c>
      <c r="BW42" s="140"/>
      <c r="BX42" s="407">
        <v>222</v>
      </c>
      <c r="BY42" s="140"/>
      <c r="BZ42" s="410">
        <v>4.7</v>
      </c>
      <c r="CA42" s="399">
        <f>ROUND((BX42-2*BZ42)/1000,3)</f>
        <v>0.21299999999999999</v>
      </c>
      <c r="CB42" s="408">
        <f t="shared" si="25"/>
        <v>47</v>
      </c>
      <c r="CC42" s="227"/>
      <c r="CD42" s="249"/>
    </row>
    <row r="43" spans="2:100" ht="20.100000000000001" customHeight="1" x14ac:dyDescent="0.25">
      <c r="B43" s="384" t="s">
        <v>190</v>
      </c>
      <c r="C43" s="385"/>
      <c r="D43" s="386"/>
      <c r="E43" s="386">
        <v>33.700000000000003</v>
      </c>
      <c r="F43" s="333">
        <f t="shared" si="26"/>
        <v>25</v>
      </c>
      <c r="G43" s="371">
        <f t="shared" si="27"/>
        <v>0.70699999999999996</v>
      </c>
      <c r="H43" s="349">
        <f>SUM(E$42:E$50)-SUM(E$42:E43)</f>
        <v>50.099999999999994</v>
      </c>
      <c r="I43" s="334">
        <f>G49</f>
        <v>0.21</v>
      </c>
      <c r="J43" s="349">
        <f>H49</f>
        <v>0.49999999999998579</v>
      </c>
      <c r="K43" s="174"/>
      <c r="L43" s="174"/>
      <c r="M43" s="166"/>
      <c r="N43" s="150"/>
      <c r="Y43" s="83"/>
      <c r="Z43" s="216"/>
      <c r="AA43" s="219"/>
      <c r="AB43" s="218"/>
      <c r="AC43" s="137"/>
      <c r="AE43" s="451">
        <v>34</v>
      </c>
      <c r="AF43" s="452">
        <v>994.43</v>
      </c>
      <c r="AG43" s="453">
        <v>7.3709999999999997E-4</v>
      </c>
      <c r="AH43" s="449">
        <f t="shared" si="0"/>
        <v>7.4122864354454311E-7</v>
      </c>
      <c r="BT43" s="107">
        <v>43</v>
      </c>
      <c r="BU43" s="140"/>
      <c r="BV43" s="140">
        <v>250</v>
      </c>
      <c r="BW43" s="140"/>
      <c r="BX43" s="407">
        <v>274</v>
      </c>
      <c r="BY43" s="140"/>
      <c r="BZ43" s="410">
        <v>5.5</v>
      </c>
      <c r="CA43" s="399">
        <f t="shared" ref="CA43:CA49" si="28">ROUND((BX43-2*BZ43)/1000,3)</f>
        <v>0.26300000000000001</v>
      </c>
      <c r="CB43" s="408">
        <f t="shared" si="25"/>
        <v>50</v>
      </c>
      <c r="CC43" s="227"/>
      <c r="CD43" s="249"/>
    </row>
    <row r="44" spans="2:100" ht="20.100000000000001" customHeight="1" x14ac:dyDescent="0.25">
      <c r="B44" s="384" t="s">
        <v>191</v>
      </c>
      <c r="C44" s="385"/>
      <c r="D44" s="386"/>
      <c r="E44" s="386">
        <v>33.9</v>
      </c>
      <c r="F44" s="333">
        <f t="shared" si="26"/>
        <v>30</v>
      </c>
      <c r="G44" s="371">
        <f t="shared" si="27"/>
        <v>0.59499999999999997</v>
      </c>
      <c r="H44" s="349">
        <f>SUM(E$42:E$50)-SUM(E$42:E44)</f>
        <v>16.199999999999989</v>
      </c>
      <c r="I44" s="334">
        <f>G48</f>
        <v>0.25</v>
      </c>
      <c r="J44" s="349">
        <f>H48</f>
        <v>1.4999999999999858</v>
      </c>
      <c r="K44" s="174"/>
      <c r="L44" s="174"/>
      <c r="M44" s="166"/>
      <c r="N44" s="150"/>
      <c r="Y44" s="83"/>
      <c r="Z44" s="216"/>
      <c r="AA44" s="219"/>
      <c r="AB44" s="218"/>
      <c r="AC44" s="137"/>
      <c r="AE44" s="451">
        <v>35</v>
      </c>
      <c r="AF44" s="452">
        <v>994.08</v>
      </c>
      <c r="AG44" s="453">
        <v>7.2250000000000005E-4</v>
      </c>
      <c r="AH44" s="449">
        <f t="shared" si="0"/>
        <v>7.2680267181715759E-7</v>
      </c>
      <c r="BT44" s="107">
        <v>44</v>
      </c>
      <c r="BU44" s="411"/>
      <c r="BV44" s="140">
        <v>300</v>
      </c>
      <c r="BW44" s="140"/>
      <c r="BX44" s="407">
        <v>326</v>
      </c>
      <c r="BY44" s="140"/>
      <c r="BZ44" s="410">
        <v>6.2</v>
      </c>
      <c r="CA44" s="399">
        <f t="shared" si="28"/>
        <v>0.314</v>
      </c>
      <c r="CB44" s="408">
        <f t="shared" si="25"/>
        <v>53</v>
      </c>
      <c r="CC44" s="227"/>
      <c r="CD44" s="249"/>
    </row>
    <row r="45" spans="2:100" ht="20.100000000000001" customHeight="1" x14ac:dyDescent="0.25">
      <c r="B45" s="384" t="s">
        <v>197</v>
      </c>
      <c r="C45" s="385"/>
      <c r="D45" s="386"/>
      <c r="E45" s="386">
        <v>6.2</v>
      </c>
      <c r="F45" s="333">
        <f t="shared" si="26"/>
        <v>35</v>
      </c>
      <c r="G45" s="371">
        <f t="shared" si="27"/>
        <v>0.5</v>
      </c>
      <c r="H45" s="349">
        <f>SUM(E$42:E$50)-SUM(E$42:E45)</f>
        <v>9.9999999999999858</v>
      </c>
      <c r="I45" s="334">
        <f>G47</f>
        <v>0.29699999999999999</v>
      </c>
      <c r="J45" s="349">
        <f>H47</f>
        <v>3.4999999999999858</v>
      </c>
      <c r="K45" s="174"/>
      <c r="L45" s="178"/>
      <c r="M45" s="166"/>
      <c r="N45" s="150"/>
      <c r="Y45" s="83"/>
      <c r="Z45" s="216"/>
      <c r="AA45" s="219"/>
      <c r="AB45" s="218"/>
      <c r="AC45" s="137"/>
      <c r="BT45" s="107">
        <v>45</v>
      </c>
      <c r="BU45" s="140"/>
      <c r="BV45" s="140">
        <v>350</v>
      </c>
      <c r="BW45" s="140"/>
      <c r="BX45" s="407">
        <v>378</v>
      </c>
      <c r="BY45" s="140"/>
      <c r="BZ45" s="410">
        <v>7.1</v>
      </c>
      <c r="CA45" s="399">
        <f t="shared" si="28"/>
        <v>0.36399999999999999</v>
      </c>
      <c r="CB45" s="408">
        <f t="shared" si="25"/>
        <v>53</v>
      </c>
      <c r="CC45" s="227"/>
      <c r="CD45" s="249"/>
    </row>
    <row r="46" spans="2:100" ht="20.100000000000001" customHeight="1" x14ac:dyDescent="0.25">
      <c r="B46" s="384" t="s">
        <v>192</v>
      </c>
      <c r="C46" s="385"/>
      <c r="D46" s="386"/>
      <c r="E46" s="386">
        <v>3.5</v>
      </c>
      <c r="F46" s="333">
        <f t="shared" si="26"/>
        <v>40</v>
      </c>
      <c r="G46" s="371">
        <f t="shared" si="27"/>
        <v>0.4</v>
      </c>
      <c r="H46" s="349">
        <f>SUM(E$42:E$50)-SUM(E$42:E46)</f>
        <v>6.4999999999999858</v>
      </c>
      <c r="I46" s="334">
        <f>G46</f>
        <v>0.4</v>
      </c>
      <c r="J46" s="349">
        <f>H46</f>
        <v>6.4999999999999858</v>
      </c>
      <c r="K46" s="174"/>
      <c r="L46" s="174"/>
      <c r="M46" s="166"/>
      <c r="N46" s="150"/>
      <c r="Y46" s="83"/>
      <c r="Z46" s="216"/>
      <c r="AA46" s="219"/>
      <c r="AB46" s="218"/>
      <c r="AC46" s="137"/>
      <c r="BT46" s="107">
        <v>46</v>
      </c>
      <c r="BU46" s="412"/>
      <c r="BV46" s="402">
        <v>400</v>
      </c>
      <c r="BW46" s="402"/>
      <c r="BX46" s="409">
        <v>429</v>
      </c>
      <c r="BY46" s="402"/>
      <c r="BZ46" s="413">
        <v>7.8</v>
      </c>
      <c r="CA46" s="403">
        <f t="shared" si="28"/>
        <v>0.41299999999999998</v>
      </c>
      <c r="CB46" s="408">
        <f t="shared" si="25"/>
        <v>55</v>
      </c>
      <c r="CC46" s="274"/>
      <c r="CD46" s="249"/>
    </row>
    <row r="47" spans="2:100" ht="20.100000000000001" customHeight="1" x14ac:dyDescent="0.25">
      <c r="B47" s="384" t="s">
        <v>193</v>
      </c>
      <c r="C47" s="385"/>
      <c r="D47" s="386"/>
      <c r="E47" s="386">
        <v>3</v>
      </c>
      <c r="F47" s="333">
        <f t="shared" si="26"/>
        <v>50</v>
      </c>
      <c r="G47" s="371">
        <f t="shared" si="27"/>
        <v>0.29699999999999999</v>
      </c>
      <c r="H47" s="349">
        <f>SUM(E$42:E$50)-SUM(E$42:E47)</f>
        <v>3.4999999999999858</v>
      </c>
      <c r="I47" s="334">
        <f>G45</f>
        <v>0.5</v>
      </c>
      <c r="J47" s="349">
        <f>H45</f>
        <v>9.9999999999999858</v>
      </c>
      <c r="K47" s="174"/>
      <c r="L47" s="174"/>
      <c r="M47" s="166"/>
      <c r="N47" s="150"/>
      <c r="Y47" s="83"/>
      <c r="Z47" s="216"/>
      <c r="AA47" s="219"/>
      <c r="AB47" s="218"/>
      <c r="AC47" s="137"/>
      <c r="BT47" s="107">
        <v>47</v>
      </c>
      <c r="BU47" s="405"/>
      <c r="BV47" s="140">
        <v>450</v>
      </c>
      <c r="BW47" s="140"/>
      <c r="BX47" s="407">
        <v>480</v>
      </c>
      <c r="BY47" s="140"/>
      <c r="BZ47" s="410">
        <v>8.6</v>
      </c>
      <c r="CA47" s="399">
        <f t="shared" si="28"/>
        <v>0.46300000000000002</v>
      </c>
      <c r="CB47" s="408">
        <f t="shared" si="25"/>
        <v>56</v>
      </c>
      <c r="CC47" s="275"/>
      <c r="CD47" s="249"/>
    </row>
    <row r="48" spans="2:100" ht="20.100000000000001" customHeight="1" x14ac:dyDescent="0.25">
      <c r="B48" s="384" t="s">
        <v>194</v>
      </c>
      <c r="C48" s="385"/>
      <c r="D48" s="386"/>
      <c r="E48" s="386">
        <v>2</v>
      </c>
      <c r="F48" s="333">
        <f t="shared" si="26"/>
        <v>60</v>
      </c>
      <c r="G48" s="371">
        <f t="shared" si="27"/>
        <v>0.25</v>
      </c>
      <c r="H48" s="349">
        <f>SUM(E$42:E$50)-SUM(E$42:E48)</f>
        <v>1.4999999999999858</v>
      </c>
      <c r="I48" s="334">
        <f>G44</f>
        <v>0.59499999999999997</v>
      </c>
      <c r="J48" s="349">
        <f>H44</f>
        <v>16.199999999999989</v>
      </c>
      <c r="K48" s="174"/>
      <c r="L48" s="174"/>
      <c r="M48" s="166"/>
      <c r="N48" s="150"/>
      <c r="Y48" s="83"/>
      <c r="Z48" s="216"/>
      <c r="AA48" s="219"/>
      <c r="AB48" s="218"/>
      <c r="AC48" s="137"/>
      <c r="BT48" s="107">
        <v>48</v>
      </c>
      <c r="BU48" s="140"/>
      <c r="BV48" s="140">
        <v>500</v>
      </c>
      <c r="BW48" s="140"/>
      <c r="BX48" s="407">
        <v>532</v>
      </c>
      <c r="BY48" s="140"/>
      <c r="BZ48" s="410">
        <v>9.3000000000000007</v>
      </c>
      <c r="CA48" s="399">
        <f t="shared" si="28"/>
        <v>0.51300000000000001</v>
      </c>
      <c r="CB48" s="408">
        <f t="shared" si="25"/>
        <v>57</v>
      </c>
      <c r="CC48" s="227"/>
      <c r="CD48" s="249"/>
    </row>
    <row r="49" spans="2:94" ht="20.100000000000001" customHeight="1" x14ac:dyDescent="0.25">
      <c r="B49" s="384" t="s">
        <v>195</v>
      </c>
      <c r="C49" s="385"/>
      <c r="D49" s="386"/>
      <c r="E49" s="386">
        <v>1</v>
      </c>
      <c r="F49" s="333">
        <f t="shared" si="26"/>
        <v>70</v>
      </c>
      <c r="G49" s="371">
        <f t="shared" si="27"/>
        <v>0.21</v>
      </c>
      <c r="H49" s="349">
        <f>SUM(E$42:E$50)-SUM(E$42:E49)</f>
        <v>0.49999999999998579</v>
      </c>
      <c r="I49" s="334">
        <f>G43</f>
        <v>0.70699999999999996</v>
      </c>
      <c r="J49" s="349">
        <f>H43</f>
        <v>50.099999999999994</v>
      </c>
      <c r="K49" s="174"/>
      <c r="L49" s="174"/>
      <c r="M49" s="166"/>
      <c r="N49" s="150"/>
      <c r="Y49" s="83"/>
      <c r="Z49" s="216"/>
      <c r="AA49" s="219"/>
      <c r="AB49" s="218"/>
      <c r="AC49" s="137"/>
      <c r="BT49" s="107">
        <v>49</v>
      </c>
      <c r="BU49" s="140"/>
      <c r="BV49" s="140">
        <v>600</v>
      </c>
      <c r="BW49" s="140"/>
      <c r="BX49" s="407">
        <v>635</v>
      </c>
      <c r="BY49" s="140"/>
      <c r="BZ49" s="410">
        <v>10.9</v>
      </c>
      <c r="CA49" s="399">
        <f t="shared" si="28"/>
        <v>0.61299999999999999</v>
      </c>
      <c r="CB49" s="408">
        <f t="shared" si="25"/>
        <v>58</v>
      </c>
      <c r="CC49" s="227"/>
      <c r="CD49" s="249"/>
    </row>
    <row r="50" spans="2:94" ht="20.100000000000001" customHeight="1" x14ac:dyDescent="0.25">
      <c r="B50" s="384" t="s">
        <v>196</v>
      </c>
      <c r="C50" s="385"/>
      <c r="D50" s="386"/>
      <c r="E50" s="350">
        <f>100-(SUM(E42:E49))</f>
        <v>0.49999999999998579</v>
      </c>
      <c r="F50" s="333">
        <f t="shared" si="26"/>
        <v>100</v>
      </c>
      <c r="G50" s="371">
        <f t="shared" si="27"/>
        <v>0.14899999999999999</v>
      </c>
      <c r="H50" s="349">
        <f>SUM(E$42:E$50)-SUM(E$42:E50)</f>
        <v>0</v>
      </c>
      <c r="I50" s="334">
        <f>G42</f>
        <v>0.84099999999999997</v>
      </c>
      <c r="J50" s="349">
        <f>H42</f>
        <v>83.8</v>
      </c>
      <c r="K50" s="335" t="str">
        <f>IF(OR(SUM(E42:E50)&lt;100,SUM(E42:E50)&gt;100),"Sumatoria de % arena retenida deber ser 100, verifique granuloemtría del medio filtrante","")</f>
        <v/>
      </c>
      <c r="L50" s="174"/>
      <c r="Y50" s="83"/>
      <c r="Z50" s="216"/>
      <c r="AA50" s="219"/>
      <c r="AB50" s="218"/>
      <c r="AC50" s="137"/>
      <c r="BT50" s="107">
        <v>50</v>
      </c>
      <c r="BU50" s="810" t="str">
        <f>BQ13</f>
        <v>Polietileno de alta densidad (PEAD) PE 100 RDE 21</v>
      </c>
      <c r="BV50" s="811"/>
      <c r="BW50" s="811"/>
      <c r="BX50" s="811"/>
      <c r="BY50" s="811"/>
      <c r="BZ50" s="811"/>
      <c r="CA50" s="811"/>
      <c r="CB50" s="812"/>
      <c r="CC50" s="227"/>
      <c r="CD50" s="249"/>
    </row>
    <row r="51" spans="2:94" ht="20.100000000000001" customHeight="1" x14ac:dyDescent="0.25">
      <c r="B51" s="174"/>
      <c r="C51" s="174"/>
      <c r="D51" s="174"/>
      <c r="E51" s="178"/>
      <c r="F51" s="174"/>
      <c r="G51" s="174"/>
      <c r="H51" s="174"/>
      <c r="I51" s="174"/>
      <c r="J51" s="174"/>
      <c r="K51" s="174"/>
      <c r="L51" s="174"/>
      <c r="Y51" s="83"/>
      <c r="Z51" s="216"/>
      <c r="AA51" s="219"/>
      <c r="AB51" s="218"/>
      <c r="AC51" s="137"/>
      <c r="BT51" s="107">
        <v>51</v>
      </c>
      <c r="BU51" s="140"/>
      <c r="BV51" s="140"/>
      <c r="BW51" s="140"/>
      <c r="BX51" s="407"/>
      <c r="BY51" s="140"/>
      <c r="BZ51" s="410"/>
      <c r="CA51" s="399"/>
      <c r="CB51" s="408"/>
      <c r="CC51" s="227"/>
      <c r="CD51" s="249"/>
    </row>
    <row r="52" spans="2:94" ht="20.100000000000001" customHeight="1" x14ac:dyDescent="0.25">
      <c r="B52" s="86" t="s">
        <v>330</v>
      </c>
      <c r="C52" s="177"/>
      <c r="D52" s="171"/>
      <c r="E52" s="177"/>
      <c r="F52" s="164"/>
      <c r="G52" s="179"/>
      <c r="H52" s="124"/>
      <c r="I52" s="124"/>
      <c r="J52" s="124"/>
      <c r="K52" s="174"/>
      <c r="L52" s="174"/>
      <c r="Y52" s="83"/>
      <c r="Z52" s="216"/>
      <c r="AA52" s="219"/>
      <c r="AB52" s="218"/>
      <c r="AC52" s="137"/>
      <c r="BT52" s="107">
        <v>52</v>
      </c>
      <c r="BU52" s="140"/>
      <c r="BV52" s="414">
        <v>160</v>
      </c>
      <c r="BW52" s="415"/>
      <c r="BX52" s="416">
        <v>160</v>
      </c>
      <c r="BY52" s="415"/>
      <c r="BZ52" s="417">
        <v>7.7</v>
      </c>
      <c r="CA52" s="399">
        <f>ROUND((BX52-2*BZ52)/1000,4)</f>
        <v>0.14460000000000001</v>
      </c>
      <c r="CB52" s="408">
        <f t="shared" ref="CB52:CB57" si="29">ROUND(BX52/BZ52,0)</f>
        <v>21</v>
      </c>
      <c r="CC52" s="227"/>
      <c r="CD52" s="249"/>
    </row>
    <row r="53" spans="2:94" ht="20.100000000000001" customHeight="1" x14ac:dyDescent="0.25">
      <c r="B53" s="809"/>
      <c r="C53" s="54"/>
      <c r="D53" s="170"/>
      <c r="E53" s="859" t="s">
        <v>184</v>
      </c>
      <c r="F53" s="859" t="s">
        <v>202</v>
      </c>
      <c r="G53" s="740"/>
      <c r="H53" s="740"/>
      <c r="I53" s="740"/>
      <c r="J53" s="855" t="s">
        <v>331</v>
      </c>
      <c r="K53" s="174"/>
      <c r="L53" s="174"/>
      <c r="Y53" s="83"/>
      <c r="Z53" s="216"/>
      <c r="AA53" s="219"/>
      <c r="AB53" s="218"/>
      <c r="AC53" s="137"/>
      <c r="BT53" s="107">
        <v>53</v>
      </c>
      <c r="BU53" s="140"/>
      <c r="BV53" s="140">
        <v>200</v>
      </c>
      <c r="BW53" s="404"/>
      <c r="BX53" s="394">
        <v>200</v>
      </c>
      <c r="BY53" s="404"/>
      <c r="BZ53" s="410">
        <v>9.6</v>
      </c>
      <c r="CA53" s="399">
        <f t="shared" ref="CA53:CA57" si="30">ROUND((BX53-2*BZ53)/1000,4)</f>
        <v>0.18079999999999999</v>
      </c>
      <c r="CB53" s="408">
        <f t="shared" si="29"/>
        <v>21</v>
      </c>
      <c r="CC53" s="227"/>
      <c r="CD53" s="249"/>
    </row>
    <row r="54" spans="2:94" ht="20.100000000000001" customHeight="1" x14ac:dyDescent="0.25">
      <c r="B54" s="809"/>
      <c r="C54" s="54"/>
      <c r="D54" s="170"/>
      <c r="E54" s="859"/>
      <c r="F54" s="859"/>
      <c r="G54" s="740"/>
      <c r="H54" s="740"/>
      <c r="I54" s="740"/>
      <c r="J54" s="855"/>
      <c r="K54" s="174"/>
      <c r="L54" s="174"/>
      <c r="Y54" s="83"/>
      <c r="Z54" s="216"/>
      <c r="AA54" s="219"/>
      <c r="AB54" s="218"/>
      <c r="AC54" s="137"/>
      <c r="AJ54" s="143"/>
      <c r="BT54" s="107">
        <v>54</v>
      </c>
      <c r="BU54" s="140"/>
      <c r="BV54" s="140">
        <v>250</v>
      </c>
      <c r="BW54" s="404"/>
      <c r="BX54" s="394">
        <v>250</v>
      </c>
      <c r="BY54" s="404"/>
      <c r="BZ54" s="410">
        <v>11.9</v>
      </c>
      <c r="CA54" s="399">
        <f t="shared" si="30"/>
        <v>0.22620000000000001</v>
      </c>
      <c r="CB54" s="408">
        <f t="shared" si="29"/>
        <v>21</v>
      </c>
      <c r="CC54" s="227"/>
      <c r="CD54" s="249"/>
    </row>
    <row r="55" spans="2:94" ht="20.100000000000001" customHeight="1" x14ac:dyDescent="0.25">
      <c r="B55" s="809"/>
      <c r="C55" s="54"/>
      <c r="D55" s="170"/>
      <c r="E55" s="859"/>
      <c r="F55" s="859"/>
      <c r="G55" s="740"/>
      <c r="H55" s="740"/>
      <c r="I55" s="740"/>
      <c r="J55" s="855"/>
      <c r="K55" s="174"/>
      <c r="L55" s="174"/>
      <c r="Y55" s="83"/>
      <c r="Z55" s="216"/>
      <c r="AA55" s="219"/>
      <c r="AB55" s="218"/>
      <c r="AC55" s="137"/>
      <c r="AJ55" s="143"/>
      <c r="BT55" s="107">
        <v>55</v>
      </c>
      <c r="BU55" s="140"/>
      <c r="BV55" s="140">
        <v>315</v>
      </c>
      <c r="BW55" s="404"/>
      <c r="BX55" s="394">
        <v>315</v>
      </c>
      <c r="BY55" s="404"/>
      <c r="BZ55" s="410">
        <v>15</v>
      </c>
      <c r="CA55" s="399">
        <f t="shared" si="30"/>
        <v>0.28499999999999998</v>
      </c>
      <c r="CB55" s="408">
        <f t="shared" si="29"/>
        <v>21</v>
      </c>
      <c r="CC55" s="227"/>
      <c r="CD55" s="249"/>
    </row>
    <row r="56" spans="2:94" ht="20.100000000000001" customHeight="1" x14ac:dyDescent="0.25">
      <c r="B56" s="334" t="s">
        <v>571</v>
      </c>
      <c r="C56" s="172"/>
      <c r="D56" s="185"/>
      <c r="E56" s="334">
        <f>INDEX(I42:I50,MATCH(10,J42:J50,1),1)</f>
        <v>0.5</v>
      </c>
      <c r="F56" s="349">
        <f>VLOOKUP(E56,I$42:J$50,2,FALSE)</f>
        <v>9.9999999999999858</v>
      </c>
      <c r="G56" s="890">
        <f>(LOG(E56)+((10-F56)/(F57-F56))*LOG(E57/E56))</f>
        <v>-0.30102999566398103</v>
      </c>
      <c r="H56" s="890"/>
      <c r="I56" s="890"/>
      <c r="J56" s="680">
        <f>10^(G56)</f>
        <v>0.50000000000000022</v>
      </c>
      <c r="K56" s="309" t="str">
        <f>IF(J56&lt;0.45,"0,45&lt;d10&lt;0,55 ¡Verifique granulometría del medio filtrante!",IF(J56&gt;0.55,"0,45&lt;d10&lt;0,55, ¡Verifique granulometría del medio filtrante!","Ok"))</f>
        <v>Ok</v>
      </c>
      <c r="L56" s="174"/>
      <c r="Y56" s="83"/>
      <c r="Z56" s="216"/>
      <c r="AA56" s="219"/>
      <c r="AB56" s="218"/>
      <c r="AC56" s="137"/>
      <c r="BT56" s="107">
        <v>56</v>
      </c>
      <c r="BU56" s="140"/>
      <c r="BV56" s="140">
        <v>355</v>
      </c>
      <c r="BW56" s="404"/>
      <c r="BX56" s="394">
        <v>355</v>
      </c>
      <c r="BY56" s="404"/>
      <c r="BZ56" s="410">
        <v>16.899999999999999</v>
      </c>
      <c r="CA56" s="399">
        <f t="shared" si="30"/>
        <v>0.32119999999999999</v>
      </c>
      <c r="CB56" s="408">
        <f t="shared" si="29"/>
        <v>21</v>
      </c>
      <c r="CC56" s="227"/>
      <c r="CD56" s="249"/>
    </row>
    <row r="57" spans="2:94" ht="20.100000000000001" customHeight="1" x14ac:dyDescent="0.25">
      <c r="B57" s="334" t="s">
        <v>572</v>
      </c>
      <c r="C57" s="172"/>
      <c r="D57" s="185"/>
      <c r="E57" s="334">
        <f>INDEX(G42:G50,MATCH(10,H42:H50,-1),1)</f>
        <v>0.59499999999999997</v>
      </c>
      <c r="F57" s="349">
        <f>VLOOKUP(E57,I$42:J$50,2,FALSE)</f>
        <v>16.199999999999989</v>
      </c>
      <c r="G57" s="890"/>
      <c r="H57" s="890"/>
      <c r="I57" s="890"/>
      <c r="J57" s="680"/>
      <c r="K57" s="309"/>
      <c r="L57" s="174"/>
      <c r="Y57" s="83"/>
      <c r="Z57" s="216"/>
      <c r="AA57" s="219"/>
      <c r="AB57" s="218"/>
      <c r="AC57" s="137"/>
      <c r="BT57" s="107">
        <v>57</v>
      </c>
      <c r="BU57" s="140"/>
      <c r="BV57" s="414">
        <v>400</v>
      </c>
      <c r="BW57" s="415"/>
      <c r="BX57" s="416">
        <v>400</v>
      </c>
      <c r="BY57" s="415"/>
      <c r="BZ57" s="417">
        <v>19.100000000000001</v>
      </c>
      <c r="CA57" s="399">
        <f t="shared" si="30"/>
        <v>0.36180000000000001</v>
      </c>
      <c r="CB57" s="408">
        <f t="shared" si="29"/>
        <v>21</v>
      </c>
      <c r="CC57" s="227"/>
      <c r="CD57" s="249"/>
    </row>
    <row r="58" spans="2:94" ht="20.100000000000001" customHeight="1" x14ac:dyDescent="0.25">
      <c r="B58" s="180"/>
      <c r="C58" s="177"/>
      <c r="D58" s="171"/>
      <c r="E58" s="124"/>
      <c r="F58" s="181"/>
      <c r="G58" s="171"/>
      <c r="H58" s="171"/>
      <c r="I58" s="171"/>
      <c r="J58" s="124"/>
      <c r="K58" s="174"/>
      <c r="L58" s="174"/>
      <c r="Y58" s="83"/>
      <c r="Z58" s="216"/>
      <c r="AA58" s="219"/>
      <c r="AB58" s="218"/>
      <c r="AC58" s="137"/>
      <c r="BT58" s="107">
        <v>58</v>
      </c>
      <c r="BU58" s="810" t="str">
        <f>BQ14</f>
        <v>Polietileno de alta densidad (PEAD) PE 100 RDE 17</v>
      </c>
      <c r="BV58" s="811"/>
      <c r="BW58" s="811"/>
      <c r="BX58" s="811"/>
      <c r="BY58" s="811"/>
      <c r="BZ58" s="811"/>
      <c r="CA58" s="811"/>
      <c r="CB58" s="812"/>
      <c r="CC58" s="227"/>
      <c r="CD58" s="249"/>
      <c r="CE58" s="904"/>
      <c r="CF58" s="904"/>
      <c r="CG58" s="904"/>
      <c r="CH58" s="904"/>
      <c r="CI58" s="904"/>
      <c r="CJ58" s="904"/>
      <c r="CK58" s="904"/>
      <c r="CL58" s="904"/>
      <c r="CM58" s="904"/>
      <c r="CN58" s="904"/>
      <c r="CO58" s="904"/>
      <c r="CP58" s="904"/>
    </row>
    <row r="59" spans="2:94" ht="20.100000000000001" customHeight="1" x14ac:dyDescent="0.25">
      <c r="B59" s="86" t="s">
        <v>332</v>
      </c>
      <c r="C59" s="177"/>
      <c r="D59" s="171"/>
      <c r="E59" s="124"/>
      <c r="F59" s="181"/>
      <c r="G59" s="171"/>
      <c r="H59" s="171"/>
      <c r="I59" s="171"/>
      <c r="J59" s="124"/>
      <c r="K59" s="174"/>
      <c r="L59" s="174"/>
      <c r="Y59" s="83"/>
      <c r="Z59" s="216"/>
      <c r="AA59" s="219"/>
      <c r="AB59" s="218"/>
      <c r="AC59" s="137"/>
      <c r="BT59" s="107">
        <v>59</v>
      </c>
      <c r="BU59" s="140"/>
      <c r="BV59" s="140"/>
      <c r="BW59" s="140"/>
      <c r="BX59" s="407"/>
      <c r="BY59" s="140"/>
      <c r="BZ59" s="410"/>
      <c r="CA59" s="399"/>
      <c r="CB59" s="408"/>
      <c r="CC59" s="227"/>
      <c r="CD59" s="249"/>
      <c r="CE59" s="23"/>
      <c r="CF59" s="23"/>
      <c r="CG59" s="23"/>
      <c r="CH59" s="23"/>
      <c r="CI59" s="23"/>
      <c r="CJ59" s="83"/>
      <c r="CK59" s="83"/>
      <c r="CL59" s="83"/>
      <c r="CM59" s="83"/>
      <c r="CN59" s="83"/>
      <c r="CO59" s="83"/>
      <c r="CP59" s="83"/>
    </row>
    <row r="60" spans="2:94" ht="20.100000000000001" customHeight="1" x14ac:dyDescent="0.25">
      <c r="B60" s="809"/>
      <c r="C60" s="54"/>
      <c r="D60" s="170"/>
      <c r="E60" s="859" t="s">
        <v>184</v>
      </c>
      <c r="F60" s="859" t="s">
        <v>202</v>
      </c>
      <c r="G60" s="740"/>
      <c r="H60" s="740"/>
      <c r="I60" s="740"/>
      <c r="J60" s="855" t="s">
        <v>333</v>
      </c>
      <c r="K60" s="174"/>
      <c r="L60" s="174"/>
      <c r="Y60" s="83"/>
      <c r="Z60" s="216"/>
      <c r="AA60" s="219"/>
      <c r="AB60" s="218"/>
      <c r="AC60" s="137"/>
      <c r="BT60" s="107">
        <v>60</v>
      </c>
      <c r="BU60" s="140"/>
      <c r="BV60" s="140">
        <v>160</v>
      </c>
      <c r="BW60" s="418"/>
      <c r="BX60" s="394">
        <v>160</v>
      </c>
      <c r="BY60" s="418"/>
      <c r="BZ60" s="140">
        <v>9.5</v>
      </c>
      <c r="CA60" s="399">
        <f>ROUND((BX60-2*BZ60)/1000,4)</f>
        <v>0.14099999999999999</v>
      </c>
      <c r="CB60" s="419">
        <f t="shared" ref="CB60:CB65" si="31">ROUND(BX60/BZ60,0)</f>
        <v>17</v>
      </c>
      <c r="CC60" s="227"/>
      <c r="CD60" s="249"/>
      <c r="CE60" s="83"/>
      <c r="CF60" s="83"/>
      <c r="CG60" s="83"/>
      <c r="CH60" s="83"/>
      <c r="CI60" s="83"/>
      <c r="CJ60" s="83"/>
      <c r="CK60" s="120"/>
      <c r="CL60" s="83"/>
      <c r="CM60" s="83"/>
      <c r="CN60" s="83"/>
      <c r="CO60" s="83"/>
      <c r="CP60" s="112"/>
    </row>
    <row r="61" spans="2:94" ht="20.100000000000001" customHeight="1" x14ac:dyDescent="0.25">
      <c r="B61" s="809"/>
      <c r="C61" s="54"/>
      <c r="D61" s="170"/>
      <c r="E61" s="859"/>
      <c r="F61" s="859"/>
      <c r="G61" s="740"/>
      <c r="H61" s="740"/>
      <c r="I61" s="740"/>
      <c r="J61" s="855"/>
      <c r="K61" s="174"/>
      <c r="L61" s="174"/>
      <c r="Y61" s="83"/>
      <c r="Z61" s="216"/>
      <c r="AA61" s="219"/>
      <c r="AB61" s="218"/>
      <c r="AC61" s="137"/>
      <c r="BT61" s="107">
        <v>61</v>
      </c>
      <c r="BU61" s="412"/>
      <c r="BV61" s="140">
        <v>200</v>
      </c>
      <c r="BW61" s="140"/>
      <c r="BX61" s="394">
        <v>200</v>
      </c>
      <c r="BY61" s="140"/>
      <c r="BZ61" s="140">
        <v>11.9</v>
      </c>
      <c r="CA61" s="399">
        <f t="shared" ref="CA61:CA65" si="32">ROUND((BX61-2*BZ61)/1000,4)</f>
        <v>0.1762</v>
      </c>
      <c r="CB61" s="419">
        <f t="shared" si="31"/>
        <v>17</v>
      </c>
      <c r="CC61" s="274"/>
      <c r="CD61" s="249"/>
      <c r="CE61" s="83"/>
      <c r="CF61" s="83"/>
      <c r="CG61" s="83"/>
      <c r="CH61" s="83"/>
      <c r="CI61" s="83"/>
      <c r="CJ61" s="83"/>
      <c r="CK61" s="120"/>
      <c r="CL61" s="83"/>
      <c r="CM61" s="83"/>
      <c r="CN61" s="83"/>
      <c r="CO61" s="83"/>
      <c r="CP61" s="112"/>
    </row>
    <row r="62" spans="2:94" ht="20.100000000000001" customHeight="1" x14ac:dyDescent="0.25">
      <c r="B62" s="809"/>
      <c r="C62" s="54"/>
      <c r="D62" s="170"/>
      <c r="E62" s="859"/>
      <c r="F62" s="859"/>
      <c r="G62" s="740"/>
      <c r="H62" s="740"/>
      <c r="I62" s="740"/>
      <c r="J62" s="855"/>
      <c r="K62" s="174"/>
      <c r="L62" s="174"/>
      <c r="Y62" s="83"/>
      <c r="Z62" s="216"/>
      <c r="AA62" s="219"/>
      <c r="AB62" s="218"/>
      <c r="AC62" s="137"/>
      <c r="BT62" s="107">
        <v>62</v>
      </c>
      <c r="BU62" s="405"/>
      <c r="BV62" s="140">
        <v>250</v>
      </c>
      <c r="BW62" s="140"/>
      <c r="BX62" s="394">
        <v>250</v>
      </c>
      <c r="BY62" s="140"/>
      <c r="BZ62" s="140">
        <v>14.8</v>
      </c>
      <c r="CA62" s="399">
        <f t="shared" si="32"/>
        <v>0.22040000000000001</v>
      </c>
      <c r="CB62" s="401">
        <f t="shared" si="31"/>
        <v>17</v>
      </c>
      <c r="CC62" s="275"/>
      <c r="CD62" s="249"/>
      <c r="CE62" s="83"/>
      <c r="CF62" s="83"/>
      <c r="CG62" s="83"/>
      <c r="CH62" s="83"/>
      <c r="CI62" s="83"/>
      <c r="CJ62" s="23"/>
      <c r="CK62" s="120"/>
      <c r="CL62" s="23"/>
      <c r="CM62" s="23"/>
      <c r="CN62" s="83"/>
      <c r="CO62" s="83"/>
      <c r="CP62" s="112"/>
    </row>
    <row r="63" spans="2:94" ht="20.100000000000001" customHeight="1" x14ac:dyDescent="0.25">
      <c r="B63" s="334" t="s">
        <v>571</v>
      </c>
      <c r="C63" s="172"/>
      <c r="D63" s="185"/>
      <c r="E63" s="334">
        <f>INDEX(I42:I50,MATCH(60,J42:J50,1),1)</f>
        <v>0.70699999999999996</v>
      </c>
      <c r="F63" s="349">
        <f>VLOOKUP(E63,I$42:J$50,2,FALSE)</f>
        <v>50.099999999999994</v>
      </c>
      <c r="G63" s="890">
        <f>(LOG(E63)+((60-F63)/(F64-F63))*LOG(E64/E63))</f>
        <v>-0.12843731730666064</v>
      </c>
      <c r="H63" s="890"/>
      <c r="I63" s="890"/>
      <c r="J63" s="680">
        <f>10^(G63)</f>
        <v>0.74398243580665824</v>
      </c>
      <c r="K63" s="727"/>
      <c r="L63" s="174"/>
      <c r="Y63" s="83"/>
      <c r="Z63" s="216"/>
      <c r="AA63" s="219"/>
      <c r="AB63" s="218"/>
      <c r="AC63" s="137"/>
      <c r="BT63" s="107">
        <v>63</v>
      </c>
      <c r="BU63" s="140"/>
      <c r="BV63" s="140">
        <v>315</v>
      </c>
      <c r="BW63" s="404"/>
      <c r="BX63" s="394">
        <v>315</v>
      </c>
      <c r="BY63" s="404"/>
      <c r="BZ63" s="140">
        <v>18.7</v>
      </c>
      <c r="CA63" s="399">
        <f t="shared" si="32"/>
        <v>0.27760000000000001</v>
      </c>
      <c r="CB63" s="420">
        <f t="shared" si="31"/>
        <v>17</v>
      </c>
      <c r="CC63" s="227"/>
      <c r="CD63" s="249"/>
      <c r="CE63" s="83"/>
      <c r="CF63" s="83"/>
      <c r="CG63" s="83"/>
      <c r="CH63" s="83"/>
      <c r="CI63" s="83"/>
      <c r="CJ63" s="23"/>
      <c r="CK63" s="120"/>
      <c r="CL63" s="23"/>
      <c r="CM63" s="23"/>
      <c r="CN63" s="83"/>
      <c r="CO63" s="83"/>
      <c r="CP63" s="112"/>
    </row>
    <row r="64" spans="2:94" ht="20.100000000000001" customHeight="1" x14ac:dyDescent="0.25">
      <c r="B64" s="334" t="s">
        <v>572</v>
      </c>
      <c r="C64" s="172"/>
      <c r="D64" s="185"/>
      <c r="E64" s="334">
        <f>INDEX(G42:G50,MATCH(60,H42:H50,-1),1)</f>
        <v>0.84099999999999997</v>
      </c>
      <c r="F64" s="349">
        <f>VLOOKUP(E64,I$42:J$50,2,FALSE)</f>
        <v>83.8</v>
      </c>
      <c r="G64" s="890"/>
      <c r="H64" s="890"/>
      <c r="I64" s="890"/>
      <c r="J64" s="680"/>
      <c r="K64" s="727"/>
      <c r="L64" s="174"/>
      <c r="Y64" s="83"/>
      <c r="Z64" s="216"/>
      <c r="AA64" s="219"/>
      <c r="AB64" s="218"/>
      <c r="AC64" s="137"/>
      <c r="BT64" s="107">
        <v>64</v>
      </c>
      <c r="BU64" s="140"/>
      <c r="BV64" s="140">
        <v>355</v>
      </c>
      <c r="BW64" s="404"/>
      <c r="BX64" s="394">
        <v>355</v>
      </c>
      <c r="BY64" s="404"/>
      <c r="BZ64" s="140">
        <v>21.1</v>
      </c>
      <c r="CA64" s="399">
        <f t="shared" si="32"/>
        <v>0.31280000000000002</v>
      </c>
      <c r="CB64" s="408">
        <f t="shared" si="31"/>
        <v>17</v>
      </c>
      <c r="CC64" s="227"/>
      <c r="CD64" s="249"/>
      <c r="CE64" s="83"/>
      <c r="CF64" s="83"/>
      <c r="CG64" s="83"/>
      <c r="CH64" s="83"/>
      <c r="CI64" s="83"/>
      <c r="CJ64" s="23"/>
      <c r="CK64" s="120"/>
      <c r="CL64" s="23"/>
      <c r="CM64" s="23"/>
      <c r="CN64" s="83"/>
      <c r="CO64" s="83"/>
      <c r="CP64" s="112"/>
    </row>
    <row r="65" spans="1:94" ht="20.100000000000001" customHeight="1" x14ac:dyDescent="0.25">
      <c r="B65" s="180"/>
      <c r="C65" s="177"/>
      <c r="D65" s="171"/>
      <c r="E65" s="124"/>
      <c r="F65" s="181"/>
      <c r="G65" s="171"/>
      <c r="H65" s="171"/>
      <c r="I65" s="171"/>
      <c r="J65" s="124"/>
      <c r="K65" s="174"/>
      <c r="L65" s="174"/>
      <c r="Y65" s="83"/>
      <c r="Z65" s="216"/>
      <c r="AA65" s="219"/>
      <c r="AB65" s="218"/>
      <c r="AC65" s="137"/>
      <c r="BT65" s="107">
        <v>65</v>
      </c>
      <c r="BU65" s="405"/>
      <c r="BV65" s="140">
        <v>400</v>
      </c>
      <c r="BW65" s="415"/>
      <c r="BX65" s="394">
        <v>400</v>
      </c>
      <c r="BY65" s="415"/>
      <c r="BZ65" s="140">
        <v>23.7</v>
      </c>
      <c r="CA65" s="399">
        <f t="shared" si="32"/>
        <v>0.35260000000000002</v>
      </c>
      <c r="CB65" s="408">
        <f t="shared" si="31"/>
        <v>17</v>
      </c>
      <c r="CC65" s="227"/>
      <c r="CD65" s="249"/>
      <c r="CE65" s="904"/>
      <c r="CF65" s="904"/>
      <c r="CG65" s="904"/>
      <c r="CH65" s="904"/>
      <c r="CI65" s="904"/>
      <c r="CJ65" s="904"/>
      <c r="CK65" s="904"/>
      <c r="CL65" s="904"/>
      <c r="CM65" s="904"/>
      <c r="CN65" s="904"/>
      <c r="CO65" s="904"/>
      <c r="CP65" s="904"/>
    </row>
    <row r="66" spans="1:94" ht="20.100000000000001" customHeight="1" x14ac:dyDescent="0.25">
      <c r="B66" s="182" t="s">
        <v>221</v>
      </c>
      <c r="C66" s="177"/>
      <c r="D66" s="171"/>
      <c r="E66" s="124"/>
      <c r="F66" s="181"/>
      <c r="G66" s="171"/>
      <c r="H66" s="171"/>
      <c r="I66" s="171"/>
      <c r="J66" s="124"/>
      <c r="K66" s="174"/>
      <c r="L66" s="174"/>
      <c r="V66" s="220"/>
      <c r="Y66" s="83"/>
      <c r="Z66" s="216"/>
      <c r="AA66" s="219"/>
      <c r="AB66" s="218"/>
      <c r="AC66" s="137"/>
      <c r="BT66" s="107">
        <v>66</v>
      </c>
      <c r="BU66" s="813" t="str">
        <f>BQ15</f>
        <v>Policluro de vinilo (PVC) RDE 26</v>
      </c>
      <c r="BV66" s="814"/>
      <c r="BW66" s="814"/>
      <c r="BX66" s="814"/>
      <c r="BY66" s="814"/>
      <c r="BZ66" s="814"/>
      <c r="CA66" s="814"/>
      <c r="CB66" s="815"/>
      <c r="CC66" s="227"/>
      <c r="CD66" s="249"/>
      <c r="CE66" s="213"/>
      <c r="CF66" s="246"/>
      <c r="CG66" s="246"/>
      <c r="CH66" s="248"/>
      <c r="CI66" s="248"/>
      <c r="CJ66" s="23"/>
      <c r="CK66" s="23"/>
      <c r="CL66" s="23"/>
      <c r="CM66" s="23"/>
      <c r="CN66" s="23"/>
      <c r="CO66" s="23"/>
      <c r="CP66" s="23"/>
    </row>
    <row r="67" spans="1:94" ht="20.100000000000001" customHeight="1" x14ac:dyDescent="0.25">
      <c r="B67" s="856" t="s">
        <v>334</v>
      </c>
      <c r="C67" s="54"/>
      <c r="D67" s="170"/>
      <c r="E67" s="856" t="s">
        <v>333</v>
      </c>
      <c r="F67" s="889" t="s">
        <v>206</v>
      </c>
      <c r="G67" s="889"/>
      <c r="H67" s="171"/>
      <c r="I67" s="171"/>
      <c r="J67" s="124"/>
      <c r="K67" s="174"/>
      <c r="L67" s="174"/>
      <c r="Y67" s="83"/>
      <c r="Z67" s="216"/>
      <c r="AA67" s="219"/>
      <c r="AB67" s="218"/>
      <c r="AC67" s="137"/>
      <c r="BT67" s="107">
        <v>67</v>
      </c>
      <c r="BU67" s="404"/>
      <c r="BV67" s="140"/>
      <c r="BW67" s="404"/>
      <c r="BX67" s="394"/>
      <c r="BY67" s="404"/>
      <c r="BZ67" s="410"/>
      <c r="CA67" s="399"/>
      <c r="CB67" s="408"/>
      <c r="CC67" s="227"/>
      <c r="CD67" s="249"/>
      <c r="CE67" s="83"/>
      <c r="CF67" s="83"/>
      <c r="CG67" s="83"/>
      <c r="CH67" s="83"/>
      <c r="CI67" s="83"/>
      <c r="CJ67" s="23"/>
      <c r="CK67" s="120"/>
      <c r="CL67" s="23"/>
      <c r="CM67" s="23"/>
      <c r="CN67" s="119"/>
      <c r="CO67" s="119"/>
      <c r="CP67" s="112"/>
    </row>
    <row r="68" spans="1:94" ht="20.100000000000001" customHeight="1" x14ac:dyDescent="0.25">
      <c r="B68" s="857"/>
      <c r="C68" s="54"/>
      <c r="D68" s="170"/>
      <c r="E68" s="857"/>
      <c r="F68" s="889"/>
      <c r="G68" s="889"/>
      <c r="H68" s="171"/>
      <c r="I68" s="171"/>
      <c r="J68" s="124"/>
      <c r="K68" s="174"/>
      <c r="L68" s="174"/>
      <c r="X68" s="111"/>
      <c r="Y68" s="83"/>
      <c r="Z68" s="216"/>
      <c r="AA68" s="219"/>
      <c r="AB68" s="218"/>
      <c r="AC68" s="137"/>
      <c r="BT68" s="107">
        <v>68</v>
      </c>
      <c r="BU68" s="140">
        <v>6</v>
      </c>
      <c r="BV68" s="140">
        <f>IF(BU68=6,150,IF(BU68=8,200,IF(BU68=10,250,IF(BU68=12,300,IF(BU68=14,350,IF(BU68=16,400,IF(BU68=18,450,IF(BU68=20,500,IF(BU68=24,600)))))))))</f>
        <v>150</v>
      </c>
      <c r="BW68" s="421">
        <v>6.62</v>
      </c>
      <c r="BX68" s="141"/>
      <c r="BY68" s="399">
        <v>0.25</v>
      </c>
      <c r="BZ68" s="141"/>
      <c r="CA68" s="399">
        <f>ROUND((BW68-(2*BY68))*0.0254,4)</f>
        <v>0.15540000000000001</v>
      </c>
      <c r="CB68" s="408">
        <f>ROUND(BW68/BY68,0)</f>
        <v>26</v>
      </c>
      <c r="CC68" s="227"/>
      <c r="CD68" s="249"/>
      <c r="CE68" s="83"/>
      <c r="CF68" s="83"/>
      <c r="CG68" s="83"/>
      <c r="CH68" s="83"/>
      <c r="CI68" s="83"/>
      <c r="CJ68" s="23"/>
      <c r="CK68" s="120"/>
      <c r="CL68" s="23"/>
      <c r="CM68" s="23"/>
      <c r="CN68" s="119"/>
      <c r="CO68" s="119"/>
      <c r="CP68" s="112"/>
    </row>
    <row r="69" spans="1:94" ht="20.100000000000001" customHeight="1" x14ac:dyDescent="0.25">
      <c r="B69" s="858"/>
      <c r="C69" s="54"/>
      <c r="D69" s="170"/>
      <c r="E69" s="858"/>
      <c r="F69" s="889"/>
      <c r="G69" s="889"/>
      <c r="H69" s="171"/>
      <c r="I69" s="171"/>
      <c r="J69" s="124"/>
      <c r="K69" s="174"/>
      <c r="L69" s="174"/>
      <c r="X69" s="111"/>
      <c r="Y69" s="83"/>
      <c r="Z69" s="216"/>
      <c r="AA69" s="219"/>
      <c r="AB69" s="218"/>
      <c r="AC69" s="137"/>
      <c r="BT69" s="107">
        <v>69</v>
      </c>
      <c r="BU69" s="141">
        <v>8</v>
      </c>
      <c r="BV69" s="140">
        <f t="shared" ref="BV69:BV73" si="33">IF(BU69=6,150,IF(BU69=8,200,IF(BU69=10,250,IF(BU69=12,300,IF(BU69=14,350,IF(BU69=16,400,IF(BU69=18,450,IF(BU69=20,500,IF(BU69=24,600)))))))))</f>
        <v>200</v>
      </c>
      <c r="BW69" s="421">
        <v>8.6199999999999992</v>
      </c>
      <c r="BX69" s="141"/>
      <c r="BY69" s="399">
        <v>0.33</v>
      </c>
      <c r="BZ69" s="141"/>
      <c r="CA69" s="399">
        <f>ROUND((BW69-(2*BY69))*0.0254,3)</f>
        <v>0.20200000000000001</v>
      </c>
      <c r="CB69" s="408">
        <f>ROUND(BW69/BY69,0)</f>
        <v>26</v>
      </c>
      <c r="CC69" s="274"/>
      <c r="CD69" s="249"/>
      <c r="CE69" s="83"/>
      <c r="CF69" s="83"/>
      <c r="CG69" s="83"/>
      <c r="CH69" s="83"/>
      <c r="CI69" s="83"/>
      <c r="CJ69" s="23"/>
      <c r="CK69" s="120"/>
      <c r="CL69" s="23"/>
      <c r="CM69" s="23"/>
      <c r="CN69" s="119"/>
      <c r="CO69" s="119"/>
      <c r="CP69" s="112"/>
    </row>
    <row r="70" spans="1:94" ht="20.100000000000001" customHeight="1" x14ac:dyDescent="0.25">
      <c r="B70" s="334">
        <f>J56</f>
        <v>0.50000000000000022</v>
      </c>
      <c r="C70" s="172"/>
      <c r="D70" s="185"/>
      <c r="E70" s="334">
        <f>J63</f>
        <v>0.74398243580665824</v>
      </c>
      <c r="F70" s="845">
        <f>E70/B70</f>
        <v>1.4879648716133158</v>
      </c>
      <c r="G70" s="845"/>
      <c r="H70" s="300" t="str">
        <f>IF(F70&lt;1.35,"1,35&lt;CU&lt;1,70 ¡Verifique granulometría del medio filtrante!",IF(F70&gt;1.7,"1,35&lt;CU&lt;1,70, ¡Verifique granulometría del medio filtrante!","Ok"))</f>
        <v>Ok</v>
      </c>
      <c r="I70" s="171"/>
      <c r="J70" s="124"/>
      <c r="K70" s="174"/>
      <c r="L70" s="174"/>
      <c r="X70" s="111"/>
      <c r="Y70" s="83"/>
      <c r="Z70" s="216"/>
      <c r="AA70" s="219"/>
      <c r="AB70" s="218"/>
      <c r="AC70" s="137"/>
      <c r="BT70" s="107">
        <v>70</v>
      </c>
      <c r="BU70" s="141">
        <v>10</v>
      </c>
      <c r="BV70" s="140">
        <f t="shared" si="33"/>
        <v>250</v>
      </c>
      <c r="BW70" s="421">
        <v>10.75</v>
      </c>
      <c r="BX70" s="141"/>
      <c r="BY70" s="399">
        <v>0.41</v>
      </c>
      <c r="BZ70" s="141"/>
      <c r="CA70" s="399">
        <f t="shared" ref="CA70:CA73" si="34">ROUND((BW70-(2*BY70))*0.0254,3)</f>
        <v>0.252</v>
      </c>
      <c r="CB70" s="408">
        <f t="shared" ref="CB70:CB73" si="35">ROUND(BW70/BY70,0)</f>
        <v>26</v>
      </c>
      <c r="CC70" s="275"/>
      <c r="CD70" s="249"/>
      <c r="CE70" s="83"/>
      <c r="CF70" s="83"/>
      <c r="CG70" s="83"/>
      <c r="CH70" s="83"/>
      <c r="CI70" s="83"/>
      <c r="CJ70" s="23"/>
      <c r="CK70" s="120"/>
      <c r="CL70" s="23"/>
      <c r="CM70" s="23"/>
      <c r="CN70" s="119"/>
      <c r="CO70" s="119"/>
      <c r="CP70" s="112"/>
    </row>
    <row r="71" spans="1:94" ht="20.100000000000001" customHeight="1" x14ac:dyDescent="0.25">
      <c r="X71" s="111"/>
      <c r="Y71" s="111"/>
      <c r="Z71" s="111"/>
      <c r="AA71" s="111"/>
      <c r="AB71" s="111"/>
      <c r="AC71" s="137"/>
      <c r="BT71" s="107">
        <v>71</v>
      </c>
      <c r="BU71" s="141">
        <v>12</v>
      </c>
      <c r="BV71" s="140">
        <f t="shared" si="33"/>
        <v>300</v>
      </c>
      <c r="BW71" s="421">
        <v>12.75</v>
      </c>
      <c r="BX71" s="141"/>
      <c r="BY71" s="399">
        <v>0.49</v>
      </c>
      <c r="BZ71" s="141"/>
      <c r="CA71" s="399">
        <f t="shared" si="34"/>
        <v>0.29899999999999999</v>
      </c>
      <c r="CB71" s="408">
        <f t="shared" si="35"/>
        <v>26</v>
      </c>
      <c r="CC71" s="228"/>
      <c r="CD71" s="249"/>
      <c r="CE71" s="83"/>
      <c r="CF71" s="83"/>
      <c r="CG71" s="83"/>
      <c r="CH71" s="83"/>
      <c r="CI71" s="83"/>
      <c r="CJ71" s="23"/>
      <c r="CK71" s="120"/>
      <c r="CL71" s="23"/>
      <c r="CM71" s="23"/>
      <c r="CN71" s="119"/>
      <c r="CO71" s="119"/>
      <c r="CP71" s="112"/>
    </row>
    <row r="72" spans="1:94" ht="20.100000000000001" customHeight="1" x14ac:dyDescent="0.25">
      <c r="B72" s="109" t="s">
        <v>270</v>
      </c>
      <c r="X72" s="111"/>
      <c r="Y72" s="111"/>
      <c r="Z72" s="111"/>
      <c r="AA72" s="111"/>
      <c r="AB72" s="144"/>
      <c r="AC72" s="137"/>
      <c r="BT72" s="107">
        <v>72</v>
      </c>
      <c r="BU72" s="141">
        <v>14</v>
      </c>
      <c r="BV72" s="140">
        <f t="shared" si="33"/>
        <v>350</v>
      </c>
      <c r="BW72" s="421">
        <v>14</v>
      </c>
      <c r="BX72" s="141"/>
      <c r="BY72" s="399">
        <v>0.54</v>
      </c>
      <c r="BZ72" s="141"/>
      <c r="CA72" s="399">
        <f t="shared" si="34"/>
        <v>0.32800000000000001</v>
      </c>
      <c r="CB72" s="408">
        <f t="shared" si="35"/>
        <v>26</v>
      </c>
      <c r="CC72" s="228"/>
      <c r="CD72" s="249"/>
      <c r="CE72" s="904"/>
      <c r="CF72" s="904"/>
      <c r="CG72" s="904"/>
      <c r="CH72" s="904"/>
      <c r="CI72" s="904"/>
      <c r="CJ72" s="904"/>
      <c r="CK72" s="904"/>
      <c r="CL72" s="904"/>
      <c r="CM72" s="904"/>
      <c r="CN72" s="904"/>
      <c r="CO72" s="904"/>
      <c r="CP72" s="904"/>
    </row>
    <row r="73" spans="1:94" ht="20.100000000000001" customHeight="1" x14ac:dyDescent="0.25">
      <c r="A73" s="107">
        <v>0</v>
      </c>
      <c r="B73" s="622" t="s">
        <v>524</v>
      </c>
      <c r="C73" s="663"/>
      <c r="D73" s="663"/>
      <c r="E73" s="663"/>
      <c r="F73" s="663"/>
      <c r="G73" s="623"/>
      <c r="H73" s="846" t="s">
        <v>528</v>
      </c>
      <c r="I73" s="847"/>
      <c r="J73" s="848"/>
      <c r="K73" s="562"/>
      <c r="L73" s="564"/>
      <c r="N73" s="107" t="s">
        <v>655</v>
      </c>
      <c r="X73" s="111"/>
      <c r="Y73" s="111"/>
      <c r="Z73" s="111"/>
      <c r="AA73" s="111"/>
      <c r="AB73" s="144"/>
      <c r="AC73" s="307"/>
      <c r="BT73" s="107">
        <v>73</v>
      </c>
      <c r="BU73" s="141">
        <v>16</v>
      </c>
      <c r="BV73" s="140">
        <f t="shared" si="33"/>
        <v>400</v>
      </c>
      <c r="BW73" s="421">
        <v>16</v>
      </c>
      <c r="BX73" s="141"/>
      <c r="BY73" s="399">
        <v>0.61</v>
      </c>
      <c r="BZ73" s="141"/>
      <c r="CA73" s="399">
        <f t="shared" si="34"/>
        <v>0.375</v>
      </c>
      <c r="CB73" s="408">
        <f t="shared" si="35"/>
        <v>26</v>
      </c>
      <c r="CC73" s="228"/>
      <c r="CD73" s="305"/>
      <c r="CE73" s="304"/>
      <c r="CF73" s="304"/>
      <c r="CG73" s="304"/>
      <c r="CH73" s="304"/>
      <c r="CI73" s="304"/>
      <c r="CJ73" s="304"/>
      <c r="CK73" s="304"/>
      <c r="CL73" s="304"/>
      <c r="CM73" s="304"/>
      <c r="CN73" s="304"/>
      <c r="CO73" s="304"/>
      <c r="CP73" s="304"/>
    </row>
    <row r="74" spans="1:94" ht="20.100000000000001" customHeight="1" x14ac:dyDescent="0.25">
      <c r="A74" s="107">
        <v>1</v>
      </c>
      <c r="B74" s="622" t="s">
        <v>272</v>
      </c>
      <c r="C74" s="663"/>
      <c r="D74" s="663"/>
      <c r="E74" s="663"/>
      <c r="F74" s="663"/>
      <c r="G74" s="623"/>
      <c r="H74" s="173" t="s">
        <v>88</v>
      </c>
      <c r="I74" s="386">
        <v>0.64</v>
      </c>
      <c r="J74" s="185" t="s">
        <v>3</v>
      </c>
      <c r="K74" s="82"/>
      <c r="L74" s="566"/>
      <c r="X74" s="111"/>
      <c r="Y74" s="111"/>
      <c r="Z74" s="111"/>
      <c r="AA74" s="111"/>
      <c r="AB74" s="111"/>
      <c r="BT74" s="107">
        <v>74</v>
      </c>
      <c r="BU74" s="511">
        <v>18</v>
      </c>
      <c r="BV74" s="475">
        <f t="shared" ref="BV74:BV75" si="36">IF(BU74=6,150,IF(BU74=8,200,IF(BU74=10,250,IF(BU74=12,300,IF(BU74=14,350,IF(BU74=16,400,IF(BU74=18,450,IF(BU74=20,500,IF(BU74=24,600)))))))))</f>
        <v>450</v>
      </c>
      <c r="BW74" s="512">
        <v>18</v>
      </c>
      <c r="BX74" s="511"/>
      <c r="BY74" s="513">
        <v>0.69</v>
      </c>
      <c r="BZ74" s="511"/>
      <c r="CA74" s="513">
        <f t="shared" ref="CA74:CA76" si="37">ROUND((BW74-(2*BY74))*0.0254,3)</f>
        <v>0.42199999999999999</v>
      </c>
      <c r="CB74" s="479">
        <f t="shared" ref="CB74:CB75" si="38">ROUND(BW74/BY74,0)</f>
        <v>26</v>
      </c>
      <c r="CC74" s="226"/>
      <c r="CD74" s="249"/>
      <c r="CE74" s="83"/>
      <c r="CF74" s="83"/>
      <c r="CG74" s="83"/>
      <c r="CH74" s="83"/>
      <c r="CI74" s="83"/>
      <c r="CJ74" s="111"/>
      <c r="CK74" s="120"/>
      <c r="CL74" s="111"/>
      <c r="CM74" s="111"/>
      <c r="CN74" s="119"/>
      <c r="CO74" s="119"/>
      <c r="CP74" s="112"/>
    </row>
    <row r="75" spans="1:94" ht="20.100000000000001" customHeight="1" x14ac:dyDescent="0.25">
      <c r="A75" s="107">
        <v>2</v>
      </c>
      <c r="B75" s="622" t="s">
        <v>268</v>
      </c>
      <c r="C75" s="663"/>
      <c r="D75" s="663"/>
      <c r="E75" s="663"/>
      <c r="F75" s="663"/>
      <c r="G75" s="623"/>
      <c r="H75" s="173" t="s">
        <v>269</v>
      </c>
      <c r="I75" s="383">
        <v>2.65</v>
      </c>
      <c r="J75" s="185"/>
      <c r="K75" s="82"/>
      <c r="L75" s="566"/>
      <c r="X75" s="111"/>
      <c r="Y75" s="111"/>
      <c r="Z75" s="111"/>
      <c r="AA75" s="111"/>
      <c r="AB75" s="111"/>
      <c r="BT75" s="107">
        <v>75</v>
      </c>
      <c r="BU75" s="141">
        <v>20</v>
      </c>
      <c r="BV75" s="140">
        <f t="shared" si="36"/>
        <v>500</v>
      </c>
      <c r="BW75" s="421">
        <v>20</v>
      </c>
      <c r="BX75" s="141"/>
      <c r="BY75" s="399">
        <v>0.77</v>
      </c>
      <c r="BZ75" s="141"/>
      <c r="CA75" s="399">
        <f t="shared" si="37"/>
        <v>0.46899999999999997</v>
      </c>
      <c r="CB75" s="408">
        <f t="shared" si="38"/>
        <v>26</v>
      </c>
      <c r="CC75" s="227"/>
      <c r="CD75" s="249"/>
      <c r="CE75" s="83"/>
      <c r="CF75" s="83"/>
      <c r="CG75" s="83"/>
      <c r="CH75" s="83"/>
      <c r="CI75" s="83"/>
      <c r="CJ75" s="111"/>
      <c r="CK75" s="120"/>
      <c r="CL75" s="111"/>
      <c r="CM75" s="111"/>
      <c r="CN75" s="119"/>
      <c r="CO75" s="119"/>
      <c r="CP75" s="112"/>
    </row>
    <row r="76" spans="1:94" ht="20.100000000000001" customHeight="1" x14ac:dyDescent="0.25">
      <c r="A76" s="107">
        <v>3</v>
      </c>
      <c r="B76" s="622" t="s">
        <v>223</v>
      </c>
      <c r="C76" s="663"/>
      <c r="D76" s="663"/>
      <c r="E76" s="663"/>
      <c r="F76" s="663"/>
      <c r="G76" s="623"/>
      <c r="H76" s="173" t="s">
        <v>230</v>
      </c>
      <c r="I76" s="383">
        <v>0.45</v>
      </c>
      <c r="J76" s="155"/>
      <c r="K76" s="133"/>
      <c r="L76" s="567"/>
      <c r="X76" s="111"/>
      <c r="Y76" s="111"/>
      <c r="Z76" s="111"/>
      <c r="AA76" s="111"/>
      <c r="AB76" s="111"/>
      <c r="BT76" s="107">
        <v>76</v>
      </c>
      <c r="BU76" s="141">
        <v>24</v>
      </c>
      <c r="BV76" s="140">
        <f>IF(BU76=6,150,IF(BU76=8,200,IF(BU76=10,250,IF(BU76=12,300,IF(BU76=14,350,IF(BU76=16,400,IF(BU76=18,450,IF(BU76=20,500,IF(BU76=24,600)))))))))</f>
        <v>600</v>
      </c>
      <c r="BW76" s="421">
        <v>24</v>
      </c>
      <c r="BX76" s="141"/>
      <c r="BY76" s="399">
        <v>0.92</v>
      </c>
      <c r="BZ76" s="141"/>
      <c r="CA76" s="399">
        <f t="shared" si="37"/>
        <v>0.56299999999999994</v>
      </c>
      <c r="CB76" s="408">
        <f>ROUND(BW76/BY76,0)</f>
        <v>26</v>
      </c>
      <c r="CC76" s="227"/>
      <c r="CD76" s="249"/>
      <c r="CE76" s="83"/>
      <c r="CF76" s="83"/>
      <c r="CG76" s="83"/>
      <c r="CH76" s="83"/>
      <c r="CI76" s="83"/>
      <c r="CJ76" s="111"/>
      <c r="CK76" s="120"/>
      <c r="CL76" s="111"/>
      <c r="CM76" s="111"/>
      <c r="CN76" s="119"/>
      <c r="CO76" s="119"/>
      <c r="CP76" s="112"/>
    </row>
    <row r="77" spans="1:94" ht="20.100000000000001" customHeight="1" x14ac:dyDescent="0.25">
      <c r="A77" s="107">
        <v>4</v>
      </c>
      <c r="B77" s="622" t="s">
        <v>595</v>
      </c>
      <c r="C77" s="663"/>
      <c r="D77" s="663"/>
      <c r="E77" s="663"/>
      <c r="F77" s="663"/>
      <c r="G77" s="623"/>
      <c r="H77" s="173" t="s">
        <v>596</v>
      </c>
      <c r="I77" s="383">
        <v>5</v>
      </c>
      <c r="J77" s="155"/>
      <c r="K77" s="133"/>
      <c r="L77" s="567"/>
      <c r="X77" s="111"/>
      <c r="Y77" s="111"/>
      <c r="Z77" s="111"/>
      <c r="AA77" s="111"/>
      <c r="AB77" s="111"/>
      <c r="BT77" s="107">
        <v>77</v>
      </c>
      <c r="BU77" s="813" t="str">
        <f>BQ16</f>
        <v>Policluro de vinilo (PVC) RDE 21</v>
      </c>
      <c r="BV77" s="814"/>
      <c r="BW77" s="814"/>
      <c r="BX77" s="814"/>
      <c r="BY77" s="814"/>
      <c r="BZ77" s="814"/>
      <c r="CA77" s="814"/>
      <c r="CB77" s="815"/>
      <c r="CC77" s="273"/>
      <c r="CD77" s="249"/>
      <c r="CE77" s="83"/>
      <c r="CF77" s="83"/>
      <c r="CG77" s="83"/>
      <c r="CH77" s="83"/>
      <c r="CI77" s="83"/>
      <c r="CJ77" s="111"/>
      <c r="CK77" s="120"/>
      <c r="CL77" s="111"/>
      <c r="CM77" s="111"/>
      <c r="CN77" s="119"/>
      <c r="CO77" s="119"/>
      <c r="CP77" s="112"/>
    </row>
    <row r="78" spans="1:94" ht="20.100000000000001" customHeight="1" x14ac:dyDescent="0.25">
      <c r="A78" s="107">
        <v>6</v>
      </c>
      <c r="B78" s="622" t="s">
        <v>613</v>
      </c>
      <c r="C78" s="663"/>
      <c r="D78" s="663"/>
      <c r="E78" s="663"/>
      <c r="F78" s="663"/>
      <c r="G78" s="623"/>
      <c r="H78" s="472" t="s">
        <v>187</v>
      </c>
      <c r="I78" s="185">
        <f>VLOOKUP($H$73,$AM$8:$AR$13,2,FALSE)</f>
        <v>0.82</v>
      </c>
      <c r="J78" s="155"/>
      <c r="K78" s="563"/>
      <c r="L78" s="565"/>
      <c r="X78" s="111"/>
      <c r="Y78" s="111"/>
      <c r="Z78" s="111"/>
      <c r="AA78" s="111"/>
      <c r="AB78" s="111"/>
      <c r="BT78" s="107">
        <v>78</v>
      </c>
      <c r="BU78" s="140"/>
      <c r="BV78" s="141"/>
      <c r="BW78" s="421"/>
      <c r="BX78" s="141"/>
      <c r="BY78" s="399"/>
      <c r="BZ78" s="141"/>
      <c r="CA78" s="399"/>
      <c r="CB78" s="408"/>
      <c r="CC78" s="276"/>
      <c r="CD78" s="249"/>
      <c r="CE78" s="83"/>
      <c r="CF78" s="83"/>
      <c r="CG78" s="83"/>
      <c r="CH78" s="83"/>
      <c r="CI78" s="83"/>
      <c r="CJ78" s="111"/>
      <c r="CK78" s="120"/>
      <c r="CL78" s="111"/>
      <c r="CM78" s="111"/>
      <c r="CN78" s="119"/>
      <c r="CO78" s="119"/>
      <c r="CP78" s="112"/>
    </row>
    <row r="79" spans="1:94" ht="20.100000000000001" customHeight="1" x14ac:dyDescent="0.25">
      <c r="A79" s="107">
        <v>7</v>
      </c>
      <c r="B79" s="622" t="s">
        <v>610</v>
      </c>
      <c r="C79" s="663"/>
      <c r="D79" s="663"/>
      <c r="E79" s="663"/>
      <c r="F79" s="663"/>
      <c r="G79" s="623"/>
      <c r="H79" s="472" t="s">
        <v>187</v>
      </c>
      <c r="I79" s="364">
        <f>VLOOKUP($H$73,$AM$8:$AR$13,4,FALSE)</f>
        <v>0.91</v>
      </c>
      <c r="J79" s="155"/>
      <c r="K79" s="563"/>
      <c r="L79" s="565"/>
      <c r="X79" s="111"/>
      <c r="Y79" s="111"/>
      <c r="Z79" s="111"/>
      <c r="AA79" s="111"/>
      <c r="AB79" s="111"/>
      <c r="BT79" s="107">
        <v>79</v>
      </c>
      <c r="BU79" s="475">
        <v>6</v>
      </c>
      <c r="BV79" s="476">
        <f>IF(BU79=6,150,IF(BU79=8,200,IF(BU79=10,250,IF(BU79=12,300,IF(BU79=14,350,IF(BU79=16,400,IF(BU79=18,450,IF(BU79=20,500,IF(BU79=24,600)))))))))</f>
        <v>150</v>
      </c>
      <c r="BW79" s="477">
        <v>6.62</v>
      </c>
      <c r="BX79" s="476"/>
      <c r="BY79" s="478">
        <v>0.32</v>
      </c>
      <c r="BZ79" s="476"/>
      <c r="CA79" s="478">
        <f>ROUND((BW79-(2*BY79))*0.0254,3)</f>
        <v>0.152</v>
      </c>
      <c r="CB79" s="479">
        <f t="shared" ref="CB79:CB87" si="39">ROUND(BW79/BY79,0)</f>
        <v>21</v>
      </c>
      <c r="CC79" s="227"/>
      <c r="CD79" s="343"/>
      <c r="CE79" s="111"/>
      <c r="CF79" s="111"/>
      <c r="CG79" s="111"/>
      <c r="CH79" s="111"/>
      <c r="CI79" s="111"/>
      <c r="CJ79" s="111"/>
      <c r="CK79" s="111"/>
      <c r="CL79" s="111"/>
      <c r="CM79" s="111"/>
      <c r="CN79" s="111"/>
      <c r="CO79" s="111"/>
      <c r="CP79" s="111"/>
    </row>
    <row r="80" spans="1:94" ht="20.100000000000001" customHeight="1" x14ac:dyDescent="0.25">
      <c r="A80" s="107">
        <v>8</v>
      </c>
      <c r="B80" s="622" t="s">
        <v>611</v>
      </c>
      <c r="C80" s="663"/>
      <c r="D80" s="663"/>
      <c r="E80" s="663"/>
      <c r="F80" s="663"/>
      <c r="G80" s="623"/>
      <c r="H80" s="364" t="s">
        <v>229</v>
      </c>
      <c r="I80" s="364">
        <f>VLOOKUP($H$73,$AM$8:$AR$13,5,FALSE)</f>
        <v>6.1</v>
      </c>
      <c r="J80" s="155"/>
      <c r="K80" s="563"/>
      <c r="L80" s="565"/>
      <c r="X80" s="111"/>
      <c r="Y80" s="111"/>
      <c r="Z80" s="111"/>
      <c r="AA80" s="111"/>
      <c r="AB80" s="111"/>
      <c r="BT80" s="107">
        <v>80</v>
      </c>
      <c r="BU80" s="140">
        <v>8</v>
      </c>
      <c r="BV80" s="141">
        <f t="shared" ref="BV80:BV87" si="40">IF(BU80=6,150,IF(BU80=8,200,IF(BU80=10,250,IF(BU80=12,300,IF(BU80=14,350,IF(BU80=16,400,IF(BU80=18,450,IF(BU80=20,500,IF(BU80=24,600)))))))))</f>
        <v>200</v>
      </c>
      <c r="BW80" s="421">
        <v>8.6199999999999992</v>
      </c>
      <c r="BX80" s="141"/>
      <c r="BY80" s="399">
        <v>0.41</v>
      </c>
      <c r="BZ80" s="141"/>
      <c r="CA80" s="399">
        <f>ROUND((BW80-(2*BY80))*0.0254,3)</f>
        <v>0.19800000000000001</v>
      </c>
      <c r="CB80" s="408">
        <f t="shared" si="39"/>
        <v>21</v>
      </c>
      <c r="CC80" s="227"/>
      <c r="CD80" s="343"/>
      <c r="CE80" s="111"/>
      <c r="CF80" s="111"/>
      <c r="CG80" s="111"/>
      <c r="CH80" s="111"/>
      <c r="CI80" s="111"/>
      <c r="CJ80" s="111"/>
      <c r="CK80" s="111"/>
      <c r="CL80" s="111"/>
      <c r="CM80" s="111"/>
      <c r="CN80" s="111"/>
      <c r="CO80" s="111"/>
      <c r="CP80" s="111"/>
    </row>
    <row r="81" spans="1:82" ht="20.100000000000001" customHeight="1" x14ac:dyDescent="0.25">
      <c r="A81" s="107">
        <v>9</v>
      </c>
      <c r="B81" s="622" t="s">
        <v>612</v>
      </c>
      <c r="C81" s="663"/>
      <c r="D81" s="663"/>
      <c r="E81" s="663"/>
      <c r="F81" s="663"/>
      <c r="G81" s="623"/>
      <c r="H81" s="185" t="s">
        <v>229</v>
      </c>
      <c r="I81" s="364">
        <f>VLOOKUP($H$73,$AM$8:$AR$13,6,FALSE)</f>
        <v>5.5</v>
      </c>
      <c r="J81" s="155"/>
      <c r="K81" s="563"/>
      <c r="L81" s="565"/>
      <c r="X81" s="111"/>
      <c r="Y81" s="111"/>
      <c r="Z81" s="111"/>
      <c r="AA81" s="111"/>
      <c r="AB81" s="111"/>
      <c r="BT81" s="107">
        <v>81</v>
      </c>
      <c r="BU81" s="140">
        <v>10</v>
      </c>
      <c r="BV81" s="141">
        <f t="shared" si="40"/>
        <v>250</v>
      </c>
      <c r="BW81" s="421">
        <v>10.75</v>
      </c>
      <c r="BX81" s="141"/>
      <c r="BY81" s="399">
        <v>0.51</v>
      </c>
      <c r="BZ81" s="141"/>
      <c r="CA81" s="399">
        <f t="shared" ref="CA81:CA87" si="41">ROUND((BW81-(2*BY81))*0.0254,3)</f>
        <v>0.247</v>
      </c>
      <c r="CB81" s="408">
        <f t="shared" si="39"/>
        <v>21</v>
      </c>
      <c r="CC81" s="227"/>
      <c r="CD81" s="249"/>
    </row>
    <row r="82" spans="1:82" ht="20.100000000000001" customHeight="1" x14ac:dyDescent="0.25">
      <c r="B82" s="495"/>
      <c r="C82" s="495"/>
      <c r="D82" s="495"/>
      <c r="E82" s="495"/>
      <c r="F82" s="495"/>
      <c r="G82" s="495"/>
      <c r="H82" s="152"/>
      <c r="I82" s="152"/>
      <c r="J82" s="514"/>
      <c r="K82" s="133"/>
      <c r="L82" s="133"/>
      <c r="X82" s="111"/>
      <c r="Y82" s="111"/>
      <c r="Z82" s="111"/>
      <c r="AA82" s="111"/>
      <c r="AB82" s="111"/>
      <c r="BT82" s="107">
        <v>82</v>
      </c>
      <c r="BU82" s="140">
        <v>12</v>
      </c>
      <c r="BV82" s="141">
        <f t="shared" si="40"/>
        <v>300</v>
      </c>
      <c r="BW82" s="421">
        <v>12.75</v>
      </c>
      <c r="BX82" s="141"/>
      <c r="BY82" s="399">
        <v>0.6</v>
      </c>
      <c r="BZ82" s="141"/>
      <c r="CA82" s="399">
        <f t="shared" si="41"/>
        <v>0.29299999999999998</v>
      </c>
      <c r="CB82" s="408">
        <f t="shared" si="39"/>
        <v>21</v>
      </c>
      <c r="CC82" s="227"/>
      <c r="CD82" s="496"/>
    </row>
    <row r="83" spans="1:82" ht="20.100000000000001" customHeight="1" x14ac:dyDescent="0.25">
      <c r="B83" s="109" t="s">
        <v>283</v>
      </c>
      <c r="C83" s="121"/>
      <c r="D83" s="494"/>
      <c r="E83" s="494"/>
      <c r="F83" s="494"/>
      <c r="G83" s="494"/>
      <c r="H83" s="152"/>
      <c r="I83" s="152"/>
      <c r="J83" s="514"/>
      <c r="K83" s="133"/>
      <c r="L83" s="133"/>
      <c r="X83" s="111"/>
      <c r="Y83" s="111"/>
      <c r="Z83" s="111"/>
      <c r="AA83" s="111"/>
      <c r="AB83" s="111"/>
      <c r="BT83" s="107">
        <v>83</v>
      </c>
      <c r="BU83" s="475">
        <v>14</v>
      </c>
      <c r="BV83" s="476">
        <f t="shared" si="40"/>
        <v>350</v>
      </c>
      <c r="BW83" s="477">
        <v>14</v>
      </c>
      <c r="BX83" s="476"/>
      <c r="BY83" s="478">
        <v>0.67</v>
      </c>
      <c r="BZ83" s="476"/>
      <c r="CA83" s="478">
        <f t="shared" si="41"/>
        <v>0.32200000000000001</v>
      </c>
      <c r="CB83" s="479">
        <f t="shared" si="39"/>
        <v>21</v>
      </c>
      <c r="CC83" s="227"/>
      <c r="CD83" s="496"/>
    </row>
    <row r="84" spans="1:82" ht="20.100000000000001" customHeight="1" x14ac:dyDescent="0.25">
      <c r="B84" s="760" t="s">
        <v>219</v>
      </c>
      <c r="C84" s="130"/>
      <c r="D84" s="497"/>
      <c r="E84" s="820" t="s">
        <v>217</v>
      </c>
      <c r="F84" s="820" t="s">
        <v>218</v>
      </c>
      <c r="G84" s="820" t="s">
        <v>211</v>
      </c>
      <c r="H84" s="152"/>
      <c r="I84" s="152"/>
      <c r="J84" s="514"/>
      <c r="K84" s="133"/>
      <c r="L84" s="133"/>
      <c r="X84" s="111"/>
      <c r="Y84" s="111"/>
      <c r="Z84" s="111"/>
      <c r="AA84" s="111"/>
      <c r="AB84" s="111"/>
      <c r="BT84" s="107">
        <v>84</v>
      </c>
      <c r="BU84" s="140">
        <v>16</v>
      </c>
      <c r="BV84" s="141">
        <f t="shared" si="40"/>
        <v>400</v>
      </c>
      <c r="BW84" s="421">
        <v>16</v>
      </c>
      <c r="BX84" s="141"/>
      <c r="BY84" s="399">
        <v>0.76</v>
      </c>
      <c r="BZ84" s="141"/>
      <c r="CA84" s="399">
        <f t="shared" si="41"/>
        <v>0.36799999999999999</v>
      </c>
      <c r="CB84" s="408">
        <f t="shared" si="39"/>
        <v>21</v>
      </c>
      <c r="CC84" s="227"/>
      <c r="CD84" s="496"/>
    </row>
    <row r="85" spans="1:82" ht="20.100000000000001" customHeight="1" x14ac:dyDescent="0.25">
      <c r="B85" s="762"/>
      <c r="C85" s="130"/>
      <c r="D85" s="497"/>
      <c r="E85" s="821"/>
      <c r="F85" s="821"/>
      <c r="G85" s="821"/>
      <c r="H85" s="152"/>
      <c r="I85" s="152"/>
      <c r="J85" s="514"/>
      <c r="K85" s="133"/>
      <c r="L85" s="133"/>
      <c r="X85" s="111"/>
      <c r="Y85" s="111"/>
      <c r="Z85" s="111"/>
      <c r="AA85" s="111"/>
      <c r="AB85" s="111"/>
      <c r="BT85" s="107">
        <v>85</v>
      </c>
      <c r="BU85" s="402">
        <v>18</v>
      </c>
      <c r="BV85" s="141">
        <f t="shared" si="40"/>
        <v>450</v>
      </c>
      <c r="BW85" s="423">
        <v>18</v>
      </c>
      <c r="BX85" s="422"/>
      <c r="BY85" s="403">
        <v>0.86</v>
      </c>
      <c r="BZ85" s="422"/>
      <c r="CA85" s="403">
        <f t="shared" si="41"/>
        <v>0.41399999999999998</v>
      </c>
      <c r="CB85" s="408">
        <f t="shared" si="39"/>
        <v>21</v>
      </c>
      <c r="CC85" s="227"/>
      <c r="CD85" s="496"/>
    </row>
    <row r="86" spans="1:82" ht="20.100000000000001" customHeight="1" x14ac:dyDescent="0.25">
      <c r="B86" s="762"/>
      <c r="C86" s="130"/>
      <c r="D86" s="497"/>
      <c r="E86" s="821"/>
      <c r="F86" s="821"/>
      <c r="G86" s="821"/>
      <c r="H86" s="152"/>
      <c r="I86" s="152"/>
      <c r="J86" s="514"/>
      <c r="K86" s="133"/>
      <c r="L86" s="133"/>
      <c r="X86" s="111"/>
      <c r="Y86" s="111"/>
      <c r="Z86" s="111"/>
      <c r="AA86" s="111"/>
      <c r="AB86" s="111"/>
      <c r="BT86" s="107">
        <v>86</v>
      </c>
      <c r="BU86" s="140">
        <v>20</v>
      </c>
      <c r="BV86" s="141">
        <f t="shared" si="40"/>
        <v>500</v>
      </c>
      <c r="BW86" s="421">
        <v>20</v>
      </c>
      <c r="BX86" s="141"/>
      <c r="BY86" s="399">
        <v>0.95</v>
      </c>
      <c r="BZ86" s="141"/>
      <c r="CA86" s="399">
        <f t="shared" si="41"/>
        <v>0.46</v>
      </c>
      <c r="CB86" s="408">
        <f t="shared" si="39"/>
        <v>21</v>
      </c>
      <c r="CC86" s="227"/>
      <c r="CD86" s="496"/>
    </row>
    <row r="87" spans="1:82" ht="20.100000000000001" customHeight="1" x14ac:dyDescent="0.25">
      <c r="B87" s="819"/>
      <c r="C87" s="130"/>
      <c r="D87" s="497"/>
      <c r="E87" s="822"/>
      <c r="F87" s="822"/>
      <c r="G87" s="822"/>
      <c r="H87" s="152"/>
      <c r="I87" s="152"/>
      <c r="J87" s="514"/>
      <c r="K87" s="133"/>
      <c r="L87" s="133"/>
      <c r="X87" s="111"/>
      <c r="Y87" s="111"/>
      <c r="Z87" s="111"/>
      <c r="AA87" s="111"/>
      <c r="AB87" s="111"/>
      <c r="BT87" s="107">
        <v>87</v>
      </c>
      <c r="BU87" s="140">
        <v>24</v>
      </c>
      <c r="BV87" s="141">
        <f t="shared" si="40"/>
        <v>600</v>
      </c>
      <c r="BW87" s="421">
        <v>24</v>
      </c>
      <c r="BX87" s="141"/>
      <c r="BY87" s="399">
        <v>1.1399999999999999</v>
      </c>
      <c r="BZ87" s="141"/>
      <c r="CA87" s="399">
        <f t="shared" si="41"/>
        <v>0.55200000000000005</v>
      </c>
      <c r="CB87" s="408">
        <f t="shared" si="39"/>
        <v>21</v>
      </c>
      <c r="CC87" s="227"/>
      <c r="CD87" s="496"/>
    </row>
    <row r="88" spans="1:82" ht="20.100000000000001" customHeight="1" x14ac:dyDescent="0.25">
      <c r="B88" s="356">
        <v>1</v>
      </c>
      <c r="C88" s="357"/>
      <c r="D88" s="358"/>
      <c r="E88" s="359">
        <v>1</v>
      </c>
      <c r="F88" s="359" t="s">
        <v>212</v>
      </c>
      <c r="G88" s="360">
        <v>0.1</v>
      </c>
      <c r="H88" s="152"/>
      <c r="I88" s="152"/>
      <c r="J88" s="514"/>
      <c r="K88" s="133"/>
      <c r="L88" s="133"/>
      <c r="X88" s="111"/>
      <c r="Y88" s="111"/>
      <c r="Z88" s="111"/>
      <c r="AA88" s="111"/>
      <c r="AB88" s="111"/>
      <c r="BU88" s="83"/>
      <c r="BV88" s="537"/>
      <c r="BW88" s="314"/>
      <c r="BX88" s="537"/>
      <c r="BY88" s="112"/>
      <c r="BZ88" s="537"/>
      <c r="CA88" s="112"/>
      <c r="CB88" s="227"/>
      <c r="CC88" s="227"/>
      <c r="CD88" s="496"/>
    </row>
    <row r="89" spans="1:82" ht="20.100000000000001" customHeight="1" x14ac:dyDescent="0.25">
      <c r="B89" s="356">
        <v>2</v>
      </c>
      <c r="C89" s="357"/>
      <c r="D89" s="358"/>
      <c r="E89" s="359" t="s">
        <v>212</v>
      </c>
      <c r="F89" s="359" t="s">
        <v>213</v>
      </c>
      <c r="G89" s="360">
        <v>7.4999999999999997E-2</v>
      </c>
      <c r="H89" s="152"/>
      <c r="I89" s="152"/>
      <c r="J89" s="514"/>
      <c r="K89" s="133"/>
      <c r="L89" s="133"/>
      <c r="X89" s="111"/>
      <c r="Y89" s="111"/>
      <c r="Z89" s="111"/>
      <c r="AA89" s="111"/>
      <c r="AB89" s="111"/>
      <c r="BU89" s="83"/>
      <c r="BV89" s="537"/>
      <c r="BW89" s="314"/>
      <c r="BX89" s="537"/>
      <c r="BY89" s="112"/>
      <c r="BZ89" s="537"/>
      <c r="CA89" s="112"/>
      <c r="CB89" s="227"/>
      <c r="CC89" s="227"/>
      <c r="CD89" s="496"/>
    </row>
    <row r="90" spans="1:82" ht="20.100000000000001" customHeight="1" x14ac:dyDescent="0.25">
      <c r="B90" s="356">
        <v>3</v>
      </c>
      <c r="C90" s="357"/>
      <c r="D90" s="358"/>
      <c r="E90" s="359" t="s">
        <v>213</v>
      </c>
      <c r="F90" s="359" t="s">
        <v>214</v>
      </c>
      <c r="G90" s="360">
        <v>7.4999999999999997E-2</v>
      </c>
      <c r="H90" s="152"/>
      <c r="I90" s="152"/>
      <c r="J90" s="514"/>
      <c r="K90" s="133"/>
      <c r="L90" s="133"/>
      <c r="X90" s="111"/>
      <c r="Y90" s="111"/>
      <c r="Z90" s="111"/>
      <c r="AA90" s="111"/>
      <c r="AB90" s="111"/>
      <c r="BU90" s="83"/>
      <c r="BV90" s="537"/>
      <c r="BW90" s="314"/>
      <c r="BX90" s="537"/>
      <c r="BY90" s="112"/>
      <c r="BZ90" s="537"/>
      <c r="CA90" s="112"/>
      <c r="CB90" s="227"/>
      <c r="CC90" s="227"/>
      <c r="CD90" s="496"/>
    </row>
    <row r="91" spans="1:82" ht="20.100000000000001" customHeight="1" x14ac:dyDescent="0.25">
      <c r="B91" s="356">
        <v>4</v>
      </c>
      <c r="C91" s="357"/>
      <c r="D91" s="358"/>
      <c r="E91" s="359" t="s">
        <v>214</v>
      </c>
      <c r="F91" s="361" t="s">
        <v>215</v>
      </c>
      <c r="G91" s="360">
        <v>0.1</v>
      </c>
      <c r="H91" s="152"/>
      <c r="I91" s="152"/>
      <c r="J91" s="514"/>
      <c r="K91" s="133"/>
      <c r="L91" s="133"/>
      <c r="X91" s="111"/>
      <c r="Y91" s="111"/>
      <c r="Z91" s="111"/>
      <c r="AA91" s="111"/>
      <c r="AB91" s="111"/>
      <c r="BU91" s="83"/>
      <c r="BV91" s="537"/>
      <c r="BW91" s="314"/>
      <c r="BX91" s="537"/>
      <c r="BY91" s="112"/>
      <c r="BZ91" s="537"/>
      <c r="CA91" s="112"/>
      <c r="CB91" s="227"/>
      <c r="CC91" s="227"/>
      <c r="CD91" s="496"/>
    </row>
    <row r="92" spans="1:82" ht="20.100000000000001" customHeight="1" x14ac:dyDescent="0.25">
      <c r="B92" s="356">
        <v>5</v>
      </c>
      <c r="C92" s="363"/>
      <c r="D92" s="499"/>
      <c r="E92" s="361" t="s">
        <v>215</v>
      </c>
      <c r="F92" s="361" t="s">
        <v>216</v>
      </c>
      <c r="G92" s="279">
        <v>0.1</v>
      </c>
      <c r="H92" s="152"/>
      <c r="I92" s="152"/>
      <c r="J92" s="514"/>
      <c r="K92" s="133"/>
      <c r="L92" s="133"/>
      <c r="X92" s="111"/>
      <c r="Y92" s="111"/>
      <c r="Z92" s="111"/>
      <c r="AA92" s="111"/>
      <c r="AB92" s="111"/>
      <c r="BU92" s="83"/>
      <c r="BV92" s="537"/>
      <c r="BW92" s="314"/>
      <c r="BX92" s="537"/>
      <c r="BY92" s="112"/>
      <c r="BZ92" s="537"/>
      <c r="CA92" s="112"/>
      <c r="CB92" s="227"/>
      <c r="CC92" s="227"/>
      <c r="CD92" s="496"/>
    </row>
    <row r="93" spans="1:82" ht="20.100000000000001" customHeight="1" x14ac:dyDescent="0.25">
      <c r="B93" s="495"/>
      <c r="C93" s="495"/>
      <c r="D93" s="495"/>
      <c r="E93" s="495"/>
      <c r="F93" s="495"/>
      <c r="G93" s="495"/>
      <c r="H93" s="152"/>
      <c r="I93" s="152"/>
      <c r="J93" s="514"/>
      <c r="K93" s="133"/>
      <c r="L93" s="133"/>
      <c r="X93" s="111"/>
      <c r="Y93" s="111"/>
      <c r="Z93" s="111"/>
      <c r="AA93" s="111"/>
      <c r="AB93" s="111"/>
      <c r="BU93" s="83"/>
      <c r="BV93" s="537"/>
      <c r="BW93" s="314"/>
      <c r="BX93" s="537"/>
      <c r="BY93" s="112"/>
      <c r="BZ93" s="537"/>
      <c r="CA93" s="112"/>
      <c r="CB93" s="227"/>
      <c r="CC93" s="227"/>
      <c r="CD93" s="496"/>
    </row>
    <row r="94" spans="1:82" ht="20.100000000000001" customHeight="1" x14ac:dyDescent="0.25">
      <c r="A94" s="108"/>
      <c r="B94" s="109" t="s">
        <v>597</v>
      </c>
      <c r="C94" s="108"/>
      <c r="D94" s="108"/>
      <c r="E94" s="108"/>
      <c r="F94" s="108"/>
      <c r="G94" s="108"/>
      <c r="H94" s="110"/>
      <c r="I94" s="110"/>
      <c r="J94" s="110"/>
      <c r="K94" s="110"/>
      <c r="L94" s="994" t="s">
        <v>662</v>
      </c>
      <c r="M94" s="994"/>
      <c r="N94" s="994"/>
      <c r="O94" s="994"/>
      <c r="P94" s="110"/>
      <c r="Q94" s="110"/>
      <c r="R94" s="110"/>
      <c r="S94" s="110"/>
      <c r="T94" s="110"/>
      <c r="U94" s="110"/>
      <c r="V94" s="110"/>
      <c r="W94" s="110"/>
      <c r="X94" s="110"/>
      <c r="Y94" s="108"/>
      <c r="Z94" s="108"/>
      <c r="AA94" s="108"/>
      <c r="BU94" s="83"/>
      <c r="BV94" s="537"/>
      <c r="BW94" s="314"/>
      <c r="BX94" s="537"/>
      <c r="BY94" s="112"/>
      <c r="BZ94" s="537"/>
      <c r="CA94" s="112"/>
      <c r="CB94" s="227"/>
      <c r="CC94" s="227"/>
      <c r="CD94" s="249"/>
    </row>
    <row r="95" spans="1:82" ht="20.100000000000001" customHeight="1" x14ac:dyDescent="0.25">
      <c r="B95" s="856" t="s">
        <v>188</v>
      </c>
      <c r="C95" s="852"/>
      <c r="D95" s="852"/>
      <c r="E95" s="849" t="s">
        <v>199</v>
      </c>
      <c r="F95" s="852" t="s">
        <v>200</v>
      </c>
      <c r="G95" s="852" t="s">
        <v>201</v>
      </c>
      <c r="H95" s="860" t="s">
        <v>203</v>
      </c>
      <c r="I95" s="863" t="s">
        <v>109</v>
      </c>
      <c r="J95" s="756" t="s">
        <v>592</v>
      </c>
      <c r="K95" s="757"/>
      <c r="L95" s="617"/>
      <c r="M95" s="760" t="s">
        <v>593</v>
      </c>
      <c r="N95" s="761"/>
      <c r="O95" s="619"/>
      <c r="P95" s="914" t="s">
        <v>594</v>
      </c>
      <c r="Q95" s="915"/>
      <c r="R95" s="916"/>
      <c r="S95" s="481"/>
      <c r="T95" s="481"/>
      <c r="U95" s="481"/>
      <c r="V95" s="481"/>
      <c r="W95" s="481"/>
      <c r="X95" s="110"/>
      <c r="Y95" s="920"/>
      <c r="Z95" s="920"/>
      <c r="AA95" s="108"/>
      <c r="BU95" s="337"/>
      <c r="BV95" s="537"/>
      <c r="BW95" s="377"/>
      <c r="BX95" s="378"/>
      <c r="BY95" s="230"/>
      <c r="BZ95" s="378"/>
      <c r="CA95" s="230"/>
      <c r="CB95" s="227"/>
      <c r="CC95" s="227"/>
      <c r="CD95" s="249"/>
    </row>
    <row r="96" spans="1:82" ht="20.100000000000001" customHeight="1" x14ac:dyDescent="0.25">
      <c r="B96" s="857"/>
      <c r="C96" s="854"/>
      <c r="D96" s="854"/>
      <c r="E96" s="850"/>
      <c r="F96" s="853"/>
      <c r="G96" s="853"/>
      <c r="H96" s="861"/>
      <c r="I96" s="864"/>
      <c r="J96" s="758"/>
      <c r="K96" s="759"/>
      <c r="L96" s="618"/>
      <c r="M96" s="762"/>
      <c r="N96" s="763"/>
      <c r="O96" s="620"/>
      <c r="P96" s="917"/>
      <c r="Q96" s="918"/>
      <c r="R96" s="919"/>
      <c r="S96" s="165"/>
      <c r="T96" s="165"/>
      <c r="U96" s="165"/>
      <c r="V96" s="481"/>
      <c r="W96" s="165"/>
      <c r="Y96" s="920"/>
      <c r="Z96" s="920"/>
      <c r="BU96" s="83"/>
      <c r="BV96" s="537"/>
      <c r="BW96" s="314"/>
      <c r="BX96" s="537"/>
      <c r="BY96" s="112"/>
      <c r="BZ96" s="537"/>
      <c r="CA96" s="112"/>
      <c r="CB96" s="227"/>
      <c r="CC96" s="227"/>
      <c r="CD96" s="249"/>
    </row>
    <row r="97" spans="1:82" ht="20.100000000000001" customHeight="1" x14ac:dyDescent="0.25">
      <c r="B97" s="857"/>
      <c r="C97" s="116"/>
      <c r="D97" s="117"/>
      <c r="E97" s="850"/>
      <c r="F97" s="853"/>
      <c r="G97" s="853"/>
      <c r="H97" s="861"/>
      <c r="I97" s="864"/>
      <c r="J97" s="487"/>
      <c r="K97" s="488"/>
      <c r="L97" s="764" t="s">
        <v>591</v>
      </c>
      <c r="M97" s="487"/>
      <c r="N97" s="488"/>
      <c r="O97" s="764" t="s">
        <v>186</v>
      </c>
      <c r="P97" s="568"/>
      <c r="Q97" s="569"/>
      <c r="R97" s="570"/>
      <c r="S97" s="165"/>
      <c r="T97" s="165"/>
      <c r="U97" s="165"/>
      <c r="V97" s="481"/>
      <c r="W97" s="165"/>
      <c r="Y97" s="920"/>
      <c r="Z97" s="920"/>
      <c r="BU97" s="83"/>
      <c r="BV97" s="537"/>
      <c r="BW97" s="314"/>
      <c r="BX97" s="537"/>
      <c r="BY97" s="112"/>
      <c r="BZ97" s="537"/>
      <c r="CA97" s="112"/>
      <c r="CB97" s="227"/>
      <c r="CC97" s="227"/>
      <c r="CD97" s="249"/>
    </row>
    <row r="98" spans="1:82" ht="20.100000000000001" customHeight="1" x14ac:dyDescent="0.25">
      <c r="B98" s="858"/>
      <c r="C98" s="116"/>
      <c r="D98" s="117"/>
      <c r="E98" s="851"/>
      <c r="F98" s="854"/>
      <c r="G98" s="854"/>
      <c r="H98" s="862"/>
      <c r="I98" s="865"/>
      <c r="J98" s="489"/>
      <c r="K98" s="490"/>
      <c r="L98" s="765"/>
      <c r="M98" s="489"/>
      <c r="N98" s="490"/>
      <c r="O98" s="765"/>
      <c r="P98" s="571"/>
      <c r="Q98" s="572"/>
      <c r="R98" s="573"/>
      <c r="S98" s="165"/>
      <c r="T98" s="165"/>
      <c r="U98" s="165"/>
      <c r="V98" s="481"/>
      <c r="W98" s="165"/>
      <c r="Y98" s="920"/>
      <c r="Z98" s="920"/>
      <c r="BU98" s="277"/>
      <c r="BV98" s="277"/>
      <c r="BW98" s="277"/>
      <c r="BX98" s="277"/>
      <c r="BY98" s="277"/>
      <c r="BZ98" s="277"/>
      <c r="CA98" s="277"/>
      <c r="CB98" s="277"/>
      <c r="CC98" s="227"/>
      <c r="CD98" s="249"/>
    </row>
    <row r="99" spans="1:82" ht="20.100000000000001" customHeight="1" x14ac:dyDescent="0.25">
      <c r="B99" s="491" t="str">
        <f t="shared" ref="B99:B107" si="42">B42</f>
        <v>14-20</v>
      </c>
      <c r="C99" s="348">
        <f t="shared" ref="C99:C107" si="43">LEFT(B99,2)+0</f>
        <v>14</v>
      </c>
      <c r="D99" s="493">
        <f t="shared" ref="D99:D107" si="44">MID(B99,4,3)+0</f>
        <v>20</v>
      </c>
      <c r="E99" s="493">
        <f t="shared" ref="E99:E107" si="45">E42</f>
        <v>16.2</v>
      </c>
      <c r="F99" s="492">
        <f t="shared" ref="F99:F107" si="46">VLOOKUP(C99,AT$5:AU$25,2,FALSE)</f>
        <v>1.41</v>
      </c>
      <c r="G99" s="492">
        <f t="shared" ref="G99:G107" si="47">VLOOKUP(D99,AT$5:AU$25,2,FALSE)</f>
        <v>0.84099999999999997</v>
      </c>
      <c r="H99" s="351">
        <f t="shared" ref="H99:H107" si="48">(F99*G99)^(1/2)</f>
        <v>1.0889490346200781</v>
      </c>
      <c r="I99" s="500">
        <f>($I$78*(H99/1000)*($G$19/86400))/$I$33</f>
        <v>0.76602344416003021</v>
      </c>
      <c r="J99" s="766">
        <f>150*(1-$I$76)/I99+1.75</f>
        <v>109.44905363727341</v>
      </c>
      <c r="K99" s="767"/>
      <c r="L99" s="480">
        <f>J99*(E99/100)/(H99/1000)</f>
        <v>16282.439421441193</v>
      </c>
      <c r="M99" s="966" t="str">
        <f>ROUND((1/I78*(1-I76)/(I76^3)*I74*(($G$19/86400)^2)/9.806*L108),3)&amp; " m"</f>
        <v>0,303 m</v>
      </c>
      <c r="N99" s="966"/>
      <c r="O99" s="591">
        <f>(E99/100)/(H99/1000)</f>
        <v>148.76729291239965</v>
      </c>
      <c r="P99" s="948" t="str">
        <f>ROUND((I31*9.806)/I32*(1/I77)*(1/I80^2)*((I76^3)/(1-I76))*(O108^-2),5)&amp; " m/s"</f>
        <v>0,0023 m/s</v>
      </c>
      <c r="Q99" s="948"/>
      <c r="R99" s="948"/>
      <c r="S99" s="486"/>
      <c r="T99" s="483"/>
      <c r="U99" s="483"/>
      <c r="V99" s="484"/>
      <c r="W99" s="241"/>
      <c r="Y99" s="187"/>
      <c r="Z99" s="124"/>
      <c r="AA99" s="112"/>
      <c r="BG99" s="136"/>
      <c r="BH99" s="136"/>
      <c r="BU99" s="277"/>
      <c r="BV99" s="277"/>
      <c r="BW99" s="277"/>
      <c r="BX99" s="277"/>
      <c r="BY99" s="277"/>
      <c r="BZ99" s="277"/>
      <c r="CA99" s="277"/>
      <c r="CB99" s="277"/>
      <c r="CC99" s="273"/>
      <c r="CD99" s="249"/>
    </row>
    <row r="100" spans="1:82" ht="20.100000000000001" customHeight="1" x14ac:dyDescent="0.25">
      <c r="B100" s="491" t="str">
        <f t="shared" si="42"/>
        <v>20-25</v>
      </c>
      <c r="C100" s="348">
        <f t="shared" si="43"/>
        <v>20</v>
      </c>
      <c r="D100" s="493">
        <f t="shared" si="44"/>
        <v>25</v>
      </c>
      <c r="E100" s="493">
        <f t="shared" si="45"/>
        <v>33.700000000000003</v>
      </c>
      <c r="F100" s="492">
        <f t="shared" si="46"/>
        <v>0.84099999999999997</v>
      </c>
      <c r="G100" s="492">
        <f t="shared" si="47"/>
        <v>0.70699999999999996</v>
      </c>
      <c r="H100" s="351">
        <f t="shared" si="48"/>
        <v>0.77109467641788321</v>
      </c>
      <c r="I100" s="500">
        <f t="shared" ref="I100:I107" si="49">($I$78*(H100/1000)*($G$19/86400))/$I$33</f>
        <v>0.54242814036670794</v>
      </c>
      <c r="J100" s="766">
        <f t="shared" ref="J100:J107" si="50">150*(1-$I$76)/I100+1.75</f>
        <v>153.84387909747079</v>
      </c>
      <c r="K100" s="767"/>
      <c r="L100" s="480">
        <f t="shared" ref="L100:L107" si="51">J100*(E100/100)/(H100/1000)</f>
        <v>67236.085063763079</v>
      </c>
      <c r="M100" s="966"/>
      <c r="N100" s="966"/>
      <c r="O100" s="485">
        <f t="shared" ref="O100:O107" si="52">(E100/100)/(H100/1000)</f>
        <v>437.04101494453568</v>
      </c>
      <c r="P100" s="948"/>
      <c r="Q100" s="948"/>
      <c r="R100" s="948"/>
      <c r="S100" s="482"/>
      <c r="T100" s="483"/>
      <c r="U100" s="483"/>
      <c r="V100" s="484"/>
      <c r="W100" s="241"/>
      <c r="Y100" s="187"/>
      <c r="Z100" s="124"/>
      <c r="AA100" s="113"/>
      <c r="BG100" s="136"/>
      <c r="BH100" s="136"/>
      <c r="BU100" s="83"/>
      <c r="BV100" s="342"/>
      <c r="BW100" s="314"/>
      <c r="BX100" s="342"/>
      <c r="BY100" s="112"/>
      <c r="BZ100" s="342"/>
      <c r="CA100" s="112"/>
      <c r="CB100" s="227"/>
      <c r="CC100" s="277"/>
      <c r="CD100" s="249"/>
    </row>
    <row r="101" spans="1:82" ht="20.100000000000001" customHeight="1" x14ac:dyDescent="0.25">
      <c r="B101" s="491" t="str">
        <f t="shared" si="42"/>
        <v>25-30</v>
      </c>
      <c r="C101" s="348">
        <f t="shared" si="43"/>
        <v>25</v>
      </c>
      <c r="D101" s="493">
        <f t="shared" si="44"/>
        <v>30</v>
      </c>
      <c r="E101" s="493">
        <f t="shared" si="45"/>
        <v>33.9</v>
      </c>
      <c r="F101" s="492">
        <f t="shared" si="46"/>
        <v>0.70699999999999996</v>
      </c>
      <c r="G101" s="492">
        <f t="shared" si="47"/>
        <v>0.59499999999999997</v>
      </c>
      <c r="H101" s="351">
        <f t="shared" si="48"/>
        <v>0.64858692555431607</v>
      </c>
      <c r="I101" s="500">
        <f t="shared" si="49"/>
        <v>0.45624981037209111</v>
      </c>
      <c r="J101" s="766">
        <f t="shared" si="50"/>
        <v>182.57199296196472</v>
      </c>
      <c r="K101" s="767"/>
      <c r="L101" s="480">
        <f t="shared" si="51"/>
        <v>95425.768197855665</v>
      </c>
      <c r="M101" s="966"/>
      <c r="N101" s="966"/>
      <c r="O101" s="485">
        <f t="shared" si="52"/>
        <v>522.67473586562505</v>
      </c>
      <c r="P101" s="948"/>
      <c r="Q101" s="948"/>
      <c r="R101" s="948"/>
      <c r="S101" s="482"/>
      <c r="T101" s="483"/>
      <c r="U101" s="483"/>
      <c r="V101" s="484"/>
      <c r="W101" s="241"/>
      <c r="Y101" s="187"/>
      <c r="Z101" s="124"/>
      <c r="AA101" s="113"/>
      <c r="BG101" s="136"/>
      <c r="BH101" s="136"/>
      <c r="BU101" s="83"/>
      <c r="BV101" s="342"/>
      <c r="BW101" s="314"/>
      <c r="BX101" s="342"/>
      <c r="BY101" s="112"/>
      <c r="BZ101" s="342"/>
      <c r="CA101" s="112"/>
      <c r="CB101" s="227"/>
      <c r="CC101" s="227"/>
      <c r="CD101" s="249"/>
    </row>
    <row r="102" spans="1:82" ht="20.100000000000001" customHeight="1" x14ac:dyDescent="0.25">
      <c r="B102" s="491" t="str">
        <f t="shared" si="42"/>
        <v>30-35</v>
      </c>
      <c r="C102" s="348">
        <f t="shared" si="43"/>
        <v>30</v>
      </c>
      <c r="D102" s="493">
        <f t="shared" si="44"/>
        <v>35</v>
      </c>
      <c r="E102" s="493">
        <f t="shared" si="45"/>
        <v>6.2</v>
      </c>
      <c r="F102" s="492">
        <f t="shared" si="46"/>
        <v>0.59499999999999997</v>
      </c>
      <c r="G102" s="492">
        <f t="shared" si="47"/>
        <v>0.5</v>
      </c>
      <c r="H102" s="351">
        <f t="shared" si="48"/>
        <v>0.54543560573178573</v>
      </c>
      <c r="I102" s="500">
        <f t="shared" si="49"/>
        <v>0.38368780171236044</v>
      </c>
      <c r="J102" s="766">
        <f t="shared" si="50"/>
        <v>216.76856361294446</v>
      </c>
      <c r="K102" s="767"/>
      <c r="L102" s="480">
        <f t="shared" si="51"/>
        <v>24640.21564190185</v>
      </c>
      <c r="M102" s="966"/>
      <c r="N102" s="966"/>
      <c r="O102" s="485">
        <f t="shared" si="52"/>
        <v>113.6706136314982</v>
      </c>
      <c r="P102" s="948"/>
      <c r="Q102" s="948"/>
      <c r="R102" s="948"/>
      <c r="S102" s="482"/>
      <c r="T102" s="483"/>
      <c r="U102" s="483"/>
      <c r="V102" s="484"/>
      <c r="W102" s="241"/>
      <c r="Y102" s="187"/>
      <c r="Z102" s="124"/>
      <c r="AA102" s="113"/>
      <c r="AK102" s="128"/>
      <c r="AL102" s="303"/>
      <c r="AM102" s="303"/>
      <c r="AN102" s="303"/>
      <c r="AO102" s="303"/>
      <c r="AP102" s="338"/>
      <c r="AQ102" s="338"/>
      <c r="AR102" s="303"/>
      <c r="AS102" s="365"/>
      <c r="AT102" s="365"/>
      <c r="AU102" s="365"/>
      <c r="AV102" s="128"/>
      <c r="BU102" s="83"/>
      <c r="BV102" s="342"/>
      <c r="BW102" s="314"/>
      <c r="BX102" s="342"/>
      <c r="BY102" s="112"/>
      <c r="BZ102" s="342"/>
      <c r="CA102" s="112"/>
      <c r="CB102" s="227"/>
      <c r="CC102" s="227"/>
      <c r="CD102" s="249"/>
    </row>
    <row r="103" spans="1:82" ht="20.100000000000001" customHeight="1" x14ac:dyDescent="0.25">
      <c r="B103" s="491" t="str">
        <f t="shared" si="42"/>
        <v>35-40</v>
      </c>
      <c r="C103" s="348">
        <f t="shared" si="43"/>
        <v>35</v>
      </c>
      <c r="D103" s="493">
        <f t="shared" si="44"/>
        <v>40</v>
      </c>
      <c r="E103" s="493">
        <f t="shared" si="45"/>
        <v>3.5</v>
      </c>
      <c r="F103" s="492">
        <f t="shared" si="46"/>
        <v>0.5</v>
      </c>
      <c r="G103" s="492">
        <f t="shared" si="47"/>
        <v>0.4</v>
      </c>
      <c r="H103" s="351">
        <f t="shared" si="48"/>
        <v>0.44721359549995793</v>
      </c>
      <c r="I103" s="500">
        <f t="shared" si="49"/>
        <v>0.31459332605000123</v>
      </c>
      <c r="J103" s="766">
        <f t="shared" si="50"/>
        <v>263.9933254890077</v>
      </c>
      <c r="K103" s="767"/>
      <c r="L103" s="480">
        <f t="shared" si="51"/>
        <v>20660.745748987723</v>
      </c>
      <c r="M103" s="966"/>
      <c r="N103" s="966"/>
      <c r="O103" s="485">
        <f t="shared" si="52"/>
        <v>78.262379212492647</v>
      </c>
      <c r="P103" s="948"/>
      <c r="Q103" s="948"/>
      <c r="R103" s="948"/>
      <c r="S103" s="482"/>
      <c r="T103" s="483"/>
      <c r="U103" s="483"/>
      <c r="V103" s="484"/>
      <c r="W103" s="241"/>
      <c r="Y103" s="187"/>
      <c r="Z103" s="124"/>
      <c r="AA103" s="113"/>
      <c r="AC103" s="135"/>
      <c r="AK103" s="128"/>
      <c r="AL103" s="303"/>
      <c r="AM103" s="303"/>
      <c r="AN103" s="303"/>
      <c r="AO103" s="303"/>
      <c r="AP103" s="338"/>
      <c r="AQ103" s="338"/>
      <c r="AR103" s="303"/>
      <c r="AS103" s="365"/>
      <c r="AT103" s="365"/>
      <c r="AU103" s="365"/>
      <c r="AV103" s="128"/>
      <c r="BU103" s="83"/>
      <c r="BV103" s="342"/>
      <c r="BW103" s="314"/>
      <c r="BX103" s="342"/>
      <c r="BY103" s="112"/>
      <c r="BZ103" s="342"/>
      <c r="CA103" s="112"/>
      <c r="CB103" s="227"/>
      <c r="CC103" s="227"/>
      <c r="CD103" s="249"/>
    </row>
    <row r="104" spans="1:82" ht="20.100000000000001" customHeight="1" x14ac:dyDescent="0.25">
      <c r="B104" s="491" t="str">
        <f t="shared" si="42"/>
        <v>40-50</v>
      </c>
      <c r="C104" s="348">
        <f t="shared" si="43"/>
        <v>40</v>
      </c>
      <c r="D104" s="493">
        <f t="shared" si="44"/>
        <v>50</v>
      </c>
      <c r="E104" s="493">
        <f t="shared" si="45"/>
        <v>3</v>
      </c>
      <c r="F104" s="492">
        <f t="shared" si="46"/>
        <v>0.4</v>
      </c>
      <c r="G104" s="492">
        <f t="shared" si="47"/>
        <v>0.29699999999999999</v>
      </c>
      <c r="H104" s="351">
        <f t="shared" si="48"/>
        <v>0.34467375879228174</v>
      </c>
      <c r="I104" s="500">
        <f t="shared" si="49"/>
        <v>0.24246146644848587</v>
      </c>
      <c r="J104" s="766">
        <f t="shared" si="50"/>
        <v>342.01025334433177</v>
      </c>
      <c r="K104" s="767"/>
      <c r="L104" s="480">
        <f t="shared" si="51"/>
        <v>29768.171607497814</v>
      </c>
      <c r="M104" s="966"/>
      <c r="N104" s="966"/>
      <c r="O104" s="485">
        <f t="shared" si="52"/>
        <v>87.038827977848911</v>
      </c>
      <c r="P104" s="948"/>
      <c r="Q104" s="948"/>
      <c r="R104" s="948"/>
      <c r="S104" s="482"/>
      <c r="T104" s="483"/>
      <c r="U104" s="483"/>
      <c r="V104" s="484"/>
      <c r="W104" s="241"/>
      <c r="X104" s="114"/>
      <c r="Y104" s="187"/>
      <c r="Z104" s="124"/>
      <c r="AA104" s="113"/>
      <c r="AB104" s="135"/>
      <c r="AK104" s="128"/>
      <c r="AL104" s="303"/>
      <c r="AM104" s="303"/>
      <c r="AN104" s="303"/>
      <c r="AO104" s="303"/>
      <c r="AP104" s="338"/>
      <c r="AQ104" s="338"/>
      <c r="AR104" s="303"/>
      <c r="AS104" s="365"/>
      <c r="AT104" s="365"/>
      <c r="AU104" s="365"/>
      <c r="AV104" s="128"/>
      <c r="BU104" s="83"/>
      <c r="BV104" s="342"/>
      <c r="BW104" s="314"/>
      <c r="BX104" s="342"/>
      <c r="BY104" s="112"/>
      <c r="BZ104" s="342"/>
      <c r="CA104" s="112"/>
      <c r="CB104" s="227"/>
      <c r="CC104" s="227"/>
      <c r="CD104" s="249"/>
    </row>
    <row r="105" spans="1:82" ht="20.100000000000001" customHeight="1" x14ac:dyDescent="0.25">
      <c r="B105" s="491" t="str">
        <f t="shared" si="42"/>
        <v>50-60</v>
      </c>
      <c r="C105" s="348">
        <f t="shared" si="43"/>
        <v>50</v>
      </c>
      <c r="D105" s="493">
        <f t="shared" si="44"/>
        <v>60</v>
      </c>
      <c r="E105" s="493">
        <f t="shared" si="45"/>
        <v>2</v>
      </c>
      <c r="F105" s="492">
        <f t="shared" si="46"/>
        <v>0.29699999999999999</v>
      </c>
      <c r="G105" s="492">
        <f t="shared" si="47"/>
        <v>0.25</v>
      </c>
      <c r="H105" s="351">
        <f t="shared" si="48"/>
        <v>0.27248853186877425</v>
      </c>
      <c r="I105" s="500">
        <f t="shared" si="49"/>
        <v>0.19168261970042796</v>
      </c>
      <c r="J105" s="766">
        <f t="shared" si="50"/>
        <v>432.14895911760539</v>
      </c>
      <c r="K105" s="767"/>
      <c r="L105" s="480">
        <f t="shared" si="51"/>
        <v>31718.689675037098</v>
      </c>
      <c r="M105" s="966"/>
      <c r="N105" s="966"/>
      <c r="O105" s="485">
        <f t="shared" si="52"/>
        <v>73.397584341757366</v>
      </c>
      <c r="P105" s="948"/>
      <c r="Q105" s="948"/>
      <c r="R105" s="948"/>
      <c r="S105" s="482"/>
      <c r="T105" s="483"/>
      <c r="U105" s="483"/>
      <c r="V105" s="484"/>
      <c r="W105" s="241"/>
      <c r="X105" s="114"/>
      <c r="Y105" s="187"/>
      <c r="Z105" s="124"/>
      <c r="AA105" s="113"/>
      <c r="AK105" s="128"/>
      <c r="AL105" s="303"/>
      <c r="AM105" s="303"/>
      <c r="AN105" s="303"/>
      <c r="AO105" s="303"/>
      <c r="AP105" s="338"/>
      <c r="AQ105" s="338"/>
      <c r="AR105" s="303"/>
      <c r="AS105" s="365"/>
      <c r="AT105" s="365"/>
      <c r="AU105" s="365"/>
      <c r="AV105" s="128"/>
      <c r="BU105" s="83"/>
      <c r="BV105" s="342"/>
      <c r="BW105" s="314"/>
      <c r="BX105" s="342"/>
      <c r="BY105" s="112"/>
      <c r="BZ105" s="342"/>
      <c r="CA105" s="112"/>
      <c r="CB105" s="227"/>
      <c r="CC105" s="227"/>
      <c r="CD105" s="249"/>
    </row>
    <row r="106" spans="1:82" ht="20.100000000000001" customHeight="1" x14ac:dyDescent="0.25">
      <c r="B106" s="491" t="str">
        <f t="shared" si="42"/>
        <v>60-70</v>
      </c>
      <c r="C106" s="348">
        <f t="shared" si="43"/>
        <v>60</v>
      </c>
      <c r="D106" s="493">
        <f t="shared" si="44"/>
        <v>70</v>
      </c>
      <c r="E106" s="493">
        <f t="shared" si="45"/>
        <v>1</v>
      </c>
      <c r="F106" s="492">
        <f t="shared" si="46"/>
        <v>0.25</v>
      </c>
      <c r="G106" s="492">
        <f t="shared" si="47"/>
        <v>0.21</v>
      </c>
      <c r="H106" s="351">
        <f t="shared" si="48"/>
        <v>0.229128784747792</v>
      </c>
      <c r="I106" s="500">
        <f t="shared" si="49"/>
        <v>0.1611811161666919</v>
      </c>
      <c r="J106" s="766">
        <f t="shared" si="50"/>
        <v>513.59656094997706</v>
      </c>
      <c r="K106" s="767"/>
      <c r="L106" s="480">
        <f t="shared" si="51"/>
        <v>22415.191592593052</v>
      </c>
      <c r="M106" s="966"/>
      <c r="N106" s="966"/>
      <c r="O106" s="485">
        <f t="shared" si="52"/>
        <v>43.643578047198481</v>
      </c>
      <c r="P106" s="948"/>
      <c r="Q106" s="948"/>
      <c r="R106" s="948"/>
      <c r="S106" s="482"/>
      <c r="T106" s="483"/>
      <c r="U106" s="483"/>
      <c r="V106" s="484"/>
      <c r="W106" s="241"/>
      <c r="X106" s="114"/>
      <c r="Y106" s="187"/>
      <c r="Z106" s="124"/>
      <c r="AA106" s="113"/>
      <c r="AK106" s="128"/>
      <c r="AL106" s="303"/>
      <c r="AM106" s="303"/>
      <c r="AN106" s="303"/>
      <c r="AO106" s="303"/>
      <c r="AP106" s="338"/>
      <c r="AQ106" s="338"/>
      <c r="AR106" s="303"/>
      <c r="AS106" s="365"/>
      <c r="AT106" s="365"/>
      <c r="AU106" s="365"/>
      <c r="AV106" s="128"/>
      <c r="BU106" s="337"/>
      <c r="BV106" s="342"/>
      <c r="BW106" s="377"/>
      <c r="BX106" s="378"/>
      <c r="BY106" s="230"/>
      <c r="BZ106" s="378"/>
      <c r="CA106" s="230"/>
      <c r="CB106" s="227"/>
      <c r="CC106" s="227"/>
      <c r="CD106" s="249"/>
    </row>
    <row r="107" spans="1:82" ht="20.100000000000001" customHeight="1" x14ac:dyDescent="0.25">
      <c r="B107" s="491" t="str">
        <f t="shared" si="42"/>
        <v>70-100</v>
      </c>
      <c r="C107" s="348">
        <f t="shared" si="43"/>
        <v>70</v>
      </c>
      <c r="D107" s="493">
        <f t="shared" si="44"/>
        <v>100</v>
      </c>
      <c r="E107" s="493">
        <f t="shared" si="45"/>
        <v>0.49999999999998579</v>
      </c>
      <c r="F107" s="492">
        <f t="shared" si="46"/>
        <v>0.21</v>
      </c>
      <c r="G107" s="492">
        <f t="shared" si="47"/>
        <v>0.14899999999999999</v>
      </c>
      <c r="H107" s="351">
        <f t="shared" si="48"/>
        <v>0.17688979620091147</v>
      </c>
      <c r="I107" s="500">
        <f t="shared" si="49"/>
        <v>0.12443349194010997</v>
      </c>
      <c r="J107" s="766">
        <f t="shared" si="50"/>
        <v>664.75478041480483</v>
      </c>
      <c r="K107" s="767"/>
      <c r="L107" s="480">
        <f t="shared" si="51"/>
        <v>18790.082715109169</v>
      </c>
      <c r="M107" s="966"/>
      <c r="N107" s="966"/>
      <c r="O107" s="485">
        <f t="shared" si="52"/>
        <v>28.266186673203336</v>
      </c>
      <c r="P107" s="948"/>
      <c r="Q107" s="948"/>
      <c r="R107" s="948"/>
      <c r="S107" s="482"/>
      <c r="T107" s="483"/>
      <c r="U107" s="483"/>
      <c r="V107" s="484"/>
      <c r="W107" s="241"/>
      <c r="X107" s="114"/>
      <c r="Y107" s="187"/>
      <c r="Z107" s="124"/>
      <c r="AA107" s="113"/>
      <c r="AK107" s="128"/>
      <c r="AL107" s="303"/>
      <c r="AM107" s="303"/>
      <c r="AN107" s="303"/>
      <c r="AO107" s="303"/>
      <c r="AP107" s="338"/>
      <c r="AQ107" s="338"/>
      <c r="AR107" s="303"/>
      <c r="AS107" s="365"/>
      <c r="AT107" s="365"/>
      <c r="AU107" s="365"/>
      <c r="AV107" s="128"/>
      <c r="BU107" s="83"/>
      <c r="BV107" s="342"/>
      <c r="BW107" s="314"/>
      <c r="BX107" s="342"/>
      <c r="BY107" s="112"/>
      <c r="BZ107" s="342"/>
      <c r="CA107" s="112"/>
      <c r="CB107" s="227"/>
      <c r="CC107" s="227"/>
      <c r="CD107" s="249"/>
    </row>
    <row r="108" spans="1:82" ht="20.100000000000001" customHeight="1" x14ac:dyDescent="0.25">
      <c r="B108" s="5"/>
      <c r="C108" s="119"/>
      <c r="D108" s="83"/>
      <c r="E108" s="214">
        <f>SUM(E99:E107)</f>
        <v>100</v>
      </c>
      <c r="F108" s="120"/>
      <c r="G108" s="5"/>
      <c r="H108" s="114"/>
      <c r="I108" s="245"/>
      <c r="J108" s="114"/>
      <c r="K108" s="114"/>
      <c r="L108" s="947">
        <f>SUM(L99:L107)</f>
        <v>326937.38966418663</v>
      </c>
      <c r="M108" s="114"/>
      <c r="N108" s="114"/>
      <c r="O108" s="946">
        <f>SUM(O99:O107)</f>
        <v>1532.7622136065593</v>
      </c>
      <c r="P108" s="114"/>
      <c r="Q108" s="193"/>
      <c r="R108" s="114"/>
      <c r="S108" s="114"/>
      <c r="T108" s="114"/>
      <c r="U108" s="114"/>
      <c r="V108" s="114"/>
      <c r="W108" s="114"/>
      <c r="X108" s="114"/>
      <c r="Y108" s="187"/>
      <c r="Z108" s="124"/>
      <c r="AA108" s="113"/>
      <c r="BU108" s="83"/>
      <c r="BV108" s="342"/>
      <c r="BW108" s="314"/>
      <c r="BX108" s="342"/>
      <c r="BY108" s="112"/>
      <c r="BZ108" s="342"/>
      <c r="CA108" s="112"/>
      <c r="CB108" s="227"/>
      <c r="CC108" s="227"/>
      <c r="CD108" s="249"/>
    </row>
    <row r="109" spans="1:82" ht="20.100000000000001" customHeight="1" x14ac:dyDescent="0.25">
      <c r="B109" s="5"/>
      <c r="C109" s="5"/>
      <c r="D109" s="5"/>
      <c r="E109" s="5"/>
      <c r="F109" s="5"/>
      <c r="G109" s="5"/>
      <c r="H109" s="114"/>
      <c r="I109" s="114"/>
      <c r="J109" s="114"/>
      <c r="K109" s="114"/>
      <c r="L109" s="947"/>
      <c r="M109" s="114"/>
      <c r="N109" s="114"/>
      <c r="O109" s="947"/>
      <c r="P109" s="114"/>
      <c r="Q109" s="193"/>
      <c r="R109" s="114"/>
      <c r="S109" s="114"/>
      <c r="T109" s="114"/>
      <c r="U109" s="114"/>
      <c r="V109" s="114"/>
      <c r="W109" s="114"/>
      <c r="X109" s="114"/>
      <c r="Y109" s="187"/>
      <c r="Z109" s="124"/>
      <c r="AA109" s="113"/>
      <c r="BU109" s="83"/>
      <c r="BV109" s="342"/>
      <c r="BW109" s="314"/>
      <c r="BX109" s="342"/>
      <c r="BY109" s="112"/>
      <c r="BZ109" s="342"/>
      <c r="CA109" s="112"/>
      <c r="CB109" s="227"/>
      <c r="CC109" s="227"/>
      <c r="CD109" s="249"/>
    </row>
    <row r="110" spans="1:82" ht="20.100000000000001" customHeight="1" x14ac:dyDescent="0.25">
      <c r="B110" s="115"/>
      <c r="C110" s="118"/>
      <c r="D110" s="115"/>
      <c r="E110" s="115"/>
      <c r="F110" s="115"/>
      <c r="G110" s="115"/>
      <c r="H110" s="114"/>
      <c r="I110" s="114"/>
      <c r="J110" s="6"/>
      <c r="K110" s="6"/>
      <c r="L110" s="947"/>
      <c r="M110" s="114"/>
      <c r="N110" s="114"/>
      <c r="O110" s="947"/>
      <c r="P110" s="114"/>
      <c r="Q110" s="193"/>
      <c r="R110" s="6"/>
      <c r="S110" s="114"/>
      <c r="T110" s="114"/>
      <c r="U110" s="114"/>
      <c r="V110" s="114"/>
      <c r="W110" s="6"/>
      <c r="X110" s="114"/>
      <c r="Y110" s="187"/>
      <c r="Z110" s="124"/>
      <c r="AA110" s="113"/>
      <c r="BU110" s="111"/>
      <c r="BV110" s="111"/>
      <c r="BW110" s="229"/>
      <c r="BX110" s="111"/>
      <c r="BY110" s="251"/>
      <c r="BZ110" s="111"/>
      <c r="CA110" s="112"/>
      <c r="CB110" s="228"/>
      <c r="CC110" s="228"/>
      <c r="CD110" s="222"/>
    </row>
    <row r="111" spans="1:82" ht="20.100000000000001" customHeight="1" x14ac:dyDescent="0.25">
      <c r="B111" s="115"/>
      <c r="C111" s="118"/>
      <c r="D111" s="115"/>
      <c r="E111" s="115"/>
      <c r="F111" s="115"/>
      <c r="G111" s="115"/>
      <c r="H111" s="114"/>
      <c r="I111" s="114"/>
      <c r="J111" s="6"/>
      <c r="K111" s="6"/>
      <c r="L111" s="473"/>
      <c r="M111" s="114"/>
      <c r="N111" s="114"/>
      <c r="O111" s="473"/>
      <c r="P111" s="114"/>
      <c r="Q111" s="473"/>
      <c r="R111" s="6"/>
      <c r="S111" s="114"/>
      <c r="T111" s="114"/>
      <c r="U111" s="114"/>
      <c r="V111" s="114"/>
      <c r="W111" s="6"/>
      <c r="X111" s="114"/>
      <c r="Y111" s="187"/>
      <c r="Z111" s="124"/>
      <c r="AA111" s="113"/>
      <c r="BU111" s="111"/>
      <c r="BV111" s="111"/>
      <c r="BW111" s="229"/>
      <c r="BX111" s="111"/>
      <c r="BY111" s="251"/>
      <c r="BZ111" s="111"/>
      <c r="CA111" s="112"/>
      <c r="CB111" s="228"/>
      <c r="CC111" s="228"/>
      <c r="CD111" s="474"/>
    </row>
    <row r="112" spans="1:82" ht="20.100000000000001" customHeight="1" x14ac:dyDescent="0.25">
      <c r="A112" s="108"/>
      <c r="B112" s="109" t="s">
        <v>604</v>
      </c>
      <c r="C112" s="108"/>
      <c r="D112" s="108"/>
      <c r="E112" s="108"/>
      <c r="F112" s="108"/>
      <c r="G112" s="108"/>
      <c r="H112" s="110"/>
      <c r="I112" s="110"/>
      <c r="J112" s="110"/>
      <c r="K112" s="110"/>
      <c r="L112" s="110"/>
      <c r="M112" s="110"/>
      <c r="N112" s="110"/>
      <c r="O112" s="110"/>
      <c r="P112" s="110"/>
      <c r="Q112" s="110"/>
      <c r="R112" s="110"/>
      <c r="S112" s="110"/>
      <c r="T112" s="110"/>
      <c r="U112" s="110"/>
      <c r="V112" s="110"/>
      <c r="W112" s="110"/>
      <c r="X112" s="114"/>
      <c r="Y112" s="187"/>
      <c r="Z112" s="124"/>
      <c r="AA112" s="113"/>
      <c r="BU112" s="111"/>
      <c r="BV112" s="111"/>
      <c r="BW112" s="229"/>
      <c r="BX112" s="111"/>
      <c r="BY112" s="251"/>
      <c r="BZ112" s="111"/>
      <c r="CA112" s="112"/>
      <c r="CB112" s="228"/>
      <c r="CC112" s="228"/>
      <c r="CD112" s="372"/>
    </row>
    <row r="113" spans="2:82" ht="20.100000000000001" customHeight="1" x14ac:dyDescent="0.25">
      <c r="B113" s="856" t="s">
        <v>188</v>
      </c>
      <c r="C113" s="859"/>
      <c r="D113" s="852"/>
      <c r="E113" s="852" t="s">
        <v>199</v>
      </c>
      <c r="F113" s="852" t="s">
        <v>200</v>
      </c>
      <c r="G113" s="852" t="s">
        <v>201</v>
      </c>
      <c r="H113" s="860" t="s">
        <v>203</v>
      </c>
      <c r="I113" s="957" t="s">
        <v>181</v>
      </c>
      <c r="J113" s="958"/>
      <c r="K113" s="958"/>
      <c r="L113" s="959"/>
      <c r="M113" s="957" t="s">
        <v>598</v>
      </c>
      <c r="N113" s="958"/>
      <c r="O113" s="958"/>
      <c r="P113" s="958"/>
      <c r="Q113" s="958"/>
      <c r="R113" s="959"/>
      <c r="S113" s="949" t="s">
        <v>182</v>
      </c>
      <c r="T113" s="949"/>
      <c r="U113" s="949"/>
      <c r="V113" s="949"/>
      <c r="W113" s="949"/>
      <c r="X113" s="949"/>
      <c r="Y113" s="187"/>
      <c r="Z113" s="124"/>
      <c r="AA113" s="113"/>
      <c r="BU113" s="111"/>
      <c r="BV113" s="111"/>
      <c r="BW113" s="229"/>
      <c r="BX113" s="111"/>
      <c r="BY113" s="251"/>
      <c r="BZ113" s="111"/>
      <c r="CA113" s="112"/>
      <c r="CB113" s="228"/>
      <c r="CC113" s="228"/>
      <c r="CD113" s="372"/>
    </row>
    <row r="114" spans="2:82" ht="20.100000000000001" customHeight="1" x14ac:dyDescent="0.25">
      <c r="B114" s="857"/>
      <c r="C114" s="859"/>
      <c r="D114" s="854"/>
      <c r="E114" s="853"/>
      <c r="F114" s="853"/>
      <c r="G114" s="853"/>
      <c r="H114" s="861"/>
      <c r="I114" s="977" t="s">
        <v>185</v>
      </c>
      <c r="J114" s="980"/>
      <c r="K114" s="981"/>
      <c r="L114" s="374"/>
      <c r="M114" s="986"/>
      <c r="N114" s="980"/>
      <c r="O114" s="987"/>
      <c r="P114" s="977" t="s">
        <v>186</v>
      </c>
      <c r="Q114" s="756"/>
      <c r="R114" s="757"/>
      <c r="S114" s="992"/>
      <c r="T114" s="951"/>
      <c r="U114" s="952"/>
      <c r="V114" s="955" t="s">
        <v>186</v>
      </c>
      <c r="W114" s="950"/>
      <c r="X114" s="950"/>
      <c r="Y114" s="605" t="s">
        <v>661</v>
      </c>
      <c r="Z114" s="124"/>
      <c r="AA114" s="113"/>
      <c r="BU114" s="111"/>
      <c r="BV114" s="111"/>
      <c r="BW114" s="229"/>
      <c r="BX114" s="111"/>
      <c r="BY114" s="251"/>
      <c r="BZ114" s="111"/>
      <c r="CA114" s="112"/>
      <c r="CB114" s="228"/>
      <c r="CC114" s="228"/>
      <c r="CD114" s="372"/>
    </row>
    <row r="115" spans="2:82" ht="20.100000000000001" customHeight="1" x14ac:dyDescent="0.25">
      <c r="B115" s="857"/>
      <c r="C115" s="366"/>
      <c r="D115" s="367"/>
      <c r="E115" s="853"/>
      <c r="F115" s="853"/>
      <c r="G115" s="853"/>
      <c r="H115" s="861"/>
      <c r="I115" s="978"/>
      <c r="J115" s="982"/>
      <c r="K115" s="983"/>
      <c r="L115" s="375"/>
      <c r="M115" s="986"/>
      <c r="N115" s="982"/>
      <c r="O115" s="988"/>
      <c r="P115" s="978"/>
      <c r="Q115" s="758"/>
      <c r="R115" s="759"/>
      <c r="S115" s="992"/>
      <c r="T115" s="951"/>
      <c r="U115" s="952"/>
      <c r="V115" s="955"/>
      <c r="W115" s="950"/>
      <c r="X115" s="950"/>
      <c r="Y115" s="187"/>
      <c r="Z115" s="124"/>
      <c r="AA115" s="113"/>
      <c r="BU115" s="111"/>
      <c r="BV115" s="111"/>
      <c r="BW115" s="229"/>
      <c r="BX115" s="111"/>
      <c r="BY115" s="251"/>
      <c r="BZ115" s="111"/>
      <c r="CA115" s="112"/>
      <c r="CB115" s="228"/>
      <c r="CC115" s="228"/>
      <c r="CD115" s="372"/>
    </row>
    <row r="116" spans="2:82" ht="20.100000000000001" customHeight="1" x14ac:dyDescent="0.25">
      <c r="B116" s="858"/>
      <c r="C116" s="366"/>
      <c r="D116" s="367"/>
      <c r="E116" s="854"/>
      <c r="F116" s="854"/>
      <c r="G116" s="854"/>
      <c r="H116" s="862"/>
      <c r="I116" s="979"/>
      <c r="J116" s="984"/>
      <c r="K116" s="985"/>
      <c r="L116" s="376"/>
      <c r="M116" s="986"/>
      <c r="N116" s="984"/>
      <c r="O116" s="989"/>
      <c r="P116" s="979"/>
      <c r="Q116" s="990"/>
      <c r="R116" s="991"/>
      <c r="S116" s="993"/>
      <c r="T116" s="953"/>
      <c r="U116" s="954"/>
      <c r="V116" s="956"/>
      <c r="W116" s="950"/>
      <c r="X116" s="950"/>
      <c r="Y116" s="187"/>
      <c r="Z116" s="124"/>
      <c r="AA116" s="113"/>
      <c r="BU116" s="111"/>
      <c r="BV116" s="111"/>
      <c r="BW116" s="229"/>
      <c r="BX116" s="111"/>
      <c r="BY116" s="251"/>
      <c r="BZ116" s="111"/>
      <c r="CA116" s="112"/>
      <c r="CB116" s="228"/>
      <c r="CC116" s="228"/>
      <c r="CD116" s="372"/>
    </row>
    <row r="117" spans="2:82" ht="20.100000000000001" customHeight="1" x14ac:dyDescent="0.25">
      <c r="B117" s="368" t="str">
        <f t="shared" ref="B117:B125" si="53">B42</f>
        <v>14-20</v>
      </c>
      <c r="C117" s="348">
        <f t="shared" ref="C117:C125" si="54">LEFT(B117,2)+0</f>
        <v>14</v>
      </c>
      <c r="D117" s="369">
        <f t="shared" ref="D117:D125" si="55">MID(B117,4,3)+0</f>
        <v>20</v>
      </c>
      <c r="E117" s="369">
        <f t="shared" ref="E117:E125" si="56">E42</f>
        <v>16.2</v>
      </c>
      <c r="F117" s="371">
        <f>VLOOKUP(C117,AT$5:AU$25,2,FALSE)</f>
        <v>1.41</v>
      </c>
      <c r="G117" s="371">
        <f t="shared" ref="G117:G125" si="57">VLOOKUP(D99,AT$5:AU$25,2,FALSE)</f>
        <v>0.84099999999999997</v>
      </c>
      <c r="H117" s="351">
        <f>(F117*G117)^(1/2)</f>
        <v>1.0889490346200781</v>
      </c>
      <c r="I117" s="352">
        <f>(E117/100)/((H117/1000)^2)</f>
        <v>136615.47802767725</v>
      </c>
      <c r="J117" s="743" t="str">
        <f>ROUND((I77*I33*((1-I76)^2)/(I76^3)*((I74*($G$19/86400))/9.806)*((6/$I$78)^2)*I126),3)&amp;" m"</f>
        <v>0,361 m</v>
      </c>
      <c r="K117" s="768"/>
      <c r="L117" s="744"/>
      <c r="M117" s="353">
        <f>$I$78*(H117/1000)*(($G$19/86400)/$I$33)</f>
        <v>0.76602344416003032</v>
      </c>
      <c r="N117" s="766">
        <f>150*(1-$I$76)/M117+1.75</f>
        <v>109.44905363727338</v>
      </c>
      <c r="O117" s="767"/>
      <c r="P117" s="354">
        <f>N117*(E117/100)/(H117/1000)</f>
        <v>16282.43942144119</v>
      </c>
      <c r="Q117" s="971" t="str">
        <f>ROUND((1/$I$78)*(1-I76)/(I76^3)*(I74*(($G$19/86400)^2)/9.806)*P126,3)&amp; " m"</f>
        <v>0,303 m</v>
      </c>
      <c r="R117" s="972"/>
      <c r="S117" s="355">
        <f>(H117/1000)*($G$19/86400)/$I$33</f>
        <v>0.93417493190247591</v>
      </c>
      <c r="T117" s="717">
        <f>24/S117+3/(S117^(1/2))+0.34</f>
        <v>29.135015625116381</v>
      </c>
      <c r="U117" s="718"/>
      <c r="V117" s="546">
        <f t="shared" ref="V117:V125" si="58">T117*(E117/100)/(H117/1000)</f>
        <v>4334.3374035090301</v>
      </c>
      <c r="W117" s="948" t="str">
        <f>ROUND(1.067*(($G$19/86400)^2)*(I74/(9.806*$I$79*(I76^4)))*V126,3)&amp;" m"</f>
        <v>0,304 m</v>
      </c>
      <c r="X117" s="948"/>
      <c r="Y117" s="187"/>
      <c r="Z117" s="124"/>
      <c r="AA117" s="113"/>
      <c r="BU117" s="111"/>
      <c r="BV117" s="111"/>
      <c r="BW117" s="229"/>
      <c r="BX117" s="111"/>
      <c r="BY117" s="251"/>
      <c r="BZ117" s="111"/>
      <c r="CA117" s="112"/>
      <c r="CB117" s="228"/>
      <c r="CC117" s="228"/>
      <c r="CD117" s="372"/>
    </row>
    <row r="118" spans="2:82" ht="20.100000000000001" customHeight="1" x14ac:dyDescent="0.25">
      <c r="B118" s="368" t="str">
        <f t="shared" si="53"/>
        <v>20-25</v>
      </c>
      <c r="C118" s="348">
        <f t="shared" si="54"/>
        <v>20</v>
      </c>
      <c r="D118" s="369">
        <f t="shared" si="55"/>
        <v>25</v>
      </c>
      <c r="E118" s="369">
        <f t="shared" si="56"/>
        <v>33.700000000000003</v>
      </c>
      <c r="F118" s="371">
        <f t="shared" ref="F118:F125" si="59">VLOOKUP(C118,AT$5:AU$25,2,FALSE)</f>
        <v>0.84099999999999997</v>
      </c>
      <c r="G118" s="371">
        <f t="shared" si="57"/>
        <v>0.70699999999999996</v>
      </c>
      <c r="H118" s="351">
        <f t="shared" ref="H118:H125" si="60">(F118*G118)^(1/2)</f>
        <v>0.77109467641788321</v>
      </c>
      <c r="I118" s="352">
        <f t="shared" ref="I118:I125" si="61">(E118/100)/((H118/1000)^2)</f>
        <v>566779.96659866429</v>
      </c>
      <c r="J118" s="745"/>
      <c r="K118" s="769"/>
      <c r="L118" s="746"/>
      <c r="M118" s="503">
        <f t="shared" ref="M118:M125" si="62">$I$78*(H118/1000)*(($G$19/86400)/$I$33)</f>
        <v>0.54242814036670806</v>
      </c>
      <c r="N118" s="766">
        <f t="shared" ref="N118:N125" si="63">150*(1-$I$76)/M118+1.75</f>
        <v>153.84387909747076</v>
      </c>
      <c r="O118" s="767"/>
      <c r="P118" s="354">
        <f t="shared" ref="P118:P125" si="64">N118*(E118/100)/(H118/1000)</f>
        <v>67236.085063763065</v>
      </c>
      <c r="Q118" s="973"/>
      <c r="R118" s="974"/>
      <c r="S118" s="355">
        <f t="shared" ref="S118:S125" si="65">(H118/1000)*($G$19/86400)/$I$33</f>
        <v>0.66149773215452201</v>
      </c>
      <c r="T118" s="717">
        <f t="shared" ref="T118:T125" si="66">24/S118+3/(S118^(1/2))+0.34</f>
        <v>40.309865413527731</v>
      </c>
      <c r="U118" s="718"/>
      <c r="V118" s="546">
        <f t="shared" si="58"/>
        <v>17617.064492605794</v>
      </c>
      <c r="W118" s="948"/>
      <c r="X118" s="948"/>
      <c r="Y118" s="187"/>
      <c r="Z118" s="124"/>
      <c r="AA118" s="113"/>
      <c r="BU118" s="111"/>
      <c r="BV118" s="111"/>
      <c r="BW118" s="229"/>
      <c r="BX118" s="111"/>
      <c r="BY118" s="251"/>
      <c r="BZ118" s="111"/>
      <c r="CA118" s="112"/>
      <c r="CB118" s="228"/>
      <c r="CC118" s="228"/>
      <c r="CD118" s="372"/>
    </row>
    <row r="119" spans="2:82" ht="20.100000000000001" customHeight="1" x14ac:dyDescent="0.25">
      <c r="B119" s="368" t="str">
        <f t="shared" si="53"/>
        <v>25-30</v>
      </c>
      <c r="C119" s="348">
        <f t="shared" si="54"/>
        <v>25</v>
      </c>
      <c r="D119" s="369">
        <f t="shared" si="55"/>
        <v>30</v>
      </c>
      <c r="E119" s="369">
        <f t="shared" si="56"/>
        <v>33.9</v>
      </c>
      <c r="F119" s="371">
        <f t="shared" si="59"/>
        <v>0.70699999999999996</v>
      </c>
      <c r="G119" s="371">
        <f t="shared" si="57"/>
        <v>0.59499999999999997</v>
      </c>
      <c r="H119" s="351">
        <f t="shared" si="60"/>
        <v>0.64858692555431607</v>
      </c>
      <c r="I119" s="352">
        <f t="shared" si="61"/>
        <v>805866.90121593198</v>
      </c>
      <c r="J119" s="745"/>
      <c r="K119" s="769"/>
      <c r="L119" s="746"/>
      <c r="M119" s="503">
        <f t="shared" si="62"/>
        <v>0.45624981037209111</v>
      </c>
      <c r="N119" s="766">
        <f t="shared" si="63"/>
        <v>182.57199296196472</v>
      </c>
      <c r="O119" s="767"/>
      <c r="P119" s="354">
        <f t="shared" si="64"/>
        <v>95425.768197855665</v>
      </c>
      <c r="Q119" s="973"/>
      <c r="R119" s="974"/>
      <c r="S119" s="355">
        <f t="shared" si="65"/>
        <v>0.55640220777084282</v>
      </c>
      <c r="T119" s="717">
        <f t="shared" si="66"/>
        <v>47.496123424942603</v>
      </c>
      <c r="U119" s="718"/>
      <c r="V119" s="546">
        <f t="shared" si="58"/>
        <v>24825.023765772999</v>
      </c>
      <c r="W119" s="948"/>
      <c r="X119" s="948"/>
      <c r="Y119" s="187"/>
      <c r="Z119" s="945"/>
      <c r="AA119" s="945"/>
      <c r="BU119" s="111"/>
      <c r="BV119" s="111"/>
      <c r="BW119" s="229"/>
      <c r="BX119" s="111"/>
      <c r="BY119" s="251"/>
      <c r="BZ119" s="111"/>
      <c r="CA119" s="112"/>
      <c r="CB119" s="228"/>
      <c r="CC119" s="228"/>
      <c r="CD119" s="372"/>
    </row>
    <row r="120" spans="2:82" ht="20.100000000000001" customHeight="1" x14ac:dyDescent="0.25">
      <c r="B120" s="368" t="str">
        <f t="shared" si="53"/>
        <v>30-35</v>
      </c>
      <c r="C120" s="348">
        <f t="shared" si="54"/>
        <v>30</v>
      </c>
      <c r="D120" s="369">
        <f t="shared" si="55"/>
        <v>35</v>
      </c>
      <c r="E120" s="369">
        <f t="shared" si="56"/>
        <v>6.2</v>
      </c>
      <c r="F120" s="371">
        <f t="shared" si="59"/>
        <v>0.59499999999999997</v>
      </c>
      <c r="G120" s="371">
        <f t="shared" si="57"/>
        <v>0.5</v>
      </c>
      <c r="H120" s="351">
        <f t="shared" si="60"/>
        <v>0.54543560573178573</v>
      </c>
      <c r="I120" s="352">
        <f t="shared" si="61"/>
        <v>208403.36134453781</v>
      </c>
      <c r="J120" s="745"/>
      <c r="K120" s="769"/>
      <c r="L120" s="746"/>
      <c r="M120" s="503">
        <f t="shared" si="62"/>
        <v>0.38368780171236044</v>
      </c>
      <c r="N120" s="766">
        <f t="shared" si="63"/>
        <v>216.76856361294446</v>
      </c>
      <c r="O120" s="767"/>
      <c r="P120" s="354">
        <f t="shared" si="64"/>
        <v>24640.21564190185</v>
      </c>
      <c r="Q120" s="973"/>
      <c r="R120" s="974"/>
      <c r="S120" s="355">
        <f t="shared" si="65"/>
        <v>0.46791195330775665</v>
      </c>
      <c r="T120" s="717">
        <f t="shared" si="66"/>
        <v>56.017403658501294</v>
      </c>
      <c r="U120" s="718"/>
      <c r="V120" s="546">
        <f t="shared" si="58"/>
        <v>6367.5326479051746</v>
      </c>
      <c r="W120" s="948"/>
      <c r="X120" s="948"/>
      <c r="Y120" s="187"/>
      <c r="Z120" s="124"/>
      <c r="AA120" s="113"/>
      <c r="BU120" s="111"/>
      <c r="BV120" s="111"/>
      <c r="BW120" s="229"/>
      <c r="BX120" s="111"/>
      <c r="BY120" s="251"/>
      <c r="BZ120" s="111"/>
      <c r="CA120" s="112"/>
      <c r="CB120" s="228"/>
      <c r="CC120" s="228"/>
      <c r="CD120" s="372"/>
    </row>
    <row r="121" spans="2:82" ht="20.100000000000001" customHeight="1" x14ac:dyDescent="0.25">
      <c r="B121" s="368" t="str">
        <f t="shared" si="53"/>
        <v>35-40</v>
      </c>
      <c r="C121" s="348">
        <f t="shared" si="54"/>
        <v>35</v>
      </c>
      <c r="D121" s="369">
        <f t="shared" si="55"/>
        <v>40</v>
      </c>
      <c r="E121" s="369">
        <f t="shared" si="56"/>
        <v>3.5</v>
      </c>
      <c r="F121" s="371">
        <f t="shared" si="59"/>
        <v>0.5</v>
      </c>
      <c r="G121" s="371">
        <f t="shared" si="57"/>
        <v>0.4</v>
      </c>
      <c r="H121" s="351">
        <f t="shared" si="60"/>
        <v>0.44721359549995793</v>
      </c>
      <c r="I121" s="352">
        <f t="shared" si="61"/>
        <v>175000</v>
      </c>
      <c r="J121" s="745"/>
      <c r="K121" s="769"/>
      <c r="L121" s="746"/>
      <c r="M121" s="503">
        <f t="shared" si="62"/>
        <v>0.31459332605000129</v>
      </c>
      <c r="N121" s="766">
        <f t="shared" si="63"/>
        <v>263.99332548900765</v>
      </c>
      <c r="O121" s="767"/>
      <c r="P121" s="354">
        <f t="shared" si="64"/>
        <v>20660.745748987716</v>
      </c>
      <c r="Q121" s="973"/>
      <c r="R121" s="974"/>
      <c r="S121" s="355">
        <f t="shared" si="65"/>
        <v>0.3836503976219528</v>
      </c>
      <c r="T121" s="717">
        <f t="shared" si="66"/>
        <v>67.740387751827498</v>
      </c>
      <c r="U121" s="718"/>
      <c r="V121" s="546">
        <f t="shared" si="58"/>
        <v>5301.5239142348155</v>
      </c>
      <c r="W121" s="948"/>
      <c r="X121" s="948"/>
      <c r="Y121" s="187"/>
      <c r="Z121" s="124"/>
      <c r="AA121" s="113"/>
      <c r="BU121" s="111"/>
      <c r="BV121" s="111"/>
      <c r="BW121" s="229"/>
      <c r="BX121" s="111"/>
      <c r="BY121" s="251"/>
      <c r="BZ121" s="111"/>
      <c r="CA121" s="112"/>
      <c r="CB121" s="228"/>
      <c r="CC121" s="228"/>
      <c r="CD121" s="372"/>
    </row>
    <row r="122" spans="2:82" ht="20.100000000000001" customHeight="1" x14ac:dyDescent="0.25">
      <c r="B122" s="368" t="str">
        <f t="shared" si="53"/>
        <v>40-50</v>
      </c>
      <c r="C122" s="348">
        <f t="shared" si="54"/>
        <v>40</v>
      </c>
      <c r="D122" s="369">
        <f t="shared" si="55"/>
        <v>50</v>
      </c>
      <c r="E122" s="369">
        <f t="shared" si="56"/>
        <v>3</v>
      </c>
      <c r="F122" s="371">
        <f t="shared" si="59"/>
        <v>0.4</v>
      </c>
      <c r="G122" s="371">
        <f t="shared" si="57"/>
        <v>0.29699999999999999</v>
      </c>
      <c r="H122" s="351">
        <f t="shared" si="60"/>
        <v>0.34467375879228174</v>
      </c>
      <c r="I122" s="352">
        <f t="shared" si="61"/>
        <v>252525.25252525244</v>
      </c>
      <c r="J122" s="745"/>
      <c r="K122" s="769"/>
      <c r="L122" s="746"/>
      <c r="M122" s="503">
        <f t="shared" si="62"/>
        <v>0.24246146644848587</v>
      </c>
      <c r="N122" s="766">
        <f t="shared" si="63"/>
        <v>342.01025334433177</v>
      </c>
      <c r="O122" s="767"/>
      <c r="P122" s="354">
        <f t="shared" si="64"/>
        <v>29768.171607497814</v>
      </c>
      <c r="Q122" s="973"/>
      <c r="R122" s="974"/>
      <c r="S122" s="355">
        <f t="shared" si="65"/>
        <v>0.29568471518108036</v>
      </c>
      <c r="T122" s="717">
        <f t="shared" si="66"/>
        <v>87.024585492427519</v>
      </c>
      <c r="U122" s="718"/>
      <c r="V122" s="546">
        <f t="shared" si="58"/>
        <v>7574.5179265190054</v>
      </c>
      <c r="W122" s="948"/>
      <c r="X122" s="948"/>
      <c r="Y122" s="187"/>
      <c r="Z122" s="124"/>
      <c r="AA122" s="113"/>
      <c r="BU122" s="111"/>
      <c r="BV122" s="111"/>
      <c r="BW122" s="229"/>
      <c r="BX122" s="111"/>
      <c r="BY122" s="251"/>
      <c r="BZ122" s="111"/>
      <c r="CA122" s="112"/>
      <c r="CB122" s="228"/>
      <c r="CC122" s="228"/>
      <c r="CD122" s="372"/>
    </row>
    <row r="123" spans="2:82" ht="20.100000000000001" customHeight="1" x14ac:dyDescent="0.25">
      <c r="B123" s="368" t="str">
        <f t="shared" si="53"/>
        <v>50-60</v>
      </c>
      <c r="C123" s="348">
        <f t="shared" si="54"/>
        <v>50</v>
      </c>
      <c r="D123" s="369">
        <f t="shared" si="55"/>
        <v>60</v>
      </c>
      <c r="E123" s="369">
        <f t="shared" si="56"/>
        <v>2</v>
      </c>
      <c r="F123" s="371">
        <f t="shared" si="59"/>
        <v>0.29699999999999999</v>
      </c>
      <c r="G123" s="371">
        <f t="shared" si="57"/>
        <v>0.25</v>
      </c>
      <c r="H123" s="351">
        <f t="shared" si="60"/>
        <v>0.27248853186877425</v>
      </c>
      <c r="I123" s="352">
        <f t="shared" si="61"/>
        <v>269360.26936026936</v>
      </c>
      <c r="J123" s="745"/>
      <c r="K123" s="769"/>
      <c r="L123" s="746"/>
      <c r="M123" s="503">
        <f t="shared" si="62"/>
        <v>0.19168261970042796</v>
      </c>
      <c r="N123" s="766">
        <f t="shared" si="63"/>
        <v>432.14895911760539</v>
      </c>
      <c r="O123" s="767"/>
      <c r="P123" s="354">
        <f t="shared" si="64"/>
        <v>31718.689675037098</v>
      </c>
      <c r="Q123" s="973"/>
      <c r="R123" s="974"/>
      <c r="S123" s="355">
        <f t="shared" si="65"/>
        <v>0.23375929231759512</v>
      </c>
      <c r="T123" s="717">
        <f t="shared" si="66"/>
        <v>109.2146442867807</v>
      </c>
      <c r="U123" s="718"/>
      <c r="V123" s="546">
        <f t="shared" si="58"/>
        <v>8016.0910653940155</v>
      </c>
      <c r="W123" s="948"/>
      <c r="X123" s="948"/>
      <c r="Y123" s="187"/>
      <c r="Z123" s="124"/>
      <c r="AA123" s="113"/>
      <c r="BU123" s="111"/>
      <c r="BV123" s="111"/>
      <c r="BW123" s="229"/>
      <c r="BX123" s="111"/>
      <c r="BY123" s="251"/>
      <c r="BZ123" s="111"/>
      <c r="CA123" s="112"/>
      <c r="CB123" s="228"/>
      <c r="CC123" s="228"/>
      <c r="CD123" s="372"/>
    </row>
    <row r="124" spans="2:82" ht="20.100000000000001" customHeight="1" x14ac:dyDescent="0.25">
      <c r="B124" s="368" t="str">
        <f t="shared" si="53"/>
        <v>60-70</v>
      </c>
      <c r="C124" s="348">
        <f t="shared" si="54"/>
        <v>60</v>
      </c>
      <c r="D124" s="369">
        <f t="shared" si="55"/>
        <v>70</v>
      </c>
      <c r="E124" s="369">
        <f t="shared" si="56"/>
        <v>1</v>
      </c>
      <c r="F124" s="371">
        <f t="shared" si="59"/>
        <v>0.25</v>
      </c>
      <c r="G124" s="371">
        <f t="shared" si="57"/>
        <v>0.21</v>
      </c>
      <c r="H124" s="351">
        <f t="shared" si="60"/>
        <v>0.229128784747792</v>
      </c>
      <c r="I124" s="352">
        <f t="shared" si="61"/>
        <v>190476.19047619047</v>
      </c>
      <c r="J124" s="745"/>
      <c r="K124" s="769"/>
      <c r="L124" s="746"/>
      <c r="M124" s="503">
        <f t="shared" si="62"/>
        <v>0.1611811161666919</v>
      </c>
      <c r="N124" s="766">
        <f t="shared" si="63"/>
        <v>513.59656094997706</v>
      </c>
      <c r="O124" s="767"/>
      <c r="P124" s="354">
        <f t="shared" si="64"/>
        <v>22415.191592593052</v>
      </c>
      <c r="Q124" s="973"/>
      <c r="R124" s="974"/>
      <c r="S124" s="355">
        <f t="shared" si="65"/>
        <v>0.19656233678864868</v>
      </c>
      <c r="T124" s="717">
        <f t="shared" si="66"/>
        <v>129.20527984180842</v>
      </c>
      <c r="U124" s="718"/>
      <c r="V124" s="546">
        <f t="shared" si="58"/>
        <v>5638.9807148860864</v>
      </c>
      <c r="W124" s="948"/>
      <c r="X124" s="948"/>
      <c r="Y124" s="187"/>
      <c r="Z124" s="124"/>
      <c r="AA124" s="113"/>
      <c r="BU124" s="111"/>
      <c r="BV124" s="111"/>
      <c r="BW124" s="229"/>
      <c r="BX124" s="111"/>
      <c r="BY124" s="251"/>
      <c r="BZ124" s="111"/>
      <c r="CA124" s="112"/>
      <c r="CB124" s="228"/>
      <c r="CC124" s="228"/>
      <c r="CD124" s="372"/>
    </row>
    <row r="125" spans="2:82" ht="20.100000000000001" customHeight="1" x14ac:dyDescent="0.25">
      <c r="B125" s="368" t="str">
        <f t="shared" si="53"/>
        <v>70-100</v>
      </c>
      <c r="C125" s="348">
        <f t="shared" si="54"/>
        <v>70</v>
      </c>
      <c r="D125" s="369">
        <f t="shared" si="55"/>
        <v>100</v>
      </c>
      <c r="E125" s="369">
        <f t="shared" si="56"/>
        <v>0.49999999999998579</v>
      </c>
      <c r="F125" s="371">
        <f t="shared" si="59"/>
        <v>0.21</v>
      </c>
      <c r="G125" s="371">
        <f t="shared" si="57"/>
        <v>0.14899999999999999</v>
      </c>
      <c r="H125" s="351">
        <f t="shared" si="60"/>
        <v>0.17688979620091147</v>
      </c>
      <c r="I125" s="352">
        <f t="shared" si="61"/>
        <v>159795.46180888012</v>
      </c>
      <c r="J125" s="747"/>
      <c r="K125" s="770"/>
      <c r="L125" s="748"/>
      <c r="M125" s="503">
        <f t="shared" si="62"/>
        <v>0.12443349194010997</v>
      </c>
      <c r="N125" s="766">
        <f t="shared" si="63"/>
        <v>664.75478041480483</v>
      </c>
      <c r="O125" s="767"/>
      <c r="P125" s="354">
        <f t="shared" si="64"/>
        <v>18790.082715109169</v>
      </c>
      <c r="Q125" s="975"/>
      <c r="R125" s="976"/>
      <c r="S125" s="355">
        <f t="shared" si="65"/>
        <v>0.15174816090257315</v>
      </c>
      <c r="T125" s="717">
        <f t="shared" si="66"/>
        <v>166.19799682528196</v>
      </c>
      <c r="U125" s="718"/>
      <c r="V125" s="546">
        <f t="shared" si="58"/>
        <v>4697.7836029758755</v>
      </c>
      <c r="W125" s="948"/>
      <c r="X125" s="948"/>
      <c r="Y125" s="187"/>
      <c r="Z125" s="124"/>
      <c r="AA125" s="113"/>
      <c r="BU125" s="111"/>
      <c r="BV125" s="111"/>
      <c r="BW125" s="229"/>
      <c r="BX125" s="111"/>
      <c r="BY125" s="251"/>
      <c r="BZ125" s="111"/>
      <c r="CA125" s="112"/>
      <c r="CB125" s="228"/>
      <c r="CC125" s="228"/>
      <c r="CD125" s="372"/>
    </row>
    <row r="126" spans="2:82" ht="20.100000000000001" customHeight="1" x14ac:dyDescent="0.25">
      <c r="B126" s="373"/>
      <c r="C126" s="119"/>
      <c r="D126" s="83"/>
      <c r="E126" s="214">
        <f>SUM(E117:E125)</f>
        <v>100</v>
      </c>
      <c r="F126" s="120"/>
      <c r="G126" s="373"/>
      <c r="H126" s="114"/>
      <c r="I126" s="967">
        <f>SUM(I117:I125)</f>
        <v>2764822.8813574035</v>
      </c>
      <c r="J126" s="114"/>
      <c r="K126" s="114"/>
      <c r="L126" s="114"/>
      <c r="M126" s="114"/>
      <c r="N126" s="114"/>
      <c r="O126" s="114"/>
      <c r="P126" s="947">
        <f>SUM(P117:P125)</f>
        <v>326937.38966418663</v>
      </c>
      <c r="Q126" s="373"/>
      <c r="R126" s="114"/>
      <c r="S126" s="114"/>
      <c r="T126" s="114"/>
      <c r="U126" s="114"/>
      <c r="V126" s="968">
        <f>SUM(V117:V125)</f>
        <v>84372.855533802795</v>
      </c>
      <c r="W126" s="114"/>
      <c r="X126" s="114"/>
      <c r="Y126" s="187"/>
      <c r="Z126" s="124"/>
      <c r="AA126" s="113"/>
      <c r="BU126" s="111"/>
      <c r="BV126" s="111"/>
      <c r="BW126" s="229"/>
      <c r="BX126" s="111"/>
      <c r="BY126" s="251"/>
      <c r="BZ126" s="111"/>
      <c r="CA126" s="112"/>
      <c r="CB126" s="228"/>
      <c r="CC126" s="228"/>
      <c r="CD126" s="372"/>
    </row>
    <row r="127" spans="2:82" ht="20.100000000000001" customHeight="1" x14ac:dyDescent="0.25">
      <c r="B127" s="373"/>
      <c r="C127" s="373"/>
      <c r="D127" s="373"/>
      <c r="E127" s="373"/>
      <c r="F127" s="373"/>
      <c r="G127" s="373"/>
      <c r="H127" s="114"/>
      <c r="I127" s="947"/>
      <c r="J127" s="114"/>
      <c r="K127" s="114"/>
      <c r="L127" s="114"/>
      <c r="M127" s="114"/>
      <c r="N127" s="114"/>
      <c r="O127" s="114"/>
      <c r="P127" s="947"/>
      <c r="Q127" s="373"/>
      <c r="R127" s="114"/>
      <c r="S127" s="114"/>
      <c r="T127" s="114"/>
      <c r="U127" s="114"/>
      <c r="V127" s="969"/>
      <c r="W127" s="114"/>
      <c r="X127" s="114"/>
      <c r="Y127" s="187"/>
      <c r="Z127" s="124"/>
      <c r="AA127" s="113"/>
      <c r="BU127" s="111"/>
      <c r="BV127" s="111"/>
      <c r="BW127" s="229"/>
      <c r="BX127" s="111"/>
      <c r="BY127" s="251"/>
      <c r="BZ127" s="111"/>
      <c r="CA127" s="112"/>
      <c r="CB127" s="228"/>
      <c r="CC127" s="228"/>
      <c r="CD127" s="372"/>
    </row>
    <row r="128" spans="2:82" ht="20.100000000000001" customHeight="1" x14ac:dyDescent="0.25">
      <c r="B128" s="115"/>
      <c r="C128" s="118"/>
      <c r="D128" s="115"/>
      <c r="E128" s="115"/>
      <c r="F128" s="115"/>
      <c r="G128" s="115"/>
      <c r="H128" s="114"/>
      <c r="I128" s="947"/>
      <c r="J128" s="6"/>
      <c r="K128" s="6"/>
      <c r="L128" s="6"/>
      <c r="M128" s="114"/>
      <c r="N128" s="114"/>
      <c r="O128" s="114"/>
      <c r="P128" s="947"/>
      <c r="Q128" s="373"/>
      <c r="R128" s="6"/>
      <c r="S128" s="114"/>
      <c r="T128" s="114"/>
      <c r="U128" s="114"/>
      <c r="V128" s="970"/>
      <c r="W128" s="6"/>
      <c r="X128" s="114"/>
      <c r="Y128" s="187"/>
      <c r="Z128" s="124"/>
      <c r="AA128" s="113"/>
      <c r="BU128" s="111"/>
      <c r="BV128" s="111"/>
      <c r="BW128" s="229"/>
      <c r="BX128" s="111"/>
      <c r="BY128" s="251"/>
      <c r="BZ128" s="111"/>
      <c r="CA128" s="112"/>
      <c r="CB128" s="228"/>
      <c r="CC128" s="228"/>
      <c r="CD128" s="372"/>
    </row>
    <row r="129" spans="2:82" ht="20.100000000000001" customHeight="1" x14ac:dyDescent="0.25">
      <c r="B129" s="574"/>
      <c r="C129" s="575"/>
      <c r="D129" s="574"/>
      <c r="E129" s="574"/>
      <c r="F129" s="574"/>
      <c r="G129" s="574"/>
      <c r="H129" s="257"/>
      <c r="I129" s="576"/>
      <c r="J129" s="577"/>
      <c r="K129" s="6"/>
      <c r="L129" s="6"/>
      <c r="M129" s="114"/>
      <c r="N129" s="114"/>
      <c r="O129" s="114"/>
      <c r="P129" s="494"/>
      <c r="Q129" s="494"/>
      <c r="R129" s="6"/>
      <c r="S129" s="114"/>
      <c r="T129" s="114"/>
      <c r="U129" s="114"/>
      <c r="V129" s="494"/>
      <c r="W129" s="6"/>
      <c r="X129" s="114"/>
      <c r="Y129" s="187"/>
      <c r="Z129" s="124"/>
      <c r="AA129" s="113"/>
      <c r="BU129" s="111"/>
      <c r="BV129" s="111"/>
      <c r="BW129" s="229"/>
      <c r="BX129" s="111"/>
      <c r="BY129" s="251"/>
      <c r="BZ129" s="111"/>
      <c r="CA129" s="112"/>
      <c r="CB129" s="228"/>
      <c r="CC129" s="228"/>
      <c r="CD129" s="496"/>
    </row>
    <row r="130" spans="2:82" ht="20.100000000000001" customHeight="1" x14ac:dyDescent="0.25">
      <c r="B130" s="578" t="s">
        <v>607</v>
      </c>
      <c r="C130" s="579"/>
      <c r="D130" s="579"/>
      <c r="E130" s="579"/>
      <c r="F130" s="579"/>
      <c r="G130" s="579"/>
      <c r="H130" s="580"/>
      <c r="I130" s="580"/>
      <c r="J130" s="580"/>
      <c r="K130" s="110"/>
      <c r="L130" s="110"/>
      <c r="M130" s="110"/>
      <c r="N130" s="110"/>
      <c r="O130" s="110"/>
      <c r="P130" s="110"/>
      <c r="Q130" s="110"/>
      <c r="R130" s="110"/>
      <c r="S130" s="110"/>
      <c r="T130" s="110"/>
      <c r="U130" s="110"/>
      <c r="V130" s="110"/>
      <c r="W130" s="110"/>
      <c r="X130" s="114"/>
      <c r="Y130" s="187"/>
      <c r="Z130" s="124"/>
      <c r="AA130" s="113"/>
      <c r="BU130" s="111"/>
      <c r="BV130" s="111"/>
      <c r="BW130" s="229"/>
      <c r="BX130" s="111"/>
      <c r="BY130" s="251"/>
      <c r="BZ130" s="111"/>
      <c r="CA130" s="112"/>
      <c r="CB130" s="228"/>
      <c r="CC130" s="228"/>
      <c r="CD130" s="496"/>
    </row>
    <row r="131" spans="2:82" ht="20.100000000000001" customHeight="1" x14ac:dyDescent="0.25">
      <c r="B131" s="856" t="s">
        <v>188</v>
      </c>
      <c r="C131" s="859"/>
      <c r="D131" s="852"/>
      <c r="E131" s="852" t="s">
        <v>199</v>
      </c>
      <c r="F131" s="852" t="s">
        <v>200</v>
      </c>
      <c r="G131" s="852" t="s">
        <v>201</v>
      </c>
      <c r="H131" s="860" t="s">
        <v>203</v>
      </c>
      <c r="I131" s="823" t="s">
        <v>181</v>
      </c>
      <c r="J131" s="824"/>
      <c r="K131" s="824"/>
      <c r="L131" s="825"/>
      <c r="M131" s="823" t="s">
        <v>598</v>
      </c>
      <c r="N131" s="824"/>
      <c r="O131" s="824"/>
      <c r="P131" s="824"/>
      <c r="Q131" s="824"/>
      <c r="R131" s="825"/>
      <c r="S131" s="723" t="s">
        <v>182</v>
      </c>
      <c r="T131" s="723"/>
      <c r="U131" s="723"/>
      <c r="V131" s="723"/>
      <c r="W131" s="723"/>
      <c r="X131" s="723"/>
      <c r="Y131" s="187"/>
      <c r="Z131" s="124"/>
      <c r="AA131" s="113"/>
      <c r="BU131" s="111"/>
      <c r="BV131" s="111"/>
      <c r="BW131" s="229"/>
      <c r="BX131" s="111"/>
      <c r="BY131" s="251"/>
      <c r="BZ131" s="111"/>
      <c r="CA131" s="112"/>
      <c r="CB131" s="228"/>
      <c r="CC131" s="228"/>
      <c r="CD131" s="496"/>
    </row>
    <row r="132" spans="2:82" ht="20.100000000000001" customHeight="1" x14ac:dyDescent="0.25">
      <c r="B132" s="857"/>
      <c r="C132" s="859"/>
      <c r="D132" s="854"/>
      <c r="E132" s="853"/>
      <c r="F132" s="853"/>
      <c r="G132" s="853"/>
      <c r="H132" s="861"/>
      <c r="I132" s="751" t="s">
        <v>605</v>
      </c>
      <c r="J132" s="725"/>
      <c r="K132" s="866"/>
      <c r="L132" s="538"/>
      <c r="M132" s="724"/>
      <c r="N132" s="725"/>
      <c r="O132" s="726"/>
      <c r="P132" s="751" t="s">
        <v>606</v>
      </c>
      <c r="Q132" s="670"/>
      <c r="R132" s="672"/>
      <c r="S132" s="724"/>
      <c r="T132" s="725"/>
      <c r="U132" s="726"/>
      <c r="V132" s="723" t="s">
        <v>606</v>
      </c>
      <c r="W132" s="724"/>
      <c r="X132" s="724"/>
      <c r="Y132" s="187"/>
      <c r="Z132" s="124"/>
      <c r="AA132" s="113"/>
      <c r="BU132" s="111"/>
      <c r="BV132" s="111"/>
      <c r="BW132" s="229"/>
      <c r="BX132" s="111"/>
      <c r="BY132" s="251"/>
      <c r="BZ132" s="111"/>
      <c r="CA132" s="112"/>
      <c r="CB132" s="228"/>
      <c r="CC132" s="228"/>
      <c r="CD132" s="496"/>
    </row>
    <row r="133" spans="2:82" ht="20.100000000000001" customHeight="1" x14ac:dyDescent="0.25">
      <c r="B133" s="857"/>
      <c r="C133" s="506"/>
      <c r="D133" s="505"/>
      <c r="E133" s="853"/>
      <c r="F133" s="853"/>
      <c r="G133" s="853"/>
      <c r="H133" s="861"/>
      <c r="I133" s="752"/>
      <c r="J133" s="727"/>
      <c r="K133" s="867"/>
      <c r="L133" s="504"/>
      <c r="M133" s="724"/>
      <c r="N133" s="727"/>
      <c r="O133" s="728"/>
      <c r="P133" s="752"/>
      <c r="Q133" s="673"/>
      <c r="R133" s="675"/>
      <c r="S133" s="724"/>
      <c r="T133" s="727"/>
      <c r="U133" s="728"/>
      <c r="V133" s="723"/>
      <c r="W133" s="724"/>
      <c r="X133" s="724"/>
      <c r="Y133" s="187"/>
      <c r="Z133" s="124"/>
      <c r="AA133" s="113"/>
      <c r="BU133" s="111"/>
      <c r="BV133" s="111"/>
      <c r="BW133" s="229"/>
      <c r="BX133" s="111"/>
      <c r="BY133" s="251"/>
      <c r="BZ133" s="111"/>
      <c r="CA133" s="112"/>
      <c r="CB133" s="228"/>
      <c r="CC133" s="228"/>
      <c r="CD133" s="496"/>
    </row>
    <row r="134" spans="2:82" ht="20.100000000000001" customHeight="1" x14ac:dyDescent="0.25">
      <c r="B134" s="858"/>
      <c r="C134" s="506"/>
      <c r="D134" s="505"/>
      <c r="E134" s="854"/>
      <c r="F134" s="854"/>
      <c r="G134" s="854"/>
      <c r="H134" s="862"/>
      <c r="I134" s="753"/>
      <c r="J134" s="729"/>
      <c r="K134" s="868"/>
      <c r="L134" s="539"/>
      <c r="M134" s="724"/>
      <c r="N134" s="729"/>
      <c r="O134" s="730"/>
      <c r="P134" s="753"/>
      <c r="Q134" s="676"/>
      <c r="R134" s="678"/>
      <c r="S134" s="724"/>
      <c r="T134" s="729"/>
      <c r="U134" s="730"/>
      <c r="V134" s="723"/>
      <c r="W134" s="724"/>
      <c r="X134" s="724"/>
      <c r="Y134" s="187"/>
      <c r="Z134" s="124"/>
      <c r="AA134" s="113"/>
      <c r="BU134" s="111"/>
      <c r="BV134" s="111"/>
      <c r="BW134" s="229"/>
      <c r="BX134" s="111"/>
      <c r="BY134" s="251"/>
      <c r="BZ134" s="111"/>
      <c r="CA134" s="112"/>
      <c r="CB134" s="228"/>
      <c r="CC134" s="228"/>
      <c r="CD134" s="496"/>
    </row>
    <row r="135" spans="2:82" ht="20.100000000000001" customHeight="1" x14ac:dyDescent="0.25">
      <c r="B135" s="507" t="str">
        <f t="shared" ref="B135:B143" si="67">B42</f>
        <v>14-20</v>
      </c>
      <c r="C135" s="348">
        <f t="shared" ref="C135:C143" si="68">LEFT(B135,2)+0</f>
        <v>14</v>
      </c>
      <c r="D135" s="509">
        <f t="shared" ref="D135:D143" si="69">MID(B135,4,3)+0</f>
        <v>20</v>
      </c>
      <c r="E135" s="540">
        <f t="shared" ref="E135:E143" si="70">E42</f>
        <v>16.2</v>
      </c>
      <c r="F135" s="351">
        <f>VLOOKUP(C135,AT$5:AU$25,2,FALSE)</f>
        <v>1.41</v>
      </c>
      <c r="G135" s="508">
        <f t="shared" ref="G135:G143" si="71">VLOOKUP(D117,AT$5:AU$25,2,FALSE)</f>
        <v>0.84099999999999997</v>
      </c>
      <c r="H135" s="351">
        <f>(F135*G135)^(1/2)</f>
        <v>1.0889490346200781</v>
      </c>
      <c r="I135" s="500">
        <f>(E135/100)/((H135/1000)^2)</f>
        <v>136615.47802767725</v>
      </c>
      <c r="J135" s="743" t="str">
        <f>ROUND((I77*I33*((1-I76)^2)/(I76^3)*((I74*($G$20/86400))/9.806)*((6/$I$78)^2)*I144),3)&amp;" m"</f>
        <v>0,451 m</v>
      </c>
      <c r="K135" s="768"/>
      <c r="L135" s="744"/>
      <c r="M135" s="508">
        <f>$I$78*(H135/1000)*(($G$20/86400)/$I$33)</f>
        <v>0.95752930520003776</v>
      </c>
      <c r="N135" s="749">
        <f>150*(1-$I$76)/M135+1.75</f>
        <v>87.909242909818715</v>
      </c>
      <c r="O135" s="750"/>
      <c r="P135" s="544">
        <f>N135*(E135/100)/(H135/1000)</f>
        <v>13078.020089672293</v>
      </c>
      <c r="Q135" s="743" t="str">
        <f>ROUND((1/$I$78)*(1-I76)/(I76^3)*(I74*(($G$20/86400)^2)/9.806)*P144,3)&amp; " m"</f>
        <v>0,379 m</v>
      </c>
      <c r="R135" s="744"/>
      <c r="S135" s="544">
        <f>(H135/1000)*($G$20/86400)/$I$33</f>
        <v>1.1677186648780948</v>
      </c>
      <c r="T135" s="731">
        <f>24/S135+3/(S135^(1/2))+0.34</f>
        <v>23.669104673078458</v>
      </c>
      <c r="U135" s="732"/>
      <c r="V135" s="544">
        <f>T135*(E135/100)/(H135/1000)</f>
        <v>3521.1886278741104</v>
      </c>
      <c r="W135" s="681" t="str">
        <f>ROUND(1.067*(($G$20/86400)^2)*I74/(9.806*$I$79*(I76^4))*V144,3)&amp;" m"</f>
        <v>0,384 m</v>
      </c>
      <c r="X135" s="681"/>
      <c r="Y135" s="187"/>
      <c r="Z135" s="124"/>
      <c r="AA135" s="113"/>
      <c r="BU135" s="111"/>
      <c r="BV135" s="111"/>
      <c r="BW135" s="229"/>
      <c r="BX135" s="111"/>
      <c r="BY135" s="251"/>
      <c r="BZ135" s="111"/>
      <c r="CA135" s="112"/>
      <c r="CB135" s="228"/>
      <c r="CC135" s="228"/>
      <c r="CD135" s="496"/>
    </row>
    <row r="136" spans="2:82" ht="20.100000000000001" customHeight="1" x14ac:dyDescent="0.25">
      <c r="B136" s="507" t="str">
        <f t="shared" si="67"/>
        <v>20-25</v>
      </c>
      <c r="C136" s="348">
        <f t="shared" si="68"/>
        <v>20</v>
      </c>
      <c r="D136" s="509">
        <f t="shared" si="69"/>
        <v>25</v>
      </c>
      <c r="E136" s="540">
        <f t="shared" si="70"/>
        <v>33.700000000000003</v>
      </c>
      <c r="F136" s="351">
        <f t="shared" ref="F136:F143" si="72">VLOOKUP(C136,AT$5:AU$25,2,FALSE)</f>
        <v>0.84099999999999997</v>
      </c>
      <c r="G136" s="508">
        <f t="shared" si="71"/>
        <v>0.70699999999999996</v>
      </c>
      <c r="H136" s="351">
        <f t="shared" ref="H136:H143" si="73">(F136*G136)^(1/2)</f>
        <v>0.77109467641788321</v>
      </c>
      <c r="I136" s="500">
        <f t="shared" ref="I136:I143" si="74">(E136/100)/((H136/1000)^2)</f>
        <v>566779.96659866429</v>
      </c>
      <c r="J136" s="745"/>
      <c r="K136" s="769"/>
      <c r="L136" s="746"/>
      <c r="M136" s="508">
        <f t="shared" ref="M136:M143" si="75">$I$78*(H136/1000)*(($G$20/86400)/$I$33)</f>
        <v>0.67803517545838499</v>
      </c>
      <c r="N136" s="749">
        <f t="shared" ref="N136:N143" si="76">150*(1-$I$76)/M136+1.75</f>
        <v>123.42510327797663</v>
      </c>
      <c r="O136" s="750"/>
      <c r="P136" s="544">
        <f t="shared" ref="P136:P143" si="77">N136*(E136/100)/(H136/1000)</f>
        <v>53941.832406241039</v>
      </c>
      <c r="Q136" s="745"/>
      <c r="R136" s="746"/>
      <c r="S136" s="544">
        <f t="shared" ref="S136:S143" si="78">(H136/1000)*($G$20/86400)/$I$33</f>
        <v>0.82687216519315243</v>
      </c>
      <c r="T136" s="731">
        <f t="shared" ref="T136:T143" si="79">24/S136+3/(S136^(1/2))+0.34</f>
        <v>32.664192868984671</v>
      </c>
      <c r="U136" s="732"/>
      <c r="V136" s="544">
        <f t="shared" ref="V136:V143" si="80">T136*(E136/100)/(H136/1000)</f>
        <v>14275.592003805126</v>
      </c>
      <c r="W136" s="681"/>
      <c r="X136" s="681"/>
      <c r="Y136" s="187"/>
      <c r="Z136" s="124"/>
      <c r="AA136" s="113"/>
      <c r="BU136" s="111"/>
      <c r="BV136" s="111"/>
      <c r="BW136" s="229"/>
      <c r="BX136" s="111"/>
      <c r="BY136" s="251"/>
      <c r="BZ136" s="111"/>
      <c r="CA136" s="112"/>
      <c r="CB136" s="228"/>
      <c r="CC136" s="228"/>
      <c r="CD136" s="496"/>
    </row>
    <row r="137" spans="2:82" ht="20.100000000000001" customHeight="1" x14ac:dyDescent="0.25">
      <c r="B137" s="507" t="str">
        <f t="shared" si="67"/>
        <v>25-30</v>
      </c>
      <c r="C137" s="348">
        <f t="shared" si="68"/>
        <v>25</v>
      </c>
      <c r="D137" s="509">
        <f t="shared" si="69"/>
        <v>30</v>
      </c>
      <c r="E137" s="540">
        <f t="shared" si="70"/>
        <v>33.9</v>
      </c>
      <c r="F137" s="351">
        <f t="shared" si="72"/>
        <v>0.70699999999999996</v>
      </c>
      <c r="G137" s="508">
        <f t="shared" si="71"/>
        <v>0.59499999999999997</v>
      </c>
      <c r="H137" s="351">
        <f t="shared" si="73"/>
        <v>0.64858692555431607</v>
      </c>
      <c r="I137" s="500">
        <f t="shared" si="74"/>
        <v>805866.90121593198</v>
      </c>
      <c r="J137" s="745"/>
      <c r="K137" s="769"/>
      <c r="L137" s="746"/>
      <c r="M137" s="508">
        <f t="shared" si="75"/>
        <v>0.57031226296511384</v>
      </c>
      <c r="N137" s="749">
        <f t="shared" si="76"/>
        <v>146.4075943695718</v>
      </c>
      <c r="O137" s="750"/>
      <c r="P137" s="544">
        <f t="shared" si="77"/>
        <v>76523.550715837511</v>
      </c>
      <c r="Q137" s="745"/>
      <c r="R137" s="746"/>
      <c r="S137" s="544">
        <f t="shared" si="78"/>
        <v>0.69550275971355346</v>
      </c>
      <c r="T137" s="731">
        <f t="shared" si="79"/>
        <v>38.44467158055798</v>
      </c>
      <c r="U137" s="732"/>
      <c r="V137" s="544">
        <f t="shared" si="80"/>
        <v>20094.058563808845</v>
      </c>
      <c r="W137" s="681"/>
      <c r="X137" s="681"/>
      <c r="Y137" s="187"/>
      <c r="Z137" s="124"/>
      <c r="AA137" s="113"/>
      <c r="BU137" s="111"/>
      <c r="BV137" s="111"/>
      <c r="BW137" s="229"/>
      <c r="BX137" s="111"/>
      <c r="BY137" s="251"/>
      <c r="BZ137" s="111"/>
      <c r="CA137" s="112"/>
      <c r="CB137" s="228"/>
      <c r="CC137" s="228"/>
      <c r="CD137" s="496"/>
    </row>
    <row r="138" spans="2:82" ht="20.100000000000001" customHeight="1" x14ac:dyDescent="0.25">
      <c r="B138" s="507" t="str">
        <f t="shared" si="67"/>
        <v>30-35</v>
      </c>
      <c r="C138" s="348">
        <f t="shared" si="68"/>
        <v>30</v>
      </c>
      <c r="D138" s="509">
        <f t="shared" si="69"/>
        <v>35</v>
      </c>
      <c r="E138" s="540">
        <f t="shared" si="70"/>
        <v>6.2</v>
      </c>
      <c r="F138" s="351">
        <f t="shared" si="72"/>
        <v>0.59499999999999997</v>
      </c>
      <c r="G138" s="508">
        <f t="shared" si="71"/>
        <v>0.5</v>
      </c>
      <c r="H138" s="351">
        <f t="shared" si="73"/>
        <v>0.54543560573178573</v>
      </c>
      <c r="I138" s="500">
        <f t="shared" si="74"/>
        <v>208403.36134453781</v>
      </c>
      <c r="J138" s="745"/>
      <c r="K138" s="769"/>
      <c r="L138" s="746"/>
      <c r="M138" s="508">
        <f t="shared" si="75"/>
        <v>0.47960975214045048</v>
      </c>
      <c r="N138" s="749">
        <f t="shared" si="76"/>
        <v>173.7648508903556</v>
      </c>
      <c r="O138" s="750"/>
      <c r="P138" s="544">
        <f t="shared" si="77"/>
        <v>19751.957228292507</v>
      </c>
      <c r="Q138" s="745"/>
      <c r="R138" s="746"/>
      <c r="S138" s="544">
        <f t="shared" si="78"/>
        <v>0.58488994163469576</v>
      </c>
      <c r="T138" s="731">
        <f t="shared" si="79"/>
        <v>45.296052510087776</v>
      </c>
      <c r="U138" s="732"/>
      <c r="V138" s="544">
        <f t="shared" si="80"/>
        <v>5148.8300839062422</v>
      </c>
      <c r="W138" s="681"/>
      <c r="X138" s="681"/>
      <c r="Y138" s="187"/>
      <c r="Z138" s="124"/>
      <c r="AA138" s="113"/>
      <c r="BU138" s="111"/>
      <c r="BV138" s="111"/>
      <c r="BW138" s="229"/>
      <c r="BX138" s="111"/>
      <c r="BY138" s="251"/>
      <c r="BZ138" s="111"/>
      <c r="CA138" s="112"/>
      <c r="CB138" s="228"/>
      <c r="CC138" s="228"/>
      <c r="CD138" s="496"/>
    </row>
    <row r="139" spans="2:82" ht="20.100000000000001" customHeight="1" x14ac:dyDescent="0.25">
      <c r="B139" s="507" t="str">
        <f t="shared" si="67"/>
        <v>35-40</v>
      </c>
      <c r="C139" s="348">
        <f t="shared" si="68"/>
        <v>35</v>
      </c>
      <c r="D139" s="509">
        <f t="shared" si="69"/>
        <v>40</v>
      </c>
      <c r="E139" s="540">
        <f t="shared" si="70"/>
        <v>3.5</v>
      </c>
      <c r="F139" s="351">
        <f t="shared" si="72"/>
        <v>0.5</v>
      </c>
      <c r="G139" s="508">
        <f t="shared" si="71"/>
        <v>0.4</v>
      </c>
      <c r="H139" s="351">
        <f t="shared" si="73"/>
        <v>0.44721359549995793</v>
      </c>
      <c r="I139" s="500">
        <f t="shared" si="74"/>
        <v>175000</v>
      </c>
      <c r="J139" s="745"/>
      <c r="K139" s="769"/>
      <c r="L139" s="746"/>
      <c r="M139" s="508">
        <f t="shared" si="75"/>
        <v>0.39324165756250157</v>
      </c>
      <c r="N139" s="749">
        <f t="shared" si="76"/>
        <v>211.54466039120615</v>
      </c>
      <c r="O139" s="750"/>
      <c r="P139" s="544">
        <f t="shared" si="77"/>
        <v>16555.988431914549</v>
      </c>
      <c r="Q139" s="745"/>
      <c r="R139" s="746"/>
      <c r="S139" s="544">
        <f t="shared" si="78"/>
        <v>0.47956299702744098</v>
      </c>
      <c r="T139" s="731">
        <f t="shared" si="79"/>
        <v>54.717662113401744</v>
      </c>
      <c r="U139" s="732"/>
      <c r="V139" s="544">
        <f t="shared" si="80"/>
        <v>4282.3344219400888</v>
      </c>
      <c r="W139" s="681"/>
      <c r="X139" s="681"/>
      <c r="Y139" s="187"/>
      <c r="Z139" s="124"/>
      <c r="AA139" s="113"/>
      <c r="BU139" s="111"/>
      <c r="BV139" s="111"/>
      <c r="BW139" s="229"/>
      <c r="BX139" s="111"/>
      <c r="BY139" s="251"/>
      <c r="BZ139" s="111"/>
      <c r="CA139" s="112"/>
      <c r="CB139" s="228"/>
      <c r="CC139" s="228"/>
      <c r="CD139" s="496"/>
    </row>
    <row r="140" spans="2:82" ht="20.100000000000001" customHeight="1" x14ac:dyDescent="0.25">
      <c r="B140" s="507" t="str">
        <f t="shared" si="67"/>
        <v>40-50</v>
      </c>
      <c r="C140" s="348">
        <f t="shared" si="68"/>
        <v>40</v>
      </c>
      <c r="D140" s="509">
        <f t="shared" si="69"/>
        <v>50</v>
      </c>
      <c r="E140" s="540">
        <f t="shared" si="70"/>
        <v>3</v>
      </c>
      <c r="F140" s="351">
        <f t="shared" si="72"/>
        <v>0.4</v>
      </c>
      <c r="G140" s="508">
        <f t="shared" si="71"/>
        <v>0.29699999999999999</v>
      </c>
      <c r="H140" s="351">
        <f t="shared" si="73"/>
        <v>0.34467375879228174</v>
      </c>
      <c r="I140" s="500">
        <f t="shared" si="74"/>
        <v>252525.25252525244</v>
      </c>
      <c r="J140" s="745"/>
      <c r="K140" s="769"/>
      <c r="L140" s="746"/>
      <c r="M140" s="508">
        <f t="shared" si="75"/>
        <v>0.30307683306060734</v>
      </c>
      <c r="N140" s="749">
        <f t="shared" si="76"/>
        <v>273.95820267546543</v>
      </c>
      <c r="O140" s="750"/>
      <c r="P140" s="544">
        <f t="shared" si="77"/>
        <v>23845.000875790502</v>
      </c>
      <c r="Q140" s="745"/>
      <c r="R140" s="746"/>
      <c r="S140" s="544">
        <f t="shared" si="78"/>
        <v>0.36960589397635041</v>
      </c>
      <c r="T140" s="731">
        <f t="shared" si="79"/>
        <v>70.20862780478781</v>
      </c>
      <c r="U140" s="732"/>
      <c r="V140" s="544">
        <f t="shared" si="80"/>
        <v>6110.8766780617452</v>
      </c>
      <c r="W140" s="681"/>
      <c r="X140" s="681"/>
      <c r="Y140" s="187"/>
      <c r="Z140" s="124"/>
      <c r="AA140" s="113"/>
      <c r="BU140" s="111"/>
      <c r="BV140" s="111"/>
      <c r="BW140" s="229"/>
      <c r="BX140" s="111"/>
      <c r="BY140" s="251"/>
      <c r="BZ140" s="111"/>
      <c r="CA140" s="112"/>
      <c r="CB140" s="228"/>
      <c r="CC140" s="228"/>
      <c r="CD140" s="496"/>
    </row>
    <row r="141" spans="2:82" ht="20.100000000000001" customHeight="1" x14ac:dyDescent="0.25">
      <c r="B141" s="507" t="str">
        <f t="shared" si="67"/>
        <v>50-60</v>
      </c>
      <c r="C141" s="348">
        <f t="shared" si="68"/>
        <v>50</v>
      </c>
      <c r="D141" s="509">
        <f t="shared" si="69"/>
        <v>60</v>
      </c>
      <c r="E141" s="540">
        <f t="shared" si="70"/>
        <v>2</v>
      </c>
      <c r="F141" s="351">
        <f t="shared" si="72"/>
        <v>0.29699999999999999</v>
      </c>
      <c r="G141" s="508">
        <f t="shared" si="71"/>
        <v>0.25</v>
      </c>
      <c r="H141" s="351">
        <f t="shared" si="73"/>
        <v>0.27248853186877425</v>
      </c>
      <c r="I141" s="500">
        <f t="shared" si="74"/>
        <v>269360.26936026936</v>
      </c>
      <c r="J141" s="745"/>
      <c r="K141" s="769"/>
      <c r="L141" s="746"/>
      <c r="M141" s="508">
        <f t="shared" si="75"/>
        <v>0.23960327462553493</v>
      </c>
      <c r="N141" s="749">
        <f t="shared" si="76"/>
        <v>346.06916729408437</v>
      </c>
      <c r="O141" s="750"/>
      <c r="P141" s="544">
        <f t="shared" si="77"/>
        <v>25400.640894549299</v>
      </c>
      <c r="Q141" s="745"/>
      <c r="R141" s="746"/>
      <c r="S141" s="544">
        <f t="shared" si="78"/>
        <v>0.29219911539699384</v>
      </c>
      <c r="T141" s="731">
        <f t="shared" si="79"/>
        <v>88.025629440355374</v>
      </c>
      <c r="U141" s="732"/>
      <c r="V141" s="544">
        <f t="shared" si="80"/>
        <v>6460.8685610847642</v>
      </c>
      <c r="W141" s="681"/>
      <c r="X141" s="681"/>
      <c r="Y141" s="187"/>
      <c r="Z141" s="124"/>
      <c r="AA141" s="113"/>
      <c r="BU141" s="111"/>
      <c r="BV141" s="111"/>
      <c r="BW141" s="229"/>
      <c r="BX141" s="111"/>
      <c r="BY141" s="251"/>
      <c r="BZ141" s="111"/>
      <c r="CA141" s="112"/>
      <c r="CB141" s="228"/>
      <c r="CC141" s="228"/>
      <c r="CD141" s="496"/>
    </row>
    <row r="142" spans="2:82" ht="20.100000000000001" customHeight="1" x14ac:dyDescent="0.25">
      <c r="B142" s="507" t="str">
        <f t="shared" si="67"/>
        <v>60-70</v>
      </c>
      <c r="C142" s="348">
        <f t="shared" si="68"/>
        <v>60</v>
      </c>
      <c r="D142" s="509">
        <f t="shared" si="69"/>
        <v>70</v>
      </c>
      <c r="E142" s="540">
        <f t="shared" si="70"/>
        <v>1</v>
      </c>
      <c r="F142" s="351">
        <f t="shared" si="72"/>
        <v>0.25</v>
      </c>
      <c r="G142" s="508">
        <f t="shared" si="71"/>
        <v>0.21</v>
      </c>
      <c r="H142" s="351">
        <f t="shared" si="73"/>
        <v>0.229128784747792</v>
      </c>
      <c r="I142" s="500">
        <f t="shared" si="74"/>
        <v>190476.19047619047</v>
      </c>
      <c r="J142" s="745"/>
      <c r="K142" s="769"/>
      <c r="L142" s="746"/>
      <c r="M142" s="508">
        <f t="shared" si="75"/>
        <v>0.20147639520836486</v>
      </c>
      <c r="N142" s="749">
        <f t="shared" si="76"/>
        <v>411.22724875998171</v>
      </c>
      <c r="O142" s="750"/>
      <c r="P142" s="544">
        <f t="shared" si="77"/>
        <v>17947.428526390966</v>
      </c>
      <c r="Q142" s="745"/>
      <c r="R142" s="746"/>
      <c r="S142" s="544">
        <f t="shared" si="78"/>
        <v>0.24570292098581084</v>
      </c>
      <c r="T142" s="731">
        <f t="shared" si="79"/>
        <v>104.07117578247274</v>
      </c>
      <c r="U142" s="732"/>
      <c r="V142" s="544">
        <f t="shared" si="80"/>
        <v>4542.0384827260605</v>
      </c>
      <c r="W142" s="681"/>
      <c r="X142" s="681"/>
      <c r="Y142" s="187"/>
      <c r="Z142" s="124"/>
      <c r="AA142" s="113"/>
      <c r="BU142" s="111"/>
      <c r="BV142" s="111"/>
      <c r="BW142" s="229"/>
      <c r="BX142" s="111"/>
      <c r="BY142" s="251"/>
      <c r="BZ142" s="111"/>
      <c r="CA142" s="112"/>
      <c r="CB142" s="228"/>
      <c r="CC142" s="228"/>
      <c r="CD142" s="496"/>
    </row>
    <row r="143" spans="2:82" ht="20.100000000000001" customHeight="1" x14ac:dyDescent="0.25">
      <c r="B143" s="507" t="str">
        <f t="shared" si="67"/>
        <v>70-100</v>
      </c>
      <c r="C143" s="348">
        <f t="shared" si="68"/>
        <v>70</v>
      </c>
      <c r="D143" s="509">
        <f t="shared" si="69"/>
        <v>100</v>
      </c>
      <c r="E143" s="540">
        <f t="shared" si="70"/>
        <v>0.49999999999998579</v>
      </c>
      <c r="F143" s="351">
        <f t="shared" si="72"/>
        <v>0.21</v>
      </c>
      <c r="G143" s="508">
        <f t="shared" si="71"/>
        <v>0.14899999999999999</v>
      </c>
      <c r="H143" s="351">
        <f t="shared" si="73"/>
        <v>0.17688979620091147</v>
      </c>
      <c r="I143" s="500">
        <f t="shared" si="74"/>
        <v>159795.46180888012</v>
      </c>
      <c r="J143" s="747"/>
      <c r="K143" s="770"/>
      <c r="L143" s="748"/>
      <c r="M143" s="508">
        <f t="shared" si="75"/>
        <v>0.15554186492513744</v>
      </c>
      <c r="N143" s="749">
        <f t="shared" si="76"/>
        <v>532.15382433184391</v>
      </c>
      <c r="O143" s="750"/>
      <c r="P143" s="544">
        <f t="shared" si="77"/>
        <v>15041.959337422955</v>
      </c>
      <c r="Q143" s="747"/>
      <c r="R143" s="748"/>
      <c r="S143" s="544">
        <f t="shared" si="78"/>
        <v>0.18968520112821644</v>
      </c>
      <c r="T143" s="731">
        <f t="shared" si="79"/>
        <v>133.75360204299702</v>
      </c>
      <c r="U143" s="732"/>
      <c r="V143" s="544">
        <f t="shared" si="80"/>
        <v>3780.7042835607049</v>
      </c>
      <c r="W143" s="681"/>
      <c r="X143" s="681"/>
      <c r="Y143" s="187"/>
      <c r="Z143" s="124"/>
      <c r="AA143" s="113"/>
      <c r="BU143" s="111"/>
      <c r="BV143" s="111"/>
      <c r="BW143" s="229"/>
      <c r="BX143" s="111"/>
      <c r="BY143" s="251"/>
      <c r="BZ143" s="111"/>
      <c r="CA143" s="112"/>
      <c r="CB143" s="228"/>
      <c r="CC143" s="228"/>
      <c r="CD143" s="496"/>
    </row>
    <row r="144" spans="2:82" ht="20.100000000000001" customHeight="1" x14ac:dyDescent="0.25">
      <c r="B144" s="187"/>
      <c r="C144" s="541"/>
      <c r="D144" s="187"/>
      <c r="E144" s="54">
        <f>SUM(E135:E143)</f>
        <v>100</v>
      </c>
      <c r="F144" s="177"/>
      <c r="G144" s="187"/>
      <c r="H144" s="127"/>
      <c r="I144" s="898">
        <f>SUM(I135:I143)</f>
        <v>2764822.8813574035</v>
      </c>
      <c r="J144" s="127"/>
      <c r="K144" s="127"/>
      <c r="L144" s="127"/>
      <c r="M144" s="516"/>
      <c r="N144" s="516"/>
      <c r="O144" s="516"/>
      <c r="P144" s="740">
        <f>SUM(P135:P143)</f>
        <v>262086.37850611159</v>
      </c>
      <c r="Q144" s="515"/>
      <c r="R144" s="516"/>
      <c r="S144" s="516"/>
      <c r="T144" s="516"/>
      <c r="U144" s="516"/>
      <c r="V144" s="741">
        <f>SUM(V135:V143)</f>
        <v>68216.491706767672</v>
      </c>
      <c r="W144" s="516"/>
      <c r="X144" s="114"/>
      <c r="Y144" s="187"/>
      <c r="Z144" s="124"/>
      <c r="AA144" s="113"/>
      <c r="BU144" s="111"/>
      <c r="BV144" s="111"/>
      <c r="BW144" s="229"/>
      <c r="BX144" s="111"/>
      <c r="BY144" s="251"/>
      <c r="BZ144" s="111"/>
      <c r="CA144" s="112"/>
      <c r="CB144" s="228"/>
      <c r="CC144" s="228"/>
      <c r="CD144" s="496"/>
    </row>
    <row r="145" spans="1:82" ht="20.100000000000001" customHeight="1" x14ac:dyDescent="0.25">
      <c r="B145" s="187"/>
      <c r="C145" s="187"/>
      <c r="D145" s="187"/>
      <c r="E145" s="187"/>
      <c r="F145" s="187"/>
      <c r="G145" s="187"/>
      <c r="H145" s="127"/>
      <c r="I145" s="809"/>
      <c r="J145" s="127"/>
      <c r="K145" s="127"/>
      <c r="L145" s="127"/>
      <c r="M145" s="516"/>
      <c r="N145" s="516"/>
      <c r="O145" s="516"/>
      <c r="P145" s="740"/>
      <c r="Q145" s="515"/>
      <c r="R145" s="516"/>
      <c r="S145" s="516"/>
      <c r="T145" s="516"/>
      <c r="U145" s="516"/>
      <c r="V145" s="741"/>
      <c r="W145" s="516"/>
      <c r="X145" s="114"/>
      <c r="Y145" s="187"/>
      <c r="Z145" s="124"/>
      <c r="AA145" s="113"/>
      <c r="BU145" s="111"/>
      <c r="BV145" s="111"/>
      <c r="BW145" s="229"/>
      <c r="BX145" s="111"/>
      <c r="BY145" s="251"/>
      <c r="BZ145" s="111"/>
      <c r="CA145" s="112"/>
      <c r="CB145" s="228"/>
      <c r="CC145" s="228"/>
      <c r="CD145" s="496"/>
    </row>
    <row r="146" spans="1:82" ht="20.100000000000001" customHeight="1" x14ac:dyDescent="0.25">
      <c r="B146" s="542"/>
      <c r="C146" s="543"/>
      <c r="D146" s="542"/>
      <c r="E146" s="542"/>
      <c r="F146" s="542"/>
      <c r="G146" s="542"/>
      <c r="H146" s="127"/>
      <c r="I146" s="809"/>
      <c r="J146" s="153"/>
      <c r="K146" s="153"/>
      <c r="L146" s="153"/>
      <c r="M146" s="516"/>
      <c r="N146" s="516"/>
      <c r="O146" s="516"/>
      <c r="P146" s="740"/>
      <c r="Q146" s="515"/>
      <c r="R146" s="517"/>
      <c r="S146" s="516"/>
      <c r="T146" s="516"/>
      <c r="U146" s="516"/>
      <c r="V146" s="742"/>
      <c r="W146" s="517"/>
      <c r="X146" s="114"/>
      <c r="Y146" s="187"/>
      <c r="Z146" s="124"/>
      <c r="AA146" s="113"/>
      <c r="BU146" s="111"/>
      <c r="BV146" s="111"/>
      <c r="BW146" s="229"/>
      <c r="BX146" s="111"/>
      <c r="BY146" s="251"/>
      <c r="BZ146" s="111"/>
      <c r="CA146" s="112"/>
      <c r="CB146" s="228"/>
      <c r="CC146" s="228"/>
      <c r="CD146" s="496"/>
    </row>
    <row r="147" spans="1:82" ht="20.100000000000001" customHeight="1" x14ac:dyDescent="0.25">
      <c r="B147" s="115"/>
      <c r="C147" s="118"/>
      <c r="D147" s="115"/>
      <c r="E147" s="115"/>
      <c r="F147" s="115"/>
      <c r="G147" s="115"/>
      <c r="H147" s="114"/>
      <c r="I147" s="515"/>
      <c r="J147" s="6"/>
      <c r="K147" s="6"/>
      <c r="L147" s="6"/>
      <c r="M147" s="114"/>
      <c r="N147" s="114"/>
      <c r="O147" s="114"/>
      <c r="P147" s="494"/>
      <c r="Q147" s="494"/>
      <c r="R147" s="6"/>
      <c r="S147" s="114"/>
      <c r="T147" s="114"/>
      <c r="U147" s="114"/>
      <c r="V147" s="494"/>
      <c r="W147" s="6"/>
      <c r="X147" s="114"/>
      <c r="Y147" s="187"/>
      <c r="Z147" s="124"/>
      <c r="AA147" s="113"/>
      <c r="BU147" s="111"/>
      <c r="BV147" s="111"/>
      <c r="BW147" s="229"/>
      <c r="BX147" s="111"/>
      <c r="BY147" s="251"/>
      <c r="BZ147" s="111"/>
      <c r="CA147" s="112"/>
      <c r="CB147" s="228"/>
      <c r="CC147" s="228"/>
      <c r="CD147" s="496"/>
    </row>
    <row r="148" spans="1:82" ht="20.100000000000001" customHeight="1" x14ac:dyDescent="0.25">
      <c r="B148" s="581" t="s">
        <v>599</v>
      </c>
      <c r="C148" s="575"/>
      <c r="D148" s="574"/>
      <c r="E148" s="574"/>
      <c r="F148" s="574"/>
      <c r="G148" s="574"/>
      <c r="H148" s="257"/>
      <c r="I148" s="494"/>
      <c r="J148" s="6"/>
      <c r="K148" s="6"/>
      <c r="L148" s="6"/>
      <c r="M148" s="114"/>
      <c r="N148" s="114"/>
      <c r="O148" s="114"/>
      <c r="P148" s="494"/>
      <c r="Q148" s="494"/>
      <c r="R148" s="6"/>
      <c r="S148" s="114"/>
      <c r="T148" s="114"/>
      <c r="U148" s="114"/>
      <c r="V148" s="494"/>
      <c r="W148" s="6"/>
      <c r="X148" s="114"/>
      <c r="Y148" s="187"/>
      <c r="Z148" s="124"/>
      <c r="AA148" s="113"/>
      <c r="BU148" s="111"/>
      <c r="BV148" s="111"/>
      <c r="BW148" s="229"/>
      <c r="BX148" s="111"/>
      <c r="BY148" s="251"/>
      <c r="BZ148" s="111"/>
      <c r="CA148" s="112"/>
      <c r="CB148" s="228"/>
      <c r="CC148" s="228"/>
      <c r="CD148" s="496"/>
    </row>
    <row r="149" spans="1:82" ht="20.100000000000001" customHeight="1" x14ac:dyDescent="0.25">
      <c r="B149" s="640" t="s">
        <v>335</v>
      </c>
      <c r="C149" s="640"/>
      <c r="D149" s="640"/>
      <c r="E149" s="640"/>
      <c r="F149" s="640"/>
      <c r="G149" s="640"/>
      <c r="H149" s="499" t="s">
        <v>602</v>
      </c>
      <c r="I149" s="498">
        <f>G19</f>
        <v>120</v>
      </c>
      <c r="J149" s="510" t="s">
        <v>341</v>
      </c>
      <c r="K149" s="706"/>
      <c r="L149" s="707"/>
      <c r="M149" s="707"/>
      <c r="N149" s="708"/>
      <c r="O149" s="114"/>
      <c r="P149" s="494"/>
      <c r="Q149" s="494"/>
      <c r="R149" s="6"/>
      <c r="S149" s="114"/>
      <c r="T149" s="114"/>
      <c r="U149" s="114"/>
      <c r="V149" s="494"/>
      <c r="W149" s="6"/>
      <c r="X149" s="114"/>
      <c r="Y149" s="187"/>
      <c r="Z149" s="124"/>
      <c r="AA149" s="113"/>
      <c r="BU149" s="111"/>
      <c r="BV149" s="111"/>
      <c r="BW149" s="229"/>
      <c r="BX149" s="111"/>
      <c r="BY149" s="251"/>
      <c r="BZ149" s="111"/>
      <c r="CA149" s="112"/>
      <c r="CB149" s="228"/>
      <c r="CC149" s="228"/>
      <c r="CD149" s="496"/>
    </row>
    <row r="150" spans="1:82" ht="20.100000000000001" customHeight="1" x14ac:dyDescent="0.25">
      <c r="B150" s="640" t="s">
        <v>336</v>
      </c>
      <c r="C150" s="640"/>
      <c r="D150" s="640"/>
      <c r="E150" s="640"/>
      <c r="F150" s="640"/>
      <c r="G150" s="640"/>
      <c r="H150" s="499" t="s">
        <v>603</v>
      </c>
      <c r="I150" s="498">
        <f>G20</f>
        <v>150</v>
      </c>
      <c r="J150" s="510" t="s">
        <v>341</v>
      </c>
      <c r="K150" s="706"/>
      <c r="L150" s="707"/>
      <c r="M150" s="707"/>
      <c r="N150" s="708"/>
      <c r="O150" s="114"/>
      <c r="P150" s="494"/>
      <c r="Q150" s="494"/>
      <c r="R150" s="6"/>
      <c r="S150" s="114"/>
      <c r="T150" s="114"/>
      <c r="U150" s="114"/>
      <c r="V150" s="494"/>
      <c r="W150" s="6"/>
      <c r="X150" s="114"/>
      <c r="Y150" s="187"/>
      <c r="Z150" s="124"/>
      <c r="AA150" s="113"/>
      <c r="BU150" s="111"/>
      <c r="BV150" s="111"/>
      <c r="BW150" s="229"/>
      <c r="BX150" s="111"/>
      <c r="BY150" s="251"/>
      <c r="BZ150" s="111"/>
      <c r="CA150" s="112"/>
      <c r="CB150" s="228"/>
      <c r="CC150" s="228"/>
      <c r="CD150" s="496"/>
    </row>
    <row r="151" spans="1:82" ht="20.100000000000001" customHeight="1" x14ac:dyDescent="0.25">
      <c r="B151" s="640" t="s">
        <v>608</v>
      </c>
      <c r="C151" s="640"/>
      <c r="D151" s="640"/>
      <c r="E151" s="640"/>
      <c r="F151" s="640"/>
      <c r="G151" s="640"/>
      <c r="H151" s="499" t="s">
        <v>600</v>
      </c>
      <c r="I151" s="498" t="str">
        <f>LEFT(W117,5)</f>
        <v>0,304</v>
      </c>
      <c r="J151" s="502" t="s">
        <v>3</v>
      </c>
      <c r="K151" s="706"/>
      <c r="L151" s="707"/>
      <c r="M151" s="707"/>
      <c r="N151" s="708"/>
      <c r="O151" s="114"/>
      <c r="P151" s="494"/>
      <c r="Q151" s="494"/>
      <c r="R151" s="6"/>
      <c r="S151" s="114"/>
      <c r="T151" s="114"/>
      <c r="U151" s="114"/>
      <c r="V151" s="494"/>
      <c r="W151" s="6"/>
      <c r="X151" s="114"/>
      <c r="Y151" s="187"/>
      <c r="Z151" s="124"/>
      <c r="AA151" s="113"/>
      <c r="BU151" s="111"/>
      <c r="BV151" s="111"/>
      <c r="BW151" s="229"/>
      <c r="BX151" s="111"/>
      <c r="BY151" s="251"/>
      <c r="BZ151" s="111"/>
      <c r="CA151" s="112"/>
      <c r="CB151" s="228"/>
      <c r="CC151" s="228"/>
      <c r="CD151" s="496"/>
    </row>
    <row r="152" spans="1:82" ht="20.100000000000001" customHeight="1" x14ac:dyDescent="0.25">
      <c r="B152" s="640" t="s">
        <v>609</v>
      </c>
      <c r="C152" s="640"/>
      <c r="D152" s="640"/>
      <c r="E152" s="640"/>
      <c r="F152" s="640"/>
      <c r="G152" s="640"/>
      <c r="H152" s="499" t="s">
        <v>618</v>
      </c>
      <c r="I152" s="501" t="str">
        <f>LEFT(W135,5)</f>
        <v>0,384</v>
      </c>
      <c r="J152" s="502" t="s">
        <v>3</v>
      </c>
      <c r="K152" s="706"/>
      <c r="L152" s="707"/>
      <c r="M152" s="707"/>
      <c r="N152" s="708"/>
      <c r="O152" s="114"/>
      <c r="P152" s="494"/>
      <c r="Q152" s="494"/>
      <c r="R152" s="6"/>
      <c r="S152" s="114"/>
      <c r="T152" s="114"/>
      <c r="U152" s="114"/>
      <c r="V152" s="494"/>
      <c r="W152" s="6"/>
      <c r="X152" s="114"/>
      <c r="Y152" s="187"/>
      <c r="Z152" s="124"/>
      <c r="AA152" s="113"/>
      <c r="BU152" s="111"/>
      <c r="BV152" s="111"/>
      <c r="BW152" s="229"/>
      <c r="BX152" s="111"/>
      <c r="BY152" s="251"/>
      <c r="BZ152" s="111"/>
      <c r="CA152" s="112"/>
      <c r="CB152" s="228"/>
      <c r="CC152" s="228"/>
      <c r="CD152" s="496"/>
    </row>
    <row r="153" spans="1:82" ht="20.100000000000001" customHeight="1" x14ac:dyDescent="0.25">
      <c r="B153" s="115"/>
      <c r="C153" s="118"/>
      <c r="D153" s="115"/>
      <c r="E153" s="115"/>
      <c r="F153" s="115"/>
      <c r="G153" s="115"/>
      <c r="H153" s="114"/>
      <c r="I153" s="373"/>
      <c r="J153" s="6"/>
      <c r="K153" s="6"/>
      <c r="L153" s="6"/>
      <c r="M153" s="114"/>
      <c r="N153" s="114"/>
      <c r="O153" s="114"/>
      <c r="P153" s="373"/>
      <c r="Q153" s="373"/>
      <c r="R153" s="6"/>
      <c r="S153" s="114"/>
      <c r="T153" s="114"/>
      <c r="U153" s="114"/>
      <c r="V153" s="373"/>
      <c r="W153" s="6"/>
      <c r="X153" s="114"/>
      <c r="Y153" s="187"/>
      <c r="Z153" s="124"/>
      <c r="AA153" s="113"/>
      <c r="BU153" s="111"/>
      <c r="BV153" s="111"/>
      <c r="BW153" s="229"/>
      <c r="BX153" s="111"/>
      <c r="BY153" s="251"/>
      <c r="BZ153" s="111"/>
      <c r="CA153" s="112"/>
      <c r="CB153" s="228"/>
      <c r="CC153" s="228"/>
      <c r="CD153" s="372"/>
    </row>
    <row r="154" spans="1:82" s="123" customFormat="1" ht="20.100000000000001" customHeight="1" x14ac:dyDescent="0.25">
      <c r="B154" s="109" t="s">
        <v>326</v>
      </c>
      <c r="C154" s="121"/>
      <c r="D154" s="151"/>
      <c r="E154" s="121"/>
      <c r="F154" s="125"/>
      <c r="G154" s="122"/>
      <c r="H154" s="126"/>
      <c r="I154" s="122"/>
      <c r="J154" s="126"/>
      <c r="K154" s="6"/>
      <c r="L154" s="6"/>
      <c r="M154" s="114"/>
      <c r="N154" s="114"/>
      <c r="O154" s="114"/>
      <c r="P154" s="161"/>
      <c r="Q154" s="193"/>
      <c r="R154" s="6"/>
      <c r="S154" s="114"/>
      <c r="T154" s="114"/>
      <c r="U154" s="114"/>
      <c r="V154" s="151"/>
      <c r="W154" s="6"/>
      <c r="X154" s="114"/>
      <c r="Y154" s="82"/>
      <c r="Z154" s="124"/>
      <c r="AA154" s="113"/>
    </row>
    <row r="155" spans="1:82" s="123" customFormat="1" ht="20.100000000000001" customHeight="1" x14ac:dyDescent="0.25">
      <c r="A155" s="123">
        <v>0</v>
      </c>
      <c r="B155" s="622" t="s">
        <v>33</v>
      </c>
      <c r="C155" s="663"/>
      <c r="D155" s="663"/>
      <c r="E155" s="663"/>
      <c r="F155" s="663"/>
      <c r="G155" s="623"/>
      <c r="H155" s="172" t="s">
        <v>0</v>
      </c>
      <c r="I155" s="334">
        <f>$I$11</f>
        <v>5.7252000000000004E-2</v>
      </c>
      <c r="J155" s="185" t="s">
        <v>274</v>
      </c>
      <c r="K155" s="706"/>
      <c r="L155" s="707"/>
      <c r="M155" s="707"/>
      <c r="N155" s="708"/>
      <c r="O155" s="114"/>
      <c r="P155" s="152"/>
      <c r="Q155" s="152"/>
      <c r="R155" s="6"/>
      <c r="S155" s="114"/>
      <c r="T155" s="114"/>
      <c r="U155" s="114"/>
      <c r="V155" s="151"/>
      <c r="W155" s="6"/>
      <c r="X155" s="114"/>
      <c r="Y155" s="82"/>
      <c r="Z155" s="124"/>
      <c r="AA155" s="113"/>
    </row>
    <row r="156" spans="1:82" s="123" customFormat="1" ht="20.100000000000001" customHeight="1" x14ac:dyDescent="0.3">
      <c r="A156" s="123">
        <v>1</v>
      </c>
      <c r="B156" s="622" t="s">
        <v>329</v>
      </c>
      <c r="C156" s="663"/>
      <c r="D156" s="663"/>
      <c r="E156" s="663"/>
      <c r="F156" s="663"/>
      <c r="G156" s="623"/>
      <c r="H156" s="157" t="s">
        <v>207</v>
      </c>
      <c r="I156" s="527">
        <f>G19</f>
        <v>120</v>
      </c>
      <c r="J156" s="185" t="s">
        <v>341</v>
      </c>
      <c r="K156" s="457"/>
      <c r="L156" s="458"/>
      <c r="M156" s="458"/>
      <c r="N156" s="459"/>
      <c r="O156" s="114"/>
      <c r="P156" s="152"/>
      <c r="Q156" s="152"/>
      <c r="R156" s="6"/>
      <c r="S156" s="114"/>
      <c r="T156" s="114"/>
      <c r="U156" s="114"/>
      <c r="V156" s="168"/>
      <c r="W156" s="6"/>
      <c r="X156" s="114"/>
      <c r="Y156" s="171"/>
      <c r="Z156" s="124"/>
      <c r="AA156" s="113"/>
    </row>
    <row r="157" spans="1:82" s="123" customFormat="1" ht="20.100000000000001" customHeight="1" x14ac:dyDescent="0.3">
      <c r="A157" s="123">
        <v>2</v>
      </c>
      <c r="B157" s="622" t="s">
        <v>517</v>
      </c>
      <c r="C157" s="663"/>
      <c r="D157" s="663"/>
      <c r="E157" s="663"/>
      <c r="F157" s="663"/>
      <c r="G157" s="623"/>
      <c r="H157" s="157" t="s">
        <v>619</v>
      </c>
      <c r="I157" s="527">
        <f>G20</f>
        <v>150</v>
      </c>
      <c r="J157" s="185" t="s">
        <v>341</v>
      </c>
      <c r="K157" s="457"/>
      <c r="L157" s="458"/>
      <c r="M157" s="458"/>
      <c r="N157" s="459"/>
      <c r="O157" s="114"/>
      <c r="P157" s="152"/>
      <c r="Q157" s="152"/>
      <c r="R157" s="6"/>
      <c r="S157" s="114"/>
      <c r="T157" s="114"/>
      <c r="U157" s="114"/>
      <c r="V157" s="168"/>
      <c r="W157" s="6"/>
      <c r="X157" s="114"/>
      <c r="Y157" s="171"/>
      <c r="Z157" s="124"/>
      <c r="AA157" s="113"/>
    </row>
    <row r="158" spans="1:82" s="123" customFormat="1" ht="20.100000000000001" customHeight="1" x14ac:dyDescent="0.25">
      <c r="A158" s="123">
        <v>3</v>
      </c>
      <c r="B158" s="713" t="s">
        <v>342</v>
      </c>
      <c r="C158" s="714"/>
      <c r="D158" s="714"/>
      <c r="E158" s="714"/>
      <c r="F158" s="714"/>
      <c r="G158" s="754"/>
      <c r="H158" s="665" t="s">
        <v>257</v>
      </c>
      <c r="I158" s="793">
        <f>(I155*86400)/I156</f>
        <v>41.221440000000001</v>
      </c>
      <c r="J158" s="665" t="s">
        <v>340</v>
      </c>
      <c r="K158" s="686"/>
      <c r="L158" s="687"/>
      <c r="M158" s="687"/>
      <c r="N158" s="688"/>
      <c r="O158" s="114"/>
      <c r="P158" s="152"/>
      <c r="Q158" s="152"/>
      <c r="R158" s="6"/>
      <c r="S158" s="114"/>
      <c r="T158" s="114"/>
      <c r="U158" s="114"/>
      <c r="V158" s="186"/>
      <c r="W158" s="6"/>
      <c r="X158" s="114"/>
      <c r="Y158" s="187"/>
      <c r="Z158" s="124"/>
      <c r="AA158" s="113"/>
    </row>
    <row r="159" spans="1:82" s="123" customFormat="1" ht="20.100000000000001" customHeight="1" x14ac:dyDescent="0.25">
      <c r="B159" s="715"/>
      <c r="C159" s="716"/>
      <c r="D159" s="716"/>
      <c r="E159" s="716"/>
      <c r="F159" s="716"/>
      <c r="G159" s="755"/>
      <c r="H159" s="666"/>
      <c r="I159" s="794"/>
      <c r="J159" s="666"/>
      <c r="K159" s="689"/>
      <c r="L159" s="690"/>
      <c r="M159" s="690"/>
      <c r="N159" s="691"/>
      <c r="O159" s="257"/>
      <c r="P159" s="152"/>
      <c r="Q159" s="152"/>
      <c r="R159" s="6"/>
      <c r="S159" s="114"/>
      <c r="T159" s="114"/>
      <c r="U159" s="114"/>
      <c r="V159" s="168"/>
      <c r="W159" s="6"/>
      <c r="X159" s="114"/>
      <c r="Y159" s="171"/>
      <c r="Z159" s="124"/>
      <c r="AA159" s="113"/>
    </row>
    <row r="160" spans="1:82" s="123" customFormat="1" ht="20.100000000000001" customHeight="1" x14ac:dyDescent="0.25">
      <c r="A160" s="123">
        <v>4</v>
      </c>
      <c r="B160" s="713" t="s">
        <v>518</v>
      </c>
      <c r="C160" s="714"/>
      <c r="D160" s="714"/>
      <c r="E160" s="714"/>
      <c r="F160" s="714"/>
      <c r="G160" s="754"/>
      <c r="H160" s="665" t="s">
        <v>344</v>
      </c>
      <c r="I160" s="793">
        <f>(I155*86400)/I157</f>
        <v>32.977151999999997</v>
      </c>
      <c r="J160" s="665" t="s">
        <v>340</v>
      </c>
      <c r="K160" s="686"/>
      <c r="L160" s="687"/>
      <c r="M160" s="687"/>
      <c r="N160" s="688"/>
      <c r="O160" s="257"/>
      <c r="P160" s="152"/>
      <c r="Q160" s="152"/>
      <c r="R160" s="6"/>
      <c r="S160" s="114"/>
      <c r="T160" s="114"/>
      <c r="U160" s="114"/>
      <c r="V160" s="186"/>
      <c r="W160" s="6"/>
      <c r="X160" s="114"/>
      <c r="Y160" s="187"/>
      <c r="Z160" s="124"/>
      <c r="AA160" s="113"/>
    </row>
    <row r="161" spans="1:28" s="123" customFormat="1" ht="20.100000000000001" customHeight="1" x14ac:dyDescent="0.25">
      <c r="B161" s="715"/>
      <c r="C161" s="716"/>
      <c r="D161" s="716"/>
      <c r="E161" s="716"/>
      <c r="F161" s="716"/>
      <c r="G161" s="755"/>
      <c r="H161" s="666"/>
      <c r="I161" s="794"/>
      <c r="J161" s="666"/>
      <c r="K161" s="689"/>
      <c r="L161" s="690"/>
      <c r="M161" s="690"/>
      <c r="N161" s="691"/>
      <c r="O161" s="257"/>
      <c r="P161" s="308"/>
      <c r="Q161" s="152"/>
      <c r="R161" s="6"/>
      <c r="S161" s="114"/>
      <c r="T161" s="114"/>
      <c r="U161" s="114"/>
      <c r="V161" s="186"/>
      <c r="W161" s="6"/>
      <c r="X161" s="114"/>
      <c r="Y161" s="187"/>
      <c r="Z161" s="124"/>
      <c r="AA161" s="113"/>
    </row>
    <row r="162" spans="1:28" s="123" customFormat="1" ht="20.100000000000001" customHeight="1" x14ac:dyDescent="0.25">
      <c r="A162" s="123">
        <v>5</v>
      </c>
      <c r="B162" s="622" t="s">
        <v>520</v>
      </c>
      <c r="C162" s="663"/>
      <c r="D162" s="663"/>
      <c r="E162" s="663"/>
      <c r="F162" s="663"/>
      <c r="G162" s="623"/>
      <c r="H162" s="327" t="s">
        <v>522</v>
      </c>
      <c r="I162" s="172">
        <f>ROUND((I158-I160),2)</f>
        <v>8.24</v>
      </c>
      <c r="J162" s="327" t="s">
        <v>340</v>
      </c>
      <c r="K162" s="706"/>
      <c r="L162" s="707"/>
      <c r="M162" s="707"/>
      <c r="N162" s="708"/>
      <c r="O162" s="257"/>
      <c r="P162" s="152"/>
      <c r="Q162" s="152"/>
      <c r="R162" s="6"/>
      <c r="S162" s="114"/>
      <c r="T162" s="114"/>
      <c r="U162" s="114"/>
      <c r="V162" s="186"/>
      <c r="W162" s="6"/>
      <c r="X162" s="114"/>
      <c r="Y162" s="187"/>
      <c r="Z162" s="124"/>
      <c r="AA162" s="113"/>
    </row>
    <row r="163" spans="1:28" s="123" customFormat="1" ht="20.100000000000001" customHeight="1" x14ac:dyDescent="0.25">
      <c r="A163" s="123">
        <v>6</v>
      </c>
      <c r="B163" s="713" t="s">
        <v>519</v>
      </c>
      <c r="C163" s="714"/>
      <c r="D163" s="714"/>
      <c r="E163" s="714"/>
      <c r="F163" s="714"/>
      <c r="G163" s="754"/>
      <c r="H163" s="665" t="s">
        <v>523</v>
      </c>
      <c r="I163" s="793">
        <f>IF(I158/I162&lt;3,3,ROUND(I158/I162,0))</f>
        <v>5</v>
      </c>
      <c r="J163" s="665"/>
      <c r="K163" s="686"/>
      <c r="L163" s="687"/>
      <c r="M163" s="687"/>
      <c r="N163" s="688"/>
      <c r="O163" s="257"/>
      <c r="P163" s="152"/>
      <c r="Q163" s="152"/>
      <c r="R163" s="6"/>
      <c r="S163" s="114"/>
      <c r="T163" s="114"/>
      <c r="U163" s="114"/>
      <c r="V163" s="186"/>
      <c r="W163" s="6"/>
      <c r="X163" s="114"/>
      <c r="Y163" s="187"/>
      <c r="Z163" s="124"/>
      <c r="AA163" s="113"/>
    </row>
    <row r="164" spans="1:28" s="123" customFormat="1" ht="20.100000000000001" customHeight="1" x14ac:dyDescent="0.25">
      <c r="B164" s="715"/>
      <c r="C164" s="716"/>
      <c r="D164" s="716"/>
      <c r="E164" s="716"/>
      <c r="F164" s="716"/>
      <c r="G164" s="755"/>
      <c r="H164" s="666"/>
      <c r="I164" s="794"/>
      <c r="J164" s="666"/>
      <c r="K164" s="689"/>
      <c r="L164" s="690"/>
      <c r="M164" s="690"/>
      <c r="N164" s="691"/>
      <c r="O164" s="257"/>
      <c r="P164" s="152"/>
      <c r="Q164" s="152"/>
      <c r="R164" s="6"/>
      <c r="S164" s="114"/>
      <c r="T164" s="114"/>
      <c r="U164" s="114"/>
      <c r="V164" s="186"/>
      <c r="W164" s="6"/>
      <c r="X164" s="114"/>
      <c r="Y164" s="187"/>
      <c r="Z164" s="124"/>
      <c r="AA164" s="113"/>
    </row>
    <row r="165" spans="1:28" s="123" customFormat="1" ht="20.100000000000001" customHeight="1" x14ac:dyDescent="0.25">
      <c r="A165" s="123">
        <v>7</v>
      </c>
      <c r="B165" s="622" t="s">
        <v>327</v>
      </c>
      <c r="C165" s="663"/>
      <c r="D165" s="663"/>
      <c r="E165" s="663"/>
      <c r="F165" s="663"/>
      <c r="G165" s="623"/>
      <c r="H165" s="327" t="s">
        <v>352</v>
      </c>
      <c r="I165" s="330">
        <f>IF(0.044*SQRT(I155*86400)&lt;I163,I163,IF(0.044*SQRT(I155*86400)&gt;I163,ROUNDUP(0.044*SQRT(I155*86400),0)))</f>
        <v>5</v>
      </c>
      <c r="J165" s="327"/>
      <c r="K165" s="706"/>
      <c r="L165" s="707"/>
      <c r="M165" s="707"/>
      <c r="N165" s="708"/>
      <c r="O165" s="257"/>
      <c r="P165" s="152"/>
      <c r="Q165" s="152"/>
      <c r="R165" s="6"/>
      <c r="S165" s="114"/>
      <c r="T165" s="114"/>
      <c r="U165" s="114"/>
      <c r="V165" s="299"/>
      <c r="W165" s="6"/>
      <c r="X165" s="114"/>
      <c r="Y165" s="187"/>
      <c r="Z165" s="124"/>
      <c r="AA165" s="113"/>
    </row>
    <row r="166" spans="1:28" s="123" customFormat="1" ht="20.100000000000001" customHeight="1" x14ac:dyDescent="0.25">
      <c r="A166" s="123">
        <v>8</v>
      </c>
      <c r="B166" s="713" t="s">
        <v>521</v>
      </c>
      <c r="C166" s="714"/>
      <c r="D166" s="714"/>
      <c r="E166" s="714"/>
      <c r="F166" s="714"/>
      <c r="G166" s="754"/>
      <c r="H166" s="665" t="s">
        <v>343</v>
      </c>
      <c r="I166" s="934">
        <f>I158/I165</f>
        <v>8.2442880000000009</v>
      </c>
      <c r="J166" s="665" t="s">
        <v>340</v>
      </c>
      <c r="K166" s="686"/>
      <c r="L166" s="687"/>
      <c r="M166" s="687"/>
      <c r="N166" s="688"/>
      <c r="O166" s="257"/>
      <c r="P166" s="152"/>
      <c r="Q166" s="152"/>
      <c r="R166" s="6"/>
      <c r="S166" s="114"/>
      <c r="T166" s="114"/>
      <c r="U166" s="114"/>
      <c r="V166" s="299"/>
      <c r="W166" s="6"/>
      <c r="X166" s="114"/>
      <c r="Y166" s="187"/>
      <c r="Z166" s="124"/>
      <c r="AA166" s="113"/>
    </row>
    <row r="167" spans="1:28" s="123" customFormat="1" ht="20.100000000000001" customHeight="1" x14ac:dyDescent="0.25">
      <c r="B167" s="715"/>
      <c r="C167" s="716"/>
      <c r="D167" s="716"/>
      <c r="E167" s="716"/>
      <c r="F167" s="716"/>
      <c r="G167" s="755"/>
      <c r="H167" s="666"/>
      <c r="I167" s="935"/>
      <c r="J167" s="666"/>
      <c r="K167" s="689"/>
      <c r="L167" s="690"/>
      <c r="M167" s="690"/>
      <c r="N167" s="691"/>
      <c r="O167" s="257"/>
      <c r="P167" s="152"/>
      <c r="Q167" s="152"/>
      <c r="R167" s="6"/>
      <c r="S167" s="114"/>
      <c r="T167" s="114"/>
      <c r="U167" s="114"/>
      <c r="V167" s="299"/>
      <c r="W167" s="6"/>
      <c r="X167" s="114"/>
      <c r="Y167" s="187"/>
      <c r="Z167" s="124"/>
      <c r="AA167" s="113"/>
    </row>
    <row r="168" spans="1:28" s="123" customFormat="1" ht="20.100000000000001" customHeight="1" x14ac:dyDescent="0.25">
      <c r="A168" s="123">
        <v>9</v>
      </c>
      <c r="B168" s="640" t="s">
        <v>346</v>
      </c>
      <c r="C168" s="640"/>
      <c r="D168" s="640"/>
      <c r="E168" s="640"/>
      <c r="F168" s="640"/>
      <c r="G168" s="640"/>
      <c r="H168" s="185" t="s">
        <v>345</v>
      </c>
      <c r="I168" s="593">
        <f>SQRT(I166)</f>
        <v>2.8712868195288328</v>
      </c>
      <c r="J168" s="185" t="s">
        <v>3</v>
      </c>
      <c r="K168" s="664"/>
      <c r="L168" s="664"/>
      <c r="M168" s="664"/>
      <c r="N168" s="664"/>
      <c r="O168" s="257"/>
      <c r="P168" s="152"/>
      <c r="Q168" s="152"/>
      <c r="R168" s="6"/>
      <c r="S168" s="114"/>
      <c r="T168" s="114"/>
      <c r="U168" s="114"/>
      <c r="V168" s="186"/>
      <c r="W168" s="6"/>
      <c r="X168" s="114"/>
      <c r="Y168" s="187"/>
      <c r="Z168" s="124"/>
      <c r="AA168" s="113"/>
    </row>
    <row r="169" spans="1:28" s="123" customFormat="1" ht="20.100000000000001" customHeight="1" x14ac:dyDescent="0.25">
      <c r="B169" s="340"/>
      <c r="C169" s="340"/>
      <c r="D169" s="340"/>
      <c r="E169" s="340"/>
      <c r="F169" s="340"/>
      <c r="G169" s="340"/>
      <c r="H169" s="308"/>
      <c r="I169" s="124"/>
      <c r="J169" s="154"/>
      <c r="K169" s="121"/>
      <c r="L169" s="121"/>
      <c r="M169" s="121"/>
      <c r="N169" s="121"/>
      <c r="O169" s="114"/>
      <c r="P169" s="149"/>
      <c r="Q169" s="193"/>
      <c r="R169" s="200"/>
      <c r="S169" s="114"/>
      <c r="T169" s="114"/>
      <c r="U169" s="114"/>
      <c r="V169" s="149"/>
      <c r="W169" s="6"/>
      <c r="X169" s="114"/>
      <c r="Y169" s="82"/>
      <c r="Z169" s="124"/>
      <c r="AA169" s="113"/>
    </row>
    <row r="170" spans="1:28" s="123" customFormat="1" ht="20.100000000000001" customHeight="1" x14ac:dyDescent="0.25">
      <c r="B170" s="586" t="s">
        <v>282</v>
      </c>
      <c r="C170" s="587"/>
      <c r="D170" s="587"/>
      <c r="E170" s="587"/>
      <c r="F170" s="587"/>
      <c r="G170" s="340"/>
      <c r="H170" s="308"/>
      <c r="I170" s="124"/>
      <c r="J170" s="154"/>
      <c r="K170" s="121"/>
      <c r="L170" s="121"/>
      <c r="M170" s="121"/>
      <c r="N170" s="121"/>
      <c r="O170" s="139"/>
      <c r="P170" s="149"/>
      <c r="Q170" s="193"/>
      <c r="R170" s="200"/>
      <c r="S170" s="114"/>
      <c r="T170" s="114"/>
      <c r="U170" s="114"/>
      <c r="V170" s="149"/>
      <c r="W170" s="6"/>
      <c r="X170" s="114"/>
      <c r="Y170" s="82"/>
      <c r="Z170" s="124"/>
      <c r="AA170" s="113"/>
    </row>
    <row r="171" spans="1:28" s="123" customFormat="1" ht="20.100000000000001" customHeight="1" x14ac:dyDescent="0.25">
      <c r="B171" s="622" t="s">
        <v>347</v>
      </c>
      <c r="C171" s="663"/>
      <c r="D171" s="663"/>
      <c r="E171" s="663"/>
      <c r="F171" s="663"/>
      <c r="G171" s="623"/>
      <c r="H171" s="393" t="s">
        <v>587</v>
      </c>
      <c r="I171" s="582">
        <v>0.25</v>
      </c>
      <c r="J171" s="134" t="s">
        <v>348</v>
      </c>
      <c r="K171" s="925"/>
      <c r="L171" s="802"/>
      <c r="M171" s="802"/>
      <c r="N171" s="803"/>
      <c r="O171" s="139"/>
      <c r="P171" s="198"/>
      <c r="Q171" s="198"/>
      <c r="R171" s="200"/>
      <c r="S171" s="114"/>
      <c r="T171" s="114"/>
      <c r="U171" s="114"/>
      <c r="V171" s="149"/>
      <c r="W171" s="6"/>
      <c r="X171" s="114"/>
      <c r="Y171" s="82"/>
      <c r="Z171" s="124"/>
      <c r="AA171" s="113"/>
    </row>
    <row r="172" spans="1:28" s="123" customFormat="1" ht="20.100000000000001" customHeight="1" x14ac:dyDescent="0.25">
      <c r="B172" s="622" t="s">
        <v>349</v>
      </c>
      <c r="C172" s="663"/>
      <c r="D172" s="663"/>
      <c r="E172" s="663"/>
      <c r="F172" s="663"/>
      <c r="G172" s="623"/>
      <c r="H172" s="392" t="s">
        <v>579</v>
      </c>
      <c r="I172" s="583">
        <v>0.1</v>
      </c>
      <c r="J172" s="134" t="s">
        <v>3</v>
      </c>
      <c r="K172" s="801"/>
      <c r="L172" s="802"/>
      <c r="M172" s="802"/>
      <c r="N172" s="803"/>
      <c r="O172" s="139"/>
      <c r="P172" s="198"/>
      <c r="Q172" s="198"/>
      <c r="R172" s="200"/>
      <c r="S172" s="114"/>
      <c r="T172" s="114"/>
      <c r="U172" s="114"/>
      <c r="V172" s="149"/>
      <c r="W172" s="6"/>
      <c r="X172" s="114"/>
      <c r="Y172" s="82"/>
      <c r="Z172" s="124"/>
      <c r="AA172" s="113"/>
    </row>
    <row r="173" spans="1:28" s="123" customFormat="1" ht="20.100000000000001" customHeight="1" x14ac:dyDescent="0.25">
      <c r="B173" s="622" t="s">
        <v>378</v>
      </c>
      <c r="C173" s="663"/>
      <c r="D173" s="663"/>
      <c r="E173" s="663"/>
      <c r="F173" s="663"/>
      <c r="G173" s="623"/>
      <c r="H173" s="350" t="s">
        <v>580</v>
      </c>
      <c r="I173" s="584" t="s">
        <v>359</v>
      </c>
      <c r="J173" s="134" t="s">
        <v>363</v>
      </c>
      <c r="K173" s="460"/>
      <c r="L173" s="461"/>
      <c r="M173" s="461"/>
      <c r="N173" s="462"/>
      <c r="O173" s="380"/>
      <c r="P173" s="198"/>
      <c r="Q173" s="198"/>
      <c r="R173" s="200"/>
      <c r="S173" s="114"/>
      <c r="T173" s="114"/>
      <c r="U173" s="114"/>
      <c r="V173" s="193"/>
      <c r="W173" s="6"/>
      <c r="X173" s="114"/>
      <c r="Y173" s="187"/>
      <c r="Z173" s="124"/>
      <c r="AA173" s="113"/>
    </row>
    <row r="174" spans="1:28" s="123" customFormat="1" ht="20.100000000000001" customHeight="1" x14ac:dyDescent="0.25">
      <c r="A174" s="123">
        <v>0</v>
      </c>
      <c r="B174" s="622" t="s">
        <v>379</v>
      </c>
      <c r="C174" s="663"/>
      <c r="D174" s="663"/>
      <c r="E174" s="663"/>
      <c r="F174" s="663"/>
      <c r="G174" s="623"/>
      <c r="H174" s="350" t="s">
        <v>581</v>
      </c>
      <c r="I174" s="362">
        <f>VLOOKUP(I173,BG8:BI16,3,FALSE)</f>
        <v>0.35559999999999997</v>
      </c>
      <c r="J174" s="134" t="s">
        <v>3</v>
      </c>
      <c r="K174" s="460"/>
      <c r="L174" s="461"/>
      <c r="M174" s="461"/>
      <c r="N174" s="462"/>
      <c r="O174" s="380"/>
      <c r="P174" s="198"/>
      <c r="Q174" s="198"/>
      <c r="R174" s="200"/>
      <c r="S174" s="114"/>
      <c r="T174" s="114"/>
      <c r="U174" s="114"/>
      <c r="V174" s="193"/>
      <c r="W174" s="6"/>
      <c r="X174" s="114"/>
      <c r="Y174" s="187"/>
      <c r="Z174" s="124"/>
      <c r="AA174" s="113"/>
    </row>
    <row r="175" spans="1:28" s="123" customFormat="1" ht="20.100000000000001" customHeight="1" x14ac:dyDescent="0.25">
      <c r="A175" s="123">
        <v>1</v>
      </c>
      <c r="B175" s="622" t="s">
        <v>377</v>
      </c>
      <c r="C175" s="663"/>
      <c r="D175" s="663"/>
      <c r="E175" s="663"/>
      <c r="F175" s="663"/>
      <c r="G175" s="623"/>
      <c r="H175" s="391" t="s">
        <v>582</v>
      </c>
      <c r="I175" s="596">
        <f>ROUND(I168/2-I174/2-0.05,10)</f>
        <v>1.2078434097999999</v>
      </c>
      <c r="J175" s="134" t="s">
        <v>3</v>
      </c>
      <c r="K175" s="801"/>
      <c r="L175" s="802"/>
      <c r="M175" s="802"/>
      <c r="N175" s="803"/>
      <c r="O175" s="380"/>
      <c r="P175" s="198"/>
      <c r="Q175" s="198"/>
      <c r="R175" s="200"/>
      <c r="S175" s="114"/>
      <c r="T175" s="114"/>
      <c r="U175" s="114"/>
      <c r="V175" s="149"/>
      <c r="W175" s="6"/>
      <c r="X175" s="114"/>
      <c r="Y175" s="208"/>
      <c r="Z175" s="207"/>
      <c r="AA175" s="113"/>
    </row>
    <row r="176" spans="1:28" s="123" customFormat="1" ht="20.100000000000001" customHeight="1" x14ac:dyDescent="0.25">
      <c r="B176" s="622" t="s">
        <v>350</v>
      </c>
      <c r="C176" s="663"/>
      <c r="D176" s="663"/>
      <c r="E176" s="663"/>
      <c r="F176" s="663"/>
      <c r="G176" s="623"/>
      <c r="H176" s="392" t="s">
        <v>583</v>
      </c>
      <c r="I176" s="585">
        <v>0.25</v>
      </c>
      <c r="J176" s="134" t="s">
        <v>3</v>
      </c>
      <c r="K176" s="801"/>
      <c r="L176" s="802"/>
      <c r="M176" s="802"/>
      <c r="N176" s="803"/>
      <c r="O176" s="380"/>
      <c r="P176" s="198"/>
      <c r="Q176" s="198"/>
      <c r="R176" s="200"/>
      <c r="S176" s="114"/>
      <c r="T176" s="114"/>
      <c r="U176" s="114"/>
      <c r="V176" s="205"/>
      <c r="W176" s="6"/>
      <c r="X176" s="114"/>
      <c r="Y176" s="208"/>
      <c r="Z176" s="207"/>
      <c r="AA176" s="113"/>
      <c r="AB176" s="209"/>
    </row>
    <row r="177" spans="1:27" s="123" customFormat="1" ht="20.100000000000001" customHeight="1" x14ac:dyDescent="0.25">
      <c r="B177" s="622" t="s">
        <v>351</v>
      </c>
      <c r="C177" s="663"/>
      <c r="D177" s="663"/>
      <c r="E177" s="663"/>
      <c r="F177" s="663"/>
      <c r="G177" s="623"/>
      <c r="H177" s="393" t="s">
        <v>588</v>
      </c>
      <c r="I177" s="582">
        <v>1.5</v>
      </c>
      <c r="J177" s="134" t="s">
        <v>348</v>
      </c>
      <c r="K177" s="801"/>
      <c r="L177" s="802"/>
      <c r="M177" s="802"/>
      <c r="N177" s="803"/>
      <c r="O177" s="380"/>
      <c r="P177" s="198"/>
      <c r="Q177" s="198"/>
      <c r="R177" s="200"/>
      <c r="S177" s="139"/>
      <c r="T177" s="139"/>
      <c r="U177" s="139"/>
      <c r="V177" s="205"/>
      <c r="W177" s="6"/>
      <c r="X177" s="114"/>
      <c r="Y177" s="82"/>
      <c r="Z177" s="207"/>
      <c r="AA177" s="113"/>
    </row>
    <row r="178" spans="1:27" s="123" customFormat="1" ht="20.100000000000001" customHeight="1" x14ac:dyDescent="0.25">
      <c r="A178" s="123">
        <v>2</v>
      </c>
      <c r="B178" s="713" t="s">
        <v>353</v>
      </c>
      <c r="C178" s="714"/>
      <c r="D178" s="714"/>
      <c r="E178" s="714"/>
      <c r="F178" s="714"/>
      <c r="G178" s="754"/>
      <c r="H178" s="793" t="s">
        <v>584</v>
      </c>
      <c r="I178" s="698">
        <f>2*ROUND((I168/I176),0)</f>
        <v>22</v>
      </c>
      <c r="J178" s="684"/>
      <c r="K178" s="784"/>
      <c r="L178" s="785"/>
      <c r="M178" s="785"/>
      <c r="N178" s="786"/>
      <c r="O178" s="380"/>
      <c r="P178" s="198"/>
      <c r="Q178" s="198"/>
      <c r="R178" s="200"/>
      <c r="S178" s="120"/>
      <c r="T178" s="120"/>
      <c r="U178" s="120"/>
      <c r="V178" s="205"/>
      <c r="W178" s="6"/>
      <c r="X178" s="114"/>
      <c r="Y178" s="208"/>
      <c r="Z178" s="207"/>
      <c r="AA178" s="113"/>
    </row>
    <row r="179" spans="1:27" s="123" customFormat="1" ht="20.100000000000001" customHeight="1" x14ac:dyDescent="0.25">
      <c r="B179" s="715"/>
      <c r="C179" s="716"/>
      <c r="D179" s="716"/>
      <c r="E179" s="716"/>
      <c r="F179" s="716"/>
      <c r="G179" s="755"/>
      <c r="H179" s="794"/>
      <c r="I179" s="699"/>
      <c r="J179" s="685"/>
      <c r="K179" s="787"/>
      <c r="L179" s="788"/>
      <c r="M179" s="788"/>
      <c r="N179" s="789"/>
      <c r="O179" s="380"/>
      <c r="P179" s="198"/>
      <c r="Q179" s="198"/>
      <c r="R179" s="200"/>
      <c r="S179" s="120"/>
      <c r="T179" s="120"/>
      <c r="U179" s="120"/>
      <c r="V179" s="205"/>
      <c r="W179" s="6"/>
      <c r="X179" s="114"/>
      <c r="Y179" s="187"/>
      <c r="Z179" s="207"/>
      <c r="AA179" s="113"/>
    </row>
    <row r="180" spans="1:27" s="123" customFormat="1" ht="20.100000000000001" customHeight="1" x14ac:dyDescent="0.25">
      <c r="A180" s="123">
        <v>3</v>
      </c>
      <c r="B180" s="713" t="s">
        <v>573</v>
      </c>
      <c r="C180" s="714"/>
      <c r="D180" s="714"/>
      <c r="E180" s="714"/>
      <c r="F180" s="714"/>
      <c r="G180" s="754"/>
      <c r="H180" s="793" t="s">
        <v>585</v>
      </c>
      <c r="I180" s="698">
        <f>2*ROUNDUP((I175/I172),0)</f>
        <v>26</v>
      </c>
      <c r="J180" s="684"/>
      <c r="K180" s="784"/>
      <c r="L180" s="785"/>
      <c r="M180" s="785"/>
      <c r="N180" s="786"/>
      <c r="O180" s="380"/>
      <c r="P180" s="198"/>
      <c r="Q180" s="198"/>
      <c r="R180" s="200"/>
      <c r="S180" s="120"/>
      <c r="T180" s="120"/>
      <c r="U180" s="120"/>
      <c r="V180" s="205"/>
      <c r="W180" s="6"/>
      <c r="X180" s="114"/>
      <c r="Y180" s="187"/>
      <c r="Z180" s="207"/>
      <c r="AA180" s="113"/>
    </row>
    <row r="181" spans="1:27" s="123" customFormat="1" ht="20.100000000000001" customHeight="1" x14ac:dyDescent="0.25">
      <c r="B181" s="715"/>
      <c r="C181" s="716"/>
      <c r="D181" s="716"/>
      <c r="E181" s="716"/>
      <c r="F181" s="716"/>
      <c r="G181" s="755"/>
      <c r="H181" s="794"/>
      <c r="I181" s="699"/>
      <c r="J181" s="685"/>
      <c r="K181" s="787"/>
      <c r="L181" s="788"/>
      <c r="M181" s="788"/>
      <c r="N181" s="789"/>
      <c r="O181" s="380"/>
      <c r="P181" s="198"/>
      <c r="Q181" s="198"/>
      <c r="R181" s="200"/>
      <c r="S181" s="120"/>
      <c r="T181" s="120"/>
      <c r="U181" s="120"/>
      <c r="V181" s="205"/>
      <c r="W181" s="6"/>
      <c r="X181" s="114"/>
      <c r="Y181" s="187"/>
      <c r="Z181" s="207"/>
      <c r="AA181" s="113"/>
    </row>
    <row r="182" spans="1:27" s="123" customFormat="1" ht="20.100000000000001" customHeight="1" x14ac:dyDescent="0.25">
      <c r="A182" s="123">
        <v>4</v>
      </c>
      <c r="B182" s="713" t="s">
        <v>354</v>
      </c>
      <c r="C182" s="714"/>
      <c r="D182" s="714"/>
      <c r="E182" s="714"/>
      <c r="F182" s="714"/>
      <c r="G182" s="754"/>
      <c r="H182" s="793" t="s">
        <v>586</v>
      </c>
      <c r="I182" s="698">
        <f>I178*I180</f>
        <v>572</v>
      </c>
      <c r="J182" s="684"/>
      <c r="K182" s="784"/>
      <c r="L182" s="785"/>
      <c r="M182" s="785"/>
      <c r="N182" s="786"/>
      <c r="O182" s="380"/>
      <c r="P182" s="198"/>
      <c r="Q182" s="198"/>
      <c r="R182" s="200"/>
      <c r="S182" s="120"/>
      <c r="T182" s="120"/>
      <c r="U182" s="120"/>
      <c r="V182" s="206"/>
      <c r="W182" s="6"/>
      <c r="X182" s="114"/>
      <c r="Y182" s="208"/>
      <c r="Z182" s="210"/>
      <c r="AA182" s="113"/>
    </row>
    <row r="183" spans="1:27" s="123" customFormat="1" ht="20.100000000000001" customHeight="1" x14ac:dyDescent="0.25">
      <c r="B183" s="715"/>
      <c r="C183" s="716"/>
      <c r="D183" s="716"/>
      <c r="E183" s="716"/>
      <c r="F183" s="716"/>
      <c r="G183" s="755"/>
      <c r="H183" s="794"/>
      <c r="I183" s="699"/>
      <c r="J183" s="685"/>
      <c r="K183" s="787"/>
      <c r="L183" s="788"/>
      <c r="M183" s="788"/>
      <c r="N183" s="789"/>
      <c r="O183" s="380"/>
      <c r="P183" s="198"/>
      <c r="Q183" s="390"/>
      <c r="R183" s="200"/>
      <c r="S183" s="120"/>
      <c r="T183" s="120"/>
      <c r="U183" s="120"/>
      <c r="V183" s="189"/>
      <c r="W183" s="6"/>
      <c r="X183" s="114"/>
      <c r="Y183" s="187"/>
      <c r="Z183" s="207"/>
      <c r="AA183" s="113"/>
    </row>
    <row r="184" spans="1:27" s="123" customFormat="1" ht="20.100000000000001" customHeight="1" x14ac:dyDescent="0.25">
      <c r="A184" s="123">
        <v>5</v>
      </c>
      <c r="B184" s="622" t="s">
        <v>364</v>
      </c>
      <c r="C184" s="663"/>
      <c r="D184" s="663"/>
      <c r="E184" s="663"/>
      <c r="F184" s="663"/>
      <c r="G184" s="623"/>
      <c r="H184" s="391" t="s">
        <v>375</v>
      </c>
      <c r="I184" s="597">
        <f>(I182*VLOOKUP(I171,AW8:AX12,2,FALSE)/I166)</f>
        <v>2.1972537079897668E-3</v>
      </c>
      <c r="J184" s="329"/>
      <c r="K184" s="816" t="s">
        <v>372</v>
      </c>
      <c r="L184" s="817"/>
      <c r="M184" s="817"/>
      <c r="N184" s="818"/>
      <c r="O184" s="139" t="str">
        <f>IF(AND(I184&gt;0.0015,I184&lt;0.005),"¡ok!","¡error, revise cantidades, diámetros y distancias en orificios!")</f>
        <v>¡ok!</v>
      </c>
      <c r="P184" s="121"/>
      <c r="Q184" s="121"/>
      <c r="R184" s="200"/>
      <c r="S184" s="201"/>
      <c r="T184" s="139"/>
      <c r="U184" s="139"/>
      <c r="V184" s="189"/>
      <c r="W184" s="6"/>
      <c r="X184" s="114"/>
      <c r="Y184" s="187"/>
      <c r="Z184" s="124"/>
      <c r="AA184" s="113"/>
    </row>
    <row r="185" spans="1:27" s="123" customFormat="1" ht="20.100000000000001" customHeight="1" x14ac:dyDescent="0.25">
      <c r="A185" s="123">
        <v>6</v>
      </c>
      <c r="B185" s="622" t="s">
        <v>574</v>
      </c>
      <c r="C185" s="663"/>
      <c r="D185" s="663"/>
      <c r="E185" s="663"/>
      <c r="F185" s="663"/>
      <c r="G185" s="623"/>
      <c r="H185" s="391"/>
      <c r="I185" s="297">
        <f>ROUND((VLOOKUP(I177,BB8:BC12,2,FALSE)/(VLOOKUP(I171,AW8:AX12,2,FALSE)*I180)),2)</f>
        <v>1.38</v>
      </c>
      <c r="J185" s="329"/>
      <c r="K185" s="922" t="s">
        <v>373</v>
      </c>
      <c r="L185" s="923"/>
      <c r="M185" s="923"/>
      <c r="N185" s="924"/>
      <c r="O185" s="139" t="str">
        <f>IF(AND(I185&gt;2,I185&lt;4),"¡ok!","¡error, revise cantidades, diámetros y distancias en laterales y orificios, tenga en cuenta velocidad de flujo en el múltiple y laterales!")</f>
        <v>¡error, revise cantidades, diámetros y distancias en laterales y orificios, tenga en cuenta velocidad de flujo en el múltiple y laterales!</v>
      </c>
      <c r="P185" s="121"/>
      <c r="Q185" s="121"/>
      <c r="R185" s="200"/>
      <c r="S185" s="201"/>
      <c r="T185" s="139"/>
      <c r="U185" s="139"/>
      <c r="V185" s="189"/>
      <c r="W185" s="6"/>
      <c r="X185" s="114"/>
      <c r="Y185" s="187"/>
      <c r="Z185" s="124"/>
      <c r="AA185" s="113"/>
    </row>
    <row r="186" spans="1:27" s="123" customFormat="1" ht="20.100000000000001" customHeight="1" x14ac:dyDescent="0.25">
      <c r="A186" s="123">
        <v>7</v>
      </c>
      <c r="B186" s="622" t="s">
        <v>575</v>
      </c>
      <c r="C186" s="663"/>
      <c r="D186" s="663"/>
      <c r="E186" s="663"/>
      <c r="F186" s="663"/>
      <c r="G186" s="623"/>
      <c r="H186" s="391"/>
      <c r="I186" s="345">
        <f>ROUND((VLOOKUP(I173,BG8:BH16,2,FALSE)/(VLOOKUP(I177,BB8:BC12,2,FALSE)*I178)),10)</f>
        <v>5.0415141568999999</v>
      </c>
      <c r="J186" s="134"/>
      <c r="K186" s="816" t="s">
        <v>374</v>
      </c>
      <c r="L186" s="817"/>
      <c r="M186" s="817"/>
      <c r="N186" s="818"/>
      <c r="O186" s="139" t="str">
        <f>IF(AND(I186&gt;1.5,I186&lt;3),"¡ok!"," ¡error, revise dimensiones de múltiple y laterales, tenga en cuenta velocidad de flujo en el múltiple y laterales!")</f>
        <v xml:space="preserve"> ¡error, revise dimensiones de múltiple y laterales, tenga en cuenta velocidad de flujo en el múltiple y laterales!</v>
      </c>
      <c r="P186" s="199"/>
      <c r="Q186" s="199"/>
      <c r="R186" s="200"/>
      <c r="S186" s="201"/>
      <c r="T186" s="139"/>
      <c r="U186" s="139"/>
      <c r="V186" s="190"/>
      <c r="W186" s="6"/>
      <c r="X186" s="114"/>
      <c r="Y186" s="187"/>
      <c r="Z186" s="124"/>
      <c r="AA186" s="113"/>
    </row>
    <row r="187" spans="1:27" s="123" customFormat="1" ht="20.100000000000001" customHeight="1" x14ac:dyDescent="0.25">
      <c r="A187" s="123">
        <v>8</v>
      </c>
      <c r="B187" s="622" t="s">
        <v>577</v>
      </c>
      <c r="C187" s="663"/>
      <c r="D187" s="663"/>
      <c r="E187" s="663"/>
      <c r="F187" s="663"/>
      <c r="G187" s="623"/>
      <c r="H187" s="391"/>
      <c r="I187" s="345">
        <f>I175/(I177*0.0254)</f>
        <v>31.701926766404203</v>
      </c>
      <c r="J187" s="363"/>
      <c r="K187" s="816" t="s">
        <v>578</v>
      </c>
      <c r="L187" s="817"/>
      <c r="M187" s="817"/>
      <c r="N187" s="818"/>
      <c r="O187" s="139" t="str">
        <f>IF(AND(I187&lt;60),"¡ok!"," ¡error, revise diámetros de laterales!")</f>
        <v>¡ok!</v>
      </c>
      <c r="P187" s="199"/>
      <c r="Q187" s="199"/>
      <c r="R187" s="200"/>
      <c r="S187" s="201"/>
      <c r="T187" s="139"/>
      <c r="U187" s="139"/>
      <c r="V187" s="341"/>
      <c r="W187" s="6"/>
      <c r="X187" s="114"/>
      <c r="Y187" s="187"/>
      <c r="Z187" s="124"/>
      <c r="AA187" s="113"/>
    </row>
    <row r="188" spans="1:27" s="123" customFormat="1" ht="20.100000000000001" customHeight="1" x14ac:dyDescent="0.25">
      <c r="B188" s="34"/>
      <c r="C188" s="34"/>
      <c r="D188" s="34"/>
      <c r="E188" s="34"/>
      <c r="F188" s="34"/>
      <c r="G188" s="34"/>
      <c r="H188" s="238"/>
      <c r="I188" s="124"/>
      <c r="J188" s="154"/>
      <c r="K188" s="306"/>
      <c r="L188" s="306"/>
      <c r="M188" s="306"/>
      <c r="N188" s="306"/>
      <c r="O188" s="139"/>
      <c r="P188" s="199"/>
      <c r="Q188" s="199"/>
      <c r="R188" s="200"/>
      <c r="S188" s="201"/>
      <c r="T188" s="139"/>
      <c r="U188" s="139"/>
      <c r="V188" s="306"/>
      <c r="W188" s="6"/>
      <c r="X188" s="114"/>
      <c r="Y188" s="187"/>
      <c r="Z188" s="124"/>
      <c r="AA188" s="113"/>
    </row>
    <row r="189" spans="1:27" s="123" customFormat="1" ht="20.100000000000001" customHeight="1" x14ac:dyDescent="0.25">
      <c r="B189" s="581" t="s">
        <v>220</v>
      </c>
      <c r="C189" s="589"/>
      <c r="D189" s="576"/>
      <c r="E189" s="589"/>
      <c r="F189" s="590"/>
      <c r="G189" s="122"/>
      <c r="H189" s="126"/>
      <c r="I189" s="598">
        <f xml:space="preserve"> VLOOKUP(I171,AW8:AX12,2,FALSE)*1</f>
        <v>3.1669217443593606E-5</v>
      </c>
      <c r="J189" s="126"/>
      <c r="K189" s="6"/>
      <c r="L189" s="6"/>
      <c r="M189" s="114"/>
      <c r="N189" s="114"/>
      <c r="O189" s="139"/>
      <c r="P189" s="199"/>
      <c r="Q189" s="199"/>
      <c r="R189" s="200"/>
      <c r="S189" s="201"/>
      <c r="T189" s="139"/>
      <c r="U189" s="139"/>
      <c r="V189" s="193"/>
      <c r="W189" s="6"/>
      <c r="X189" s="114"/>
      <c r="Y189" s="187"/>
      <c r="Z189" s="124"/>
      <c r="AA189" s="113"/>
    </row>
    <row r="190" spans="1:27" s="123" customFormat="1" ht="20.100000000000001" customHeight="1" x14ac:dyDescent="0.25">
      <c r="B190" s="109"/>
      <c r="C190" s="121"/>
      <c r="D190" s="193"/>
      <c r="E190" s="121"/>
      <c r="F190" s="125"/>
      <c r="G190" s="122"/>
      <c r="H190" s="126"/>
      <c r="I190" s="109"/>
      <c r="J190" s="126"/>
      <c r="K190" s="6"/>
      <c r="L190" s="6"/>
      <c r="M190" s="114"/>
      <c r="N190" s="114"/>
      <c r="O190" s="139"/>
      <c r="P190" s="199"/>
      <c r="Q190" s="199"/>
      <c r="R190" s="200"/>
      <c r="S190" s="201"/>
      <c r="T190" s="139"/>
      <c r="U190" s="139"/>
      <c r="V190" s="193"/>
      <c r="W190" s="6"/>
      <c r="X190" s="114"/>
      <c r="Y190" s="187"/>
      <c r="Z190" s="124"/>
      <c r="AA190" s="113"/>
    </row>
    <row r="191" spans="1:27" s="123" customFormat="1" ht="20.100000000000001" customHeight="1" x14ac:dyDescent="0.25">
      <c r="B191" s="109" t="s">
        <v>533</v>
      </c>
      <c r="C191" s="121"/>
      <c r="D191" s="193"/>
      <c r="E191" s="121"/>
      <c r="F191" s="125"/>
      <c r="G191" s="122"/>
      <c r="H191" s="126"/>
      <c r="I191" s="122"/>
      <c r="J191" s="126"/>
      <c r="K191" s="6"/>
      <c r="L191" s="6"/>
      <c r="M191" s="114"/>
      <c r="N191" s="114"/>
      <c r="O191" s="139"/>
      <c r="P191" s="199"/>
      <c r="Q191" s="199"/>
      <c r="R191" s="200"/>
      <c r="S191" s="201"/>
      <c r="T191" s="139"/>
      <c r="U191" s="139"/>
      <c r="V191" s="193"/>
      <c r="W191" s="6"/>
      <c r="X191" s="114"/>
      <c r="Y191" s="187"/>
      <c r="Z191" s="124"/>
      <c r="AA191" s="113"/>
    </row>
    <row r="192" spans="1:27" s="123" customFormat="1" ht="20.100000000000001" customHeight="1" x14ac:dyDescent="0.25">
      <c r="A192" s="123">
        <v>0</v>
      </c>
      <c r="B192" s="622" t="s">
        <v>223</v>
      </c>
      <c r="C192" s="663"/>
      <c r="D192" s="663"/>
      <c r="E192" s="663"/>
      <c r="F192" s="663"/>
      <c r="G192" s="623"/>
      <c r="H192" s="185" t="s">
        <v>11</v>
      </c>
      <c r="I192" s="533">
        <f>$I$76</f>
        <v>0.45</v>
      </c>
      <c r="J192" s="155"/>
      <c r="K192" s="706"/>
      <c r="L192" s="707"/>
      <c r="M192" s="707"/>
      <c r="N192" s="708"/>
      <c r="O192" s="139"/>
      <c r="P192" s="199"/>
      <c r="Q192" s="199"/>
      <c r="R192" s="200"/>
      <c r="S192" s="201"/>
      <c r="T192" s="139"/>
      <c r="U192" s="139"/>
      <c r="V192" s="193"/>
      <c r="W192" s="6"/>
      <c r="X192" s="114"/>
      <c r="Y192" s="187"/>
      <c r="Z192" s="124"/>
      <c r="AA192" s="113"/>
    </row>
    <row r="193" spans="1:27" s="123" customFormat="1" ht="20.100000000000001" customHeight="1" x14ac:dyDescent="0.25">
      <c r="A193" s="123">
        <v>1</v>
      </c>
      <c r="B193" s="622" t="str">
        <f>"Viscocidad dinámica del agua a "&amp;I30&amp;" °C"</f>
        <v>Viscocidad dinámica del agua a 3 °C</v>
      </c>
      <c r="C193" s="663"/>
      <c r="D193" s="663"/>
      <c r="E193" s="663"/>
      <c r="F193" s="663"/>
      <c r="G193" s="623"/>
      <c r="H193" s="185" t="s">
        <v>208</v>
      </c>
      <c r="I193" s="532">
        <f>I32*1000</f>
        <v>1.619</v>
      </c>
      <c r="J193" s="156" t="s">
        <v>273</v>
      </c>
      <c r="K193" s="457"/>
      <c r="L193" s="458"/>
      <c r="M193" s="458"/>
      <c r="N193" s="459"/>
      <c r="O193" s="139"/>
      <c r="P193" s="199"/>
      <c r="Q193" s="199"/>
      <c r="R193" s="200"/>
      <c r="S193" s="201"/>
      <c r="T193" s="139"/>
      <c r="U193" s="139"/>
      <c r="V193" s="193"/>
      <c r="W193" s="6"/>
      <c r="X193" s="114"/>
      <c r="Y193" s="187"/>
      <c r="Z193" s="124"/>
      <c r="AA193" s="113"/>
    </row>
    <row r="194" spans="1:27" s="123" customFormat="1" ht="20.100000000000001" customHeight="1" x14ac:dyDescent="0.25">
      <c r="A194" s="123">
        <v>2</v>
      </c>
      <c r="B194" s="622" t="s">
        <v>232</v>
      </c>
      <c r="C194" s="663"/>
      <c r="D194" s="663"/>
      <c r="E194" s="663"/>
      <c r="F194" s="663"/>
      <c r="G194" s="623"/>
      <c r="H194" s="172" t="s">
        <v>491</v>
      </c>
      <c r="I194" s="532">
        <f>J56*F70</f>
        <v>0.74398243580665824</v>
      </c>
      <c r="J194" s="172" t="s">
        <v>233</v>
      </c>
      <c r="K194" s="844"/>
      <c r="L194" s="844"/>
      <c r="M194" s="844"/>
      <c r="N194" s="844"/>
      <c r="O194" s="139"/>
      <c r="P194" s="199"/>
      <c r="Q194" s="199"/>
      <c r="R194" s="200"/>
      <c r="S194" s="201"/>
      <c r="T194" s="139"/>
      <c r="U194" s="139"/>
      <c r="V194" s="193"/>
      <c r="W194" s="6"/>
      <c r="X194" s="114"/>
      <c r="Y194" s="187"/>
      <c r="Z194" s="124"/>
      <c r="AA194" s="113"/>
    </row>
    <row r="195" spans="1:27" s="123" customFormat="1" ht="20.100000000000001" customHeight="1" x14ac:dyDescent="0.25">
      <c r="A195" s="123">
        <v>3</v>
      </c>
      <c r="B195" s="622" t="s">
        <v>485</v>
      </c>
      <c r="C195" s="663"/>
      <c r="D195" s="663"/>
      <c r="E195" s="663"/>
      <c r="F195" s="663"/>
      <c r="G195" s="623"/>
      <c r="H195" s="172" t="s">
        <v>492</v>
      </c>
      <c r="I195" s="532">
        <f>10*I194</f>
        <v>7.4398243580665824</v>
      </c>
      <c r="J195" s="172" t="s">
        <v>231</v>
      </c>
      <c r="K195" s="844"/>
      <c r="L195" s="844"/>
      <c r="M195" s="844"/>
      <c r="N195" s="844"/>
      <c r="O195" s="139"/>
      <c r="P195" s="199"/>
      <c r="Q195" s="199"/>
      <c r="R195" s="200"/>
      <c r="S195" s="201"/>
      <c r="T195" s="139"/>
      <c r="U195" s="139"/>
      <c r="V195" s="193"/>
      <c r="W195" s="6"/>
      <c r="X195" s="114"/>
      <c r="Y195" s="187"/>
      <c r="Z195" s="124"/>
      <c r="AA195" s="113"/>
    </row>
    <row r="196" spans="1:27" s="123" customFormat="1" ht="20.100000000000001" customHeight="1" x14ac:dyDescent="0.25">
      <c r="A196" s="123">
        <v>4</v>
      </c>
      <c r="B196" s="622" t="str">
        <f>"Velocidad de asentamiento del medio filtrante a "&amp;I30&amp;" °C"</f>
        <v>Velocidad de asentamiento del medio filtrante a 3 °C</v>
      </c>
      <c r="C196" s="663"/>
      <c r="D196" s="663"/>
      <c r="E196" s="663"/>
      <c r="F196" s="663"/>
      <c r="G196" s="623"/>
      <c r="H196" s="172" t="s">
        <v>493</v>
      </c>
      <c r="I196" s="532">
        <f>IF(I71=20,I195,I195*((I193)^(-1/3)))</f>
        <v>6.3359790576683315</v>
      </c>
      <c r="J196" s="172" t="s">
        <v>231</v>
      </c>
      <c r="K196" s="843"/>
      <c r="L196" s="843"/>
      <c r="M196" s="843"/>
      <c r="N196" s="843"/>
      <c r="O196" s="139"/>
      <c r="P196" s="199"/>
      <c r="Q196" s="199"/>
      <c r="R196" s="200"/>
      <c r="S196" s="201"/>
      <c r="T196" s="139"/>
      <c r="U196" s="139"/>
      <c r="V196" s="193"/>
      <c r="W196" s="6"/>
      <c r="X196" s="114"/>
      <c r="Y196" s="187"/>
      <c r="Z196" s="124"/>
      <c r="AA196" s="113"/>
    </row>
    <row r="197" spans="1:27" s="123" customFormat="1" ht="20.100000000000001" customHeight="1" x14ac:dyDescent="0.25">
      <c r="A197" s="123">
        <v>5</v>
      </c>
      <c r="B197" s="622" t="str">
        <f>"Velocidad de fluidización del medio filtrante a "&amp;I30&amp;" °C"</f>
        <v>Velocidad de fluidización del medio filtrante a 3 °C</v>
      </c>
      <c r="C197" s="663"/>
      <c r="D197" s="663"/>
      <c r="E197" s="663"/>
      <c r="F197" s="663"/>
      <c r="G197" s="623"/>
      <c r="H197" s="172" t="s">
        <v>494</v>
      </c>
      <c r="I197" s="532">
        <f>I196*(I192^4.5)</f>
        <v>0.17428902688639514</v>
      </c>
      <c r="J197" s="172" t="s">
        <v>231</v>
      </c>
      <c r="K197" s="790"/>
      <c r="L197" s="791"/>
      <c r="M197" s="791"/>
      <c r="N197" s="792"/>
      <c r="O197" s="139"/>
      <c r="P197" s="199"/>
      <c r="Q197" s="199"/>
      <c r="R197" s="200"/>
      <c r="S197" s="201"/>
      <c r="T197" s="139"/>
      <c r="U197" s="139"/>
      <c r="V197" s="193"/>
      <c r="W197" s="6"/>
      <c r="X197" s="114"/>
      <c r="Y197" s="187"/>
      <c r="Z197" s="124"/>
      <c r="AA197" s="113"/>
    </row>
    <row r="198" spans="1:27" s="123" customFormat="1" ht="20.100000000000001" customHeight="1" x14ac:dyDescent="0.25">
      <c r="A198" s="123">
        <v>6</v>
      </c>
      <c r="B198" s="622" t="str">
        <f>"Velocidad óptima de lavado a "&amp;I30&amp;" °C"</f>
        <v>Velocidad óptima de lavado a 3 °C</v>
      </c>
      <c r="C198" s="663"/>
      <c r="D198" s="663"/>
      <c r="E198" s="663"/>
      <c r="F198" s="663"/>
      <c r="G198" s="623"/>
      <c r="H198" s="172" t="s">
        <v>495</v>
      </c>
      <c r="I198" s="532">
        <f>0.1*I196</f>
        <v>0.63359790576683317</v>
      </c>
      <c r="J198" s="172" t="s">
        <v>231</v>
      </c>
      <c r="K198" s="844"/>
      <c r="L198" s="844"/>
      <c r="M198" s="844"/>
      <c r="N198" s="844"/>
      <c r="O198" s="139" t="str">
        <f>IF(I198&lt;0.3,"¡Error, velocidad de lavado baja!",IF(I198&gt;0.84,"¡Error, velocidad de lavado alta!","¡ok!"))</f>
        <v>¡ok!</v>
      </c>
      <c r="P198" s="199"/>
      <c r="Q198" s="199"/>
      <c r="R198" s="200"/>
      <c r="S198" s="201"/>
      <c r="T198" s="139"/>
      <c r="U198" s="139"/>
      <c r="V198" s="193"/>
      <c r="W198" s="6"/>
      <c r="X198" s="114"/>
      <c r="Y198" s="187"/>
      <c r="Z198" s="124"/>
      <c r="AA198" s="113"/>
    </row>
    <row r="199" spans="1:27" s="123" customFormat="1" ht="20.100000000000001" customHeight="1" x14ac:dyDescent="0.25">
      <c r="A199" s="123">
        <v>7</v>
      </c>
      <c r="B199" s="713" t="s">
        <v>486</v>
      </c>
      <c r="C199" s="714"/>
      <c r="D199" s="714"/>
      <c r="E199" s="714"/>
      <c r="F199" s="714"/>
      <c r="G199" s="754"/>
      <c r="H199" s="793" t="s">
        <v>496</v>
      </c>
      <c r="I199" s="667">
        <f>(I198/I196)^0.22</f>
        <v>0.60255958607435778</v>
      </c>
      <c r="J199" s="793"/>
      <c r="K199" s="795"/>
      <c r="L199" s="796"/>
      <c r="M199" s="796"/>
      <c r="N199" s="797"/>
      <c r="O199" s="139"/>
      <c r="P199" s="199"/>
      <c r="Q199" s="199"/>
      <c r="R199" s="200"/>
      <c r="S199" s="201"/>
      <c r="T199" s="139"/>
      <c r="U199" s="139"/>
      <c r="V199" s="287"/>
      <c r="W199" s="6"/>
      <c r="X199" s="114"/>
      <c r="Y199" s="187"/>
      <c r="Z199" s="124"/>
      <c r="AA199" s="113"/>
    </row>
    <row r="200" spans="1:27" s="123" customFormat="1" ht="20.100000000000001" customHeight="1" x14ac:dyDescent="0.25">
      <c r="B200" s="715"/>
      <c r="C200" s="716"/>
      <c r="D200" s="716"/>
      <c r="E200" s="716"/>
      <c r="F200" s="716"/>
      <c r="G200" s="755"/>
      <c r="H200" s="794"/>
      <c r="I200" s="668"/>
      <c r="J200" s="794"/>
      <c r="K200" s="798"/>
      <c r="L200" s="799"/>
      <c r="M200" s="799"/>
      <c r="N200" s="800"/>
      <c r="O200" s="139"/>
      <c r="P200" s="199"/>
      <c r="Q200" s="199"/>
      <c r="R200" s="200"/>
      <c r="S200" s="201"/>
      <c r="T200" s="139"/>
      <c r="U200" s="139"/>
      <c r="V200" s="287"/>
      <c r="W200" s="6"/>
      <c r="X200" s="114"/>
      <c r="Y200" s="187"/>
      <c r="Z200" s="124"/>
      <c r="AA200" s="113"/>
    </row>
    <row r="201" spans="1:27" s="123" customFormat="1" ht="20.100000000000001" customHeight="1" x14ac:dyDescent="0.25">
      <c r="A201" s="123">
        <v>8</v>
      </c>
      <c r="B201" s="622" t="s">
        <v>487</v>
      </c>
      <c r="C201" s="663"/>
      <c r="D201" s="663"/>
      <c r="E201" s="663"/>
      <c r="F201" s="663"/>
      <c r="G201" s="623"/>
      <c r="H201" s="172" t="s">
        <v>88</v>
      </c>
      <c r="I201" s="532">
        <f>$I$74</f>
        <v>0.64</v>
      </c>
      <c r="J201" s="172" t="s">
        <v>3</v>
      </c>
      <c r="K201" s="844"/>
      <c r="L201" s="844"/>
      <c r="M201" s="844"/>
      <c r="N201" s="844"/>
      <c r="O201" s="139"/>
      <c r="P201" s="199"/>
      <c r="Q201" s="199"/>
      <c r="R201" s="200"/>
      <c r="S201" s="201"/>
      <c r="T201" s="139"/>
      <c r="U201" s="139"/>
      <c r="V201" s="287"/>
      <c r="W201" s="6"/>
      <c r="X201" s="114"/>
      <c r="Y201" s="187"/>
      <c r="Z201" s="124"/>
      <c r="AA201" s="113"/>
    </row>
    <row r="202" spans="1:27" s="123" customFormat="1" ht="20.100000000000001" customHeight="1" x14ac:dyDescent="0.25">
      <c r="A202" s="123">
        <v>9</v>
      </c>
      <c r="B202" s="713" t="s">
        <v>488</v>
      </c>
      <c r="C202" s="714"/>
      <c r="D202" s="714"/>
      <c r="E202" s="714"/>
      <c r="F202" s="714"/>
      <c r="G202" s="754"/>
      <c r="H202" s="793" t="s">
        <v>497</v>
      </c>
      <c r="I202" s="667">
        <f>I201*(1-I192)/(1-I199)</f>
        <v>0.88566735456816503</v>
      </c>
      <c r="J202" s="793" t="s">
        <v>3</v>
      </c>
      <c r="K202" s="795"/>
      <c r="L202" s="796"/>
      <c r="M202" s="796"/>
      <c r="N202" s="797"/>
      <c r="O202" s="139"/>
      <c r="P202" s="199"/>
      <c r="Q202" s="199"/>
      <c r="R202" s="200"/>
      <c r="S202" s="201"/>
      <c r="T202" s="139"/>
      <c r="U202" s="139"/>
      <c r="V202" s="287"/>
      <c r="W202" s="6"/>
      <c r="X202" s="114"/>
      <c r="Y202" s="187"/>
      <c r="Z202" s="124"/>
      <c r="AA202" s="113"/>
    </row>
    <row r="203" spans="1:27" s="123" customFormat="1" ht="20.100000000000001" customHeight="1" x14ac:dyDescent="0.25">
      <c r="B203" s="715"/>
      <c r="C203" s="716"/>
      <c r="D203" s="716"/>
      <c r="E203" s="716"/>
      <c r="F203" s="716"/>
      <c r="G203" s="755"/>
      <c r="H203" s="794"/>
      <c r="I203" s="668"/>
      <c r="J203" s="794"/>
      <c r="K203" s="798"/>
      <c r="L203" s="799"/>
      <c r="M203" s="799"/>
      <c r="N203" s="800"/>
      <c r="O203" s="139"/>
      <c r="P203" s="199"/>
      <c r="Q203" s="199"/>
      <c r="R203" s="200"/>
      <c r="S203" s="201"/>
      <c r="T203" s="139"/>
      <c r="U203" s="139"/>
      <c r="V203" s="287"/>
      <c r="W203" s="6"/>
      <c r="X203" s="114"/>
      <c r="Y203" s="187"/>
      <c r="Z203" s="124"/>
      <c r="AA203" s="113"/>
    </row>
    <row r="204" spans="1:27" s="123" customFormat="1" ht="20.100000000000001" customHeight="1" x14ac:dyDescent="0.25">
      <c r="A204" s="123">
        <v>10</v>
      </c>
      <c r="B204" s="713" t="s">
        <v>489</v>
      </c>
      <c r="C204" s="714"/>
      <c r="D204" s="714"/>
      <c r="E204" s="714"/>
      <c r="F204" s="714"/>
      <c r="G204" s="754"/>
      <c r="H204" s="793" t="s">
        <v>490</v>
      </c>
      <c r="I204" s="793">
        <f>(I199-I192)/(1-I199)*100</f>
        <v>38.385524151275767</v>
      </c>
      <c r="J204" s="793" t="s">
        <v>314</v>
      </c>
      <c r="K204" s="795"/>
      <c r="L204" s="796"/>
      <c r="M204" s="796"/>
      <c r="N204" s="797"/>
      <c r="O204" s="771" t="str">
        <f>IF(I204&lt;35,"¡Error, relación de expansión baja!",IF(I204&gt;41,"¡Error, relación de expansión alta!","¡ok!"))</f>
        <v>¡ok!</v>
      </c>
      <c r="P204" s="199"/>
      <c r="Q204" s="199"/>
      <c r="R204" s="200"/>
      <c r="S204" s="201"/>
      <c r="T204" s="139"/>
      <c r="U204" s="139"/>
      <c r="V204" s="287"/>
      <c r="W204" s="6"/>
      <c r="X204" s="114"/>
      <c r="Y204" s="187"/>
      <c r="Z204" s="124"/>
      <c r="AA204" s="113"/>
    </row>
    <row r="205" spans="1:27" s="123" customFormat="1" ht="20.100000000000001" customHeight="1" x14ac:dyDescent="0.25">
      <c r="B205" s="715"/>
      <c r="C205" s="716"/>
      <c r="D205" s="716"/>
      <c r="E205" s="716"/>
      <c r="F205" s="716"/>
      <c r="G205" s="755"/>
      <c r="H205" s="794"/>
      <c r="I205" s="794"/>
      <c r="J205" s="794"/>
      <c r="K205" s="798"/>
      <c r="L205" s="799"/>
      <c r="M205" s="799"/>
      <c r="N205" s="800"/>
      <c r="O205" s="771"/>
      <c r="P205" s="199"/>
      <c r="Q205" s="199"/>
      <c r="R205" s="200"/>
      <c r="S205" s="201"/>
      <c r="T205" s="139"/>
      <c r="U205" s="139"/>
      <c r="V205" s="287"/>
      <c r="W205" s="6"/>
      <c r="X205" s="114"/>
      <c r="Y205" s="187"/>
      <c r="Z205" s="124"/>
      <c r="AA205" s="113"/>
    </row>
    <row r="206" spans="1:27" s="123" customFormat="1" ht="20.100000000000001" customHeight="1" x14ac:dyDescent="0.25">
      <c r="B206" s="34"/>
      <c r="C206" s="34"/>
      <c r="D206" s="34"/>
      <c r="E206" s="34"/>
      <c r="F206" s="34"/>
      <c r="G206" s="34"/>
      <c r="H206" s="202"/>
      <c r="I206" s="211"/>
      <c r="J206" s="154"/>
      <c r="K206" s="203"/>
      <c r="L206" s="203"/>
      <c r="M206" s="203"/>
      <c r="N206" s="203"/>
      <c r="O206" s="139"/>
      <c r="P206" s="199"/>
      <c r="Q206" s="199"/>
      <c r="R206" s="200"/>
      <c r="S206" s="201"/>
      <c r="T206" s="139"/>
      <c r="U206" s="139"/>
      <c r="V206" s="193"/>
      <c r="W206" s="6"/>
      <c r="X206" s="114"/>
      <c r="Y206" s="187"/>
      <c r="Z206" s="124"/>
      <c r="AA206" s="113"/>
    </row>
    <row r="207" spans="1:27" s="123" customFormat="1" ht="20.100000000000001" customHeight="1" x14ac:dyDescent="0.25">
      <c r="B207" s="40" t="s">
        <v>391</v>
      </c>
      <c r="C207" s="34"/>
      <c r="D207" s="34"/>
      <c r="E207" s="34"/>
      <c r="F207" s="34"/>
      <c r="G207" s="34"/>
      <c r="H207" s="202"/>
      <c r="I207" s="194"/>
      <c r="J207" s="154"/>
      <c r="K207" s="203"/>
      <c r="L207" s="203"/>
      <c r="M207" s="203"/>
      <c r="N207" s="203"/>
      <c r="O207" s="139"/>
      <c r="P207" s="199"/>
      <c r="Q207" s="199"/>
      <c r="R207" s="37"/>
      <c r="S207" s="201"/>
      <c r="T207" s="139"/>
      <c r="U207" s="139"/>
      <c r="V207" s="193"/>
      <c r="W207" s="6"/>
      <c r="X207" s="114"/>
      <c r="Y207" s="187"/>
      <c r="Z207" s="124"/>
      <c r="AA207" s="113"/>
    </row>
    <row r="208" spans="1:27" s="123" customFormat="1" ht="20.100000000000001" customHeight="1" x14ac:dyDescent="0.25">
      <c r="A208" s="123">
        <v>0</v>
      </c>
      <c r="B208" s="641" t="s">
        <v>380</v>
      </c>
      <c r="C208" s="733"/>
      <c r="D208" s="733"/>
      <c r="E208" s="733"/>
      <c r="F208" s="733"/>
      <c r="G208" s="642"/>
      <c r="H208" s="191" t="s">
        <v>382</v>
      </c>
      <c r="I208" s="381">
        <v>12</v>
      </c>
      <c r="J208" s="134" t="s">
        <v>70</v>
      </c>
      <c r="K208" s="801"/>
      <c r="L208" s="802"/>
      <c r="M208" s="802"/>
      <c r="N208" s="803"/>
      <c r="O208" s="139"/>
      <c r="P208" s="199"/>
      <c r="Q208" s="199"/>
      <c r="R208" s="37"/>
      <c r="S208" s="201"/>
      <c r="T208" s="139"/>
      <c r="U208" s="139"/>
      <c r="V208" s="193"/>
      <c r="W208" s="6"/>
      <c r="X208" s="114"/>
      <c r="Y208" s="187"/>
      <c r="Z208" s="124"/>
      <c r="AA208" s="113"/>
    </row>
    <row r="209" spans="1:27" s="123" customFormat="1" ht="20.100000000000001" customHeight="1" x14ac:dyDescent="0.25">
      <c r="A209" s="123">
        <v>1</v>
      </c>
      <c r="B209" s="641" t="s">
        <v>385</v>
      </c>
      <c r="C209" s="733"/>
      <c r="D209" s="733"/>
      <c r="E209" s="733"/>
      <c r="F209" s="733"/>
      <c r="G209" s="642"/>
      <c r="H209" s="191" t="s">
        <v>387</v>
      </c>
      <c r="I209" s="381">
        <v>36</v>
      </c>
      <c r="J209" s="134" t="s">
        <v>313</v>
      </c>
      <c r="K209" s="460"/>
      <c r="L209" s="461"/>
      <c r="M209" s="461"/>
      <c r="N209" s="462"/>
      <c r="O209" s="139"/>
      <c r="P209" s="199"/>
      <c r="Q209" s="199"/>
      <c r="R209" s="37"/>
      <c r="S209" s="201"/>
      <c r="T209" s="139"/>
      <c r="U209" s="139"/>
      <c r="V209" s="193"/>
      <c r="W209" s="6"/>
      <c r="X209" s="114"/>
      <c r="Y209" s="187"/>
      <c r="Z209" s="124"/>
      <c r="AA209" s="113"/>
    </row>
    <row r="210" spans="1:27" s="123" customFormat="1" ht="20.100000000000001" customHeight="1" x14ac:dyDescent="0.25">
      <c r="A210" s="123">
        <v>2</v>
      </c>
      <c r="B210" s="641" t="s">
        <v>464</v>
      </c>
      <c r="C210" s="733"/>
      <c r="D210" s="733"/>
      <c r="E210" s="733"/>
      <c r="F210" s="733"/>
      <c r="G210" s="642"/>
      <c r="H210" s="134" t="s">
        <v>465</v>
      </c>
      <c r="I210" s="353">
        <f>I198</f>
        <v>0.63359790576683317</v>
      </c>
      <c r="J210" s="134" t="s">
        <v>231</v>
      </c>
      <c r="K210" s="801"/>
      <c r="L210" s="802"/>
      <c r="M210" s="802"/>
      <c r="N210" s="803"/>
      <c r="O210" s="139"/>
      <c r="P210" s="199"/>
      <c r="Q210" s="199"/>
      <c r="R210" s="37"/>
      <c r="S210" s="201"/>
      <c r="T210" s="139"/>
      <c r="U210" s="139"/>
      <c r="V210" s="193"/>
      <c r="W210" s="6"/>
      <c r="X210" s="114"/>
      <c r="Y210" s="187"/>
      <c r="Z210" s="124"/>
      <c r="AA210" s="113"/>
    </row>
    <row r="211" spans="1:27" s="123" customFormat="1" ht="20.100000000000001" customHeight="1" x14ac:dyDescent="0.3">
      <c r="A211" s="123">
        <v>3</v>
      </c>
      <c r="B211" s="622" t="s">
        <v>329</v>
      </c>
      <c r="C211" s="663"/>
      <c r="D211" s="663"/>
      <c r="E211" s="663"/>
      <c r="F211" s="663"/>
      <c r="G211" s="623"/>
      <c r="H211" s="157" t="s">
        <v>207</v>
      </c>
      <c r="I211" s="328">
        <f>G19</f>
        <v>120</v>
      </c>
      <c r="J211" s="185" t="s">
        <v>341</v>
      </c>
      <c r="K211" s="801"/>
      <c r="L211" s="802"/>
      <c r="M211" s="802"/>
      <c r="N211" s="803"/>
      <c r="O211" s="139"/>
      <c r="P211" s="199"/>
      <c r="Q211" s="199"/>
      <c r="R211" s="37"/>
      <c r="S211" s="201"/>
      <c r="T211" s="139"/>
      <c r="U211" s="139"/>
      <c r="V211" s="193"/>
      <c r="W211" s="6"/>
      <c r="X211" s="114"/>
      <c r="Y211" s="187"/>
      <c r="Z211" s="124"/>
      <c r="AA211" s="113"/>
    </row>
    <row r="212" spans="1:27" s="123" customFormat="1" ht="20.100000000000001" customHeight="1" x14ac:dyDescent="0.25">
      <c r="A212" s="123">
        <v>4</v>
      </c>
      <c r="B212" s="622" t="s">
        <v>384</v>
      </c>
      <c r="C212" s="663"/>
      <c r="D212" s="663"/>
      <c r="E212" s="663"/>
      <c r="F212" s="663"/>
      <c r="G212" s="623"/>
      <c r="H212" s="327" t="s">
        <v>343</v>
      </c>
      <c r="I212" s="172">
        <f>I162</f>
        <v>8.24</v>
      </c>
      <c r="J212" s="327" t="s">
        <v>340</v>
      </c>
      <c r="K212" s="801"/>
      <c r="L212" s="802"/>
      <c r="M212" s="802"/>
      <c r="N212" s="803"/>
      <c r="O212" s="139"/>
      <c r="P212" s="199"/>
      <c r="Q212" s="199"/>
      <c r="R212" s="37"/>
      <c r="S212" s="201"/>
      <c r="T212" s="139"/>
      <c r="U212" s="139"/>
      <c r="V212" s="193"/>
      <c r="W212" s="6"/>
      <c r="X212" s="114"/>
      <c r="Y212" s="187"/>
      <c r="Z212" s="124"/>
      <c r="AA212" s="113"/>
    </row>
    <row r="213" spans="1:27" s="123" customFormat="1" ht="20.100000000000001" customHeight="1" x14ac:dyDescent="0.25">
      <c r="A213" s="123">
        <v>5</v>
      </c>
      <c r="B213" s="622" t="s">
        <v>446</v>
      </c>
      <c r="C213" s="663"/>
      <c r="D213" s="663"/>
      <c r="E213" s="663"/>
      <c r="F213" s="663"/>
      <c r="G213" s="623"/>
      <c r="H213" s="191" t="s">
        <v>424</v>
      </c>
      <c r="I213" s="334">
        <f>ROUND((I210/60)*I212,3)</f>
        <v>8.6999999999999994E-2</v>
      </c>
      <c r="J213" s="134" t="s">
        <v>423</v>
      </c>
      <c r="K213" s="801"/>
      <c r="L213" s="802"/>
      <c r="M213" s="802"/>
      <c r="N213" s="803"/>
      <c r="O213" s="234"/>
      <c r="P213" s="199"/>
      <c r="Q213" s="199"/>
      <c r="R213" s="37"/>
      <c r="S213" s="201"/>
      <c r="T213" s="139"/>
      <c r="U213" s="139"/>
      <c r="V213" s="193"/>
      <c r="W213" s="6"/>
      <c r="X213" s="114"/>
      <c r="Y213" s="187"/>
      <c r="Z213" s="124"/>
      <c r="AA213" s="113"/>
    </row>
    <row r="214" spans="1:27" s="123" customFormat="1" ht="20.100000000000001" customHeight="1" x14ac:dyDescent="0.25">
      <c r="A214" s="123">
        <v>6</v>
      </c>
      <c r="B214" s="641" t="s">
        <v>390</v>
      </c>
      <c r="C214" s="733"/>
      <c r="D214" s="733"/>
      <c r="E214" s="733"/>
      <c r="F214" s="733"/>
      <c r="G214" s="642"/>
      <c r="H214" s="191" t="s">
        <v>425</v>
      </c>
      <c r="I214" s="279">
        <f>ROUND(I210*I212*I208,3)</f>
        <v>62.65</v>
      </c>
      <c r="J214" s="134" t="s">
        <v>388</v>
      </c>
      <c r="K214" s="801"/>
      <c r="L214" s="802"/>
      <c r="M214" s="802"/>
      <c r="N214" s="803"/>
      <c r="O214" s="139"/>
      <c r="P214" s="199"/>
      <c r="Q214" s="199"/>
      <c r="R214" s="37"/>
      <c r="S214" s="201"/>
      <c r="T214" s="139"/>
      <c r="U214" s="139"/>
      <c r="V214" s="193"/>
      <c r="W214" s="6"/>
      <c r="X214" s="114"/>
      <c r="Y214" s="187"/>
      <c r="Z214" s="124"/>
      <c r="AA214" s="113"/>
    </row>
    <row r="215" spans="1:27" s="123" customFormat="1" ht="20.100000000000001" customHeight="1" x14ac:dyDescent="0.25">
      <c r="A215" s="123">
        <v>7</v>
      </c>
      <c r="B215" s="641" t="s">
        <v>389</v>
      </c>
      <c r="C215" s="733"/>
      <c r="D215" s="733"/>
      <c r="E215" s="733"/>
      <c r="F215" s="733"/>
      <c r="G215" s="642"/>
      <c r="H215" s="191" t="s">
        <v>426</v>
      </c>
      <c r="I215" s="279">
        <f>ROUND((I211/24)*I212*I209,3)</f>
        <v>1483.2</v>
      </c>
      <c r="J215" s="134" t="s">
        <v>388</v>
      </c>
      <c r="K215" s="801"/>
      <c r="L215" s="802"/>
      <c r="M215" s="802"/>
      <c r="N215" s="803"/>
      <c r="O215" s="139"/>
      <c r="P215" s="199"/>
      <c r="Q215" s="199"/>
      <c r="R215" s="37"/>
      <c r="S215" s="201"/>
      <c r="T215" s="139"/>
      <c r="U215" s="139"/>
      <c r="V215" s="193"/>
      <c r="W215" s="6"/>
      <c r="X215" s="114"/>
      <c r="Y215" s="187"/>
      <c r="Z215" s="124"/>
      <c r="AA215" s="113"/>
    </row>
    <row r="216" spans="1:27" s="123" customFormat="1" ht="20.100000000000001" customHeight="1" x14ac:dyDescent="0.25">
      <c r="A216" s="123">
        <v>8</v>
      </c>
      <c r="B216" s="638" t="s">
        <v>386</v>
      </c>
      <c r="C216" s="638"/>
      <c r="D216" s="638"/>
      <c r="E216" s="638"/>
      <c r="F216" s="638"/>
      <c r="G216" s="638"/>
      <c r="H216" s="134" t="s">
        <v>427</v>
      </c>
      <c r="I216" s="134">
        <f>I214/I215*100</f>
        <v>4.2239751887810133</v>
      </c>
      <c r="J216" s="134" t="s">
        <v>314</v>
      </c>
      <c r="K216" s="780"/>
      <c r="L216" s="780"/>
      <c r="M216" s="780"/>
      <c r="N216" s="780"/>
      <c r="O216" s="139"/>
      <c r="P216" s="121"/>
      <c r="Q216" s="121"/>
      <c r="R216" s="37"/>
      <c r="S216" s="201"/>
      <c r="T216" s="139"/>
      <c r="U216" s="139"/>
      <c r="V216" s="193"/>
      <c r="W216" s="6"/>
      <c r="X216" s="114"/>
      <c r="Y216" s="187"/>
      <c r="Z216" s="124"/>
      <c r="AA216" s="113"/>
    </row>
    <row r="217" spans="1:27" s="123" customFormat="1" ht="20.100000000000001" customHeight="1" x14ac:dyDescent="0.25">
      <c r="B217" s="34"/>
      <c r="C217" s="34"/>
      <c r="D217" s="34"/>
      <c r="E217" s="34"/>
      <c r="F217" s="34"/>
      <c r="G217" s="34"/>
      <c r="H217" s="154"/>
      <c r="I217" s="122"/>
      <c r="J217" s="121"/>
      <c r="K217" s="121"/>
      <c r="L217" s="121"/>
      <c r="M217" s="121"/>
      <c r="N217" s="121"/>
      <c r="O217" s="139"/>
      <c r="P217" s="121"/>
      <c r="Q217" s="121"/>
      <c r="R217" s="37"/>
      <c r="S217" s="201"/>
      <c r="T217" s="139"/>
      <c r="U217" s="139"/>
      <c r="V217" s="189"/>
      <c r="W217" s="6"/>
      <c r="X217" s="114"/>
      <c r="Y217" s="82"/>
      <c r="Z217" s="124"/>
      <c r="AA217" s="113"/>
    </row>
    <row r="218" spans="1:27" s="123" customFormat="1" ht="20.100000000000001" customHeight="1" x14ac:dyDescent="0.25">
      <c r="B218" s="109" t="s">
        <v>222</v>
      </c>
      <c r="C218" s="121"/>
      <c r="D218" s="129"/>
      <c r="E218" s="121"/>
      <c r="F218" s="125"/>
      <c r="G218" s="122"/>
      <c r="H218" s="126"/>
      <c r="I218" s="122"/>
      <c r="J218" s="126"/>
      <c r="K218" s="6"/>
      <c r="L218" s="6"/>
      <c r="M218" s="114"/>
      <c r="N218" s="114"/>
      <c r="O218" s="114"/>
      <c r="P218" s="121"/>
      <c r="Q218" s="121"/>
      <c r="R218" s="37"/>
      <c r="S218" s="139"/>
      <c r="T218" s="139"/>
      <c r="U218" s="139"/>
      <c r="V218" s="189"/>
      <c r="W218" s="6"/>
      <c r="X218" s="114"/>
      <c r="Y218" s="82"/>
      <c r="Z218" s="124"/>
      <c r="AA218" s="113"/>
    </row>
    <row r="219" spans="1:27" s="123" customFormat="1" ht="20.100000000000001" customHeight="1" x14ac:dyDescent="0.25">
      <c r="A219" s="123">
        <v>0</v>
      </c>
      <c r="B219" s="641" t="s">
        <v>224</v>
      </c>
      <c r="C219" s="733"/>
      <c r="D219" s="733"/>
      <c r="E219" s="733"/>
      <c r="F219" s="733"/>
      <c r="G219" s="642"/>
      <c r="H219" s="134" t="s">
        <v>88</v>
      </c>
      <c r="I219" s="279">
        <f>I74</f>
        <v>0.64</v>
      </c>
      <c r="J219" s="134" t="s">
        <v>3</v>
      </c>
      <c r="K219" s="780"/>
      <c r="L219" s="780"/>
      <c r="M219" s="780"/>
      <c r="N219" s="780"/>
      <c r="O219" s="114"/>
      <c r="P219" s="139"/>
      <c r="Q219" s="139"/>
      <c r="R219" s="139"/>
      <c r="S219" s="201"/>
      <c r="T219" s="139"/>
      <c r="U219" s="139"/>
      <c r="V219" s="189"/>
      <c r="W219" s="6"/>
      <c r="X219" s="114"/>
      <c r="Y219" s="82"/>
      <c r="Z219" s="124"/>
      <c r="AA219" s="113"/>
    </row>
    <row r="220" spans="1:27" s="123" customFormat="1" ht="20.100000000000001" customHeight="1" x14ac:dyDescent="0.25">
      <c r="A220" s="123">
        <v>1</v>
      </c>
      <c r="B220" s="641" t="s">
        <v>223</v>
      </c>
      <c r="C220" s="733"/>
      <c r="D220" s="733"/>
      <c r="E220" s="733"/>
      <c r="F220" s="733"/>
      <c r="G220" s="642"/>
      <c r="H220" s="134" t="s">
        <v>11</v>
      </c>
      <c r="I220" s="279">
        <f>I76</f>
        <v>0.45</v>
      </c>
      <c r="J220" s="134"/>
      <c r="K220" s="780"/>
      <c r="L220" s="780"/>
      <c r="M220" s="780"/>
      <c r="N220" s="780"/>
      <c r="O220" s="114"/>
      <c r="P220" s="114"/>
      <c r="Q220" s="114"/>
      <c r="R220" s="114"/>
      <c r="S220" s="114"/>
      <c r="T220" s="114"/>
      <c r="U220" s="114"/>
      <c r="V220" s="189"/>
      <c r="W220" s="6"/>
      <c r="X220" s="114"/>
      <c r="Y220" s="82"/>
      <c r="Z220" s="124"/>
      <c r="AA220" s="113"/>
    </row>
    <row r="221" spans="1:27" s="123" customFormat="1" ht="20.100000000000001" customHeight="1" x14ac:dyDescent="0.25">
      <c r="A221" s="123">
        <v>2</v>
      </c>
      <c r="B221" s="641" t="s">
        <v>225</v>
      </c>
      <c r="C221" s="733"/>
      <c r="D221" s="733"/>
      <c r="E221" s="733"/>
      <c r="F221" s="733"/>
      <c r="G221" s="642"/>
      <c r="H221" s="134" t="s">
        <v>226</v>
      </c>
      <c r="I221" s="279">
        <f>I75</f>
        <v>2.65</v>
      </c>
      <c r="J221" s="134"/>
      <c r="K221" s="780"/>
      <c r="L221" s="780"/>
      <c r="M221" s="780"/>
      <c r="N221" s="780"/>
      <c r="O221" s="114"/>
      <c r="P221" s="114"/>
      <c r="Q221" s="114"/>
      <c r="R221" s="114"/>
      <c r="S221" s="138"/>
      <c r="T221" s="114"/>
      <c r="U221" s="114"/>
      <c r="V221" s="129"/>
      <c r="W221" s="6"/>
      <c r="X221" s="114"/>
      <c r="Y221" s="82"/>
      <c r="Z221" s="124"/>
      <c r="AA221" s="113"/>
    </row>
    <row r="222" spans="1:27" s="123" customFormat="1" ht="20.100000000000001" customHeight="1" x14ac:dyDescent="0.25">
      <c r="A222" s="123">
        <v>3</v>
      </c>
      <c r="B222" s="638" t="s">
        <v>228</v>
      </c>
      <c r="C222" s="638"/>
      <c r="D222" s="638"/>
      <c r="E222" s="638"/>
      <c r="F222" s="638"/>
      <c r="G222" s="638"/>
      <c r="H222" s="134" t="s">
        <v>227</v>
      </c>
      <c r="I222" s="279">
        <f>I219*(1-I220)*(I221-1)</f>
        <v>0.58079999999999998</v>
      </c>
      <c r="J222" s="134" t="s">
        <v>3</v>
      </c>
      <c r="K222" s="780"/>
      <c r="L222" s="780"/>
      <c r="M222" s="780"/>
      <c r="N222" s="780"/>
      <c r="O222" s="114"/>
      <c r="P222" s="114"/>
      <c r="Q222" s="114"/>
      <c r="R222" s="114"/>
      <c r="S222" s="114"/>
      <c r="T222" s="114"/>
      <c r="U222" s="114"/>
      <c r="V222" s="129"/>
      <c r="W222" s="6"/>
      <c r="X222" s="114"/>
      <c r="Y222" s="82"/>
      <c r="Z222" s="124"/>
      <c r="AA222" s="113"/>
    </row>
    <row r="223" spans="1:27" s="123" customFormat="1" ht="20.100000000000001" customHeight="1" x14ac:dyDescent="0.25">
      <c r="B223" s="109"/>
      <c r="C223" s="121"/>
      <c r="D223" s="129"/>
      <c r="E223" s="121"/>
      <c r="F223" s="125"/>
      <c r="G223" s="122"/>
      <c r="H223" s="126"/>
      <c r="I223" s="122"/>
      <c r="J223" s="126"/>
      <c r="K223" s="6"/>
      <c r="L223" s="6"/>
      <c r="M223" s="114"/>
      <c r="N223" s="114"/>
      <c r="O223" s="114"/>
      <c r="P223" s="129"/>
      <c r="Q223" s="193"/>
      <c r="R223" s="6"/>
      <c r="S223" s="138"/>
      <c r="T223" s="114"/>
      <c r="U223" s="114"/>
      <c r="V223" s="129"/>
      <c r="W223" s="6"/>
      <c r="X223" s="114"/>
      <c r="Y223" s="82"/>
      <c r="Z223" s="124"/>
      <c r="AA223" s="113"/>
    </row>
    <row r="224" spans="1:27" s="123" customFormat="1" ht="20.100000000000001" customHeight="1" x14ac:dyDescent="0.25">
      <c r="B224" s="109" t="s">
        <v>569</v>
      </c>
      <c r="C224" s="121"/>
      <c r="D224" s="131"/>
      <c r="E224" s="121"/>
      <c r="F224" s="125"/>
      <c r="G224" s="122"/>
      <c r="H224" s="126"/>
      <c r="I224" s="122"/>
      <c r="J224" s="126"/>
      <c r="K224" s="6"/>
      <c r="L224" s="6"/>
      <c r="M224" s="114"/>
      <c r="N224" s="114"/>
      <c r="O224" s="114"/>
      <c r="P224" s="131"/>
      <c r="Q224" s="193"/>
      <c r="R224" s="6"/>
      <c r="S224" s="114"/>
      <c r="T224" s="114"/>
      <c r="U224" s="114"/>
      <c r="V224" s="131"/>
      <c r="W224" s="6"/>
      <c r="X224" s="114"/>
      <c r="Y224" s="82"/>
      <c r="Z224" s="124"/>
      <c r="AA224" s="113"/>
    </row>
    <row r="225" spans="1:27" s="123" customFormat="1" ht="20.100000000000001" customHeight="1" x14ac:dyDescent="0.25">
      <c r="A225" s="123">
        <v>0</v>
      </c>
      <c r="B225" s="641" t="s">
        <v>464</v>
      </c>
      <c r="C225" s="733"/>
      <c r="D225" s="733"/>
      <c r="E225" s="733"/>
      <c r="F225" s="733"/>
      <c r="G225" s="642"/>
      <c r="H225" s="134" t="s">
        <v>465</v>
      </c>
      <c r="I225" s="279">
        <f>I210</f>
        <v>0.63359790576683317</v>
      </c>
      <c r="J225" s="134" t="s">
        <v>231</v>
      </c>
      <c r="K225" s="840"/>
      <c r="L225" s="841"/>
      <c r="M225" s="841"/>
      <c r="N225" s="842"/>
      <c r="O225" s="114"/>
      <c r="P225" s="193"/>
      <c r="Q225" s="193"/>
      <c r="R225" s="6"/>
      <c r="S225" s="114"/>
      <c r="T225" s="114"/>
      <c r="U225" s="114"/>
      <c r="V225" s="193"/>
      <c r="W225" s="6"/>
      <c r="X225" s="114"/>
      <c r="Y225" s="187"/>
      <c r="Z225" s="124"/>
      <c r="AA225" s="113"/>
    </row>
    <row r="226" spans="1:27" s="123" customFormat="1" ht="20.100000000000001" customHeight="1" x14ac:dyDescent="0.3">
      <c r="A226" s="123">
        <v>1</v>
      </c>
      <c r="B226" s="622" t="s">
        <v>278</v>
      </c>
      <c r="C226" s="663"/>
      <c r="D226" s="663"/>
      <c r="E226" s="663"/>
      <c r="F226" s="663"/>
      <c r="G226" s="623"/>
      <c r="H226" s="157" t="s">
        <v>279</v>
      </c>
      <c r="I226" s="595">
        <f>SUM(G88:G92)</f>
        <v>0.44999999999999996</v>
      </c>
      <c r="J226" s="134" t="s">
        <v>3</v>
      </c>
      <c r="K226" s="840"/>
      <c r="L226" s="841"/>
      <c r="M226" s="841"/>
      <c r="N226" s="842"/>
      <c r="O226" s="114"/>
      <c r="P226" s="193"/>
      <c r="Q226" s="193"/>
      <c r="R226" s="6"/>
      <c r="S226" s="114"/>
      <c r="T226" s="114"/>
      <c r="U226" s="114"/>
      <c r="V226" s="193"/>
      <c r="W226" s="6"/>
      <c r="X226" s="114"/>
      <c r="Y226" s="187"/>
      <c r="Z226" s="124"/>
      <c r="AA226" s="113"/>
    </row>
    <row r="227" spans="1:27" s="123" customFormat="1" ht="20.100000000000001" customHeight="1" x14ac:dyDescent="0.25">
      <c r="A227" s="123">
        <v>2</v>
      </c>
      <c r="B227" s="713" t="s">
        <v>466</v>
      </c>
      <c r="C227" s="714"/>
      <c r="D227" s="714"/>
      <c r="E227" s="714"/>
      <c r="F227" s="714"/>
      <c r="G227" s="754"/>
      <c r="H227" s="684" t="s">
        <v>467</v>
      </c>
      <c r="I227" s="778">
        <f>(I225*I226)/3</f>
        <v>9.5039685865024967E-2</v>
      </c>
      <c r="J227" s="684" t="s">
        <v>3</v>
      </c>
      <c r="K227" s="772"/>
      <c r="L227" s="773"/>
      <c r="M227" s="773"/>
      <c r="N227" s="774"/>
      <c r="O227" s="114"/>
      <c r="P227" s="280"/>
      <c r="Q227" s="280"/>
      <c r="R227" s="6"/>
      <c r="S227" s="114"/>
      <c r="T227" s="114"/>
      <c r="U227" s="114"/>
      <c r="V227" s="280"/>
      <c r="W227" s="6"/>
      <c r="X227" s="114"/>
      <c r="Y227" s="187"/>
      <c r="Z227" s="124"/>
      <c r="AA227" s="113"/>
    </row>
    <row r="228" spans="1:27" s="123" customFormat="1" ht="20.100000000000001" customHeight="1" x14ac:dyDescent="0.25">
      <c r="B228" s="715"/>
      <c r="C228" s="716"/>
      <c r="D228" s="716"/>
      <c r="E228" s="716"/>
      <c r="F228" s="716"/>
      <c r="G228" s="755"/>
      <c r="H228" s="685"/>
      <c r="I228" s="779"/>
      <c r="J228" s="685"/>
      <c r="K228" s="775"/>
      <c r="L228" s="776"/>
      <c r="M228" s="776"/>
      <c r="N228" s="777"/>
      <c r="O228" s="114"/>
      <c r="P228" s="193"/>
      <c r="Q228" s="193"/>
      <c r="R228" s="6"/>
      <c r="S228" s="114"/>
      <c r="T228" s="114"/>
      <c r="U228" s="114"/>
      <c r="V228" s="193"/>
      <c r="W228" s="6"/>
      <c r="X228" s="114"/>
      <c r="Y228" s="187"/>
      <c r="Z228" s="124"/>
      <c r="AA228" s="113"/>
    </row>
    <row r="229" spans="1:27" s="123" customFormat="1" ht="20.100000000000001" customHeight="1" x14ac:dyDescent="0.25">
      <c r="B229" s="109"/>
      <c r="C229" s="121"/>
      <c r="D229" s="131"/>
      <c r="E229" s="121"/>
      <c r="F229" s="125"/>
      <c r="G229" s="122"/>
      <c r="H229" s="126"/>
      <c r="I229" s="122"/>
      <c r="J229" s="126"/>
      <c r="K229" s="6"/>
      <c r="L229" s="6"/>
      <c r="M229" s="114"/>
      <c r="N229" s="114"/>
      <c r="O229" s="114"/>
      <c r="P229" s="131"/>
      <c r="Q229" s="193"/>
      <c r="R229" s="6"/>
      <c r="S229" s="114"/>
      <c r="T229" s="114"/>
      <c r="U229" s="114"/>
      <c r="V229" s="131"/>
      <c r="W229" s="6"/>
      <c r="X229" s="114"/>
      <c r="Y229" s="82"/>
      <c r="Z229" s="124"/>
      <c r="AA229" s="113"/>
    </row>
    <row r="230" spans="1:27" s="123" customFormat="1" ht="20.100000000000001" customHeight="1" x14ac:dyDescent="0.25">
      <c r="B230" s="109" t="s">
        <v>570</v>
      </c>
      <c r="C230" s="121"/>
      <c r="D230" s="5"/>
      <c r="E230" s="122"/>
      <c r="F230" s="5"/>
      <c r="G230" s="5"/>
      <c r="H230" s="114"/>
      <c r="I230" s="5"/>
      <c r="J230" s="6"/>
      <c r="K230" s="6"/>
      <c r="L230" s="6"/>
      <c r="M230" s="114"/>
      <c r="N230" s="114"/>
      <c r="O230" s="114"/>
      <c r="P230" s="5"/>
      <c r="Q230" s="193"/>
      <c r="R230" s="6"/>
      <c r="S230" s="138"/>
      <c r="T230" s="114"/>
      <c r="U230" s="114"/>
      <c r="V230" s="5"/>
      <c r="W230" s="6"/>
      <c r="X230" s="114"/>
      <c r="Y230" s="82"/>
      <c r="Z230" s="124"/>
      <c r="AA230" s="113"/>
    </row>
    <row r="231" spans="1:27" s="123" customFormat="1" ht="20.100000000000001" customHeight="1" x14ac:dyDescent="0.25">
      <c r="A231" s="123">
        <v>0</v>
      </c>
      <c r="B231" s="641" t="s">
        <v>464</v>
      </c>
      <c r="C231" s="733"/>
      <c r="D231" s="733"/>
      <c r="E231" s="733"/>
      <c r="F231" s="733"/>
      <c r="G231" s="642"/>
      <c r="H231" s="363" t="s">
        <v>465</v>
      </c>
      <c r="I231" s="353">
        <f>I198/60</f>
        <v>1.0559965096113887E-2</v>
      </c>
      <c r="J231" s="134" t="s">
        <v>5</v>
      </c>
      <c r="K231" s="840"/>
      <c r="L231" s="841"/>
      <c r="M231" s="841"/>
      <c r="N231" s="842"/>
      <c r="O231" s="114"/>
      <c r="P231" s="193"/>
      <c r="Q231" s="193"/>
      <c r="R231" s="6"/>
      <c r="S231" s="138"/>
      <c r="T231" s="114"/>
      <c r="U231" s="114"/>
      <c r="V231" s="193"/>
      <c r="W231" s="6"/>
      <c r="X231" s="114"/>
      <c r="Y231" s="187"/>
      <c r="Z231" s="124"/>
      <c r="AA231" s="113"/>
    </row>
    <row r="232" spans="1:27" s="123" customFormat="1" ht="20.100000000000001" customHeight="1" x14ac:dyDescent="0.25">
      <c r="A232" s="123">
        <v>1</v>
      </c>
      <c r="B232" s="641" t="s">
        <v>468</v>
      </c>
      <c r="C232" s="733"/>
      <c r="D232" s="733"/>
      <c r="E232" s="733"/>
      <c r="F232" s="733"/>
      <c r="G232" s="642"/>
      <c r="H232" s="232" t="s">
        <v>85</v>
      </c>
      <c r="I232" s="600">
        <v>0.6</v>
      </c>
      <c r="J232" s="232"/>
      <c r="K232" s="840"/>
      <c r="L232" s="841"/>
      <c r="M232" s="841"/>
      <c r="N232" s="842"/>
      <c r="O232" s="114"/>
      <c r="P232" s="193"/>
      <c r="Q232" s="193"/>
      <c r="R232" s="6"/>
      <c r="S232" s="138"/>
      <c r="T232" s="114"/>
      <c r="U232" s="114"/>
      <c r="V232" s="193"/>
      <c r="W232" s="6"/>
      <c r="X232" s="114"/>
      <c r="Y232" s="187"/>
      <c r="Z232" s="124"/>
      <c r="AA232" s="113"/>
    </row>
    <row r="233" spans="1:27" s="123" customFormat="1" ht="20.100000000000001" customHeight="1" x14ac:dyDescent="0.25">
      <c r="A233" s="123">
        <v>2</v>
      </c>
      <c r="B233" s="641" t="s">
        <v>364</v>
      </c>
      <c r="C233" s="733"/>
      <c r="D233" s="733"/>
      <c r="E233" s="733"/>
      <c r="F233" s="733"/>
      <c r="G233" s="642"/>
      <c r="H233" s="363" t="s">
        <v>375</v>
      </c>
      <c r="I233" s="594">
        <f>I184</f>
        <v>2.1972537079897668E-3</v>
      </c>
      <c r="J233" s="232"/>
      <c r="K233" s="840"/>
      <c r="L233" s="841"/>
      <c r="M233" s="841"/>
      <c r="N233" s="842"/>
      <c r="O233" s="114"/>
      <c r="P233" s="193"/>
      <c r="Q233" s="193"/>
      <c r="R233" s="6"/>
      <c r="S233" s="138"/>
      <c r="T233" s="114"/>
      <c r="U233" s="114"/>
      <c r="V233" s="193"/>
      <c r="W233" s="6"/>
      <c r="X233" s="114"/>
      <c r="Y233" s="187"/>
      <c r="Z233" s="124"/>
      <c r="AA233" s="113"/>
    </row>
    <row r="234" spans="1:27" s="123" customFormat="1" ht="20.100000000000001" customHeight="1" x14ac:dyDescent="0.25">
      <c r="A234" s="123">
        <v>3</v>
      </c>
      <c r="B234" s="831" t="s">
        <v>470</v>
      </c>
      <c r="C234" s="832"/>
      <c r="D234" s="832"/>
      <c r="E234" s="832"/>
      <c r="F234" s="832"/>
      <c r="G234" s="833"/>
      <c r="H234" s="698" t="s">
        <v>471</v>
      </c>
      <c r="I234" s="667">
        <f>(1/(2*9.806))*(I231/(I232*I233))^2</f>
        <v>3.271449103495129</v>
      </c>
      <c r="J234" s="684" t="s">
        <v>3</v>
      </c>
      <c r="K234" s="772"/>
      <c r="L234" s="773"/>
      <c r="M234" s="773"/>
      <c r="N234" s="774"/>
      <c r="O234" s="114"/>
      <c r="P234" s="114"/>
      <c r="Q234" s="114"/>
      <c r="R234" s="114"/>
      <c r="S234" s="114"/>
      <c r="T234" s="114"/>
      <c r="U234" s="114"/>
      <c r="V234" s="114"/>
      <c r="W234" s="114"/>
      <c r="X234" s="114"/>
      <c r="Y234" s="82"/>
      <c r="Z234" s="124"/>
      <c r="AA234" s="113"/>
    </row>
    <row r="235" spans="1:27" s="123" customFormat="1" ht="20.100000000000001" customHeight="1" x14ac:dyDescent="0.25">
      <c r="B235" s="834"/>
      <c r="C235" s="835"/>
      <c r="D235" s="835"/>
      <c r="E235" s="835"/>
      <c r="F235" s="835"/>
      <c r="G235" s="836"/>
      <c r="H235" s="699"/>
      <c r="I235" s="668"/>
      <c r="J235" s="685"/>
      <c r="K235" s="775"/>
      <c r="L235" s="776"/>
      <c r="M235" s="776"/>
      <c r="N235" s="777"/>
      <c r="O235" s="569" t="s">
        <v>657</v>
      </c>
      <c r="P235" s="114"/>
      <c r="Q235" s="114"/>
      <c r="R235" s="114"/>
      <c r="S235" s="114"/>
      <c r="T235" s="114"/>
      <c r="U235" s="114"/>
      <c r="V235" s="114"/>
      <c r="W235" s="114"/>
      <c r="X235" s="114"/>
      <c r="Y235" s="187"/>
      <c r="Z235" s="124"/>
      <c r="AA235" s="113"/>
    </row>
    <row r="236" spans="1:27" s="123" customFormat="1" ht="20.100000000000001" customHeight="1" x14ac:dyDescent="0.25">
      <c r="B236" s="103"/>
      <c r="C236" s="103"/>
      <c r="D236" s="103"/>
      <c r="E236" s="103"/>
      <c r="F236" s="104"/>
      <c r="G236" s="105"/>
      <c r="H236" s="106"/>
      <c r="I236" s="114"/>
      <c r="J236" s="114"/>
      <c r="K236" s="114"/>
      <c r="L236" s="114"/>
      <c r="M236" s="114"/>
      <c r="N236" s="114"/>
      <c r="O236" s="114"/>
      <c r="P236" s="114"/>
      <c r="Q236" s="114"/>
      <c r="R236" s="114"/>
      <c r="S236" s="114"/>
      <c r="T236" s="114"/>
      <c r="U236" s="114"/>
      <c r="V236" s="114"/>
      <c r="W236" s="114"/>
      <c r="X236" s="114"/>
      <c r="Y236" s="187"/>
      <c r="Z236" s="124"/>
      <c r="AA236" s="113"/>
    </row>
    <row r="237" spans="1:27" s="123" customFormat="1" ht="20.100000000000001" customHeight="1" x14ac:dyDescent="0.25">
      <c r="B237" s="109" t="s">
        <v>419</v>
      </c>
      <c r="C237" s="103"/>
      <c r="D237" s="103"/>
      <c r="E237" s="103"/>
      <c r="F237" s="104"/>
      <c r="G237" s="105"/>
      <c r="H237" s="106"/>
      <c r="I237" s="114"/>
      <c r="J237" s="114"/>
      <c r="K237" s="114"/>
      <c r="L237" s="114"/>
      <c r="M237" s="114"/>
      <c r="N237" s="114"/>
      <c r="O237" s="114"/>
      <c r="P237" s="109"/>
      <c r="Q237" s="114"/>
      <c r="R237" s="114"/>
      <c r="S237" s="114"/>
      <c r="T237" s="114"/>
      <c r="U237" s="114"/>
      <c r="V237" s="114"/>
      <c r="W237" s="114"/>
      <c r="X237" s="114"/>
      <c r="Y237" s="187"/>
      <c r="Z237" s="124"/>
      <c r="AA237" s="113"/>
    </row>
    <row r="238" spans="1:27" s="123" customFormat="1" ht="20.100000000000001" customHeight="1" x14ac:dyDescent="0.25">
      <c r="B238" s="641" t="s">
        <v>420</v>
      </c>
      <c r="C238" s="733"/>
      <c r="D238" s="733"/>
      <c r="E238" s="733"/>
      <c r="F238" s="733"/>
      <c r="G238" s="642"/>
      <c r="H238" s="837" t="s">
        <v>406</v>
      </c>
      <c r="I238" s="838"/>
      <c r="J238" s="839"/>
      <c r="K238" s="695"/>
      <c r="L238" s="696"/>
      <c r="M238" s="696"/>
      <c r="N238" s="697"/>
      <c r="O238" s="114"/>
      <c r="P238" s="241"/>
      <c r="Q238" s="241"/>
      <c r="R238" s="241"/>
      <c r="S238" s="241"/>
      <c r="T238" s="114"/>
      <c r="U238" s="114"/>
      <c r="V238" s="114"/>
      <c r="W238" s="114"/>
      <c r="X238" s="114"/>
      <c r="Y238" s="187"/>
      <c r="Z238" s="124"/>
      <c r="AA238" s="113"/>
    </row>
    <row r="239" spans="1:27" s="123" customFormat="1" ht="20.100000000000001" customHeight="1" x14ac:dyDescent="0.25">
      <c r="A239" s="123">
        <v>0</v>
      </c>
      <c r="B239" s="641" t="s">
        <v>433</v>
      </c>
      <c r="C239" s="733"/>
      <c r="D239" s="733"/>
      <c r="E239" s="733"/>
      <c r="F239" s="733"/>
      <c r="G239" s="642"/>
      <c r="H239" s="324" t="s">
        <v>439</v>
      </c>
      <c r="I239" s="297">
        <f>VLOOKUP(H238,BQ9:BR16,2,FALSE)</f>
        <v>7.0000000000000001E-3</v>
      </c>
      <c r="J239" s="185" t="s">
        <v>233</v>
      </c>
      <c r="K239" s="463"/>
      <c r="L239" s="464"/>
      <c r="M239" s="464"/>
      <c r="N239" s="465"/>
      <c r="O239" s="114"/>
      <c r="P239" s="241"/>
      <c r="Q239" s="241"/>
      <c r="R239" s="241"/>
      <c r="S239" s="241"/>
      <c r="T239" s="114"/>
      <c r="U239" s="114"/>
      <c r="V239" s="114"/>
      <c r="W239" s="114"/>
      <c r="X239" s="114"/>
      <c r="Y239" s="187"/>
      <c r="Z239" s="124"/>
      <c r="AA239" s="113"/>
    </row>
    <row r="240" spans="1:27" s="123" customFormat="1" ht="20.100000000000001" customHeight="1" x14ac:dyDescent="0.25">
      <c r="B240" s="641" t="s">
        <v>440</v>
      </c>
      <c r="C240" s="733"/>
      <c r="D240" s="733"/>
      <c r="E240" s="733"/>
      <c r="F240" s="733"/>
      <c r="G240" s="642"/>
      <c r="H240" s="324" t="s">
        <v>441</v>
      </c>
      <c r="I240" s="386">
        <v>20</v>
      </c>
      <c r="J240" s="185" t="s">
        <v>3</v>
      </c>
      <c r="K240" s="463"/>
      <c r="L240" s="464"/>
      <c r="M240" s="464"/>
      <c r="N240" s="465"/>
      <c r="O240" s="114"/>
      <c r="P240" s="241"/>
      <c r="Q240" s="241"/>
      <c r="R240" s="241"/>
      <c r="S240" s="241"/>
      <c r="T240" s="114"/>
      <c r="U240" s="114"/>
      <c r="V240" s="114"/>
      <c r="W240" s="114"/>
      <c r="X240" s="114"/>
      <c r="Y240" s="187"/>
      <c r="Z240" s="124"/>
      <c r="AA240" s="113"/>
    </row>
    <row r="241" spans="1:27" s="123" customFormat="1" ht="20.100000000000001" customHeight="1" x14ac:dyDescent="0.25">
      <c r="B241" s="641" t="s">
        <v>421</v>
      </c>
      <c r="C241" s="733"/>
      <c r="D241" s="733"/>
      <c r="E241" s="733"/>
      <c r="F241" s="733"/>
      <c r="G241" s="642"/>
      <c r="H241" s="324" t="s">
        <v>429</v>
      </c>
      <c r="I241" s="379">
        <v>200</v>
      </c>
      <c r="J241" s="185" t="str">
        <f>IF($H$238=$BQ$9,"pulgadas",IF($H$238=$BQ$10,"pulgadas",IF($H$238=$BQ$11,"mm",IF($H$238=$BQ$12,"mm",IF($H$238=$BQ$13,"mm",IF($H$238=$BQ$14,"mm",IF($H$238=$BQ$15,"pulgadas",IF($H$238=$BQ$16,"pulgadas",""))))))))</f>
        <v>mm</v>
      </c>
      <c r="K241" s="695"/>
      <c r="L241" s="696"/>
      <c r="M241" s="696"/>
      <c r="N241" s="697"/>
      <c r="O241" s="114"/>
      <c r="P241" s="241"/>
      <c r="Q241" s="241"/>
      <c r="R241" s="241"/>
      <c r="S241" s="241"/>
      <c r="T241" s="114"/>
      <c r="U241" s="114"/>
      <c r="V241" s="114"/>
      <c r="W241" s="114"/>
      <c r="X241" s="114"/>
      <c r="Y241" s="187"/>
      <c r="Z241" s="124"/>
      <c r="AA241" s="113"/>
    </row>
    <row r="242" spans="1:27" s="123" customFormat="1" ht="20.100000000000001" customHeight="1" x14ac:dyDescent="0.25">
      <c r="A242" s="123">
        <v>1</v>
      </c>
      <c r="B242" s="641" t="s">
        <v>422</v>
      </c>
      <c r="C242" s="733"/>
      <c r="D242" s="733"/>
      <c r="E242" s="733"/>
      <c r="F242" s="733"/>
      <c r="G242" s="642"/>
      <c r="H242" s="324" t="s">
        <v>430</v>
      </c>
      <c r="I242" s="325">
        <f>IF(H238=BU8,VLOOKUP(I241,BU9:CB18,7,FALSE),IF(H238=BU19,VLOOKUP(I241,BU20:CB30,7,FALSE),IF(H238=BU31,VLOOKUP(I241,BV32:CB38,6,FALSE),IF(H238=BU39,VLOOKUP(I241,BV40:CB49,6,FALSE),IF(H238=BU50,VLOOKUP(I241,BV51:CB57,6,FALSE),IF(H238=BU58,VLOOKUP(I241,BV59:CB65,6,FALSE),IF(H238=BU66,VLOOKUP(I241,BU67:CB76,7,FALSE),IF(H238=BU77,VLOOKUP(I241,BU78:CB87,7,FALSE)))))))))</f>
        <v>0.18079999999999999</v>
      </c>
      <c r="J242" s="185" t="s">
        <v>3</v>
      </c>
      <c r="K242" s="695"/>
      <c r="L242" s="696"/>
      <c r="M242" s="696"/>
      <c r="N242" s="697"/>
      <c r="O242" s="114"/>
      <c r="P242" s="194"/>
      <c r="Q242" s="808"/>
      <c r="R242" s="808"/>
      <c r="S242" s="193"/>
      <c r="T242" s="236"/>
      <c r="U242" s="236"/>
      <c r="V242" s="114"/>
      <c r="W242" s="114"/>
      <c r="X242" s="114"/>
      <c r="Y242" s="187"/>
      <c r="Z242" s="124"/>
      <c r="AA242" s="113"/>
    </row>
    <row r="243" spans="1:27" s="123" customFormat="1" ht="20.100000000000001" customHeight="1" x14ac:dyDescent="0.25">
      <c r="A243" s="123">
        <v>2</v>
      </c>
      <c r="B243" s="713" t="s">
        <v>428</v>
      </c>
      <c r="C243" s="714"/>
      <c r="D243" s="714"/>
      <c r="E243" s="714"/>
      <c r="F243" s="714"/>
      <c r="G243" s="754"/>
      <c r="H243" s="698" t="s">
        <v>431</v>
      </c>
      <c r="I243" s="667">
        <f>(4*$I$213)/(PI()*I242^2)</f>
        <v>3.3886952896161833</v>
      </c>
      <c r="J243" s="665" t="s">
        <v>5</v>
      </c>
      <c r="K243" s="700"/>
      <c r="L243" s="701"/>
      <c r="M243" s="701"/>
      <c r="N243" s="702"/>
      <c r="O243" s="114"/>
      <c r="P243" s="237"/>
      <c r="Q243" s="808"/>
      <c r="R243" s="808"/>
      <c r="S243" s="193"/>
      <c r="T243" s="236"/>
      <c r="U243" s="236"/>
      <c r="V243" s="114"/>
      <c r="W243" s="114"/>
      <c r="X243" s="114"/>
      <c r="Y243" s="187"/>
      <c r="Z243" s="124"/>
      <c r="AA243" s="113"/>
    </row>
    <row r="244" spans="1:27" s="123" customFormat="1" ht="20.100000000000001" customHeight="1" x14ac:dyDescent="0.25">
      <c r="B244" s="715"/>
      <c r="C244" s="716"/>
      <c r="D244" s="716"/>
      <c r="E244" s="716"/>
      <c r="F244" s="716"/>
      <c r="G244" s="755"/>
      <c r="H244" s="699"/>
      <c r="I244" s="668"/>
      <c r="J244" s="666"/>
      <c r="K244" s="703"/>
      <c r="L244" s="704"/>
      <c r="M244" s="704"/>
      <c r="N244" s="705"/>
      <c r="O244" s="114"/>
      <c r="P244" s="237"/>
      <c r="Q244" s="808"/>
      <c r="R244" s="808"/>
      <c r="S244" s="193"/>
      <c r="T244" s="236"/>
      <c r="U244" s="236"/>
      <c r="V244" s="114"/>
      <c r="W244" s="114"/>
      <c r="X244" s="114"/>
      <c r="Y244" s="187"/>
      <c r="Z244" s="124"/>
      <c r="AA244" s="113"/>
    </row>
    <row r="245" spans="1:27" s="123" customFormat="1" ht="20.100000000000001" customHeight="1" x14ac:dyDescent="0.25">
      <c r="A245" s="123">
        <v>3</v>
      </c>
      <c r="B245" s="713" t="s">
        <v>457</v>
      </c>
      <c r="C245" s="714"/>
      <c r="D245" s="714"/>
      <c r="E245" s="714"/>
      <c r="F245" s="714"/>
      <c r="G245" s="754"/>
      <c r="H245" s="698"/>
      <c r="I245" s="667">
        <f>(I243^2)/(2*9.806)</f>
        <v>0.58552191341356863</v>
      </c>
      <c r="J245" s="665" t="s">
        <v>3</v>
      </c>
      <c r="K245" s="700"/>
      <c r="L245" s="701"/>
      <c r="M245" s="701"/>
      <c r="N245" s="702"/>
      <c r="O245" s="114"/>
      <c r="P245" s="237"/>
      <c r="Q245" s="280"/>
      <c r="R245" s="280"/>
      <c r="S245" s="280"/>
      <c r="T245" s="236"/>
      <c r="U245" s="236"/>
      <c r="V245" s="114"/>
      <c r="W245" s="114"/>
      <c r="X245" s="114"/>
      <c r="Y245" s="187"/>
      <c r="Z245" s="124"/>
      <c r="AA245" s="113"/>
    </row>
    <row r="246" spans="1:27" s="123" customFormat="1" ht="20.100000000000001" customHeight="1" x14ac:dyDescent="0.25">
      <c r="B246" s="715"/>
      <c r="C246" s="716"/>
      <c r="D246" s="716"/>
      <c r="E246" s="716"/>
      <c r="F246" s="716"/>
      <c r="G246" s="755"/>
      <c r="H246" s="699"/>
      <c r="I246" s="668"/>
      <c r="J246" s="666"/>
      <c r="K246" s="703"/>
      <c r="L246" s="704"/>
      <c r="M246" s="704"/>
      <c r="N246" s="705"/>
      <c r="O246" s="114"/>
      <c r="P246" s="237"/>
      <c r="Q246" s="280"/>
      <c r="R246" s="280"/>
      <c r="S246" s="280"/>
      <c r="T246" s="236"/>
      <c r="U246" s="236"/>
      <c r="V246" s="114"/>
      <c r="W246" s="114"/>
      <c r="X246" s="114"/>
      <c r="Y246" s="187"/>
      <c r="Z246" s="124"/>
      <c r="AA246" s="113"/>
    </row>
    <row r="247" spans="1:27" s="123" customFormat="1" ht="20.100000000000001" customHeight="1" x14ac:dyDescent="0.25">
      <c r="A247" s="123">
        <v>4</v>
      </c>
      <c r="B247" s="622" t="str">
        <f>"Viscocidad cinemática del agua a "&amp;I30&amp;" °C"</f>
        <v>Viscocidad cinemática del agua a 3 °C</v>
      </c>
      <c r="C247" s="663"/>
      <c r="D247" s="663"/>
      <c r="E247" s="663"/>
      <c r="F247" s="663"/>
      <c r="G247" s="623"/>
      <c r="H247" s="51" t="s">
        <v>2</v>
      </c>
      <c r="I247" s="310">
        <f>$I$33</f>
        <v>1.6190000000000001E-6</v>
      </c>
      <c r="J247" s="156" t="s">
        <v>277</v>
      </c>
      <c r="K247" s="695"/>
      <c r="L247" s="696"/>
      <c r="M247" s="696"/>
      <c r="N247" s="697"/>
      <c r="O247" s="114"/>
      <c r="P247" s="237"/>
      <c r="Q247" s="808"/>
      <c r="R247" s="808"/>
      <c r="S247" s="193"/>
      <c r="T247" s="236"/>
      <c r="U247" s="236"/>
      <c r="V247" s="114"/>
      <c r="W247" s="114"/>
      <c r="X247" s="114"/>
      <c r="Y247" s="187"/>
      <c r="Z247" s="124"/>
      <c r="AA247" s="113"/>
    </row>
    <row r="248" spans="1:27" s="123" customFormat="1" ht="20.100000000000001" customHeight="1" x14ac:dyDescent="0.25">
      <c r="A248" s="123">
        <v>5</v>
      </c>
      <c r="B248" s="713" t="s">
        <v>109</v>
      </c>
      <c r="C248" s="714"/>
      <c r="D248" s="714"/>
      <c r="E248" s="714"/>
      <c r="F248" s="714"/>
      <c r="G248" s="754"/>
      <c r="H248" s="665" t="s">
        <v>1</v>
      </c>
      <c r="I248" s="827">
        <f>I243*I242/I247</f>
        <v>378428.72659827414</v>
      </c>
      <c r="J248" s="709"/>
      <c r="K248" s="686"/>
      <c r="L248" s="687"/>
      <c r="M248" s="687"/>
      <c r="N248" s="688"/>
      <c r="O248" s="114"/>
      <c r="P248" s="237"/>
      <c r="Q248" s="808"/>
      <c r="R248" s="808"/>
      <c r="S248" s="193"/>
      <c r="T248" s="236"/>
      <c r="U248" s="236"/>
      <c r="V248" s="114"/>
      <c r="W248" s="114"/>
      <c r="X248" s="114"/>
      <c r="Y248" s="187"/>
      <c r="Z248" s="124"/>
      <c r="AA248" s="113"/>
    </row>
    <row r="249" spans="1:27" s="123" customFormat="1" ht="20.100000000000001" customHeight="1" x14ac:dyDescent="0.25">
      <c r="B249" s="715"/>
      <c r="C249" s="716"/>
      <c r="D249" s="716"/>
      <c r="E249" s="716"/>
      <c r="F249" s="716"/>
      <c r="G249" s="755"/>
      <c r="H249" s="666"/>
      <c r="I249" s="828"/>
      <c r="J249" s="710"/>
      <c r="K249" s="689"/>
      <c r="L249" s="690"/>
      <c r="M249" s="690"/>
      <c r="N249" s="691"/>
      <c r="O249" s="114"/>
      <c r="P249" s="235"/>
      <c r="Q249" s="235"/>
      <c r="R249" s="114"/>
      <c r="S249" s="114"/>
      <c r="T249" s="114"/>
      <c r="U249" s="114"/>
      <c r="V249" s="114"/>
      <c r="W249" s="114"/>
      <c r="X249" s="114"/>
      <c r="Y249" s="187"/>
      <c r="Z249" s="124"/>
      <c r="AA249" s="113"/>
    </row>
    <row r="250" spans="1:27" s="123" customFormat="1" ht="20.100000000000001" customHeight="1" x14ac:dyDescent="0.25">
      <c r="B250" s="622" t="s">
        <v>434</v>
      </c>
      <c r="C250" s="663"/>
      <c r="D250" s="663"/>
      <c r="E250" s="663"/>
      <c r="F250" s="663"/>
      <c r="G250" s="623"/>
      <c r="H250" s="316" t="s">
        <v>432</v>
      </c>
      <c r="I250" s="388">
        <v>0.02</v>
      </c>
      <c r="J250" s="319"/>
      <c r="K250" s="466"/>
      <c r="L250" s="467"/>
      <c r="M250" s="467"/>
      <c r="N250" s="468"/>
      <c r="O250" s="114"/>
      <c r="P250" s="235"/>
      <c r="Q250" s="235"/>
      <c r="R250" s="114"/>
      <c r="S250" s="114"/>
      <c r="T250" s="114"/>
      <c r="U250" s="114"/>
      <c r="V250" s="114"/>
      <c r="W250" s="114"/>
      <c r="X250" s="114"/>
      <c r="Y250" s="187"/>
      <c r="Z250" s="124"/>
      <c r="AA250" s="113"/>
    </row>
    <row r="251" spans="1:27" s="123" customFormat="1" ht="20.100000000000001" customHeight="1" x14ac:dyDescent="0.25">
      <c r="B251" s="713" t="s">
        <v>435</v>
      </c>
      <c r="C251" s="714"/>
      <c r="D251" s="714"/>
      <c r="E251" s="714"/>
      <c r="F251" s="714"/>
      <c r="G251" s="754"/>
      <c r="H251" s="665" t="s">
        <v>432</v>
      </c>
      <c r="I251" s="829">
        <f>(1/(-2*LOG10(($I$239/1000)/(3.7*$I$242)+2.51/($I$248*SQRT(I250)))))^2</f>
        <v>1.3897283707830287E-2</v>
      </c>
      <c r="J251" s="709"/>
      <c r="K251" s="734"/>
      <c r="L251" s="735"/>
      <c r="M251" s="735"/>
      <c r="N251" s="736"/>
      <c r="O251" s="114"/>
      <c r="P251" s="235"/>
      <c r="Q251" s="235"/>
      <c r="R251" s="114"/>
      <c r="S251" s="114"/>
      <c r="T251" s="114"/>
      <c r="U251" s="114"/>
      <c r="V251" s="114"/>
      <c r="W251" s="114"/>
      <c r="X251" s="114"/>
      <c r="Y251" s="187"/>
      <c r="Z251" s="124"/>
      <c r="AA251" s="113"/>
    </row>
    <row r="252" spans="1:27" s="123" customFormat="1" ht="20.100000000000001" customHeight="1" x14ac:dyDescent="0.25">
      <c r="B252" s="715"/>
      <c r="C252" s="716"/>
      <c r="D252" s="716"/>
      <c r="E252" s="716"/>
      <c r="F252" s="716"/>
      <c r="G252" s="755"/>
      <c r="H252" s="666"/>
      <c r="I252" s="830"/>
      <c r="J252" s="710"/>
      <c r="K252" s="737"/>
      <c r="L252" s="738"/>
      <c r="M252" s="738"/>
      <c r="N252" s="739"/>
      <c r="O252" s="114"/>
      <c r="P252" s="235"/>
      <c r="Q252" s="235"/>
      <c r="R252" s="114"/>
      <c r="S252" s="114"/>
      <c r="T252" s="114"/>
      <c r="U252" s="114"/>
      <c r="V252" s="114"/>
      <c r="W252" s="114"/>
      <c r="X252" s="114"/>
      <c r="Y252" s="187"/>
      <c r="Z252" s="124"/>
      <c r="AA252" s="113"/>
    </row>
    <row r="253" spans="1:27" s="123" customFormat="1" ht="20.100000000000001" customHeight="1" x14ac:dyDescent="0.25">
      <c r="B253" s="622" t="s">
        <v>436</v>
      </c>
      <c r="C253" s="663"/>
      <c r="D253" s="663"/>
      <c r="E253" s="663"/>
      <c r="F253" s="663"/>
      <c r="G253" s="623"/>
      <c r="H253" s="316" t="s">
        <v>432</v>
      </c>
      <c r="I253" s="323">
        <f>(1/(-2*LOG10(($I$239/1000)/(3.7*$I$242)+2.51/($I$248*SQRT(I251)))))^2</f>
        <v>1.4337785515431405E-2</v>
      </c>
      <c r="J253" s="319"/>
      <c r="K253" s="466"/>
      <c r="L253" s="467"/>
      <c r="M253" s="467"/>
      <c r="N253" s="468"/>
      <c r="O253" s="114"/>
      <c r="P253" s="235"/>
      <c r="Q253" s="235"/>
      <c r="R253" s="114"/>
      <c r="S253" s="114"/>
      <c r="T253" s="114"/>
      <c r="U253" s="114"/>
      <c r="V253" s="114"/>
      <c r="W253" s="114"/>
      <c r="X253" s="114"/>
      <c r="Y253" s="187"/>
      <c r="Z253" s="124"/>
      <c r="AA253" s="113"/>
    </row>
    <row r="254" spans="1:27" s="123" customFormat="1" ht="20.100000000000001" customHeight="1" x14ac:dyDescent="0.25">
      <c r="B254" s="622" t="s">
        <v>437</v>
      </c>
      <c r="C254" s="663"/>
      <c r="D254" s="663"/>
      <c r="E254" s="663"/>
      <c r="F254" s="663"/>
      <c r="G254" s="623"/>
      <c r="H254" s="316" t="s">
        <v>432</v>
      </c>
      <c r="I254" s="323">
        <f>(1/(-2*LOG10(($I$239/1000)/(3.7*$I$242)+2.51/($I$248*SQRT(I253)))))^2</f>
        <v>1.429867802344459E-2</v>
      </c>
      <c r="J254" s="319"/>
      <c r="K254" s="466"/>
      <c r="L254" s="467"/>
      <c r="M254" s="467"/>
      <c r="N254" s="468"/>
      <c r="O254" s="114"/>
      <c r="P254" s="235"/>
      <c r="Q254" s="235"/>
      <c r="R254" s="114"/>
      <c r="S254" s="114"/>
      <c r="T254" s="114"/>
      <c r="U254" s="114"/>
      <c r="V254" s="114"/>
      <c r="W254" s="114"/>
      <c r="X254" s="114"/>
      <c r="Y254" s="187"/>
      <c r="Z254" s="124"/>
      <c r="AA254" s="113"/>
    </row>
    <row r="255" spans="1:27" s="123" customFormat="1" ht="20.100000000000001" customHeight="1" x14ac:dyDescent="0.25">
      <c r="A255" s="123">
        <v>6</v>
      </c>
      <c r="B255" s="622" t="s">
        <v>438</v>
      </c>
      <c r="C255" s="663"/>
      <c r="D255" s="663"/>
      <c r="E255" s="663"/>
      <c r="F255" s="663"/>
      <c r="G255" s="623"/>
      <c r="H255" s="316" t="s">
        <v>432</v>
      </c>
      <c r="I255" s="323">
        <f>(1/(-2*LOG10(($I$239/1000)/(3.7*$I$242)+2.51/($I$248*SQRT(I254)))))^2</f>
        <v>1.4302090783353053E-2</v>
      </c>
      <c r="J255" s="232"/>
      <c r="K255" s="706"/>
      <c r="L255" s="707"/>
      <c r="M255" s="707"/>
      <c r="N255" s="708"/>
      <c r="O255" s="114"/>
      <c r="P255" s="114"/>
      <c r="Q255" s="114"/>
      <c r="R255" s="114"/>
      <c r="S255" s="114"/>
      <c r="T255" s="114"/>
      <c r="U255" s="114"/>
      <c r="V255" s="114"/>
      <c r="W255" s="114"/>
      <c r="X255" s="114"/>
      <c r="Y255" s="187"/>
      <c r="Z255" s="124"/>
      <c r="AA255" s="113"/>
    </row>
    <row r="256" spans="1:27" s="123" customFormat="1" ht="20.100000000000001" customHeight="1" x14ac:dyDescent="0.25">
      <c r="A256" s="123">
        <v>7</v>
      </c>
      <c r="B256" s="713" t="s">
        <v>463</v>
      </c>
      <c r="C256" s="714"/>
      <c r="D256" s="714"/>
      <c r="E256" s="714"/>
      <c r="F256" s="714"/>
      <c r="G256" s="754"/>
      <c r="H256" s="698" t="s">
        <v>442</v>
      </c>
      <c r="I256" s="778">
        <f>I255*(I240/I242)*(I243^2)/(2*9.806)</f>
        <v>0.92634818155790311</v>
      </c>
      <c r="J256" s="709" t="s">
        <v>3</v>
      </c>
      <c r="K256" s="686"/>
      <c r="L256" s="687"/>
      <c r="M256" s="687"/>
      <c r="N256" s="688"/>
      <c r="O256" s="114"/>
      <c r="P256" s="114"/>
      <c r="Q256" s="114"/>
      <c r="R256" s="114"/>
      <c r="S256" s="114"/>
      <c r="T256" s="114"/>
      <c r="U256" s="114"/>
      <c r="V256" s="114"/>
      <c r="W256" s="114"/>
      <c r="X256" s="114"/>
      <c r="Y256" s="187"/>
      <c r="Z256" s="124"/>
      <c r="AA256" s="113"/>
    </row>
    <row r="257" spans="1:27" s="123" customFormat="1" ht="20.100000000000001" customHeight="1" x14ac:dyDescent="0.25">
      <c r="B257" s="715"/>
      <c r="C257" s="716"/>
      <c r="D257" s="716"/>
      <c r="E257" s="716"/>
      <c r="F257" s="716"/>
      <c r="G257" s="755"/>
      <c r="H257" s="699"/>
      <c r="I257" s="779"/>
      <c r="J257" s="710"/>
      <c r="K257" s="689"/>
      <c r="L257" s="690"/>
      <c r="M257" s="690"/>
      <c r="N257" s="691"/>
      <c r="O257" s="114"/>
      <c r="P257" s="114"/>
      <c r="Q257" s="114"/>
      <c r="R257" s="114"/>
      <c r="S257" s="114"/>
      <c r="T257" s="114"/>
      <c r="U257" s="114"/>
      <c r="V257" s="114"/>
      <c r="W257" s="114"/>
      <c r="X257" s="114"/>
      <c r="Y257" s="187"/>
      <c r="Z257" s="124"/>
      <c r="AA257" s="113"/>
    </row>
    <row r="258" spans="1:27" s="123" customFormat="1" ht="20.100000000000001" customHeight="1" x14ac:dyDescent="0.25">
      <c r="B258" s="233"/>
      <c r="C258" s="233"/>
      <c r="D258" s="233"/>
      <c r="E258" s="233"/>
      <c r="F258" s="233"/>
      <c r="G258" s="233"/>
      <c r="H258" s="238"/>
      <c r="I258" s="239"/>
      <c r="J258" s="240"/>
      <c r="K258" s="193"/>
      <c r="L258" s="280"/>
      <c r="M258" s="193"/>
      <c r="N258" s="193"/>
      <c r="O258" s="114"/>
      <c r="P258" s="114"/>
      <c r="Q258" s="114"/>
      <c r="R258" s="114"/>
      <c r="S258" s="114"/>
      <c r="T258" s="114"/>
      <c r="U258" s="114"/>
      <c r="V258" s="114"/>
      <c r="W258" s="114"/>
      <c r="X258" s="114"/>
      <c r="Y258" s="187"/>
      <c r="Z258" s="124"/>
      <c r="AA258" s="113"/>
    </row>
    <row r="259" spans="1:27" s="123" customFormat="1" ht="20.100000000000001" customHeight="1" x14ac:dyDescent="0.25">
      <c r="B259" s="109" t="s">
        <v>443</v>
      </c>
      <c r="C259" s="233"/>
      <c r="D259" s="233"/>
      <c r="E259" s="233"/>
      <c r="F259" s="233"/>
      <c r="G259" s="233"/>
      <c r="H259" s="238"/>
      <c r="I259" s="239"/>
      <c r="J259" s="240"/>
      <c r="K259" s="193"/>
      <c r="L259" s="280"/>
      <c r="M259" s="193"/>
      <c r="N259" s="193"/>
      <c r="O259" s="114"/>
      <c r="P259" s="114"/>
      <c r="Q259" s="114"/>
      <c r="R259" s="114"/>
      <c r="S259" s="114"/>
      <c r="T259" s="114"/>
      <c r="U259" s="114"/>
      <c r="V259" s="114"/>
      <c r="W259" s="114"/>
      <c r="X259" s="114"/>
      <c r="Y259" s="187"/>
      <c r="Z259" s="124"/>
      <c r="AA259" s="113"/>
    </row>
    <row r="260" spans="1:27" s="123" customFormat="1" ht="20.100000000000001" customHeight="1" x14ac:dyDescent="0.25">
      <c r="B260" s="641" t="s">
        <v>420</v>
      </c>
      <c r="C260" s="733"/>
      <c r="D260" s="733"/>
      <c r="E260" s="733"/>
      <c r="F260" s="733"/>
      <c r="G260" s="642"/>
      <c r="H260" s="692" t="str">
        <f>$H$238</f>
        <v>Polietileno de alta densidad (PEAD) PE 100 RDE 21</v>
      </c>
      <c r="I260" s="693"/>
      <c r="J260" s="694"/>
      <c r="K260" s="706"/>
      <c r="L260" s="707"/>
      <c r="M260" s="707"/>
      <c r="N260" s="708"/>
      <c r="O260" s="114"/>
      <c r="P260" s="114"/>
      <c r="Q260" s="114"/>
      <c r="R260" s="114"/>
      <c r="S260" s="114"/>
      <c r="T260" s="114"/>
      <c r="U260" s="114"/>
      <c r="V260" s="114"/>
      <c r="W260" s="114"/>
      <c r="X260" s="114"/>
      <c r="Y260" s="187"/>
      <c r="Z260" s="124"/>
      <c r="AA260" s="113"/>
    </row>
    <row r="261" spans="1:27" s="123" customFormat="1" ht="20.100000000000001" customHeight="1" x14ac:dyDescent="0.25">
      <c r="A261" s="123">
        <v>0</v>
      </c>
      <c r="B261" s="641" t="s">
        <v>444</v>
      </c>
      <c r="C261" s="733"/>
      <c r="D261" s="733"/>
      <c r="E261" s="733"/>
      <c r="F261" s="733"/>
      <c r="G261" s="642"/>
      <c r="H261" s="183" t="s">
        <v>445</v>
      </c>
      <c r="I261" s="295">
        <f>VLOOKUP(H260,BQ9:BS16,3,FALSE)</f>
        <v>150</v>
      </c>
      <c r="J261" s="232" t="s">
        <v>480</v>
      </c>
      <c r="K261" s="781"/>
      <c r="L261" s="782"/>
      <c r="M261" s="782"/>
      <c r="N261" s="783"/>
      <c r="O261" s="114"/>
      <c r="P261" s="114"/>
      <c r="Q261" s="114"/>
      <c r="R261" s="114"/>
      <c r="S261" s="114"/>
      <c r="T261" s="114"/>
      <c r="U261" s="114"/>
      <c r="V261" s="114"/>
      <c r="W261" s="114"/>
      <c r="X261" s="114"/>
      <c r="Y261" s="187"/>
      <c r="Z261" s="124"/>
      <c r="AA261" s="113"/>
    </row>
    <row r="262" spans="1:27" s="123" customFormat="1" ht="20.100000000000001" customHeight="1" x14ac:dyDescent="0.25">
      <c r="A262" s="123">
        <v>1</v>
      </c>
      <c r="B262" s="641" t="s">
        <v>440</v>
      </c>
      <c r="C262" s="733"/>
      <c r="D262" s="733"/>
      <c r="E262" s="733"/>
      <c r="F262" s="733"/>
      <c r="G262" s="642"/>
      <c r="H262" s="183" t="s">
        <v>441</v>
      </c>
      <c r="I262" s="172">
        <f>I240</f>
        <v>20</v>
      </c>
      <c r="J262" s="185" t="s">
        <v>3</v>
      </c>
      <c r="K262" s="706"/>
      <c r="L262" s="707"/>
      <c r="M262" s="707"/>
      <c r="N262" s="708"/>
      <c r="O262" s="114"/>
      <c r="P262" s="114"/>
      <c r="Q262" s="114"/>
      <c r="R262" s="114"/>
      <c r="S262" s="114"/>
      <c r="T262" s="114"/>
      <c r="U262" s="114"/>
      <c r="V262" s="114"/>
      <c r="W262" s="114"/>
      <c r="X262" s="114"/>
      <c r="Y262" s="187"/>
      <c r="Z262" s="124"/>
      <c r="AA262" s="113"/>
    </row>
    <row r="263" spans="1:27" s="123" customFormat="1" ht="20.100000000000001" customHeight="1" x14ac:dyDescent="0.25">
      <c r="A263" s="123">
        <v>2</v>
      </c>
      <c r="B263" s="641" t="s">
        <v>421</v>
      </c>
      <c r="C263" s="733"/>
      <c r="D263" s="733"/>
      <c r="E263" s="733"/>
      <c r="F263" s="733"/>
      <c r="G263" s="642"/>
      <c r="H263" s="183" t="s">
        <v>429</v>
      </c>
      <c r="I263" s="172">
        <f>$I$241</f>
        <v>200</v>
      </c>
      <c r="J263" s="185" t="str">
        <f>IF($H$238=$BQ$9,"pulgadas",IF($H$238=$BQ$10,"pulgadas",IF($H$238=$BQ$11,"mm",IF($H$238=$BQ$12,"mm",IF($H$238=$BQ$13,"mm",IF($H$238=$BQ$14,"mm",IF($H$238=$BQ$15,"pulgadas",IF($H$238=$BQ$16,"pulgadas",""))))))))</f>
        <v>mm</v>
      </c>
      <c r="K263" s="706"/>
      <c r="L263" s="707"/>
      <c r="M263" s="707"/>
      <c r="N263" s="708"/>
      <c r="O263" s="114"/>
      <c r="P263" s="114"/>
      <c r="Q263" s="114"/>
      <c r="R263" s="114"/>
      <c r="S263" s="114"/>
      <c r="T263" s="114"/>
      <c r="U263" s="114"/>
      <c r="V263" s="114"/>
      <c r="W263" s="114"/>
      <c r="X263" s="114"/>
      <c r="Y263" s="187"/>
      <c r="Z263" s="124"/>
      <c r="AA263" s="113"/>
    </row>
    <row r="264" spans="1:27" s="123" customFormat="1" ht="20.100000000000001" customHeight="1" x14ac:dyDescent="0.25">
      <c r="A264" s="123">
        <v>3</v>
      </c>
      <c r="B264" s="641" t="s">
        <v>422</v>
      </c>
      <c r="C264" s="733"/>
      <c r="D264" s="733"/>
      <c r="E264" s="733"/>
      <c r="F264" s="733"/>
      <c r="G264" s="642"/>
      <c r="H264" s="183" t="s">
        <v>430</v>
      </c>
      <c r="I264" s="296">
        <f>$I$242</f>
        <v>0.18079999999999999</v>
      </c>
      <c r="J264" s="185" t="s">
        <v>3</v>
      </c>
      <c r="K264" s="706"/>
      <c r="L264" s="707"/>
      <c r="M264" s="707"/>
      <c r="N264" s="708"/>
      <c r="O264" s="114"/>
      <c r="P264" s="114"/>
      <c r="Q264" s="114"/>
      <c r="R264" s="114"/>
      <c r="S264" s="114"/>
      <c r="T264" s="114"/>
      <c r="U264" s="114"/>
      <c r="V264" s="114"/>
      <c r="W264" s="114"/>
      <c r="X264" s="114"/>
      <c r="Y264" s="187"/>
      <c r="Z264" s="124"/>
      <c r="AA264" s="113"/>
    </row>
    <row r="265" spans="1:27" s="123" customFormat="1" ht="20.100000000000001" customHeight="1" x14ac:dyDescent="0.25">
      <c r="A265" s="123">
        <v>4</v>
      </c>
      <c r="B265" s="640" t="s">
        <v>428</v>
      </c>
      <c r="C265" s="640"/>
      <c r="D265" s="640"/>
      <c r="E265" s="640"/>
      <c r="F265" s="640"/>
      <c r="G265" s="640"/>
      <c r="H265" s="183" t="s">
        <v>431</v>
      </c>
      <c r="I265" s="296">
        <f t="shared" ref="I265" si="81">I243</f>
        <v>3.3886952896161833</v>
      </c>
      <c r="J265" s="185" t="s">
        <v>5</v>
      </c>
      <c r="K265" s="781"/>
      <c r="L265" s="782"/>
      <c r="M265" s="782"/>
      <c r="N265" s="783"/>
      <c r="O265" s="114"/>
      <c r="P265" s="114"/>
      <c r="Q265" s="114"/>
      <c r="R265" s="114"/>
      <c r="S265" s="114"/>
      <c r="T265" s="114"/>
      <c r="U265" s="114"/>
      <c r="V265" s="114"/>
      <c r="W265" s="114"/>
      <c r="X265" s="114"/>
      <c r="Y265" s="187"/>
      <c r="Z265" s="124"/>
      <c r="AA265" s="113"/>
    </row>
    <row r="266" spans="1:27" s="123" customFormat="1" ht="20.100000000000001" customHeight="1" x14ac:dyDescent="0.25">
      <c r="A266" s="123">
        <v>5</v>
      </c>
      <c r="B266" s="713" t="s">
        <v>447</v>
      </c>
      <c r="C266" s="714"/>
      <c r="D266" s="714"/>
      <c r="E266" s="714"/>
      <c r="F266" s="714"/>
      <c r="G266" s="754"/>
      <c r="H266" s="698" t="s">
        <v>448</v>
      </c>
      <c r="I266" s="778">
        <f>(I265/(0.354597213*I261*(I264^0.63)))^(1/0.54)</f>
        <v>4.4891942242333657E-2</v>
      </c>
      <c r="J266" s="709" t="s">
        <v>449</v>
      </c>
      <c r="K266" s="686"/>
      <c r="L266" s="687"/>
      <c r="M266" s="687"/>
      <c r="N266" s="688"/>
      <c r="O266" s="614" t="s">
        <v>656</v>
      </c>
      <c r="P266" s="245"/>
      <c r="Q266" s="114"/>
      <c r="R266" s="114"/>
      <c r="S266" s="114"/>
      <c r="T266" s="114"/>
      <c r="U266" s="114"/>
      <c r="V266" s="114"/>
      <c r="W266" s="114"/>
      <c r="X266" s="114"/>
      <c r="Y266" s="187"/>
      <c r="Z266" s="124"/>
      <c r="AA266" s="113"/>
    </row>
    <row r="267" spans="1:27" s="123" customFormat="1" ht="20.100000000000001" customHeight="1" x14ac:dyDescent="0.25">
      <c r="B267" s="715"/>
      <c r="C267" s="716"/>
      <c r="D267" s="716"/>
      <c r="E267" s="716"/>
      <c r="F267" s="716"/>
      <c r="G267" s="755"/>
      <c r="H267" s="699"/>
      <c r="I267" s="779"/>
      <c r="J267" s="710"/>
      <c r="K267" s="689"/>
      <c r="L267" s="690"/>
      <c r="M267" s="690"/>
      <c r="N267" s="691"/>
      <c r="O267" s="614"/>
      <c r="P267" s="114"/>
      <c r="Q267" s="114"/>
      <c r="R267" s="114"/>
      <c r="S267" s="114"/>
      <c r="T267" s="114"/>
      <c r="U267" s="114"/>
      <c r="V267" s="114"/>
      <c r="W267" s="114"/>
      <c r="X267" s="114"/>
      <c r="Y267" s="187"/>
      <c r="Z267" s="124"/>
      <c r="AA267" s="113"/>
    </row>
    <row r="268" spans="1:27" s="123" customFormat="1" ht="20.100000000000001" customHeight="1" x14ac:dyDescent="0.25">
      <c r="A268" s="123">
        <v>6</v>
      </c>
      <c r="B268" s="622" t="s">
        <v>463</v>
      </c>
      <c r="C268" s="663"/>
      <c r="D268" s="663"/>
      <c r="E268" s="663"/>
      <c r="F268" s="663"/>
      <c r="G268" s="623"/>
      <c r="H268" s="183" t="s">
        <v>442</v>
      </c>
      <c r="I268" s="279">
        <f>I266*I262</f>
        <v>0.8978388448466732</v>
      </c>
      <c r="J268" s="232" t="s">
        <v>3</v>
      </c>
      <c r="K268" s="706"/>
      <c r="L268" s="707"/>
      <c r="M268" s="707"/>
      <c r="N268" s="708"/>
      <c r="O268" s="114"/>
      <c r="P268" s="244"/>
      <c r="Q268" s="114"/>
      <c r="R268" s="114"/>
      <c r="S268" s="114"/>
      <c r="T268" s="114"/>
      <c r="U268" s="114"/>
      <c r="V268" s="114"/>
      <c r="W268" s="114"/>
      <c r="X268" s="114"/>
      <c r="Y268" s="187"/>
      <c r="Z268" s="124"/>
      <c r="AA268" s="113"/>
    </row>
    <row r="269" spans="1:27" s="123" customFormat="1" ht="20.100000000000001" customHeight="1" x14ac:dyDescent="0.25">
      <c r="B269" s="233"/>
      <c r="C269" s="233"/>
      <c r="D269" s="233"/>
      <c r="E269" s="233"/>
      <c r="F269" s="233"/>
      <c r="G269" s="233"/>
      <c r="H269" s="238"/>
      <c r="I269" s="239"/>
      <c r="J269" s="240"/>
      <c r="K269" s="193"/>
      <c r="L269" s="280"/>
      <c r="M269" s="193"/>
      <c r="N269" s="193"/>
      <c r="O269" s="114"/>
      <c r="P269" s="114"/>
      <c r="Q269" s="114"/>
      <c r="R269" s="114"/>
      <c r="S269" s="114"/>
      <c r="T269" s="114"/>
      <c r="U269" s="114"/>
      <c r="V269" s="114"/>
      <c r="W269" s="114"/>
      <c r="X269" s="114"/>
      <c r="Y269" s="187"/>
      <c r="Z269" s="124"/>
      <c r="AA269" s="113"/>
    </row>
    <row r="270" spans="1:27" s="123" customFormat="1" ht="20.100000000000001" customHeight="1" x14ac:dyDescent="0.25">
      <c r="B270" s="86" t="s">
        <v>458</v>
      </c>
      <c r="C270" s="243"/>
      <c r="D270" s="243"/>
      <c r="E270" s="243"/>
      <c r="F270" s="243"/>
      <c r="G270" s="243"/>
      <c r="H270" s="238"/>
      <c r="I270" s="239"/>
      <c r="J270" s="240"/>
      <c r="K270" s="242"/>
      <c r="L270" s="280"/>
      <c r="M270" s="242"/>
      <c r="N270" s="242"/>
      <c r="O270" s="114"/>
      <c r="P270" s="114"/>
      <c r="Q270" s="114"/>
      <c r="R270" s="114"/>
      <c r="S270" s="114"/>
      <c r="T270" s="114"/>
      <c r="U270" s="114"/>
      <c r="V270" s="114"/>
      <c r="W270" s="114"/>
      <c r="X270" s="114"/>
      <c r="Y270" s="187"/>
      <c r="Z270" s="124"/>
      <c r="AA270" s="113"/>
    </row>
    <row r="271" spans="1:27" s="123" customFormat="1" ht="20.100000000000001" customHeight="1" x14ac:dyDescent="0.25">
      <c r="B271" s="826" t="s">
        <v>408</v>
      </c>
      <c r="C271" s="826"/>
      <c r="D271" s="826"/>
      <c r="E271" s="826"/>
      <c r="F271" s="826"/>
      <c r="G271" s="823"/>
      <c r="H271" s="682" t="s">
        <v>454</v>
      </c>
      <c r="I271" s="659" t="s">
        <v>450</v>
      </c>
      <c r="J271" s="669" t="s">
        <v>472</v>
      </c>
      <c r="K271" s="282"/>
      <c r="L271" s="158"/>
      <c r="M271" s="158"/>
      <c r="N271" s="321"/>
      <c r="O271" s="114"/>
      <c r="P271" s="114"/>
      <c r="Q271" s="114"/>
      <c r="R271" s="114"/>
      <c r="S271" s="114"/>
      <c r="T271" s="114"/>
      <c r="U271" s="114"/>
      <c r="V271" s="114"/>
      <c r="W271" s="114"/>
      <c r="X271" s="114"/>
      <c r="Y271" s="187"/>
      <c r="Z271" s="124"/>
      <c r="AA271" s="113"/>
    </row>
    <row r="272" spans="1:27" s="123" customFormat="1" ht="20.100000000000001" customHeight="1" x14ac:dyDescent="0.25">
      <c r="B272" s="826"/>
      <c r="C272" s="826"/>
      <c r="D272" s="826"/>
      <c r="E272" s="826"/>
      <c r="F272" s="826"/>
      <c r="G272" s="823"/>
      <c r="H272" s="683"/>
      <c r="I272" s="659"/>
      <c r="J272" s="669"/>
      <c r="K272" s="282"/>
      <c r="L272" s="114"/>
      <c r="M272" s="114"/>
      <c r="N272" s="321"/>
      <c r="O272" s="114"/>
      <c r="P272" s="114"/>
      <c r="Q272" s="114"/>
      <c r="R272" s="114"/>
      <c r="S272" s="114"/>
      <c r="T272" s="114"/>
      <c r="U272" s="114"/>
      <c r="V272" s="114"/>
      <c r="W272" s="114"/>
      <c r="X272" s="114"/>
      <c r="Y272" s="187"/>
      <c r="Z272" s="124"/>
      <c r="AA272" s="113"/>
    </row>
    <row r="273" spans="2:27" s="123" customFormat="1" ht="20.100000000000001" customHeight="1" x14ac:dyDescent="0.25">
      <c r="B273" s="826"/>
      <c r="C273" s="826"/>
      <c r="D273" s="826"/>
      <c r="E273" s="826"/>
      <c r="F273" s="826"/>
      <c r="G273" s="823"/>
      <c r="H273" s="271" t="str">
        <f>IF(H238=BQ9,"(pulgadas)",IF(H238=BQ10,"(pulgadas)",IF(H238=BQ11,"(mm)",IF(H238=BQ12,"(mm)",IF(H238=BQ13,"(mm)",IF(H238=BQ14,"(mm)",IF(H238=BQ15,"(pulgadas)",IF(H238=BQ16,"(pulgadas)"))))))))</f>
        <v>(mm)</v>
      </c>
      <c r="I273" s="659"/>
      <c r="J273" s="669"/>
      <c r="K273" s="283"/>
      <c r="L273" s="114"/>
      <c r="M273" s="114"/>
      <c r="N273" s="321"/>
      <c r="O273" s="114"/>
      <c r="P273" s="114"/>
      <c r="Q273" s="114"/>
      <c r="R273" s="114"/>
      <c r="S273" s="114"/>
      <c r="T273" s="114"/>
      <c r="U273" s="114"/>
      <c r="V273" s="114"/>
      <c r="W273" s="114"/>
      <c r="X273" s="114"/>
      <c r="Y273" s="187"/>
      <c r="Z273" s="124"/>
      <c r="AA273" s="113"/>
    </row>
    <row r="274" spans="2:27" s="123" customFormat="1" ht="20.100000000000001" customHeight="1" x14ac:dyDescent="0.25">
      <c r="B274" s="622" t="s">
        <v>412</v>
      </c>
      <c r="C274" s="663"/>
      <c r="D274" s="663"/>
      <c r="E274" s="663"/>
      <c r="F274" s="663"/>
      <c r="G274" s="623"/>
      <c r="H274" s="318">
        <f>$I$241</f>
        <v>200</v>
      </c>
      <c r="I274" s="387">
        <v>1</v>
      </c>
      <c r="J274" s="134">
        <f>IF(B274=CE9,HLOOKUP(H274,$CH$7:$DK$23,3,FALSE))</f>
        <v>0.11</v>
      </c>
      <c r="K274" s="122"/>
      <c r="L274" s="244"/>
      <c r="M274" s="321"/>
      <c r="N274" s="321"/>
      <c r="O274" s="114"/>
      <c r="P274" s="114"/>
      <c r="Q274" s="114"/>
      <c r="R274" s="114"/>
      <c r="S274" s="114"/>
      <c r="T274" s="114"/>
      <c r="U274" s="114"/>
      <c r="V274" s="114"/>
      <c r="W274" s="114"/>
      <c r="X274" s="114"/>
      <c r="Y274" s="187"/>
      <c r="Z274" s="124"/>
      <c r="AA274" s="113"/>
    </row>
    <row r="275" spans="2:27" s="123" customFormat="1" ht="20.100000000000001" customHeight="1" x14ac:dyDescent="0.25">
      <c r="B275" s="622" t="s">
        <v>418</v>
      </c>
      <c r="C275" s="663"/>
      <c r="D275" s="663"/>
      <c r="E275" s="663"/>
      <c r="F275" s="663"/>
      <c r="G275" s="623"/>
      <c r="H275" s="324">
        <f t="shared" ref="H275:H280" si="82">$I$241</f>
        <v>200</v>
      </c>
      <c r="I275" s="387">
        <v>1</v>
      </c>
      <c r="J275" s="279">
        <f>IF(B275=CE11,HLOOKUP(H275,$CH$7:$DK$23,5,FALSE),IF(B275=CE12,HLOOKUP(H275,$CH$7:$DK$23,6,FALSE)))</f>
        <v>0.16800000000000001</v>
      </c>
      <c r="K275" s="616" t="s">
        <v>660</v>
      </c>
      <c r="L275" s="244"/>
      <c r="M275" s="321"/>
      <c r="N275" s="321"/>
      <c r="O275" s="114"/>
      <c r="P275" s="114"/>
      <c r="Q275" s="114"/>
      <c r="R275" s="114"/>
      <c r="S275" s="114"/>
      <c r="T275" s="114"/>
      <c r="U275" s="114"/>
      <c r="V275" s="114"/>
      <c r="W275" s="114"/>
      <c r="X275" s="114"/>
      <c r="Y275" s="187"/>
      <c r="Z275" s="124"/>
      <c r="AA275" s="113"/>
    </row>
    <row r="276" spans="2:27" s="123" customFormat="1" ht="20.100000000000001" customHeight="1" x14ac:dyDescent="0.25">
      <c r="B276" s="622" t="s">
        <v>413</v>
      </c>
      <c r="C276" s="663"/>
      <c r="D276" s="663"/>
      <c r="E276" s="663"/>
      <c r="F276" s="663"/>
      <c r="G276" s="623"/>
      <c r="H276" s="324">
        <f t="shared" si="82"/>
        <v>200</v>
      </c>
      <c r="I276" s="387">
        <v>1</v>
      </c>
      <c r="J276" s="134">
        <f>IF(B276=CE14,HLOOKUP(H276,$CH$7:$DK$23,8,FALSE))</f>
        <v>0.28000000000000003</v>
      </c>
      <c r="K276" s="122"/>
      <c r="L276" s="244"/>
      <c r="M276" s="321"/>
      <c r="N276" s="321"/>
      <c r="O276" s="114"/>
      <c r="P276" s="114"/>
      <c r="Q276" s="114"/>
      <c r="R276" s="114"/>
      <c r="S276" s="114"/>
      <c r="T276" s="114"/>
      <c r="U276" s="114"/>
      <c r="V276" s="114"/>
      <c r="W276" s="114"/>
      <c r="X276" s="114"/>
      <c r="Y276" s="187"/>
      <c r="Z276" s="124"/>
      <c r="AA276" s="113"/>
    </row>
    <row r="277" spans="2:27" s="123" customFormat="1" ht="20.100000000000001" customHeight="1" x14ac:dyDescent="0.25">
      <c r="B277" s="622" t="s">
        <v>414</v>
      </c>
      <c r="C277" s="663"/>
      <c r="D277" s="663"/>
      <c r="E277" s="663"/>
      <c r="F277" s="663"/>
      <c r="G277" s="623"/>
      <c r="H277" s="324">
        <f t="shared" si="82"/>
        <v>200</v>
      </c>
      <c r="I277" s="387">
        <v>1</v>
      </c>
      <c r="J277" s="134">
        <f>IF(B277=CE16,HLOOKUP(H277,$CH$7:$DK$23,10,FALSE))</f>
        <v>0.84</v>
      </c>
      <c r="K277" s="122"/>
      <c r="L277" s="244"/>
      <c r="M277" s="321"/>
      <c r="N277" s="321"/>
      <c r="O277" s="114"/>
      <c r="P277" s="114"/>
      <c r="Q277" s="114"/>
      <c r="R277" s="114"/>
      <c r="S277" s="114"/>
      <c r="T277" s="114"/>
      <c r="U277" s="114"/>
      <c r="V277" s="114"/>
      <c r="W277" s="114"/>
      <c r="X277" s="114"/>
      <c r="Y277" s="187"/>
      <c r="Z277" s="124"/>
      <c r="AA277" s="113"/>
    </row>
    <row r="278" spans="2:27" s="123" customFormat="1" ht="20.100000000000001" customHeight="1" x14ac:dyDescent="0.25">
      <c r="B278" s="622" t="s">
        <v>417</v>
      </c>
      <c r="C278" s="663"/>
      <c r="D278" s="663"/>
      <c r="E278" s="663"/>
      <c r="F278" s="663"/>
      <c r="G278" s="623"/>
      <c r="H278" s="324">
        <f t="shared" si="82"/>
        <v>200</v>
      </c>
      <c r="I278" s="387">
        <v>1</v>
      </c>
      <c r="J278" s="134">
        <f>IF(B278=CE18,HLOOKUP(H278,$CH$7:$DK$23,12,FALSE))</f>
        <v>0.3</v>
      </c>
      <c r="K278" s="122"/>
      <c r="L278" s="244"/>
      <c r="M278" s="321"/>
      <c r="N278" s="321"/>
      <c r="O278" s="114"/>
      <c r="P278" s="114"/>
      <c r="Q278" s="114"/>
      <c r="R278" s="114"/>
      <c r="S278" s="114"/>
      <c r="T278" s="114"/>
      <c r="U278" s="114"/>
      <c r="V278" s="114"/>
      <c r="W278" s="114"/>
      <c r="X278" s="114"/>
      <c r="Y278" s="187"/>
      <c r="Z278" s="124"/>
      <c r="AA278" s="113"/>
    </row>
    <row r="279" spans="2:27" s="123" customFormat="1" ht="20.100000000000001" customHeight="1" x14ac:dyDescent="0.25">
      <c r="B279" s="622" t="s">
        <v>416</v>
      </c>
      <c r="C279" s="663"/>
      <c r="D279" s="663"/>
      <c r="E279" s="663"/>
      <c r="F279" s="663"/>
      <c r="G279" s="623"/>
      <c r="H279" s="324">
        <f>$I$241</f>
        <v>200</v>
      </c>
      <c r="I279" s="387">
        <v>1</v>
      </c>
      <c r="J279" s="134">
        <f>IF(B279=CE20,HLOOKUP(H279,$CH$7:$DK$23,14,FALSE),IF(B279=CE21,HLOOKUP(H279,$CH$7:$DK$23,15,FALSE)))</f>
        <v>0.1</v>
      </c>
      <c r="K279" s="122"/>
      <c r="L279" s="244"/>
      <c r="M279" s="321"/>
      <c r="N279" s="321"/>
      <c r="O279" s="114"/>
      <c r="P279" s="114"/>
      <c r="Q279" s="114"/>
      <c r="R279" s="114"/>
      <c r="S279" s="114"/>
      <c r="T279" s="114"/>
      <c r="U279" s="114"/>
      <c r="V279" s="114"/>
      <c r="W279" s="114"/>
      <c r="X279" s="114"/>
      <c r="Y279" s="187"/>
      <c r="Z279" s="124"/>
      <c r="AA279" s="113"/>
    </row>
    <row r="280" spans="2:27" s="123" customFormat="1" ht="20.100000000000001" customHeight="1" x14ac:dyDescent="0.25">
      <c r="B280" s="622" t="s">
        <v>453</v>
      </c>
      <c r="C280" s="663"/>
      <c r="D280" s="663"/>
      <c r="E280" s="663"/>
      <c r="F280" s="663"/>
      <c r="G280" s="623"/>
      <c r="H280" s="324">
        <f t="shared" si="82"/>
        <v>200</v>
      </c>
      <c r="I280" s="387">
        <v>1</v>
      </c>
      <c r="J280" s="134">
        <f>IF(B280=CE23,HLOOKUP(H280,$CH$7:$DK$23,17,FALSE))</f>
        <v>1</v>
      </c>
      <c r="K280" s="122"/>
      <c r="L280" s="244"/>
      <c r="M280" s="321"/>
      <c r="N280" s="321"/>
      <c r="O280" s="114"/>
      <c r="P280" s="114"/>
      <c r="Q280" s="114"/>
      <c r="R280" s="114"/>
      <c r="S280" s="114"/>
      <c r="T280" s="114"/>
      <c r="U280" s="114"/>
      <c r="V280" s="114"/>
      <c r="W280" s="114"/>
      <c r="X280" s="114"/>
      <c r="Y280" s="187"/>
      <c r="Z280" s="124"/>
      <c r="AA280" s="113"/>
    </row>
    <row r="281" spans="2:27" s="123" customFormat="1" ht="20.100000000000001" customHeight="1" x14ac:dyDescent="0.25">
      <c r="B281" s="103"/>
      <c r="C281" s="103"/>
      <c r="D281" s="103"/>
      <c r="E281" s="103"/>
      <c r="F281" s="104"/>
      <c r="G281" s="105"/>
      <c r="H281" s="224"/>
      <c r="I281" s="114"/>
      <c r="J281" s="114"/>
      <c r="K281" s="114"/>
      <c r="L281" s="114"/>
      <c r="M281" s="114"/>
      <c r="N281" s="114"/>
      <c r="O281" s="114"/>
      <c r="P281" s="138"/>
      <c r="Q281" s="114"/>
      <c r="R281" s="114"/>
      <c r="S281" s="114"/>
      <c r="T281" s="114"/>
      <c r="U281" s="114"/>
      <c r="V281" s="114"/>
      <c r="W281" s="114"/>
      <c r="X281" s="114"/>
      <c r="Y281" s="187"/>
      <c r="Z281" s="124"/>
      <c r="AA281" s="113"/>
    </row>
    <row r="282" spans="2:27" s="123" customFormat="1" ht="20.100000000000001" customHeight="1" x14ac:dyDescent="0.25">
      <c r="B282" s="640" t="s">
        <v>459</v>
      </c>
      <c r="C282" s="640"/>
      <c r="D282" s="640"/>
      <c r="E282" s="640"/>
      <c r="F282" s="640"/>
      <c r="G282" s="640"/>
      <c r="H282" s="324" t="s">
        <v>462</v>
      </c>
      <c r="I282" s="172">
        <f>SUM(J274:J280)</f>
        <v>2.798</v>
      </c>
      <c r="J282" s="320" t="s">
        <v>480</v>
      </c>
      <c r="K282" s="664"/>
      <c r="L282" s="664"/>
      <c r="M282" s="664"/>
      <c r="N282" s="664"/>
      <c r="O282" s="114"/>
      <c r="P282" s="114"/>
      <c r="Q282" s="114"/>
      <c r="R282" s="114"/>
      <c r="S282" s="114"/>
      <c r="T282" s="114"/>
      <c r="U282" s="114"/>
      <c r="V282" s="114"/>
      <c r="W282" s="114"/>
      <c r="X282" s="114"/>
      <c r="Y282" s="187"/>
      <c r="Z282" s="124"/>
      <c r="AA282" s="113"/>
    </row>
    <row r="283" spans="2:27" s="123" customFormat="1" ht="20.100000000000001" customHeight="1" x14ac:dyDescent="0.25">
      <c r="B283" s="640" t="s">
        <v>460</v>
      </c>
      <c r="C283" s="640"/>
      <c r="D283" s="640"/>
      <c r="E283" s="640"/>
      <c r="F283" s="640"/>
      <c r="G283" s="640"/>
      <c r="H283" s="679" t="s">
        <v>461</v>
      </c>
      <c r="I283" s="680">
        <f>I282*I245</f>
        <v>1.6382903137311651</v>
      </c>
      <c r="J283" s="809" t="s">
        <v>3</v>
      </c>
      <c r="K283" s="664"/>
      <c r="L283" s="664"/>
      <c r="M283" s="664"/>
      <c r="N283" s="664"/>
      <c r="O283" s="114"/>
      <c r="P283" s="114"/>
      <c r="Q283" s="114"/>
      <c r="R283" s="114"/>
      <c r="S283" s="114"/>
      <c r="T283" s="114"/>
      <c r="U283" s="114"/>
      <c r="V283" s="114"/>
      <c r="W283" s="114"/>
      <c r="X283" s="114"/>
      <c r="Y283" s="187"/>
      <c r="Z283" s="124"/>
      <c r="AA283" s="113"/>
    </row>
    <row r="284" spans="2:27" s="123" customFormat="1" ht="20.100000000000001" customHeight="1" x14ac:dyDescent="0.25">
      <c r="B284" s="640"/>
      <c r="C284" s="640"/>
      <c r="D284" s="640"/>
      <c r="E284" s="640"/>
      <c r="F284" s="640"/>
      <c r="G284" s="640"/>
      <c r="H284" s="679"/>
      <c r="I284" s="680"/>
      <c r="J284" s="809"/>
      <c r="K284" s="664"/>
      <c r="L284" s="664"/>
      <c r="M284" s="664"/>
      <c r="N284" s="664"/>
      <c r="O284" s="114"/>
      <c r="P284" s="114"/>
      <c r="Q284" s="284"/>
      <c r="R284" s="114"/>
      <c r="S284" s="114"/>
      <c r="T284" s="114"/>
      <c r="U284" s="114"/>
      <c r="V284" s="114"/>
      <c r="W284" s="114"/>
      <c r="X284" s="114"/>
      <c r="Y284" s="187"/>
      <c r="Z284" s="124"/>
      <c r="AA284" s="113"/>
    </row>
    <row r="285" spans="2:27" s="123" customFormat="1" ht="20.100000000000001" customHeight="1" x14ac:dyDescent="0.25">
      <c r="B285" s="103"/>
      <c r="C285" s="103"/>
      <c r="D285" s="103"/>
      <c r="E285" s="103"/>
      <c r="F285" s="104"/>
      <c r="G285" s="105"/>
      <c r="H285" s="224"/>
      <c r="I285" s="114"/>
      <c r="J285" s="114"/>
      <c r="K285" s="114"/>
      <c r="L285" s="114"/>
      <c r="M285" s="114"/>
      <c r="N285" s="114"/>
      <c r="O285" s="114"/>
      <c r="P285" s="114"/>
      <c r="Q285" s="114"/>
      <c r="R285" s="114"/>
      <c r="S285" s="114"/>
      <c r="T285" s="114"/>
      <c r="U285" s="114"/>
      <c r="V285" s="114"/>
      <c r="W285" s="114"/>
      <c r="X285" s="114"/>
      <c r="Y285" s="187"/>
      <c r="Z285" s="124"/>
      <c r="AA285" s="113"/>
    </row>
    <row r="286" spans="2:27" s="123" customFormat="1" ht="20.100000000000001" customHeight="1" x14ac:dyDescent="0.25">
      <c r="B286" s="86" t="s">
        <v>615</v>
      </c>
      <c r="C286" s="103"/>
      <c r="D286" s="103"/>
      <c r="E286" s="103"/>
      <c r="F286" s="104"/>
      <c r="G286" s="105"/>
      <c r="H286" s="106"/>
      <c r="I286" s="114"/>
      <c r="J286" s="114"/>
      <c r="K286" s="114"/>
      <c r="L286" s="114"/>
      <c r="M286" s="114"/>
      <c r="N286" s="114"/>
      <c r="O286" s="114"/>
      <c r="P286" s="114"/>
      <c r="Q286" s="114"/>
      <c r="R286" s="114"/>
      <c r="S286" s="114"/>
      <c r="T286" s="114"/>
      <c r="U286" s="114"/>
      <c r="V286" s="114"/>
      <c r="W286" s="114"/>
      <c r="X286" s="114"/>
      <c r="Y286" s="187"/>
      <c r="Z286" s="124"/>
      <c r="AA286" s="113"/>
    </row>
    <row r="287" spans="2:27" s="123" customFormat="1" ht="20.100000000000001" customHeight="1" x14ac:dyDescent="0.25">
      <c r="B287" s="622" t="s">
        <v>228</v>
      </c>
      <c r="C287" s="663"/>
      <c r="D287" s="663"/>
      <c r="E287" s="663"/>
      <c r="F287" s="663"/>
      <c r="G287" s="623"/>
      <c r="H287" s="183" t="s">
        <v>473</v>
      </c>
      <c r="I287" s="279">
        <f>I222</f>
        <v>0.58079999999999998</v>
      </c>
      <c r="J287" s="232" t="s">
        <v>3</v>
      </c>
      <c r="K287" s="808"/>
      <c r="L287" s="808"/>
      <c r="M287" s="808"/>
      <c r="N287" s="808"/>
      <c r="O287" s="114"/>
      <c r="P287" s="114"/>
      <c r="Q287" s="114"/>
      <c r="R287" s="114"/>
      <c r="S287" s="114"/>
      <c r="T287" s="114"/>
      <c r="U287" s="114"/>
      <c r="V287" s="114"/>
      <c r="W287" s="114"/>
      <c r="X287" s="114"/>
      <c r="Y287" s="187"/>
      <c r="Z287" s="124"/>
      <c r="AA287" s="113"/>
    </row>
    <row r="288" spans="2:27" s="123" customFormat="1" ht="20.100000000000001" customHeight="1" x14ac:dyDescent="0.25">
      <c r="B288" s="622" t="s">
        <v>466</v>
      </c>
      <c r="C288" s="663"/>
      <c r="D288" s="663"/>
      <c r="E288" s="663"/>
      <c r="F288" s="663"/>
      <c r="G288" s="623"/>
      <c r="H288" s="183" t="s">
        <v>474</v>
      </c>
      <c r="I288" s="279">
        <f>I227</f>
        <v>9.5039685865024967E-2</v>
      </c>
      <c r="J288" s="232" t="s">
        <v>3</v>
      </c>
      <c r="K288" s="808"/>
      <c r="L288" s="808"/>
      <c r="M288" s="808"/>
      <c r="N288" s="808"/>
      <c r="O288" s="114"/>
      <c r="P288" s="114"/>
      <c r="Q288" s="114"/>
      <c r="R288" s="114"/>
      <c r="S288" s="114"/>
      <c r="T288" s="114"/>
      <c r="U288" s="114"/>
      <c r="V288" s="114"/>
      <c r="W288" s="114"/>
      <c r="X288" s="114"/>
      <c r="Y288" s="187"/>
      <c r="Z288" s="124"/>
      <c r="AA288" s="113"/>
    </row>
    <row r="289" spans="2:27" s="123" customFormat="1" ht="20.100000000000001" customHeight="1" x14ac:dyDescent="0.25">
      <c r="B289" s="622" t="s">
        <v>470</v>
      </c>
      <c r="C289" s="663"/>
      <c r="D289" s="663"/>
      <c r="E289" s="663"/>
      <c r="F289" s="663"/>
      <c r="G289" s="623"/>
      <c r="H289" s="183" t="s">
        <v>471</v>
      </c>
      <c r="I289" s="279">
        <f>I234</f>
        <v>3.271449103495129</v>
      </c>
      <c r="J289" s="232" t="s">
        <v>3</v>
      </c>
      <c r="K289" s="808"/>
      <c r="L289" s="808"/>
      <c r="M289" s="808"/>
      <c r="N289" s="808"/>
      <c r="O289" s="114"/>
      <c r="P289" s="114"/>
      <c r="Q289" s="114"/>
      <c r="R289" s="114"/>
      <c r="S289" s="114"/>
      <c r="T289" s="114"/>
      <c r="U289" s="114"/>
      <c r="V289" s="114"/>
      <c r="W289" s="114"/>
      <c r="X289" s="114"/>
      <c r="Y289" s="187"/>
      <c r="Z289" s="124"/>
      <c r="AA289" s="113"/>
    </row>
    <row r="290" spans="2:27" s="123" customFormat="1" ht="20.100000000000001" customHeight="1" x14ac:dyDescent="0.25">
      <c r="B290" s="622" t="s">
        <v>476</v>
      </c>
      <c r="C290" s="663"/>
      <c r="D290" s="663"/>
      <c r="E290" s="663"/>
      <c r="F290" s="663"/>
      <c r="G290" s="623"/>
      <c r="H290" s="183" t="s">
        <v>442</v>
      </c>
      <c r="I290" s="279">
        <f>IF(B290=DM8,I256,IF(B290=DM9,I268))</f>
        <v>0.8978388448466732</v>
      </c>
      <c r="J290" s="232" t="s">
        <v>3</v>
      </c>
      <c r="K290" s="808"/>
      <c r="L290" s="808"/>
      <c r="M290" s="808"/>
      <c r="N290" s="808"/>
      <c r="O290" s="114"/>
      <c r="P290" s="114"/>
      <c r="Q290" s="114"/>
      <c r="R290" s="114"/>
      <c r="S290" s="114"/>
      <c r="T290" s="114"/>
      <c r="U290" s="114"/>
      <c r="V290" s="114"/>
      <c r="W290" s="114"/>
      <c r="X290" s="114"/>
      <c r="Y290" s="187"/>
      <c r="Z290" s="124"/>
      <c r="AA290" s="113"/>
    </row>
    <row r="291" spans="2:27" s="123" customFormat="1" ht="20.100000000000001" customHeight="1" x14ac:dyDescent="0.25">
      <c r="B291" s="622" t="s">
        <v>478</v>
      </c>
      <c r="C291" s="663"/>
      <c r="D291" s="663"/>
      <c r="E291" s="663"/>
      <c r="F291" s="663"/>
      <c r="G291" s="623"/>
      <c r="H291" s="183" t="s">
        <v>461</v>
      </c>
      <c r="I291" s="279">
        <f>SUM(J274:J280)*I245</f>
        <v>1.6382903137311651</v>
      </c>
      <c r="J291" s="232" t="s">
        <v>3</v>
      </c>
      <c r="K291" s="808"/>
      <c r="L291" s="808"/>
      <c r="M291" s="808"/>
      <c r="N291" s="808"/>
      <c r="O291" s="114"/>
      <c r="P291" s="114"/>
      <c r="Q291" s="114"/>
      <c r="R291" s="114"/>
      <c r="S291" s="114"/>
      <c r="T291" s="114"/>
      <c r="U291" s="114"/>
      <c r="V291" s="114"/>
      <c r="W291" s="114"/>
      <c r="X291" s="114"/>
      <c r="Y291" s="187"/>
      <c r="Z291" s="124"/>
      <c r="AA291" s="113"/>
    </row>
    <row r="292" spans="2:27" s="123" customFormat="1" ht="20.100000000000001" customHeight="1" x14ac:dyDescent="0.25">
      <c r="B292" s="622" t="s">
        <v>479</v>
      </c>
      <c r="C292" s="663"/>
      <c r="D292" s="663"/>
      <c r="E292" s="663"/>
      <c r="F292" s="663"/>
      <c r="G292" s="623"/>
      <c r="H292" s="285" t="s">
        <v>502</v>
      </c>
      <c r="I292" s="279">
        <f>SUM(I287:I291)</f>
        <v>6.4834179479379923</v>
      </c>
      <c r="J292" s="232" t="s">
        <v>3</v>
      </c>
      <c r="K292" s="808"/>
      <c r="L292" s="808"/>
      <c r="M292" s="808"/>
      <c r="N292" s="808"/>
      <c r="O292" s="114"/>
      <c r="P292" s="114"/>
      <c r="Q292" s="114"/>
      <c r="R292" s="114"/>
      <c r="S292" s="114"/>
      <c r="T292" s="114"/>
      <c r="U292" s="114"/>
      <c r="V292" s="114"/>
      <c r="W292" s="114"/>
      <c r="X292" s="114"/>
      <c r="Y292" s="187"/>
      <c r="Z292" s="124"/>
      <c r="AA292" s="113"/>
    </row>
    <row r="293" spans="2:27" s="123" customFormat="1" ht="20.100000000000001" customHeight="1" x14ac:dyDescent="0.25">
      <c r="B293" s="331"/>
      <c r="C293" s="331"/>
      <c r="D293" s="331"/>
      <c r="E293" s="331"/>
      <c r="F293" s="331"/>
      <c r="G293" s="331"/>
      <c r="H293" s="293"/>
      <c r="I293" s="294"/>
      <c r="J293" s="240"/>
      <c r="K293" s="332"/>
      <c r="L293" s="332"/>
      <c r="M293" s="332"/>
      <c r="N293" s="332"/>
      <c r="O293" s="114"/>
      <c r="P293" s="114"/>
      <c r="Q293" s="114"/>
      <c r="R293" s="114"/>
      <c r="S293" s="114"/>
      <c r="T293" s="114"/>
      <c r="U293" s="114"/>
      <c r="V293" s="114"/>
      <c r="W293" s="114"/>
      <c r="X293" s="114"/>
      <c r="Y293" s="187"/>
      <c r="Z293" s="124"/>
      <c r="AA293" s="113"/>
    </row>
    <row r="294" spans="2:27" s="123" customFormat="1" ht="20.100000000000001" customHeight="1" x14ac:dyDescent="0.25">
      <c r="B294" s="86" t="s">
        <v>568</v>
      </c>
      <c r="C294" s="331"/>
      <c r="D294" s="331"/>
      <c r="E294" s="331"/>
      <c r="F294" s="331"/>
      <c r="G294" s="331"/>
      <c r="H294" s="293"/>
      <c r="I294" s="294"/>
      <c r="J294" s="240"/>
      <c r="K294" s="332"/>
      <c r="L294" s="332"/>
      <c r="M294" s="332"/>
      <c r="N294" s="332"/>
      <c r="O294" s="114"/>
      <c r="P294" s="114"/>
      <c r="Q294" s="114"/>
      <c r="R294" s="114"/>
      <c r="S294" s="114"/>
      <c r="T294" s="114"/>
      <c r="U294" s="114"/>
      <c r="V294" s="114"/>
      <c r="W294" s="114"/>
      <c r="X294" s="114"/>
      <c r="Y294" s="187"/>
      <c r="Z294" s="124"/>
      <c r="AA294" s="113"/>
    </row>
    <row r="295" spans="2:27" s="123" customFormat="1" ht="20.100000000000001" customHeight="1" x14ac:dyDescent="0.25">
      <c r="B295" s="826" t="s">
        <v>560</v>
      </c>
      <c r="C295" s="826"/>
      <c r="D295" s="826"/>
      <c r="E295" s="826"/>
      <c r="F295" s="826"/>
      <c r="G295" s="826"/>
      <c r="H295" s="826"/>
      <c r="I295" s="943" t="s">
        <v>561</v>
      </c>
      <c r="J295" s="944" t="s">
        <v>559</v>
      </c>
      <c r="K295" s="942"/>
      <c r="L295" s="942"/>
      <c r="M295" s="942"/>
      <c r="N295" s="942"/>
      <c r="O295" s="114"/>
      <c r="P295" s="114"/>
      <c r="Q295" s="114"/>
      <c r="R295" s="114"/>
      <c r="S295" s="114"/>
      <c r="T295" s="114"/>
      <c r="U295" s="114"/>
      <c r="V295" s="114"/>
      <c r="W295" s="114"/>
      <c r="X295" s="114"/>
      <c r="Y295" s="187"/>
      <c r="Z295" s="124"/>
      <c r="AA295" s="113"/>
    </row>
    <row r="296" spans="2:27" s="123" customFormat="1" ht="20.100000000000001" customHeight="1" x14ac:dyDescent="0.25">
      <c r="B296" s="826"/>
      <c r="C296" s="826"/>
      <c r="D296" s="826"/>
      <c r="E296" s="826"/>
      <c r="F296" s="826"/>
      <c r="G296" s="826"/>
      <c r="H296" s="826"/>
      <c r="I296" s="943"/>
      <c r="J296" s="944"/>
      <c r="K296" s="942"/>
      <c r="L296" s="942"/>
      <c r="M296" s="942"/>
      <c r="N296" s="942"/>
      <c r="O296" s="114"/>
      <c r="P296" s="114"/>
      <c r="Q296" s="114"/>
      <c r="R296" s="114"/>
      <c r="S296" s="114"/>
      <c r="T296" s="114"/>
      <c r="U296" s="114"/>
      <c r="V296" s="114"/>
      <c r="W296" s="114"/>
      <c r="X296" s="114"/>
      <c r="Y296" s="187"/>
      <c r="Z296" s="124"/>
      <c r="AA296" s="113"/>
    </row>
    <row r="297" spans="2:27" s="123" customFormat="1" ht="20.100000000000001" customHeight="1" x14ac:dyDescent="0.25">
      <c r="B297" s="640" t="s">
        <v>562</v>
      </c>
      <c r="C297" s="640"/>
      <c r="D297" s="640"/>
      <c r="E297" s="640"/>
      <c r="F297" s="640"/>
      <c r="G297" s="640"/>
      <c r="H297" s="333" t="s">
        <v>431</v>
      </c>
      <c r="I297" s="279" t="s">
        <v>374</v>
      </c>
      <c r="J297" s="279">
        <f>$I$243</f>
        <v>3.3886952896161833</v>
      </c>
      <c r="K297" s="960"/>
      <c r="L297" s="961"/>
      <c r="M297" s="961"/>
      <c r="N297" s="962"/>
      <c r="O297" s="114" t="str">
        <f>IF(J297&lt;1.5,"Velocidad baja en la tubería de lavado, seleccione otro diámetro",IF(J297&gt;3,"Velocidad alta en la tubería de lavado, seleccione otro diámetro","¡Ok!"))</f>
        <v>Velocidad alta en la tubería de lavado, seleccione otro diámetro</v>
      </c>
      <c r="P297" s="114"/>
      <c r="Q297" s="114"/>
      <c r="R297" s="114"/>
      <c r="S297" s="114"/>
      <c r="T297" s="114"/>
      <c r="U297" s="114"/>
      <c r="V297" s="114"/>
      <c r="W297" s="114"/>
      <c r="X297" s="114"/>
      <c r="Y297" s="187"/>
      <c r="Z297" s="124"/>
      <c r="AA297" s="113"/>
    </row>
    <row r="298" spans="2:27" s="123" customFormat="1" ht="20.100000000000001" customHeight="1" x14ac:dyDescent="0.25">
      <c r="B298" s="713" t="s">
        <v>566</v>
      </c>
      <c r="C298" s="714"/>
      <c r="D298" s="714"/>
      <c r="E298" s="714"/>
      <c r="F298" s="714"/>
      <c r="G298" s="754"/>
      <c r="H298" s="698" t="s">
        <v>564</v>
      </c>
      <c r="I298" s="778" t="s">
        <v>563</v>
      </c>
      <c r="J298" s="778">
        <f>$I$213/(VLOOKUP(I173,BG8:BH16,2,FALSE))</f>
        <v>0.68801158010479291</v>
      </c>
      <c r="K298" s="936"/>
      <c r="L298" s="937"/>
      <c r="M298" s="937"/>
      <c r="N298" s="938"/>
      <c r="O298" s="921" t="str">
        <f>IF(J298&lt;0.9,"Velocidad baja en el múltiple, seleccione otra sección",IF(J298&gt;2.4,"Velocidad alta en el múltiple, seleccione otra sección","¡Ok!"))</f>
        <v>Velocidad baja en el múltiple, seleccione otra sección</v>
      </c>
      <c r="P298" s="808"/>
      <c r="Q298" s="114"/>
      <c r="R298" s="114"/>
      <c r="S298" s="114"/>
      <c r="T298" s="114"/>
      <c r="U298" s="114"/>
      <c r="V298" s="114"/>
      <c r="W298" s="114"/>
      <c r="X298" s="114"/>
      <c r="Y298" s="187"/>
      <c r="Z298" s="124"/>
      <c r="AA298" s="113"/>
    </row>
    <row r="299" spans="2:27" s="123" customFormat="1" ht="20.100000000000001" customHeight="1" x14ac:dyDescent="0.25">
      <c r="B299" s="715"/>
      <c r="C299" s="716"/>
      <c r="D299" s="716"/>
      <c r="E299" s="716"/>
      <c r="F299" s="716"/>
      <c r="G299" s="755"/>
      <c r="H299" s="699"/>
      <c r="I299" s="779"/>
      <c r="J299" s="779"/>
      <c r="K299" s="939"/>
      <c r="L299" s="940"/>
      <c r="M299" s="940"/>
      <c r="N299" s="941"/>
      <c r="O299" s="921"/>
      <c r="P299" s="808"/>
      <c r="Q299" s="114"/>
      <c r="R299" s="114"/>
      <c r="S299" s="114"/>
      <c r="T299" s="114"/>
      <c r="U299" s="114"/>
      <c r="V299" s="114"/>
      <c r="W299" s="114"/>
      <c r="X299" s="114"/>
      <c r="Y299" s="187"/>
      <c r="Z299" s="124"/>
      <c r="AA299" s="113"/>
    </row>
    <row r="300" spans="2:27" s="123" customFormat="1" ht="20.100000000000001" customHeight="1" x14ac:dyDescent="0.25">
      <c r="B300" s="713" t="s">
        <v>567</v>
      </c>
      <c r="C300" s="714"/>
      <c r="D300" s="714"/>
      <c r="E300" s="714"/>
      <c r="F300" s="714"/>
      <c r="G300" s="754"/>
      <c r="H300" s="719" t="s">
        <v>565</v>
      </c>
      <c r="I300" s="778" t="s">
        <v>563</v>
      </c>
      <c r="J300" s="778">
        <f>$I$213/(VLOOKUP(I177,BB8:BC12,2,FALSE)*I178)</f>
        <v>3.4686201212308831</v>
      </c>
      <c r="K300" s="936"/>
      <c r="L300" s="937"/>
      <c r="M300" s="937"/>
      <c r="N300" s="938"/>
      <c r="O300" s="921" t="str">
        <f>IF(J300&lt;0.9,"Velocidad baja en el lateral, seleccione otro diámetro o distanciamiento",IF(J300&gt;2.4,"Velocidad alta en el lateral, seleccione otro diámetro o distanciamiento","¡Ok!"))</f>
        <v>Velocidad alta en el lateral, seleccione otro diámetro o distanciamiento</v>
      </c>
      <c r="P300" s="114"/>
      <c r="Q300" s="114"/>
      <c r="R300" s="114"/>
      <c r="S300" s="114"/>
      <c r="T300" s="114"/>
      <c r="U300" s="114"/>
      <c r="V300" s="114"/>
      <c r="W300" s="114"/>
      <c r="X300" s="114"/>
      <c r="Y300" s="187"/>
      <c r="Z300" s="124"/>
      <c r="AA300" s="113"/>
    </row>
    <row r="301" spans="2:27" s="123" customFormat="1" ht="20.100000000000001" customHeight="1" x14ac:dyDescent="0.25">
      <c r="B301" s="715"/>
      <c r="C301" s="716"/>
      <c r="D301" s="716"/>
      <c r="E301" s="716"/>
      <c r="F301" s="716"/>
      <c r="G301" s="755"/>
      <c r="H301" s="720"/>
      <c r="I301" s="779"/>
      <c r="J301" s="779"/>
      <c r="K301" s="939"/>
      <c r="L301" s="940"/>
      <c r="M301" s="940"/>
      <c r="N301" s="941"/>
      <c r="O301" s="921"/>
      <c r="P301" s="114"/>
      <c r="Q301" s="114"/>
      <c r="R301" s="114"/>
      <c r="S301" s="114"/>
      <c r="T301" s="114"/>
      <c r="U301" s="114"/>
      <c r="V301" s="114"/>
      <c r="W301" s="114"/>
      <c r="X301" s="114"/>
      <c r="Y301" s="187"/>
      <c r="Z301" s="124"/>
      <c r="AA301" s="113"/>
    </row>
    <row r="302" spans="2:27" s="123" customFormat="1" ht="20.100000000000001" customHeight="1" x14ac:dyDescent="0.25">
      <c r="B302" s="331"/>
      <c r="C302" s="331"/>
      <c r="D302" s="331"/>
      <c r="E302" s="331"/>
      <c r="F302" s="331"/>
      <c r="G302" s="331"/>
      <c r="H302" s="293"/>
      <c r="I302" s="294"/>
      <c r="J302" s="240"/>
      <c r="K302" s="332"/>
      <c r="L302" s="332"/>
      <c r="M302" s="332"/>
      <c r="N302" s="332"/>
      <c r="O302" s="114"/>
      <c r="P302" s="114"/>
      <c r="Q302" s="114"/>
      <c r="R302" s="114"/>
      <c r="S302" s="114"/>
      <c r="T302" s="114"/>
      <c r="U302" s="114"/>
      <c r="V302" s="114"/>
      <c r="W302" s="114"/>
      <c r="X302" s="114"/>
      <c r="Y302" s="187"/>
      <c r="Z302" s="124"/>
      <c r="AA302" s="113"/>
    </row>
    <row r="303" spans="2:27" s="123" customFormat="1" ht="20.100000000000001" customHeight="1" x14ac:dyDescent="0.25">
      <c r="B303" s="592" t="s">
        <v>634</v>
      </c>
      <c r="C303" s="587"/>
      <c r="D303" s="587"/>
      <c r="E303" s="587"/>
      <c r="F303" s="587"/>
      <c r="G303" s="311"/>
      <c r="H303" s="293"/>
      <c r="I303" s="294"/>
      <c r="J303" s="240"/>
      <c r="K303" s="312"/>
      <c r="L303" s="312"/>
      <c r="M303" s="312"/>
      <c r="N303" s="312"/>
      <c r="O303" s="114"/>
      <c r="P303" s="114"/>
      <c r="Q303" s="114"/>
      <c r="R303" s="114"/>
      <c r="S303" s="114"/>
      <c r="T303" s="114"/>
      <c r="U303" s="114"/>
      <c r="V303" s="114"/>
      <c r="W303" s="114"/>
      <c r="X303" s="114"/>
      <c r="Y303" s="187"/>
      <c r="Z303" s="124"/>
      <c r="AA303" s="113"/>
    </row>
    <row r="304" spans="2:27" s="123" customFormat="1" ht="20.100000000000001" customHeight="1" x14ac:dyDescent="0.25">
      <c r="B304" s="311"/>
      <c r="C304" s="311"/>
      <c r="D304" s="311"/>
      <c r="E304" s="311"/>
      <c r="F304" s="311"/>
      <c r="G304" s="311"/>
      <c r="H304" s="293"/>
      <c r="I304" s="294"/>
      <c r="J304" s="240"/>
      <c r="K304" s="312"/>
      <c r="L304" s="312"/>
      <c r="M304" s="312"/>
      <c r="N304" s="312"/>
      <c r="O304" s="114"/>
      <c r="P304" s="114"/>
      <c r="Q304" s="114"/>
      <c r="R304" s="114"/>
      <c r="S304" s="114"/>
      <c r="T304" s="114"/>
      <c r="U304" s="114"/>
      <c r="V304" s="114"/>
      <c r="W304" s="114"/>
      <c r="X304" s="114"/>
      <c r="Y304" s="187"/>
      <c r="Z304" s="124"/>
      <c r="AA304" s="113"/>
    </row>
    <row r="305" spans="1:29" s="123" customFormat="1" ht="20.100000000000001" customHeight="1" x14ac:dyDescent="0.25">
      <c r="B305" s="109" t="s">
        <v>620</v>
      </c>
      <c r="C305" s="108"/>
      <c r="D305" s="108"/>
      <c r="E305" s="108"/>
      <c r="F305" s="108"/>
      <c r="G305" s="108"/>
      <c r="H305" s="110"/>
      <c r="I305" s="122"/>
      <c r="J305" s="126"/>
      <c r="K305" s="6"/>
      <c r="L305" s="6"/>
      <c r="M305" s="114"/>
      <c r="N305" s="114"/>
      <c r="O305" s="114"/>
      <c r="P305" s="109" t="s">
        <v>625</v>
      </c>
      <c r="Q305" s="114"/>
      <c r="R305" s="114"/>
      <c r="S305" s="114"/>
      <c r="T305" s="114"/>
      <c r="U305" s="114"/>
      <c r="V305" s="114"/>
      <c r="W305" s="114"/>
      <c r="X305" s="114"/>
      <c r="Y305" s="187"/>
      <c r="Z305" s="545"/>
      <c r="AA305" s="113"/>
      <c r="AB305" s="558"/>
      <c r="AC305" s="558"/>
    </row>
    <row r="306" spans="1:29" s="123" customFormat="1" ht="20.100000000000001" customHeight="1" x14ac:dyDescent="0.3">
      <c r="A306" s="123">
        <v>0</v>
      </c>
      <c r="B306" s="640" t="s">
        <v>180</v>
      </c>
      <c r="C306" s="640"/>
      <c r="D306" s="640"/>
      <c r="E306" s="640"/>
      <c r="F306" s="640"/>
      <c r="G306" s="640"/>
      <c r="H306" s="157" t="s">
        <v>207</v>
      </c>
      <c r="I306" s="532">
        <f>$G$19/(24*60)</f>
        <v>8.3333333333333329E-2</v>
      </c>
      <c r="J306" s="185" t="s">
        <v>231</v>
      </c>
      <c r="K306" s="706"/>
      <c r="L306" s="707"/>
      <c r="M306" s="707"/>
      <c r="N306" s="708"/>
      <c r="O306" s="114"/>
      <c r="P306" s="622" t="s">
        <v>180</v>
      </c>
      <c r="Q306" s="663"/>
      <c r="R306" s="663"/>
      <c r="S306" s="663"/>
      <c r="T306" s="157" t="s">
        <v>619</v>
      </c>
      <c r="U306" s="532">
        <f>$G$20/(24*60)</f>
        <v>0.10416666666666667</v>
      </c>
      <c r="V306" s="533" t="s">
        <v>231</v>
      </c>
      <c r="W306" s="706"/>
      <c r="X306" s="707"/>
      <c r="Y306" s="707"/>
      <c r="Z306" s="708"/>
      <c r="AA306" s="114"/>
      <c r="AB306" s="114"/>
      <c r="AC306" s="114"/>
    </row>
    <row r="307" spans="1:29" s="123" customFormat="1" ht="20.100000000000001" customHeight="1" x14ac:dyDescent="0.3">
      <c r="A307" s="123">
        <v>1</v>
      </c>
      <c r="B307" s="622" t="s">
        <v>278</v>
      </c>
      <c r="C307" s="663"/>
      <c r="D307" s="663"/>
      <c r="E307" s="663"/>
      <c r="F307" s="663"/>
      <c r="G307" s="623"/>
      <c r="H307" s="157" t="s">
        <v>279</v>
      </c>
      <c r="I307" s="279">
        <f>SUM(G88:G92)</f>
        <v>0.44999999999999996</v>
      </c>
      <c r="J307" s="134" t="s">
        <v>3</v>
      </c>
      <c r="K307" s="706"/>
      <c r="L307" s="707"/>
      <c r="M307" s="707"/>
      <c r="N307" s="708"/>
      <c r="O307" s="114"/>
      <c r="P307" s="622" t="s">
        <v>278</v>
      </c>
      <c r="Q307" s="663"/>
      <c r="R307" s="663"/>
      <c r="S307" s="663"/>
      <c r="T307" s="157" t="s">
        <v>279</v>
      </c>
      <c r="U307" s="532">
        <f>SUM(G88:G92)</f>
        <v>0.44999999999999996</v>
      </c>
      <c r="V307" s="363" t="s">
        <v>3</v>
      </c>
      <c r="W307" s="706"/>
      <c r="X307" s="707"/>
      <c r="Y307" s="707"/>
      <c r="Z307" s="708"/>
      <c r="AA307" s="114"/>
      <c r="AB307" s="114"/>
      <c r="AC307" s="114"/>
    </row>
    <row r="308" spans="1:29" s="123" customFormat="1" ht="20.100000000000001" customHeight="1" x14ac:dyDescent="0.25">
      <c r="A308" s="123">
        <v>2</v>
      </c>
      <c r="B308" s="713" t="s">
        <v>280</v>
      </c>
      <c r="C308" s="714"/>
      <c r="D308" s="714"/>
      <c r="E308" s="714"/>
      <c r="F308" s="714"/>
      <c r="G308" s="754"/>
      <c r="H308" s="684" t="s">
        <v>281</v>
      </c>
      <c r="I308" s="778">
        <f>I306*I307/3</f>
        <v>1.2499999999999997E-2</v>
      </c>
      <c r="J308" s="684" t="s">
        <v>3</v>
      </c>
      <c r="K308" s="686"/>
      <c r="L308" s="687"/>
      <c r="M308" s="687"/>
      <c r="N308" s="688"/>
      <c r="O308" s="114"/>
      <c r="P308" s="713" t="s">
        <v>280</v>
      </c>
      <c r="Q308" s="714"/>
      <c r="R308" s="714"/>
      <c r="S308" s="714"/>
      <c r="T308" s="684" t="s">
        <v>627</v>
      </c>
      <c r="U308" s="667">
        <f>U306*U307/3</f>
        <v>1.5625E-2</v>
      </c>
      <c r="V308" s="684" t="s">
        <v>3</v>
      </c>
      <c r="W308" s="686"/>
      <c r="X308" s="687"/>
      <c r="Y308" s="687"/>
      <c r="Z308" s="688"/>
      <c r="AA308" s="114"/>
      <c r="AB308" s="114"/>
      <c r="AC308" s="114"/>
    </row>
    <row r="309" spans="1:29" s="123" customFormat="1" ht="20.100000000000001" customHeight="1" x14ac:dyDescent="0.25">
      <c r="B309" s="715"/>
      <c r="C309" s="716"/>
      <c r="D309" s="716"/>
      <c r="E309" s="716"/>
      <c r="F309" s="716"/>
      <c r="G309" s="755"/>
      <c r="H309" s="685"/>
      <c r="I309" s="779"/>
      <c r="J309" s="685"/>
      <c r="K309" s="689"/>
      <c r="L309" s="690"/>
      <c r="M309" s="690"/>
      <c r="N309" s="691"/>
      <c r="O309" s="114"/>
      <c r="P309" s="715"/>
      <c r="Q309" s="716"/>
      <c r="R309" s="716"/>
      <c r="S309" s="716"/>
      <c r="T309" s="685"/>
      <c r="U309" s="668"/>
      <c r="V309" s="685"/>
      <c r="W309" s="689"/>
      <c r="X309" s="690"/>
      <c r="Y309" s="690"/>
      <c r="Z309" s="691"/>
      <c r="AA309" s="114"/>
      <c r="AB309" s="114"/>
      <c r="AC309" s="114"/>
    </row>
    <row r="310" spans="1:29" s="123" customFormat="1" ht="20.100000000000001" customHeight="1" x14ac:dyDescent="0.25">
      <c r="B310" s="311"/>
      <c r="C310" s="311"/>
      <c r="D310" s="311"/>
      <c r="E310" s="311"/>
      <c r="F310" s="311"/>
      <c r="G310" s="311"/>
      <c r="H310" s="293"/>
      <c r="I310" s="294"/>
      <c r="J310" s="240"/>
      <c r="K310" s="312"/>
      <c r="L310" s="312"/>
      <c r="M310" s="312"/>
      <c r="N310" s="312"/>
      <c r="O310" s="114"/>
      <c r="P310" s="534"/>
      <c r="Q310" s="534"/>
      <c r="R310" s="534"/>
      <c r="S310" s="534"/>
      <c r="T310" s="293"/>
      <c r="U310" s="294"/>
      <c r="V310" s="240"/>
      <c r="W310" s="529"/>
      <c r="X310" s="529"/>
      <c r="Y310" s="529"/>
      <c r="Z310" s="529"/>
      <c r="AA310" s="529"/>
      <c r="AB310" s="529"/>
      <c r="AC310" s="529"/>
    </row>
    <row r="311" spans="1:29" s="123" customFormat="1" ht="20.100000000000001" customHeight="1" x14ac:dyDescent="0.25">
      <c r="B311" s="40" t="s">
        <v>621</v>
      </c>
      <c r="C311" s="34"/>
      <c r="D311" s="34"/>
      <c r="E311" s="34"/>
      <c r="F311" s="34"/>
      <c r="G311" s="34"/>
      <c r="H311" s="202"/>
      <c r="I311" s="211"/>
      <c r="J311" s="154"/>
      <c r="K311" s="203"/>
      <c r="L311" s="203"/>
      <c r="M311" s="203"/>
      <c r="N311" s="203"/>
      <c r="O311" s="114"/>
      <c r="P311" s="40" t="s">
        <v>624</v>
      </c>
      <c r="Q311" s="34"/>
      <c r="R311" s="34"/>
      <c r="S311" s="34"/>
      <c r="T311" s="202"/>
      <c r="U311" s="211"/>
      <c r="V311" s="154"/>
      <c r="W311" s="203"/>
      <c r="X311" s="203"/>
      <c r="Y311" s="203"/>
      <c r="Z311" s="203"/>
      <c r="AA311" s="203"/>
      <c r="AB311" s="203"/>
      <c r="AC311" s="203"/>
    </row>
    <row r="312" spans="1:29" s="123" customFormat="1" ht="20.100000000000001" customHeight="1" x14ac:dyDescent="0.25">
      <c r="A312" s="123">
        <v>0</v>
      </c>
      <c r="B312" s="640" t="s">
        <v>180</v>
      </c>
      <c r="C312" s="640"/>
      <c r="D312" s="640"/>
      <c r="E312" s="640"/>
      <c r="F312" s="640"/>
      <c r="G312" s="640"/>
      <c r="H312" s="134" t="s">
        <v>484</v>
      </c>
      <c r="I312" s="297">
        <f>$G$19/(86400)</f>
        <v>1.3888888888888889E-3</v>
      </c>
      <c r="J312" s="185" t="s">
        <v>5</v>
      </c>
      <c r="K312" s="706"/>
      <c r="L312" s="707"/>
      <c r="M312" s="707"/>
      <c r="N312" s="708"/>
      <c r="O312" s="114"/>
      <c r="P312" s="640" t="s">
        <v>180</v>
      </c>
      <c r="Q312" s="640"/>
      <c r="R312" s="640"/>
      <c r="S312" s="622"/>
      <c r="T312" s="363" t="s">
        <v>628</v>
      </c>
      <c r="U312" s="297">
        <f>$G$20/(86400)</f>
        <v>1.736111111111111E-3</v>
      </c>
      <c r="V312" s="533" t="s">
        <v>5</v>
      </c>
      <c r="W312" s="706"/>
      <c r="X312" s="707"/>
      <c r="Y312" s="707"/>
      <c r="Z312" s="708"/>
      <c r="AA312" s="114"/>
      <c r="AB312" s="114"/>
      <c r="AC312" s="114"/>
    </row>
    <row r="313" spans="1:29" s="123" customFormat="1" ht="20.100000000000001" customHeight="1" x14ac:dyDescent="0.25">
      <c r="A313" s="123">
        <v>1</v>
      </c>
      <c r="B313" s="641" t="s">
        <v>468</v>
      </c>
      <c r="C313" s="733"/>
      <c r="D313" s="733"/>
      <c r="E313" s="733"/>
      <c r="F313" s="733"/>
      <c r="G313" s="642"/>
      <c r="H313" s="232" t="s">
        <v>85</v>
      </c>
      <c r="I313" s="232">
        <f>$I$232</f>
        <v>0.6</v>
      </c>
      <c r="J313" s="232"/>
      <c r="K313" s="706"/>
      <c r="L313" s="707"/>
      <c r="M313" s="707"/>
      <c r="N313" s="708"/>
      <c r="O313" s="114"/>
      <c r="P313" s="638" t="s">
        <v>468</v>
      </c>
      <c r="Q313" s="638"/>
      <c r="R313" s="638"/>
      <c r="S313" s="641"/>
      <c r="T313" s="536" t="s">
        <v>85</v>
      </c>
      <c r="U313" s="533">
        <f>$I$232</f>
        <v>0.6</v>
      </c>
      <c r="V313" s="536"/>
      <c r="W313" s="706"/>
      <c r="X313" s="707"/>
      <c r="Y313" s="707"/>
      <c r="Z313" s="708"/>
      <c r="AA313" s="114"/>
      <c r="AB313" s="114"/>
      <c r="AC313" s="114"/>
    </row>
    <row r="314" spans="1:29" s="123" customFormat="1" ht="20.100000000000001" customHeight="1" x14ac:dyDescent="0.25">
      <c r="A314" s="123">
        <v>2</v>
      </c>
      <c r="B314" s="641" t="s">
        <v>364</v>
      </c>
      <c r="C314" s="733"/>
      <c r="D314" s="733"/>
      <c r="E314" s="733"/>
      <c r="F314" s="733"/>
      <c r="G314" s="642"/>
      <c r="H314" s="191" t="s">
        <v>375</v>
      </c>
      <c r="I314" s="603">
        <f>$I$184</f>
        <v>2.1972537079897668E-3</v>
      </c>
      <c r="J314" s="232"/>
      <c r="K314" s="706"/>
      <c r="L314" s="707"/>
      <c r="M314" s="707"/>
      <c r="N314" s="708"/>
      <c r="O314" s="114"/>
      <c r="P314" s="638" t="s">
        <v>364</v>
      </c>
      <c r="Q314" s="638"/>
      <c r="R314" s="638"/>
      <c r="S314" s="641"/>
      <c r="T314" s="191" t="s">
        <v>375</v>
      </c>
      <c r="U314" s="297">
        <f>$I$184</f>
        <v>2.1972537079897668E-3</v>
      </c>
      <c r="V314" s="536"/>
      <c r="W314" s="706"/>
      <c r="X314" s="707"/>
      <c r="Y314" s="707"/>
      <c r="Z314" s="708"/>
      <c r="AA314" s="114"/>
      <c r="AB314" s="114"/>
      <c r="AC314" s="114"/>
    </row>
    <row r="315" spans="1:29" s="123" customFormat="1" ht="20.100000000000001" customHeight="1" x14ac:dyDescent="0.25">
      <c r="A315" s="123">
        <v>3</v>
      </c>
      <c r="B315" s="831" t="s">
        <v>546</v>
      </c>
      <c r="C315" s="832"/>
      <c r="D315" s="832"/>
      <c r="E315" s="832"/>
      <c r="F315" s="832"/>
      <c r="G315" s="833"/>
      <c r="H315" s="719" t="s">
        <v>553</v>
      </c>
      <c r="I315" s="667">
        <f>(1/(2*9.806))*(I312/(I313*I314))^2</f>
        <v>5.6591370257065843E-2</v>
      </c>
      <c r="J315" s="684" t="s">
        <v>3</v>
      </c>
      <c r="K315" s="686"/>
      <c r="L315" s="687"/>
      <c r="M315" s="687"/>
      <c r="N315" s="688"/>
      <c r="O315" s="114"/>
      <c r="P315" s="638" t="s">
        <v>546</v>
      </c>
      <c r="Q315" s="638"/>
      <c r="R315" s="638"/>
      <c r="S315" s="641"/>
      <c r="T315" s="719" t="s">
        <v>629</v>
      </c>
      <c r="U315" s="667">
        <f>(1/(2*9.806))*(U312/(U313*U314))^2</f>
        <v>8.8424016026665372E-2</v>
      </c>
      <c r="V315" s="684" t="s">
        <v>3</v>
      </c>
      <c r="W315" s="686"/>
      <c r="X315" s="687"/>
      <c r="Y315" s="687"/>
      <c r="Z315" s="688"/>
      <c r="AA315" s="114"/>
      <c r="AB315" s="114"/>
      <c r="AC315" s="114"/>
    </row>
    <row r="316" spans="1:29" s="123" customFormat="1" ht="20.100000000000001" customHeight="1" x14ac:dyDescent="0.25">
      <c r="B316" s="834"/>
      <c r="C316" s="835"/>
      <c r="D316" s="835"/>
      <c r="E316" s="835"/>
      <c r="F316" s="835"/>
      <c r="G316" s="836"/>
      <c r="H316" s="720"/>
      <c r="I316" s="668"/>
      <c r="J316" s="685"/>
      <c r="K316" s="689"/>
      <c r="L316" s="690"/>
      <c r="M316" s="690"/>
      <c r="N316" s="691"/>
      <c r="O316" s="114"/>
      <c r="P316" s="638"/>
      <c r="Q316" s="638"/>
      <c r="R316" s="638"/>
      <c r="S316" s="641"/>
      <c r="T316" s="720"/>
      <c r="U316" s="668"/>
      <c r="V316" s="685"/>
      <c r="W316" s="689"/>
      <c r="X316" s="690"/>
      <c r="Y316" s="690"/>
      <c r="Z316" s="691"/>
      <c r="AA316" s="114"/>
      <c r="AB316" s="114"/>
      <c r="AC316" s="114"/>
    </row>
    <row r="317" spans="1:29" s="123" customFormat="1" ht="20.100000000000001" customHeight="1" x14ac:dyDescent="0.25">
      <c r="B317" s="311"/>
      <c r="C317" s="311"/>
      <c r="D317" s="311"/>
      <c r="E317" s="311"/>
      <c r="F317" s="311"/>
      <c r="G317" s="311"/>
      <c r="H317" s="293"/>
      <c r="I317" s="294"/>
      <c r="J317" s="240"/>
      <c r="K317" s="312"/>
      <c r="L317" s="312"/>
      <c r="M317" s="312"/>
      <c r="N317" s="312"/>
      <c r="O317" s="114"/>
      <c r="P317" s="534"/>
      <c r="Q317" s="534"/>
      <c r="R317" s="534"/>
      <c r="S317" s="534"/>
      <c r="T317" s="293"/>
      <c r="U317" s="294"/>
      <c r="V317" s="240"/>
      <c r="W317" s="529"/>
      <c r="X317" s="529"/>
      <c r="Y317" s="529"/>
      <c r="Z317" s="529"/>
      <c r="AA317" s="529"/>
      <c r="AB317" s="529"/>
      <c r="AC317" s="529"/>
    </row>
    <row r="318" spans="1:29" s="123" customFormat="1" ht="20.100000000000001" customHeight="1" x14ac:dyDescent="0.25">
      <c r="B318" s="109" t="s">
        <v>622</v>
      </c>
      <c r="C318" s="103"/>
      <c r="D318" s="103"/>
      <c r="E318" s="103"/>
      <c r="F318" s="104"/>
      <c r="G318" s="105"/>
      <c r="H318" s="106"/>
      <c r="I318" s="114"/>
      <c r="J318" s="114"/>
      <c r="K318" s="114"/>
      <c r="L318" s="114"/>
      <c r="M318" s="114"/>
      <c r="N318" s="114"/>
      <c r="O318" s="114"/>
      <c r="P318" s="109" t="s">
        <v>626</v>
      </c>
      <c r="Q318" s="103"/>
      <c r="R318" s="103"/>
      <c r="S318" s="103"/>
      <c r="T318" s="106"/>
      <c r="U318" s="114"/>
      <c r="V318" s="114"/>
      <c r="W318" s="114"/>
      <c r="X318" s="114"/>
      <c r="Y318" s="114"/>
      <c r="Z318" s="114"/>
      <c r="AA318" s="114"/>
      <c r="AB318" s="114"/>
      <c r="AC318" s="114"/>
    </row>
    <row r="319" spans="1:29" s="123" customFormat="1" ht="20.100000000000001" customHeight="1" x14ac:dyDescent="0.25">
      <c r="B319" s="641" t="s">
        <v>536</v>
      </c>
      <c r="C319" s="733"/>
      <c r="D319" s="733"/>
      <c r="E319" s="733"/>
      <c r="F319" s="733"/>
      <c r="G319" s="642"/>
      <c r="H319" s="692" t="str">
        <f>$H$238</f>
        <v>Polietileno de alta densidad (PEAD) PE 100 RDE 21</v>
      </c>
      <c r="I319" s="693"/>
      <c r="J319" s="694"/>
      <c r="K319" s="695"/>
      <c r="L319" s="696"/>
      <c r="M319" s="696"/>
      <c r="N319" s="697"/>
      <c r="O319" s="114"/>
      <c r="P319" s="638" t="s">
        <v>536</v>
      </c>
      <c r="Q319" s="638"/>
      <c r="R319" s="638"/>
      <c r="S319" s="641"/>
      <c r="T319" s="692" t="str">
        <f>$H$238</f>
        <v>Polietileno de alta densidad (PEAD) PE 100 RDE 21</v>
      </c>
      <c r="U319" s="693"/>
      <c r="V319" s="694"/>
      <c r="W319" s="695"/>
      <c r="X319" s="696"/>
      <c r="Y319" s="696"/>
      <c r="Z319" s="697"/>
      <c r="AA319" s="127"/>
      <c r="AB319" s="127"/>
      <c r="AC319" s="127"/>
    </row>
    <row r="320" spans="1:29" s="123" customFormat="1" ht="20.100000000000001" customHeight="1" x14ac:dyDescent="0.25">
      <c r="A320" s="123">
        <v>0</v>
      </c>
      <c r="B320" s="641" t="s">
        <v>433</v>
      </c>
      <c r="C320" s="733"/>
      <c r="D320" s="733"/>
      <c r="E320" s="733"/>
      <c r="F320" s="733"/>
      <c r="G320" s="642"/>
      <c r="H320" s="324" t="s">
        <v>439</v>
      </c>
      <c r="I320" s="297">
        <f>$I$239</f>
        <v>7.0000000000000001E-3</v>
      </c>
      <c r="J320" s="185" t="s">
        <v>233</v>
      </c>
      <c r="K320" s="463"/>
      <c r="L320" s="464"/>
      <c r="M320" s="464"/>
      <c r="N320" s="465"/>
      <c r="O320" s="114"/>
      <c r="P320" s="638" t="s">
        <v>433</v>
      </c>
      <c r="Q320" s="638"/>
      <c r="R320" s="638"/>
      <c r="S320" s="641"/>
      <c r="T320" s="531" t="s">
        <v>439</v>
      </c>
      <c r="U320" s="297">
        <f>$I$239</f>
        <v>7.0000000000000001E-3</v>
      </c>
      <c r="V320" s="533" t="s">
        <v>233</v>
      </c>
      <c r="W320" s="521"/>
      <c r="X320" s="522"/>
      <c r="Y320" s="522"/>
      <c r="Z320" s="523"/>
      <c r="AA320" s="187"/>
      <c r="AB320" s="187"/>
      <c r="AC320" s="187"/>
    </row>
    <row r="321" spans="1:29" s="123" customFormat="1" ht="20.100000000000001" customHeight="1" x14ac:dyDescent="0.25">
      <c r="B321" s="641" t="s">
        <v>537</v>
      </c>
      <c r="C321" s="733"/>
      <c r="D321" s="733"/>
      <c r="E321" s="733"/>
      <c r="F321" s="733"/>
      <c r="G321" s="642"/>
      <c r="H321" s="324" t="s">
        <v>541</v>
      </c>
      <c r="I321" s="386">
        <v>1.5</v>
      </c>
      <c r="J321" s="185" t="s">
        <v>3</v>
      </c>
      <c r="K321" s="963" t="s">
        <v>659</v>
      </c>
      <c r="L321" s="964"/>
      <c r="M321" s="964"/>
      <c r="N321" s="965"/>
      <c r="O321" s="114"/>
      <c r="P321" s="641" t="s">
        <v>537</v>
      </c>
      <c r="Q321" s="733"/>
      <c r="R321" s="733"/>
      <c r="S321" s="733"/>
      <c r="T321" s="531" t="s">
        <v>541</v>
      </c>
      <c r="U321" s="535">
        <f>I321</f>
        <v>1.5</v>
      </c>
      <c r="V321" s="533" t="s">
        <v>3</v>
      </c>
      <c r="W321" s="521"/>
      <c r="X321" s="522"/>
      <c r="Y321" s="522"/>
      <c r="Z321" s="523"/>
      <c r="AA321" s="187"/>
      <c r="AB321" s="187"/>
      <c r="AC321" s="187"/>
    </row>
    <row r="322" spans="1:29" s="123" customFormat="1" ht="20.100000000000001" customHeight="1" x14ac:dyDescent="0.25">
      <c r="B322" s="641" t="s">
        <v>538</v>
      </c>
      <c r="C322" s="733"/>
      <c r="D322" s="733"/>
      <c r="E322" s="733"/>
      <c r="F322" s="733"/>
      <c r="G322" s="642"/>
      <c r="H322" s="324" t="s">
        <v>544</v>
      </c>
      <c r="I322" s="172">
        <f>$I$241</f>
        <v>200</v>
      </c>
      <c r="J322" s="185" t="str">
        <f>IF($H$238=$BQ$9,"pulgadas",IF($H$238=$BQ$10,"pulgadas",IF($H$238=$BQ$11,"mm",IF($H$238=$BQ$12,"mm",IF($H$238=$BQ$13,"mm",IF($H$238=$BQ$14,"mm",IF($H$238=$BQ$15,"pulgadas",IF($H$238=$BQ$16,"pulgadas",""))))))))</f>
        <v>mm</v>
      </c>
      <c r="K322" s="695"/>
      <c r="L322" s="696"/>
      <c r="M322" s="696"/>
      <c r="N322" s="697"/>
      <c r="O322" s="114"/>
      <c r="P322" s="641" t="s">
        <v>538</v>
      </c>
      <c r="Q322" s="733"/>
      <c r="R322" s="733"/>
      <c r="S322" s="733"/>
      <c r="T322" s="531" t="s">
        <v>544</v>
      </c>
      <c r="U322" s="535">
        <f>$I$241</f>
        <v>200</v>
      </c>
      <c r="V322" s="533" t="str">
        <f>IF($H$238=$BQ$9,"pulgadas",IF($H$238=$BQ$10,"pulgadas",IF($H$238=$BQ$11,"mm",IF($H$238=$BQ$12,"mm",IF($H$238=$BQ$13,"mm",IF($H$238=$BQ$14,"mm",IF($H$238=$BQ$15,"pulgadas",IF($H$238=$BQ$16,"pulgadas",""))))))))</f>
        <v>mm</v>
      </c>
      <c r="W322" s="695"/>
      <c r="X322" s="696"/>
      <c r="Y322" s="696"/>
      <c r="Z322" s="697"/>
      <c r="AA322" s="127"/>
      <c r="AB322" s="127"/>
      <c r="AC322" s="127"/>
    </row>
    <row r="323" spans="1:29" s="123" customFormat="1" ht="20.100000000000001" customHeight="1" x14ac:dyDescent="0.25">
      <c r="A323" s="123">
        <v>1</v>
      </c>
      <c r="B323" s="641" t="s">
        <v>539</v>
      </c>
      <c r="C323" s="733"/>
      <c r="D323" s="733"/>
      <c r="E323" s="733"/>
      <c r="F323" s="733"/>
      <c r="G323" s="642"/>
      <c r="H323" s="324" t="s">
        <v>542</v>
      </c>
      <c r="I323" s="325">
        <f>$I$242</f>
        <v>0.18079999999999999</v>
      </c>
      <c r="J323" s="185" t="s">
        <v>3</v>
      </c>
      <c r="K323" s="695"/>
      <c r="L323" s="696"/>
      <c r="M323" s="696"/>
      <c r="N323" s="697"/>
      <c r="O323" s="114"/>
      <c r="P323" s="641" t="s">
        <v>539</v>
      </c>
      <c r="Q323" s="733"/>
      <c r="R323" s="733"/>
      <c r="S323" s="733"/>
      <c r="T323" s="531" t="s">
        <v>542</v>
      </c>
      <c r="U323" s="532">
        <f>$I$242</f>
        <v>0.18079999999999999</v>
      </c>
      <c r="V323" s="533" t="s">
        <v>3</v>
      </c>
      <c r="W323" s="695"/>
      <c r="X323" s="696"/>
      <c r="Y323" s="696"/>
      <c r="Z323" s="697"/>
      <c r="AA323" s="127"/>
      <c r="AB323" s="127"/>
      <c r="AC323" s="127"/>
    </row>
    <row r="324" spans="1:29" s="123" customFormat="1" ht="20.100000000000001" customHeight="1" x14ac:dyDescent="0.25">
      <c r="A324" s="123">
        <v>2</v>
      </c>
      <c r="B324" s="641" t="s">
        <v>534</v>
      </c>
      <c r="C324" s="733"/>
      <c r="D324" s="733"/>
      <c r="E324" s="733"/>
      <c r="F324" s="733"/>
      <c r="G324" s="642"/>
      <c r="H324" s="317" t="s">
        <v>535</v>
      </c>
      <c r="I324" s="604">
        <f>$G$19/(86400)*I166</f>
        <v>1.1450400000000001E-2</v>
      </c>
      <c r="J324" s="315" t="s">
        <v>274</v>
      </c>
      <c r="K324" s="695"/>
      <c r="L324" s="696"/>
      <c r="M324" s="696"/>
      <c r="N324" s="697"/>
      <c r="O324" s="569" t="s">
        <v>658</v>
      </c>
      <c r="P324" s="641" t="s">
        <v>534</v>
      </c>
      <c r="Q324" s="733"/>
      <c r="R324" s="733"/>
      <c r="S324" s="733"/>
      <c r="T324" s="527" t="s">
        <v>630</v>
      </c>
      <c r="U324" s="530">
        <f>$G$20/(86400)*I166</f>
        <v>1.4313000000000001E-2</v>
      </c>
      <c r="V324" s="524" t="s">
        <v>274</v>
      </c>
      <c r="W324" s="695"/>
      <c r="X324" s="696"/>
      <c r="Y324" s="696"/>
      <c r="Z324" s="697"/>
      <c r="AA324" s="127"/>
      <c r="AB324" s="127"/>
      <c r="AC324" s="127"/>
    </row>
    <row r="325" spans="1:29" s="123" customFormat="1" ht="20.100000000000001" customHeight="1" x14ac:dyDescent="0.25">
      <c r="A325" s="123">
        <v>3</v>
      </c>
      <c r="B325" s="713" t="s">
        <v>540</v>
      </c>
      <c r="C325" s="714"/>
      <c r="D325" s="714"/>
      <c r="E325" s="714"/>
      <c r="F325" s="714"/>
      <c r="G325" s="754"/>
      <c r="H325" s="698" t="s">
        <v>543</v>
      </c>
      <c r="I325" s="667">
        <f>(4*I324)/(PI()*(I323^2))</f>
        <v>0.44599904073817415</v>
      </c>
      <c r="J325" s="665" t="s">
        <v>5</v>
      </c>
      <c r="K325" s="700"/>
      <c r="L325" s="701"/>
      <c r="M325" s="701"/>
      <c r="N325" s="702"/>
      <c r="O325" s="114"/>
      <c r="P325" s="713" t="s">
        <v>540</v>
      </c>
      <c r="Q325" s="714"/>
      <c r="R325" s="714"/>
      <c r="S325" s="714"/>
      <c r="T325" s="698" t="s">
        <v>631</v>
      </c>
      <c r="U325" s="667">
        <f>(4*U324)/(PI()*(U323^2))</f>
        <v>0.55749880092271764</v>
      </c>
      <c r="V325" s="665" t="s">
        <v>5</v>
      </c>
      <c r="W325" s="700"/>
      <c r="X325" s="701"/>
      <c r="Y325" s="701"/>
      <c r="Z325" s="702"/>
      <c r="AA325" s="127"/>
      <c r="AB325" s="127"/>
      <c r="AC325" s="127"/>
    </row>
    <row r="326" spans="1:29" s="123" customFormat="1" ht="20.100000000000001" customHeight="1" x14ac:dyDescent="0.25">
      <c r="B326" s="715"/>
      <c r="C326" s="716"/>
      <c r="D326" s="716"/>
      <c r="E326" s="716"/>
      <c r="F326" s="716"/>
      <c r="G326" s="755"/>
      <c r="H326" s="699"/>
      <c r="I326" s="668"/>
      <c r="J326" s="666"/>
      <c r="K326" s="703"/>
      <c r="L326" s="704"/>
      <c r="M326" s="704"/>
      <c r="N326" s="705"/>
      <c r="O326" s="114"/>
      <c r="P326" s="715"/>
      <c r="Q326" s="716"/>
      <c r="R326" s="716"/>
      <c r="S326" s="716"/>
      <c r="T326" s="699"/>
      <c r="U326" s="668"/>
      <c r="V326" s="666"/>
      <c r="W326" s="703"/>
      <c r="X326" s="704"/>
      <c r="Y326" s="704"/>
      <c r="Z326" s="705"/>
      <c r="AA326" s="127"/>
      <c r="AB326" s="127"/>
      <c r="AC326" s="127"/>
    </row>
    <row r="327" spans="1:29" s="123" customFormat="1" ht="20.100000000000001" customHeight="1" x14ac:dyDescent="0.25">
      <c r="A327" s="123">
        <v>4</v>
      </c>
      <c r="B327" s="713" t="s">
        <v>457</v>
      </c>
      <c r="C327" s="714"/>
      <c r="D327" s="714"/>
      <c r="E327" s="714"/>
      <c r="F327" s="714"/>
      <c r="G327" s="754"/>
      <c r="H327" s="698"/>
      <c r="I327" s="667">
        <f>(I325^2)/(2*9.806)</f>
        <v>1.0142522146612867E-2</v>
      </c>
      <c r="J327" s="665" t="s">
        <v>3</v>
      </c>
      <c r="K327" s="700"/>
      <c r="L327" s="701"/>
      <c r="M327" s="701"/>
      <c r="N327" s="702"/>
      <c r="O327" s="114"/>
      <c r="P327" s="713" t="s">
        <v>457</v>
      </c>
      <c r="Q327" s="714"/>
      <c r="R327" s="714"/>
      <c r="S327" s="714"/>
      <c r="T327" s="698"/>
      <c r="U327" s="667">
        <f>(U325^2)/(2*9.806)</f>
        <v>1.5847690854082601E-2</v>
      </c>
      <c r="V327" s="665" t="s">
        <v>3</v>
      </c>
      <c r="W327" s="700"/>
      <c r="X327" s="701"/>
      <c r="Y327" s="701"/>
      <c r="Z327" s="702"/>
      <c r="AA327" s="127"/>
      <c r="AB327" s="127"/>
      <c r="AC327" s="127"/>
    </row>
    <row r="328" spans="1:29" s="123" customFormat="1" ht="20.100000000000001" customHeight="1" x14ac:dyDescent="0.25">
      <c r="B328" s="715"/>
      <c r="C328" s="716"/>
      <c r="D328" s="716"/>
      <c r="E328" s="716"/>
      <c r="F328" s="716"/>
      <c r="G328" s="755"/>
      <c r="H328" s="699"/>
      <c r="I328" s="668"/>
      <c r="J328" s="666"/>
      <c r="K328" s="703"/>
      <c r="L328" s="704"/>
      <c r="M328" s="704"/>
      <c r="N328" s="705"/>
      <c r="O328" s="114"/>
      <c r="P328" s="715"/>
      <c r="Q328" s="716"/>
      <c r="R328" s="716"/>
      <c r="S328" s="716"/>
      <c r="T328" s="699"/>
      <c r="U328" s="668"/>
      <c r="V328" s="666"/>
      <c r="W328" s="703"/>
      <c r="X328" s="704"/>
      <c r="Y328" s="704"/>
      <c r="Z328" s="705"/>
      <c r="AA328" s="127"/>
      <c r="AB328" s="127"/>
      <c r="AC328" s="127"/>
    </row>
    <row r="329" spans="1:29" s="123" customFormat="1" ht="20.100000000000001" customHeight="1" x14ac:dyDescent="0.25">
      <c r="A329" s="123">
        <v>5</v>
      </c>
      <c r="B329" s="622" t="str">
        <f>B33</f>
        <v>Viscocidad cinemática del agua a 3 °C</v>
      </c>
      <c r="C329" s="663"/>
      <c r="D329" s="663"/>
      <c r="E329" s="663"/>
      <c r="F329" s="663"/>
      <c r="G329" s="623"/>
      <c r="H329" s="51" t="s">
        <v>2</v>
      </c>
      <c r="I329" s="310">
        <f>$I$33</f>
        <v>1.6190000000000001E-6</v>
      </c>
      <c r="J329" s="156" t="s">
        <v>277</v>
      </c>
      <c r="K329" s="695"/>
      <c r="L329" s="696"/>
      <c r="M329" s="696"/>
      <c r="N329" s="697"/>
      <c r="O329" s="114"/>
      <c r="P329" s="622" t="str">
        <f>B33</f>
        <v>Viscocidad cinemática del agua a 3 °C</v>
      </c>
      <c r="Q329" s="663"/>
      <c r="R329" s="663"/>
      <c r="S329" s="663"/>
      <c r="T329" s="51" t="s">
        <v>2</v>
      </c>
      <c r="U329" s="310">
        <f>$I$33</f>
        <v>1.6190000000000001E-6</v>
      </c>
      <c r="V329" s="156" t="s">
        <v>277</v>
      </c>
      <c r="W329" s="695"/>
      <c r="X329" s="696"/>
      <c r="Y329" s="696"/>
      <c r="Z329" s="697"/>
      <c r="AA329" s="127"/>
      <c r="AB329" s="127"/>
      <c r="AC329" s="127"/>
    </row>
    <row r="330" spans="1:29" s="123" customFormat="1" ht="20.100000000000001" customHeight="1" x14ac:dyDescent="0.25">
      <c r="A330" s="123">
        <v>6</v>
      </c>
      <c r="B330" s="713" t="s">
        <v>109</v>
      </c>
      <c r="C330" s="714"/>
      <c r="D330" s="714"/>
      <c r="E330" s="714"/>
      <c r="F330" s="714"/>
      <c r="G330" s="754"/>
      <c r="H330" s="665" t="s">
        <v>1</v>
      </c>
      <c r="I330" s="827">
        <f>I325*I323/I329</f>
        <v>49806.440126906651</v>
      </c>
      <c r="J330" s="709"/>
      <c r="K330" s="686"/>
      <c r="L330" s="687"/>
      <c r="M330" s="687"/>
      <c r="N330" s="688"/>
      <c r="O330" s="114"/>
      <c r="P330" s="713" t="s">
        <v>109</v>
      </c>
      <c r="Q330" s="714"/>
      <c r="R330" s="714"/>
      <c r="S330" s="714"/>
      <c r="T330" s="665" t="s">
        <v>632</v>
      </c>
      <c r="U330" s="698">
        <f>U325*U323/U329</f>
        <v>62258.050158633319</v>
      </c>
      <c r="V330" s="709"/>
      <c r="W330" s="686"/>
      <c r="X330" s="687"/>
      <c r="Y330" s="687"/>
      <c r="Z330" s="688"/>
      <c r="AA330" s="114"/>
      <c r="AB330" s="114"/>
      <c r="AC330" s="114"/>
    </row>
    <row r="331" spans="1:29" s="123" customFormat="1" ht="20.100000000000001" customHeight="1" x14ac:dyDescent="0.25">
      <c r="B331" s="715"/>
      <c r="C331" s="716"/>
      <c r="D331" s="716"/>
      <c r="E331" s="716"/>
      <c r="F331" s="716"/>
      <c r="G331" s="755"/>
      <c r="H331" s="666"/>
      <c r="I331" s="828"/>
      <c r="J331" s="710"/>
      <c r="K331" s="689"/>
      <c r="L331" s="690"/>
      <c r="M331" s="690"/>
      <c r="N331" s="691"/>
      <c r="O331" s="114"/>
      <c r="P331" s="715"/>
      <c r="Q331" s="716"/>
      <c r="R331" s="716"/>
      <c r="S331" s="716"/>
      <c r="T331" s="666"/>
      <c r="U331" s="699"/>
      <c r="V331" s="710"/>
      <c r="W331" s="689"/>
      <c r="X331" s="690"/>
      <c r="Y331" s="690"/>
      <c r="Z331" s="691"/>
      <c r="AA331" s="114"/>
      <c r="AB331" s="114"/>
      <c r="AC331" s="114"/>
    </row>
    <row r="332" spans="1:29" s="123" customFormat="1" ht="20.100000000000001" customHeight="1" x14ac:dyDescent="0.25">
      <c r="B332" s="622" t="s">
        <v>434</v>
      </c>
      <c r="C332" s="663"/>
      <c r="D332" s="663"/>
      <c r="E332" s="663"/>
      <c r="F332" s="663"/>
      <c r="G332" s="623"/>
      <c r="H332" s="316" t="s">
        <v>432</v>
      </c>
      <c r="I332" s="388">
        <v>0.02</v>
      </c>
      <c r="J332" s="319"/>
      <c r="K332" s="466"/>
      <c r="L332" s="467"/>
      <c r="M332" s="467"/>
      <c r="N332" s="468"/>
      <c r="O332" s="114"/>
      <c r="P332" s="622" t="s">
        <v>434</v>
      </c>
      <c r="Q332" s="663"/>
      <c r="R332" s="663"/>
      <c r="S332" s="663"/>
      <c r="T332" s="525" t="s">
        <v>432</v>
      </c>
      <c r="U332" s="362">
        <f>I332</f>
        <v>0.02</v>
      </c>
      <c r="V332" s="526"/>
      <c r="W332" s="518"/>
      <c r="X332" s="519"/>
      <c r="Y332" s="519"/>
      <c r="Z332" s="520"/>
      <c r="AA332" s="529"/>
      <c r="AB332" s="529"/>
      <c r="AC332" s="529"/>
    </row>
    <row r="333" spans="1:29" s="123" customFormat="1" ht="20.100000000000001" customHeight="1" x14ac:dyDescent="0.25">
      <c r="B333" s="713" t="s">
        <v>435</v>
      </c>
      <c r="C333" s="714"/>
      <c r="D333" s="714"/>
      <c r="E333" s="714"/>
      <c r="F333" s="714"/>
      <c r="G333" s="754"/>
      <c r="H333" s="665" t="s">
        <v>432</v>
      </c>
      <c r="I333" s="806">
        <f>(1/(-2*LOG10(($I$320/1000)/(3.7*$I$323)+2.51/($I$330*SQRT(I332)))))^2</f>
        <v>2.1180955952984207E-2</v>
      </c>
      <c r="J333" s="709"/>
      <c r="K333" s="734"/>
      <c r="L333" s="735"/>
      <c r="M333" s="735"/>
      <c r="N333" s="736"/>
      <c r="O333" s="114"/>
      <c r="P333" s="713" t="s">
        <v>435</v>
      </c>
      <c r="Q333" s="714"/>
      <c r="R333" s="714"/>
      <c r="S333" s="714"/>
      <c r="T333" s="665" t="s">
        <v>432</v>
      </c>
      <c r="U333" s="721">
        <f>(1/(-2*LOG10(($U$320/1000)/(3.7*$U$323)+2.51/($U$330*SQRT(U332)))))^2</f>
        <v>2.0069791328909618E-2</v>
      </c>
      <c r="V333" s="709"/>
      <c r="W333" s="734"/>
      <c r="X333" s="735"/>
      <c r="Y333" s="735"/>
      <c r="Z333" s="736"/>
      <c r="AA333" s="114"/>
      <c r="AB333" s="114"/>
      <c r="AC333" s="114"/>
    </row>
    <row r="334" spans="1:29" s="123" customFormat="1" ht="20.100000000000001" customHeight="1" x14ac:dyDescent="0.25">
      <c r="B334" s="715"/>
      <c r="C334" s="716"/>
      <c r="D334" s="716"/>
      <c r="E334" s="716"/>
      <c r="F334" s="716"/>
      <c r="G334" s="755"/>
      <c r="H334" s="666"/>
      <c r="I334" s="807"/>
      <c r="J334" s="710"/>
      <c r="K334" s="737"/>
      <c r="L334" s="738"/>
      <c r="M334" s="738"/>
      <c r="N334" s="739"/>
      <c r="O334" s="114"/>
      <c r="P334" s="715"/>
      <c r="Q334" s="716"/>
      <c r="R334" s="716"/>
      <c r="S334" s="716"/>
      <c r="T334" s="666"/>
      <c r="U334" s="722"/>
      <c r="V334" s="710"/>
      <c r="W334" s="737"/>
      <c r="X334" s="738"/>
      <c r="Y334" s="738"/>
      <c r="Z334" s="739"/>
      <c r="AA334" s="114"/>
      <c r="AB334" s="114"/>
      <c r="AC334" s="114"/>
    </row>
    <row r="335" spans="1:29" s="123" customFormat="1" ht="20.100000000000001" customHeight="1" x14ac:dyDescent="0.25">
      <c r="B335" s="622" t="s">
        <v>436</v>
      </c>
      <c r="C335" s="663"/>
      <c r="D335" s="663"/>
      <c r="E335" s="663"/>
      <c r="F335" s="663"/>
      <c r="G335" s="623"/>
      <c r="H335" s="316" t="s">
        <v>432</v>
      </c>
      <c r="I335" s="326">
        <f>(1/(-2*LOG10(($I$320/1000)/(3.7*$I$323)+2.51/($I$330*SQRT(I333)))))^2</f>
        <v>2.1032573944889672E-2</v>
      </c>
      <c r="J335" s="319"/>
      <c r="K335" s="466"/>
      <c r="L335" s="467"/>
      <c r="M335" s="467"/>
      <c r="N335" s="468"/>
      <c r="O335" s="114"/>
      <c r="P335" s="622" t="s">
        <v>436</v>
      </c>
      <c r="Q335" s="663"/>
      <c r="R335" s="663"/>
      <c r="S335" s="663"/>
      <c r="T335" s="525" t="s">
        <v>432</v>
      </c>
      <c r="U335" s="560">
        <f>(1/(-2*LOG10(($U$320/1000)/(3.7*$U$323)+2.51/($U$330*SQRT(U333)))))^2</f>
        <v>2.0061495881157309E-2</v>
      </c>
      <c r="V335" s="526"/>
      <c r="W335" s="518"/>
      <c r="X335" s="519"/>
      <c r="Y335" s="519"/>
      <c r="Z335" s="520"/>
      <c r="AA335" s="529"/>
      <c r="AB335" s="529"/>
      <c r="AC335" s="529"/>
    </row>
    <row r="336" spans="1:29" s="123" customFormat="1" ht="20.100000000000001" customHeight="1" x14ac:dyDescent="0.25">
      <c r="B336" s="622" t="s">
        <v>437</v>
      </c>
      <c r="C336" s="663"/>
      <c r="D336" s="663"/>
      <c r="E336" s="663"/>
      <c r="F336" s="663"/>
      <c r="G336" s="623"/>
      <c r="H336" s="316" t="s">
        <v>432</v>
      </c>
      <c r="I336" s="326">
        <f>(1/(-2*LOG10(($I$320/1000)/(3.7*$I$323)+2.51/($I$330*SQRT(I335)))))^2</f>
        <v>2.1050665967170642E-2</v>
      </c>
      <c r="J336" s="319"/>
      <c r="K336" s="466"/>
      <c r="L336" s="467"/>
      <c r="M336" s="467"/>
      <c r="N336" s="468"/>
      <c r="O336" s="114"/>
      <c r="P336" s="622" t="s">
        <v>437</v>
      </c>
      <c r="Q336" s="663"/>
      <c r="R336" s="663"/>
      <c r="S336" s="663"/>
      <c r="T336" s="525" t="s">
        <v>432</v>
      </c>
      <c r="U336" s="560">
        <f>(1/(-2*LOG10(($U$320/1000)/(3.7*$U$323)+2.51/($U$330*SQRT(U335)))))^2</f>
        <v>2.0062480076394353E-2</v>
      </c>
      <c r="V336" s="526"/>
      <c r="W336" s="518"/>
      <c r="X336" s="519"/>
      <c r="Y336" s="519"/>
      <c r="Z336" s="520"/>
      <c r="AA336" s="529"/>
      <c r="AB336" s="529"/>
      <c r="AC336" s="529"/>
    </row>
    <row r="337" spans="1:29" s="123" customFormat="1" ht="20.100000000000001" customHeight="1" x14ac:dyDescent="0.25">
      <c r="A337" s="123">
        <v>7</v>
      </c>
      <c r="B337" s="622" t="s">
        <v>438</v>
      </c>
      <c r="C337" s="663"/>
      <c r="D337" s="663"/>
      <c r="E337" s="663"/>
      <c r="F337" s="663"/>
      <c r="G337" s="623"/>
      <c r="H337" s="316" t="s">
        <v>432</v>
      </c>
      <c r="I337" s="326">
        <f>(1/(-2*LOG10(($I$320/1000)/(3.7*$I$323)+2.51/($I$330*SQRT(I336)))))^2</f>
        <v>2.1048451857532159E-2</v>
      </c>
      <c r="J337" s="232"/>
      <c r="K337" s="706"/>
      <c r="L337" s="707"/>
      <c r="M337" s="707"/>
      <c r="N337" s="708"/>
      <c r="O337" s="114"/>
      <c r="P337" s="622" t="s">
        <v>438</v>
      </c>
      <c r="Q337" s="663"/>
      <c r="R337" s="663"/>
      <c r="S337" s="663"/>
      <c r="T337" s="525" t="s">
        <v>432</v>
      </c>
      <c r="U337" s="560">
        <f>(1/(-2*LOG10(($U$320/1000)/(3.7*$U$323)+2.51/($U$330*SQRT(U336)))))^2</f>
        <v>2.006236328326538E-2</v>
      </c>
      <c r="V337" s="536"/>
      <c r="W337" s="706"/>
      <c r="X337" s="707"/>
      <c r="Y337" s="707"/>
      <c r="Z337" s="708"/>
      <c r="AA337" s="114"/>
      <c r="AB337" s="114"/>
      <c r="AC337" s="114"/>
    </row>
    <row r="338" spans="1:29" s="123" customFormat="1" ht="20.100000000000001" customHeight="1" x14ac:dyDescent="0.25">
      <c r="A338" s="123">
        <v>8</v>
      </c>
      <c r="B338" s="713" t="s">
        <v>545</v>
      </c>
      <c r="C338" s="714"/>
      <c r="D338" s="714"/>
      <c r="E338" s="714"/>
      <c r="F338" s="714"/>
      <c r="G338" s="754"/>
      <c r="H338" s="698" t="s">
        <v>554</v>
      </c>
      <c r="I338" s="804">
        <f>I337*(I321/I323)*I327</f>
        <v>1.7711647327179315E-3</v>
      </c>
      <c r="J338" s="709" t="s">
        <v>3</v>
      </c>
      <c r="K338" s="686"/>
      <c r="L338" s="687"/>
      <c r="M338" s="687"/>
      <c r="N338" s="688"/>
      <c r="O338" s="114"/>
      <c r="P338" s="713" t="s">
        <v>545</v>
      </c>
      <c r="Q338" s="714"/>
      <c r="R338" s="714"/>
      <c r="S338" s="714"/>
      <c r="T338" s="698" t="s">
        <v>616</v>
      </c>
      <c r="U338" s="711">
        <f>U337*(U321/U323)*U327</f>
        <v>2.6377942293873396E-3</v>
      </c>
      <c r="V338" s="709" t="s">
        <v>3</v>
      </c>
      <c r="W338" s="686"/>
      <c r="X338" s="687"/>
      <c r="Y338" s="687"/>
      <c r="Z338" s="688"/>
      <c r="AA338" s="114"/>
      <c r="AB338" s="114"/>
      <c r="AC338" s="114"/>
    </row>
    <row r="339" spans="1:29" s="123" customFormat="1" ht="20.100000000000001" customHeight="1" x14ac:dyDescent="0.25">
      <c r="B339" s="715"/>
      <c r="C339" s="716"/>
      <c r="D339" s="716"/>
      <c r="E339" s="716"/>
      <c r="F339" s="716"/>
      <c r="G339" s="755"/>
      <c r="H339" s="699"/>
      <c r="I339" s="805"/>
      <c r="J339" s="710"/>
      <c r="K339" s="689"/>
      <c r="L339" s="690"/>
      <c r="M339" s="690"/>
      <c r="N339" s="691"/>
      <c r="O339" s="114"/>
      <c r="P339" s="715"/>
      <c r="Q339" s="716"/>
      <c r="R339" s="716"/>
      <c r="S339" s="716"/>
      <c r="T339" s="699"/>
      <c r="U339" s="712"/>
      <c r="V339" s="710"/>
      <c r="W339" s="689"/>
      <c r="X339" s="690"/>
      <c r="Y339" s="690"/>
      <c r="Z339" s="691"/>
      <c r="AA339" s="114"/>
      <c r="AB339" s="114"/>
      <c r="AC339" s="114"/>
    </row>
    <row r="340" spans="1:29" s="123" customFormat="1" ht="20.100000000000001" customHeight="1" x14ac:dyDescent="0.25">
      <c r="B340" s="311"/>
      <c r="C340" s="311"/>
      <c r="D340" s="311"/>
      <c r="E340" s="311"/>
      <c r="F340" s="311"/>
      <c r="G340" s="311"/>
      <c r="H340" s="293"/>
      <c r="I340" s="294"/>
      <c r="J340" s="240"/>
      <c r="K340" s="312"/>
      <c r="L340" s="312"/>
      <c r="M340" s="312"/>
      <c r="N340" s="312"/>
      <c r="O340" s="114"/>
      <c r="P340" s="534"/>
      <c r="Q340" s="534"/>
      <c r="R340" s="534"/>
      <c r="S340" s="534"/>
      <c r="T340" s="293"/>
      <c r="U340" s="294"/>
      <c r="V340" s="240"/>
      <c r="W340" s="529"/>
      <c r="X340" s="529"/>
      <c r="Y340" s="529"/>
      <c r="Z340" s="529"/>
      <c r="AA340" s="529"/>
      <c r="AB340" s="529"/>
      <c r="AC340" s="529"/>
    </row>
    <row r="341" spans="1:29" s="123" customFormat="1" ht="20.100000000000001" customHeight="1" x14ac:dyDescent="0.25">
      <c r="B341" s="86" t="s">
        <v>623</v>
      </c>
      <c r="C341" s="322"/>
      <c r="D341" s="322"/>
      <c r="E341" s="322"/>
      <c r="F341" s="322"/>
      <c r="G341" s="322"/>
      <c r="H341" s="238"/>
      <c r="I341" s="239"/>
      <c r="J341" s="240"/>
      <c r="K341" s="321"/>
      <c r="L341" s="321"/>
      <c r="M341" s="321"/>
      <c r="N341" s="321"/>
      <c r="O341" s="114"/>
      <c r="P341" s="86" t="s">
        <v>633</v>
      </c>
      <c r="Q341" s="534"/>
      <c r="R341" s="534"/>
      <c r="S341" s="534"/>
      <c r="T341" s="238"/>
      <c r="U341" s="239"/>
      <c r="V341" s="240"/>
      <c r="W341" s="529"/>
      <c r="X341" s="529"/>
      <c r="Y341" s="529"/>
      <c r="Z341" s="529"/>
      <c r="AA341" s="529"/>
      <c r="AB341" s="529"/>
      <c r="AC341" s="529"/>
    </row>
    <row r="342" spans="1:29" s="123" customFormat="1" ht="20.100000000000001" customHeight="1" x14ac:dyDescent="0.25">
      <c r="B342" s="826" t="s">
        <v>408</v>
      </c>
      <c r="C342" s="826"/>
      <c r="D342" s="826"/>
      <c r="E342" s="826"/>
      <c r="F342" s="826"/>
      <c r="G342" s="823"/>
      <c r="H342" s="682" t="s">
        <v>454</v>
      </c>
      <c r="I342" s="659" t="s">
        <v>450</v>
      </c>
      <c r="J342" s="669" t="s">
        <v>472</v>
      </c>
      <c r="K342" s="282"/>
      <c r="L342" s="158"/>
      <c r="M342" s="158"/>
      <c r="N342" s="321"/>
      <c r="O342" s="114"/>
      <c r="P342" s="670" t="s">
        <v>408</v>
      </c>
      <c r="Q342" s="671"/>
      <c r="R342" s="671"/>
      <c r="S342" s="672"/>
      <c r="T342" s="682" t="s">
        <v>454</v>
      </c>
      <c r="U342" s="659" t="s">
        <v>450</v>
      </c>
      <c r="V342" s="669" t="s">
        <v>472</v>
      </c>
      <c r="W342" s="282"/>
      <c r="X342" s="158"/>
      <c r="Y342" s="158"/>
      <c r="Z342" s="529"/>
      <c r="AA342" s="158"/>
      <c r="AB342" s="158"/>
      <c r="AC342" s="529"/>
    </row>
    <row r="343" spans="1:29" s="123" customFormat="1" ht="20.100000000000001" customHeight="1" x14ac:dyDescent="0.25">
      <c r="B343" s="826"/>
      <c r="C343" s="826"/>
      <c r="D343" s="826"/>
      <c r="E343" s="826"/>
      <c r="F343" s="826"/>
      <c r="G343" s="823"/>
      <c r="H343" s="683"/>
      <c r="I343" s="659"/>
      <c r="J343" s="669"/>
      <c r="K343" s="282"/>
      <c r="L343" s="114"/>
      <c r="M343" s="114"/>
      <c r="N343" s="321"/>
      <c r="O343" s="114"/>
      <c r="P343" s="673"/>
      <c r="Q343" s="674"/>
      <c r="R343" s="674"/>
      <c r="S343" s="675"/>
      <c r="T343" s="683"/>
      <c r="U343" s="659"/>
      <c r="V343" s="669"/>
      <c r="W343" s="282"/>
      <c r="X343" s="114"/>
      <c r="Y343" s="114"/>
      <c r="Z343" s="529"/>
      <c r="AA343" s="114"/>
      <c r="AB343" s="114"/>
      <c r="AC343" s="529"/>
    </row>
    <row r="344" spans="1:29" s="123" customFormat="1" ht="20.100000000000001" customHeight="1" x14ac:dyDescent="0.25">
      <c r="B344" s="826"/>
      <c r="C344" s="826"/>
      <c r="D344" s="826"/>
      <c r="E344" s="826"/>
      <c r="F344" s="826"/>
      <c r="G344" s="823"/>
      <c r="H344" s="271" t="str">
        <f>IF(H309=BQ72,"(pulgadas)",IF(H309=BQ73,"(pulgadas)",IF(H309=#REF!,"(mm)",IF(H309=BQ74,"(mm)",IF(H309=BQ75,"(mm)",IF(H309=BQ76,"(mm)",IF(H309=BQ77,"(pulgadas)",IF(H309=BQ78,"(pulgadas)"))))))))</f>
        <v>(pulgadas)</v>
      </c>
      <c r="I344" s="659"/>
      <c r="J344" s="669"/>
      <c r="K344" s="283"/>
      <c r="L344" s="114"/>
      <c r="M344" s="114"/>
      <c r="N344" s="321"/>
      <c r="O344" s="114"/>
      <c r="P344" s="676"/>
      <c r="Q344" s="677"/>
      <c r="R344" s="677"/>
      <c r="S344" s="678"/>
      <c r="T344" s="271" t="str">
        <f>IF(T309=CC72,"(pulgadas)",IF(T309=CC73,"(pulgadas)",IF(T309=#REF!,"(mm)",IF(T309=CC74,"(mm)",IF(T309=CC75,"(mm)",IF(T309=CC76,"(mm)",IF(T309=CC77,"(pulgadas)",IF(T309=CC78,"(pulgadas)"))))))))</f>
        <v>(pulgadas)</v>
      </c>
      <c r="U344" s="659"/>
      <c r="V344" s="669"/>
      <c r="W344" s="283"/>
      <c r="X344" s="114"/>
      <c r="Y344" s="114"/>
      <c r="Z344" s="529"/>
      <c r="AA344" s="114"/>
      <c r="AB344" s="114"/>
      <c r="AC344" s="529"/>
    </row>
    <row r="345" spans="1:29" s="123" customFormat="1" ht="20.100000000000001" customHeight="1" x14ac:dyDescent="0.25">
      <c r="B345" s="622" t="s">
        <v>412</v>
      </c>
      <c r="C345" s="663"/>
      <c r="D345" s="663"/>
      <c r="E345" s="663"/>
      <c r="F345" s="663"/>
      <c r="G345" s="623"/>
      <c r="H345" s="318">
        <f>$I$241</f>
        <v>200</v>
      </c>
      <c r="I345" s="387">
        <v>1</v>
      </c>
      <c r="J345" s="172">
        <f>IF(B345=CE9,HLOOKUP(H345,$CH$7:$DK$23,3,FALSE))</f>
        <v>0.11</v>
      </c>
      <c r="K345" s="122"/>
      <c r="L345" s="244"/>
      <c r="M345" s="321"/>
      <c r="N345" s="321"/>
      <c r="O345" s="114"/>
      <c r="P345" s="556" t="s">
        <v>412</v>
      </c>
      <c r="Q345" s="557"/>
      <c r="R345" s="557"/>
      <c r="S345" s="557"/>
      <c r="T345" s="528">
        <f>$I$241</f>
        <v>200</v>
      </c>
      <c r="U345" s="531">
        <f>I345</f>
        <v>1</v>
      </c>
      <c r="V345" s="535">
        <f>J345</f>
        <v>0.11</v>
      </c>
      <c r="W345" s="122"/>
      <c r="X345" s="244"/>
      <c r="Y345" s="529"/>
      <c r="Z345" s="529"/>
      <c r="AA345" s="244"/>
      <c r="AB345" s="529"/>
      <c r="AC345" s="529"/>
    </row>
    <row r="346" spans="1:29" s="123" customFormat="1" ht="20.100000000000001" customHeight="1" x14ac:dyDescent="0.25">
      <c r="B346" s="622" t="s">
        <v>413</v>
      </c>
      <c r="C346" s="663"/>
      <c r="D346" s="663"/>
      <c r="E346" s="663"/>
      <c r="F346" s="663"/>
      <c r="G346" s="623"/>
      <c r="H346" s="324">
        <f t="shared" ref="H346:H348" si="83">$I$241</f>
        <v>200</v>
      </c>
      <c r="I346" s="387">
        <v>1</v>
      </c>
      <c r="J346" s="172">
        <f>IF(B346=CE14,HLOOKUP(H346,$CH$7:$DK$23,8,FALSE))</f>
        <v>0.28000000000000003</v>
      </c>
      <c r="K346" s="122"/>
      <c r="L346" s="244"/>
      <c r="M346" s="321"/>
      <c r="N346" s="321"/>
      <c r="O346" s="114"/>
      <c r="P346" s="556" t="s">
        <v>413</v>
      </c>
      <c r="Q346" s="557"/>
      <c r="R346" s="557"/>
      <c r="S346" s="557"/>
      <c r="T346" s="531">
        <f t="shared" ref="T346:T348" si="84">$I$241</f>
        <v>200</v>
      </c>
      <c r="U346" s="531">
        <v>1</v>
      </c>
      <c r="V346" s="535">
        <f t="shared" ref="V346:V348" si="85">J346</f>
        <v>0.28000000000000003</v>
      </c>
      <c r="W346" s="122"/>
      <c r="X346" s="244"/>
      <c r="Y346" s="529"/>
      <c r="Z346" s="529"/>
      <c r="AA346" s="244"/>
      <c r="AB346" s="529"/>
      <c r="AC346" s="529"/>
    </row>
    <row r="347" spans="1:29" s="123" customFormat="1" ht="20.100000000000001" customHeight="1" x14ac:dyDescent="0.25">
      <c r="B347" s="622" t="s">
        <v>416</v>
      </c>
      <c r="C347" s="663"/>
      <c r="D347" s="663"/>
      <c r="E347" s="663"/>
      <c r="F347" s="663"/>
      <c r="G347" s="623"/>
      <c r="H347" s="324">
        <f t="shared" si="83"/>
        <v>200</v>
      </c>
      <c r="I347" s="387">
        <v>1</v>
      </c>
      <c r="J347" s="172">
        <f>IF(B347=CE20,HLOOKUP(H347,$CH$7:$DK$23,14,FALSE),IF(B347=CE21,HLOOKUP(H347,$CH$7:$DK$23,15,FALSE)))</f>
        <v>0.1</v>
      </c>
      <c r="K347" s="122"/>
      <c r="L347" s="244"/>
      <c r="M347" s="321"/>
      <c r="N347" s="321"/>
      <c r="O347" s="114"/>
      <c r="P347" s="556" t="s">
        <v>416</v>
      </c>
      <c r="Q347" s="557"/>
      <c r="R347" s="557"/>
      <c r="S347" s="557"/>
      <c r="T347" s="531">
        <f t="shared" si="84"/>
        <v>200</v>
      </c>
      <c r="U347" s="531">
        <v>1</v>
      </c>
      <c r="V347" s="535">
        <f t="shared" si="85"/>
        <v>0.1</v>
      </c>
      <c r="W347" s="122"/>
      <c r="X347" s="244"/>
      <c r="Y347" s="529"/>
      <c r="Z347" s="529"/>
      <c r="AA347" s="244"/>
      <c r="AB347" s="529"/>
      <c r="AC347" s="529"/>
    </row>
    <row r="348" spans="1:29" s="123" customFormat="1" ht="20.100000000000001" customHeight="1" x14ac:dyDescent="0.25">
      <c r="B348" s="622" t="s">
        <v>453</v>
      </c>
      <c r="C348" s="663"/>
      <c r="D348" s="663"/>
      <c r="E348" s="663"/>
      <c r="F348" s="663"/>
      <c r="G348" s="623"/>
      <c r="H348" s="324">
        <f t="shared" si="83"/>
        <v>200</v>
      </c>
      <c r="I348" s="387">
        <v>1</v>
      </c>
      <c r="J348" s="172">
        <f>IF(B348=CE23,HLOOKUP(H348,$CH$7:$DK$23,17,FALSE))</f>
        <v>1</v>
      </c>
      <c r="K348" s="122"/>
      <c r="L348" s="244"/>
      <c r="M348" s="321"/>
      <c r="N348" s="321"/>
      <c r="O348" s="114"/>
      <c r="P348" s="556" t="s">
        <v>453</v>
      </c>
      <c r="Q348" s="557"/>
      <c r="R348" s="557"/>
      <c r="S348" s="557"/>
      <c r="T348" s="531">
        <f t="shared" si="84"/>
        <v>200</v>
      </c>
      <c r="U348" s="531">
        <v>1</v>
      </c>
      <c r="V348" s="535">
        <f t="shared" si="85"/>
        <v>1</v>
      </c>
      <c r="W348" s="122"/>
      <c r="X348" s="244"/>
      <c r="Y348" s="529"/>
      <c r="Z348" s="529"/>
      <c r="AA348" s="244"/>
      <c r="AB348" s="529"/>
      <c r="AC348" s="529"/>
    </row>
    <row r="349" spans="1:29" s="123" customFormat="1" ht="20.100000000000001" customHeight="1" x14ac:dyDescent="0.25">
      <c r="B349" s="103"/>
      <c r="C349" s="103"/>
      <c r="D349" s="103"/>
      <c r="E349" s="103"/>
      <c r="F349" s="104"/>
      <c r="G349" s="105"/>
      <c r="H349" s="224"/>
      <c r="I349" s="114"/>
      <c r="J349" s="114"/>
      <c r="K349" s="114"/>
      <c r="L349" s="114"/>
      <c r="M349" s="114"/>
      <c r="N349" s="114"/>
      <c r="O349" s="114"/>
      <c r="P349" s="103"/>
      <c r="Q349" s="103"/>
      <c r="R349" s="103"/>
      <c r="S349" s="103"/>
      <c r="T349" s="224"/>
      <c r="U349" s="114"/>
      <c r="V349" s="114"/>
      <c r="W349" s="114"/>
      <c r="X349" s="114"/>
      <c r="Y349" s="114"/>
      <c r="Z349" s="114"/>
      <c r="AA349" s="114"/>
      <c r="AB349" s="114"/>
      <c r="AC349" s="114"/>
    </row>
    <row r="350" spans="1:29" s="123" customFormat="1" ht="20.100000000000001" customHeight="1" x14ac:dyDescent="0.25">
      <c r="B350" s="640" t="s">
        <v>459</v>
      </c>
      <c r="C350" s="640"/>
      <c r="D350" s="640"/>
      <c r="E350" s="640"/>
      <c r="F350" s="640"/>
      <c r="G350" s="640"/>
      <c r="H350" s="333" t="s">
        <v>462</v>
      </c>
      <c r="I350" s="172">
        <f>SUM(J345:J348)</f>
        <v>1.49</v>
      </c>
      <c r="J350" s="185" t="s">
        <v>480</v>
      </c>
      <c r="K350" s="664"/>
      <c r="L350" s="664"/>
      <c r="M350" s="664"/>
      <c r="N350" s="664"/>
      <c r="O350" s="114"/>
      <c r="P350" s="640" t="s">
        <v>459</v>
      </c>
      <c r="Q350" s="640"/>
      <c r="R350" s="640"/>
      <c r="S350" s="622"/>
      <c r="T350" s="531" t="s">
        <v>462</v>
      </c>
      <c r="U350" s="535">
        <f>SUM(V345:V348)</f>
        <v>1.49</v>
      </c>
      <c r="V350" s="533" t="s">
        <v>480</v>
      </c>
      <c r="W350" s="664"/>
      <c r="X350" s="664"/>
      <c r="Y350" s="664"/>
      <c r="Z350" s="664"/>
      <c r="AA350" s="114"/>
      <c r="AB350" s="114"/>
      <c r="AC350" s="114"/>
    </row>
    <row r="351" spans="1:29" s="123" customFormat="1" ht="20.100000000000001" customHeight="1" x14ac:dyDescent="0.25">
      <c r="A351" s="123">
        <v>9</v>
      </c>
      <c r="B351" s="640" t="s">
        <v>614</v>
      </c>
      <c r="C351" s="640"/>
      <c r="D351" s="640"/>
      <c r="E351" s="640"/>
      <c r="F351" s="640"/>
      <c r="G351" s="640"/>
      <c r="H351" s="679" t="s">
        <v>555</v>
      </c>
      <c r="I351" s="680">
        <f>I350*I327</f>
        <v>1.5112357998453172E-2</v>
      </c>
      <c r="J351" s="681" t="s">
        <v>3</v>
      </c>
      <c r="K351" s="664"/>
      <c r="L351" s="664"/>
      <c r="M351" s="664"/>
      <c r="N351" s="664"/>
      <c r="O351" s="114"/>
      <c r="P351" s="640" t="s">
        <v>614</v>
      </c>
      <c r="Q351" s="640"/>
      <c r="R351" s="640"/>
      <c r="S351" s="622"/>
      <c r="T351" s="679" t="s">
        <v>617</v>
      </c>
      <c r="U351" s="680">
        <f>U350*U327</f>
        <v>2.3613059372583074E-2</v>
      </c>
      <c r="V351" s="681" t="s">
        <v>3</v>
      </c>
      <c r="W351" s="664"/>
      <c r="X351" s="664"/>
      <c r="Y351" s="664"/>
      <c r="Z351" s="664"/>
      <c r="AA351" s="114"/>
      <c r="AB351" s="114"/>
      <c r="AC351" s="114"/>
    </row>
    <row r="352" spans="1:29" s="123" customFormat="1" ht="20.100000000000001" customHeight="1" x14ac:dyDescent="0.25">
      <c r="B352" s="640"/>
      <c r="C352" s="640"/>
      <c r="D352" s="640"/>
      <c r="E352" s="640"/>
      <c r="F352" s="640"/>
      <c r="G352" s="640"/>
      <c r="H352" s="679"/>
      <c r="I352" s="680"/>
      <c r="J352" s="681"/>
      <c r="K352" s="664"/>
      <c r="L352" s="664"/>
      <c r="M352" s="664"/>
      <c r="N352" s="664"/>
      <c r="O352" s="114"/>
      <c r="P352" s="640"/>
      <c r="Q352" s="640"/>
      <c r="R352" s="640"/>
      <c r="S352" s="622"/>
      <c r="T352" s="679"/>
      <c r="U352" s="680"/>
      <c r="V352" s="681"/>
      <c r="W352" s="664"/>
      <c r="X352" s="664"/>
      <c r="Y352" s="664"/>
      <c r="Z352" s="664"/>
      <c r="AA352" s="114"/>
      <c r="AB352" s="114"/>
      <c r="AC352" s="114"/>
    </row>
    <row r="353" spans="2:29" s="123" customFormat="1" ht="20.100000000000001" customHeight="1" x14ac:dyDescent="0.25">
      <c r="B353" s="322"/>
      <c r="C353" s="322"/>
      <c r="D353" s="322"/>
      <c r="E353" s="322"/>
      <c r="F353" s="322"/>
      <c r="G353" s="322"/>
      <c r="H353" s="293"/>
      <c r="I353" s="294"/>
      <c r="J353" s="240"/>
      <c r="K353" s="321"/>
      <c r="L353" s="321"/>
      <c r="M353" s="321"/>
      <c r="N353" s="321"/>
      <c r="O353" s="114"/>
      <c r="P353" s="534"/>
      <c r="Q353" s="534"/>
      <c r="R353" s="534"/>
      <c r="S353" s="534"/>
      <c r="T353" s="293"/>
      <c r="U353" s="294"/>
      <c r="V353" s="240"/>
      <c r="W353" s="529"/>
      <c r="X353" s="529"/>
      <c r="Y353" s="529"/>
      <c r="Z353" s="529"/>
      <c r="AA353" s="529"/>
      <c r="AB353" s="529"/>
      <c r="AC353" s="529"/>
    </row>
    <row r="354" spans="2:29" s="123" customFormat="1" ht="20.100000000000001" customHeight="1" x14ac:dyDescent="0.25">
      <c r="B354" s="86" t="s">
        <v>649</v>
      </c>
      <c r="C354" s="103"/>
      <c r="D354" s="103"/>
      <c r="E354" s="103"/>
      <c r="F354" s="104"/>
      <c r="G354" s="105"/>
      <c r="H354" s="106"/>
      <c r="I354" s="114"/>
      <c r="J354" s="114"/>
      <c r="K354" s="114"/>
      <c r="L354" s="114"/>
      <c r="M354" s="114"/>
      <c r="N354" s="114"/>
      <c r="O354" s="114"/>
      <c r="P354" s="86" t="s">
        <v>654</v>
      </c>
      <c r="Q354" s="103"/>
      <c r="R354" s="103"/>
      <c r="S354" s="103"/>
      <c r="T354" s="106"/>
      <c r="U354" s="114"/>
      <c r="V354" s="114"/>
      <c r="W354" s="114"/>
      <c r="X354" s="114"/>
      <c r="Y354" s="114"/>
      <c r="Z354" s="114"/>
      <c r="AA354" s="114"/>
      <c r="AB354" s="114"/>
      <c r="AC354" s="114"/>
    </row>
    <row r="355" spans="2:29" s="123" customFormat="1" ht="20.100000000000001" customHeight="1" x14ac:dyDescent="0.25">
      <c r="B355" s="622" t="s">
        <v>549</v>
      </c>
      <c r="C355" s="663"/>
      <c r="D355" s="663"/>
      <c r="E355" s="663"/>
      <c r="F355" s="663"/>
      <c r="G355" s="623"/>
      <c r="H355" s="324" t="s">
        <v>547</v>
      </c>
      <c r="I355" s="607" t="str">
        <f>LEFT(W117,5)</f>
        <v>0,304</v>
      </c>
      <c r="J355" s="232" t="s">
        <v>3</v>
      </c>
      <c r="K355" s="664"/>
      <c r="L355" s="664"/>
      <c r="M355" s="664"/>
      <c r="N355" s="664"/>
      <c r="O355" s="114"/>
      <c r="P355" s="640" t="s">
        <v>549</v>
      </c>
      <c r="Q355" s="640"/>
      <c r="R355" s="640"/>
      <c r="S355" s="622"/>
      <c r="T355" s="531" t="s">
        <v>636</v>
      </c>
      <c r="U355" s="606" t="str">
        <f>LEFT(W135,5)</f>
        <v>0,384</v>
      </c>
      <c r="V355" s="536" t="s">
        <v>3</v>
      </c>
      <c r="W355" s="664"/>
      <c r="X355" s="664"/>
      <c r="Y355" s="664"/>
      <c r="Z355" s="664"/>
      <c r="AA355" s="114"/>
      <c r="AB355" s="114"/>
      <c r="AC355" s="114"/>
    </row>
    <row r="356" spans="2:29" s="123" customFormat="1" ht="20.100000000000001" customHeight="1" x14ac:dyDescent="0.25">
      <c r="B356" s="622" t="s">
        <v>548</v>
      </c>
      <c r="C356" s="663"/>
      <c r="D356" s="663"/>
      <c r="E356" s="663"/>
      <c r="F356" s="663"/>
      <c r="G356" s="623"/>
      <c r="H356" s="324" t="s">
        <v>556</v>
      </c>
      <c r="I356" s="602">
        <f>I308</f>
        <v>1.2499999999999997E-2</v>
      </c>
      <c r="J356" s="232" t="s">
        <v>3</v>
      </c>
      <c r="K356" s="664"/>
      <c r="L356" s="664"/>
      <c r="M356" s="664"/>
      <c r="N356" s="664"/>
      <c r="O356" s="114"/>
      <c r="P356" s="640" t="s">
        <v>548</v>
      </c>
      <c r="Q356" s="640"/>
      <c r="R356" s="640"/>
      <c r="S356" s="622"/>
      <c r="T356" s="531" t="s">
        <v>637</v>
      </c>
      <c r="U356" s="345">
        <f>U308</f>
        <v>1.5625E-2</v>
      </c>
      <c r="V356" s="536" t="s">
        <v>3</v>
      </c>
      <c r="W356" s="664"/>
      <c r="X356" s="664"/>
      <c r="Y356" s="664"/>
      <c r="Z356" s="664"/>
      <c r="AA356" s="114"/>
      <c r="AB356" s="114"/>
      <c r="AC356" s="114"/>
    </row>
    <row r="357" spans="2:29" s="123" customFormat="1" ht="20.100000000000001" customHeight="1" x14ac:dyDescent="0.25">
      <c r="B357" s="622" t="s">
        <v>550</v>
      </c>
      <c r="C357" s="663"/>
      <c r="D357" s="663"/>
      <c r="E357" s="663"/>
      <c r="F357" s="663"/>
      <c r="G357" s="623"/>
      <c r="H357" s="324" t="s">
        <v>557</v>
      </c>
      <c r="I357" s="602">
        <f>I315</f>
        <v>5.6591370257065843E-2</v>
      </c>
      <c r="J357" s="232" t="s">
        <v>3</v>
      </c>
      <c r="K357" s="664"/>
      <c r="L357" s="664"/>
      <c r="M357" s="664"/>
      <c r="N357" s="664"/>
      <c r="O357" s="114"/>
      <c r="P357" s="640" t="s">
        <v>550</v>
      </c>
      <c r="Q357" s="640"/>
      <c r="R357" s="640"/>
      <c r="S357" s="622"/>
      <c r="T357" s="531" t="s">
        <v>638</v>
      </c>
      <c r="U357" s="345">
        <f>U315</f>
        <v>8.8424016026665372E-2</v>
      </c>
      <c r="V357" s="536" t="s">
        <v>3</v>
      </c>
      <c r="W357" s="664"/>
      <c r="X357" s="664"/>
      <c r="Y357" s="664"/>
      <c r="Z357" s="664"/>
      <c r="AA357" s="114"/>
      <c r="AB357" s="114"/>
      <c r="AC357" s="114"/>
    </row>
    <row r="358" spans="2:29" s="123" customFormat="1" ht="20.100000000000001" customHeight="1" x14ac:dyDescent="0.25">
      <c r="B358" s="622" t="s">
        <v>551</v>
      </c>
      <c r="C358" s="663"/>
      <c r="D358" s="663"/>
      <c r="E358" s="663"/>
      <c r="F358" s="663"/>
      <c r="G358" s="623"/>
      <c r="H358" s="324" t="s">
        <v>554</v>
      </c>
      <c r="I358" s="602">
        <f>I338</f>
        <v>1.7711647327179315E-3</v>
      </c>
      <c r="J358" s="232" t="s">
        <v>3</v>
      </c>
      <c r="K358" s="664"/>
      <c r="L358" s="664"/>
      <c r="M358" s="664"/>
      <c r="N358" s="664"/>
      <c r="O358" s="114"/>
      <c r="P358" s="640" t="s">
        <v>551</v>
      </c>
      <c r="Q358" s="640"/>
      <c r="R358" s="640"/>
      <c r="S358" s="622"/>
      <c r="T358" s="531" t="s">
        <v>616</v>
      </c>
      <c r="U358" s="345">
        <f>U338</f>
        <v>2.6377942293873396E-3</v>
      </c>
      <c r="V358" s="536" t="s">
        <v>3</v>
      </c>
      <c r="W358" s="664"/>
      <c r="X358" s="664"/>
      <c r="Y358" s="664"/>
      <c r="Z358" s="664"/>
      <c r="AA358" s="114"/>
      <c r="AB358" s="114"/>
      <c r="AC358" s="114"/>
    </row>
    <row r="359" spans="2:29" s="123" customFormat="1" ht="20.100000000000001" customHeight="1" x14ac:dyDescent="0.25">
      <c r="B359" s="622" t="s">
        <v>552</v>
      </c>
      <c r="C359" s="663"/>
      <c r="D359" s="663"/>
      <c r="E359" s="663"/>
      <c r="F359" s="663"/>
      <c r="G359" s="623"/>
      <c r="H359" s="324" t="s">
        <v>555</v>
      </c>
      <c r="I359" s="602">
        <f>I351</f>
        <v>1.5112357998453172E-2</v>
      </c>
      <c r="J359" s="232" t="s">
        <v>3</v>
      </c>
      <c r="K359" s="664"/>
      <c r="L359" s="664"/>
      <c r="M359" s="664"/>
      <c r="N359" s="664"/>
      <c r="O359" s="114"/>
      <c r="P359" s="640" t="s">
        <v>552</v>
      </c>
      <c r="Q359" s="640"/>
      <c r="R359" s="640"/>
      <c r="S359" s="622"/>
      <c r="T359" s="531" t="s">
        <v>617</v>
      </c>
      <c r="U359" s="345">
        <f>U351</f>
        <v>2.3613059372583074E-2</v>
      </c>
      <c r="V359" s="536" t="s">
        <v>3</v>
      </c>
      <c r="W359" s="664"/>
      <c r="X359" s="664"/>
      <c r="Y359" s="664"/>
      <c r="Z359" s="664"/>
      <c r="AA359" s="114"/>
      <c r="AB359" s="114"/>
      <c r="AC359" s="114"/>
    </row>
    <row r="360" spans="2:29" s="123" customFormat="1" ht="20.100000000000001" customHeight="1" x14ac:dyDescent="0.25">
      <c r="B360" s="622" t="s">
        <v>644</v>
      </c>
      <c r="C360" s="663"/>
      <c r="D360" s="663"/>
      <c r="E360" s="663"/>
      <c r="F360" s="663"/>
      <c r="G360" s="623"/>
      <c r="H360" s="285" t="s">
        <v>558</v>
      </c>
      <c r="I360" s="607">
        <f>I355+I356+I357+I358+I359</f>
        <v>0.38997489298823695</v>
      </c>
      <c r="J360" s="232" t="s">
        <v>3</v>
      </c>
      <c r="K360" s="664"/>
      <c r="L360" s="664"/>
      <c r="M360" s="664"/>
      <c r="N360" s="664"/>
      <c r="O360" s="114"/>
      <c r="P360" s="640" t="s">
        <v>645</v>
      </c>
      <c r="Q360" s="640"/>
      <c r="R360" s="640"/>
      <c r="S360" s="622"/>
      <c r="T360" s="285" t="s">
        <v>635</v>
      </c>
      <c r="U360" s="606">
        <f>U355+U356+U357+U358+U359</f>
        <v>0.51429986962863583</v>
      </c>
      <c r="V360" s="536" t="s">
        <v>3</v>
      </c>
      <c r="W360" s="664"/>
      <c r="X360" s="664"/>
      <c r="Y360" s="664"/>
      <c r="Z360" s="664"/>
      <c r="AA360" s="114"/>
      <c r="AB360" s="114"/>
      <c r="AC360" s="114"/>
    </row>
    <row r="361" spans="2:29" s="123" customFormat="1" ht="20.100000000000001" customHeight="1" x14ac:dyDescent="0.25">
      <c r="B361" s="534"/>
      <c r="C361" s="534"/>
      <c r="D361" s="534"/>
      <c r="E361" s="534"/>
      <c r="F361" s="534"/>
      <c r="G361" s="534"/>
      <c r="H361" s="293"/>
      <c r="I361" s="294"/>
      <c r="J361" s="240"/>
      <c r="K361" s="529"/>
      <c r="L361" s="529"/>
      <c r="M361" s="529"/>
      <c r="N361" s="529"/>
      <c r="O361" s="114"/>
      <c r="P361" s="114"/>
      <c r="Q361" s="114"/>
      <c r="R361" s="114"/>
      <c r="S361" s="114"/>
      <c r="T361" s="293"/>
      <c r="U361" s="294"/>
      <c r="V361" s="240"/>
      <c r="W361" s="529"/>
      <c r="X361" s="529"/>
      <c r="Y361" s="529"/>
      <c r="Z361" s="529"/>
      <c r="AA361" s="113"/>
      <c r="AB361" s="558"/>
      <c r="AC361" s="558"/>
    </row>
    <row r="362" spans="2:29" s="123" customFormat="1" ht="20.100000000000001" customHeight="1" x14ac:dyDescent="0.25">
      <c r="B362" s="311"/>
      <c r="C362" s="311"/>
      <c r="D362" s="311"/>
      <c r="E362" s="311"/>
      <c r="F362" s="311"/>
      <c r="G362" s="311"/>
      <c r="H362" s="293"/>
      <c r="I362" s="294"/>
      <c r="J362" s="240"/>
      <c r="K362" s="312"/>
      <c r="L362" s="312"/>
      <c r="M362" s="312"/>
      <c r="N362" s="312"/>
      <c r="O362" s="114"/>
      <c r="P362" s="114"/>
      <c r="Q362" s="114"/>
      <c r="R362" s="114"/>
      <c r="S362" s="114"/>
      <c r="T362" s="114"/>
      <c r="U362" s="114"/>
      <c r="V362" s="114"/>
      <c r="W362" s="114"/>
      <c r="X362" s="114"/>
      <c r="Y362" s="187"/>
      <c r="Z362" s="124"/>
      <c r="AA362" s="113"/>
    </row>
    <row r="363" spans="2:29" s="123" customFormat="1" ht="20.100000000000001" customHeight="1" x14ac:dyDescent="0.25">
      <c r="B363" s="86" t="s">
        <v>481</v>
      </c>
      <c r="C363" s="288"/>
      <c r="D363" s="288"/>
      <c r="E363" s="288"/>
      <c r="F363" s="288"/>
      <c r="G363" s="288"/>
      <c r="H363" s="293"/>
      <c r="I363" s="294"/>
      <c r="J363" s="240"/>
      <c r="K363" s="287"/>
      <c r="L363" s="287"/>
      <c r="M363" s="287"/>
      <c r="N363" s="287"/>
      <c r="O363" s="114"/>
      <c r="P363" s="114"/>
      <c r="Q363" s="114"/>
      <c r="R363" s="114"/>
      <c r="S363" s="114"/>
      <c r="T363" s="114"/>
      <c r="U363" s="114"/>
      <c r="V363" s="114"/>
      <c r="W363" s="114"/>
      <c r="X363" s="114"/>
      <c r="Y363" s="187"/>
      <c r="Z363" s="124"/>
      <c r="AA363" s="113"/>
    </row>
    <row r="364" spans="2:29" s="123" customFormat="1" ht="20.100000000000001" customHeight="1" x14ac:dyDescent="0.25">
      <c r="B364" s="640" t="s">
        <v>515</v>
      </c>
      <c r="C364" s="640"/>
      <c r="D364" s="640"/>
      <c r="E364" s="640"/>
      <c r="F364" s="640"/>
      <c r="G364" s="640"/>
      <c r="H364" s="292" t="s">
        <v>448</v>
      </c>
      <c r="I364" s="389">
        <v>1.5</v>
      </c>
      <c r="J364" s="232" t="s">
        <v>3</v>
      </c>
      <c r="K364" s="660"/>
      <c r="L364" s="661"/>
      <c r="M364" s="661"/>
      <c r="N364" s="662"/>
      <c r="O364" s="114"/>
      <c r="P364" s="114"/>
      <c r="Q364" s="114"/>
      <c r="R364" s="114"/>
      <c r="S364" s="114"/>
      <c r="T364" s="114"/>
      <c r="U364" s="114"/>
      <c r="V364" s="114"/>
      <c r="W364" s="114"/>
      <c r="X364" s="114"/>
      <c r="Y364" s="187"/>
      <c r="Z364" s="124"/>
      <c r="AA364" s="113"/>
    </row>
    <row r="365" spans="2:29" s="123" customFormat="1" ht="20.100000000000001" customHeight="1" x14ac:dyDescent="0.25">
      <c r="B365" s="640" t="s">
        <v>483</v>
      </c>
      <c r="C365" s="640"/>
      <c r="D365" s="640"/>
      <c r="E365" s="640"/>
      <c r="F365" s="640"/>
      <c r="G365" s="640"/>
      <c r="H365" s="185" t="s">
        <v>345</v>
      </c>
      <c r="I365" s="279">
        <f>$I$168</f>
        <v>2.8712868195288328</v>
      </c>
      <c r="J365" s="232" t="s">
        <v>3</v>
      </c>
      <c r="K365" s="933"/>
      <c r="L365" s="933"/>
      <c r="M365" s="933"/>
      <c r="N365" s="933"/>
      <c r="O365" s="114"/>
      <c r="P365" s="114"/>
      <c r="Q365" s="114"/>
      <c r="R365" s="114"/>
      <c r="S365" s="114"/>
      <c r="T365" s="114"/>
      <c r="U365" s="114"/>
      <c r="V365" s="114"/>
      <c r="W365" s="114"/>
      <c r="X365" s="114"/>
      <c r="Y365" s="187"/>
      <c r="Z365" s="124"/>
      <c r="AA365" s="113"/>
    </row>
    <row r="366" spans="2:29" s="123" customFormat="1" ht="20.100000000000001" customHeight="1" x14ac:dyDescent="0.25">
      <c r="B366" s="640" t="s">
        <v>503</v>
      </c>
      <c r="C366" s="640"/>
      <c r="D366" s="640"/>
      <c r="E366" s="640"/>
      <c r="F366" s="640"/>
      <c r="G366" s="640"/>
      <c r="H366" s="286" t="s">
        <v>482</v>
      </c>
      <c r="I366" s="295">
        <f>ROUND(I365/I364,0)</f>
        <v>2</v>
      </c>
      <c r="J366" s="232"/>
      <c r="K366" s="933"/>
      <c r="L366" s="933"/>
      <c r="M366" s="933"/>
      <c r="N366" s="933"/>
      <c r="O366" s="114"/>
      <c r="P366" s="114"/>
      <c r="Q366" s="114"/>
      <c r="R366" s="114"/>
      <c r="S366" s="114"/>
      <c r="T366" s="114"/>
      <c r="U366" s="114"/>
      <c r="V366" s="114"/>
      <c r="W366" s="114"/>
      <c r="X366" s="114"/>
      <c r="Y366" s="187"/>
      <c r="Z366" s="124"/>
      <c r="AA366" s="113"/>
    </row>
    <row r="367" spans="2:29" s="123" customFormat="1" ht="20.100000000000001" customHeight="1" x14ac:dyDescent="0.25">
      <c r="B367" s="622" t="s">
        <v>446</v>
      </c>
      <c r="C367" s="663"/>
      <c r="D367" s="663"/>
      <c r="E367" s="663"/>
      <c r="F367" s="663"/>
      <c r="G367" s="623"/>
      <c r="H367" s="191" t="s">
        <v>424</v>
      </c>
      <c r="I367" s="290">
        <f>I213</f>
        <v>8.6999999999999994E-2</v>
      </c>
      <c r="J367" s="134" t="s">
        <v>423</v>
      </c>
      <c r="K367" s="660"/>
      <c r="L367" s="661"/>
      <c r="M367" s="661"/>
      <c r="N367" s="662"/>
      <c r="O367" s="114"/>
      <c r="P367" s="114"/>
      <c r="Q367" s="114"/>
      <c r="R367" s="114"/>
      <c r="S367" s="114"/>
      <c r="T367" s="114"/>
      <c r="U367" s="114"/>
      <c r="V367" s="114"/>
      <c r="W367" s="114"/>
      <c r="X367" s="114"/>
      <c r="Y367" s="187"/>
      <c r="Z367" s="124"/>
      <c r="AA367" s="113"/>
    </row>
    <row r="368" spans="2:29" s="123" customFormat="1" ht="20.100000000000001" customHeight="1" x14ac:dyDescent="0.25">
      <c r="B368" s="713" t="s">
        <v>505</v>
      </c>
      <c r="C368" s="714"/>
      <c r="D368" s="714"/>
      <c r="E368" s="714"/>
      <c r="F368" s="714"/>
      <c r="G368" s="754"/>
      <c r="H368" s="698" t="s">
        <v>504</v>
      </c>
      <c r="I368" s="778">
        <f>I367/I366</f>
        <v>4.3499999999999997E-2</v>
      </c>
      <c r="J368" s="709" t="s">
        <v>423</v>
      </c>
      <c r="K368" s="926"/>
      <c r="L368" s="927"/>
      <c r="M368" s="927"/>
      <c r="N368" s="928"/>
      <c r="O368" s="114"/>
      <c r="P368" s="114"/>
      <c r="Q368" s="114"/>
      <c r="R368" s="114"/>
      <c r="S368" s="114"/>
      <c r="T368" s="114"/>
      <c r="U368" s="114"/>
      <c r="V368" s="114"/>
      <c r="W368" s="114"/>
      <c r="X368" s="114"/>
      <c r="Y368" s="187"/>
      <c r="Z368" s="124"/>
      <c r="AA368" s="113"/>
    </row>
    <row r="369" spans="2:27" s="123" customFormat="1" ht="20.100000000000001" customHeight="1" x14ac:dyDescent="0.25">
      <c r="B369" s="715"/>
      <c r="C369" s="716"/>
      <c r="D369" s="716"/>
      <c r="E369" s="716"/>
      <c r="F369" s="716"/>
      <c r="G369" s="755"/>
      <c r="H369" s="699"/>
      <c r="I369" s="779"/>
      <c r="J369" s="710"/>
      <c r="K369" s="929"/>
      <c r="L369" s="930"/>
      <c r="M369" s="930"/>
      <c r="N369" s="931"/>
      <c r="O369" s="114"/>
      <c r="P369" s="302"/>
      <c r="Q369" s="114"/>
      <c r="R369" s="114"/>
      <c r="S369" s="114"/>
      <c r="T369" s="114"/>
      <c r="U369" s="114"/>
      <c r="V369" s="114"/>
      <c r="W369" s="114"/>
      <c r="X369" s="114"/>
      <c r="Y369" s="187"/>
      <c r="Z369" s="124"/>
      <c r="AA369" s="113"/>
    </row>
    <row r="370" spans="2:27" s="123" customFormat="1" ht="20.100000000000001" customHeight="1" x14ac:dyDescent="0.25">
      <c r="B370" s="622" t="s">
        <v>507</v>
      </c>
      <c r="C370" s="663"/>
      <c r="D370" s="663"/>
      <c r="E370" s="663"/>
      <c r="F370" s="663"/>
      <c r="G370" s="623"/>
      <c r="H370" s="289" t="s">
        <v>510</v>
      </c>
      <c r="I370" s="382">
        <v>0.15</v>
      </c>
      <c r="J370" s="289" t="s">
        <v>3</v>
      </c>
      <c r="K370" s="660"/>
      <c r="L370" s="661"/>
      <c r="M370" s="661"/>
      <c r="N370" s="662"/>
      <c r="O370" s="114"/>
      <c r="P370" s="114"/>
      <c r="Q370" s="114"/>
      <c r="R370" s="114"/>
      <c r="S370" s="114"/>
      <c r="T370" s="114"/>
      <c r="U370" s="114"/>
      <c r="V370" s="114"/>
      <c r="W370" s="114"/>
      <c r="X370" s="114"/>
      <c r="Y370" s="187"/>
      <c r="Z370" s="124"/>
      <c r="AA370" s="113"/>
    </row>
    <row r="371" spans="2:27" s="123" customFormat="1" ht="20.100000000000001" customHeight="1" x14ac:dyDescent="0.25">
      <c r="B371" s="713" t="s">
        <v>508</v>
      </c>
      <c r="C371" s="714"/>
      <c r="D371" s="714"/>
      <c r="E371" s="714"/>
      <c r="F371" s="714"/>
      <c r="G371" s="754"/>
      <c r="H371" s="665" t="s">
        <v>509</v>
      </c>
      <c r="I371" s="667">
        <f>(I368/(1.38*I370))^(2/3)</f>
        <v>0.35346461295644332</v>
      </c>
      <c r="J371" s="665" t="s">
        <v>3</v>
      </c>
      <c r="K371" s="926"/>
      <c r="L371" s="927"/>
      <c r="M371" s="927"/>
      <c r="N371" s="928"/>
      <c r="O371" s="932"/>
      <c r="P371" s="114"/>
      <c r="Q371" s="114"/>
      <c r="R371" s="114"/>
      <c r="S371" s="114"/>
      <c r="T371" s="114"/>
      <c r="U371" s="114"/>
      <c r="V371" s="114"/>
      <c r="W371" s="114"/>
      <c r="X371" s="114"/>
      <c r="Y371" s="187"/>
      <c r="Z371" s="124"/>
      <c r="AA371" s="113"/>
    </row>
    <row r="372" spans="2:27" s="123" customFormat="1" ht="20.100000000000001" customHeight="1" x14ac:dyDescent="0.25">
      <c r="B372" s="715"/>
      <c r="C372" s="716"/>
      <c r="D372" s="716"/>
      <c r="E372" s="716"/>
      <c r="F372" s="716"/>
      <c r="G372" s="755"/>
      <c r="H372" s="666"/>
      <c r="I372" s="668"/>
      <c r="J372" s="666"/>
      <c r="K372" s="929"/>
      <c r="L372" s="930"/>
      <c r="M372" s="930"/>
      <c r="N372" s="931"/>
      <c r="O372" s="932"/>
      <c r="P372" s="114"/>
      <c r="Q372" s="114"/>
      <c r="R372" s="114"/>
      <c r="S372" s="114"/>
      <c r="T372" s="114"/>
      <c r="U372" s="114"/>
      <c r="V372" s="114"/>
      <c r="W372" s="114"/>
      <c r="X372" s="114"/>
      <c r="Y372" s="187"/>
      <c r="Z372" s="124"/>
      <c r="AA372" s="113"/>
    </row>
    <row r="373" spans="2:27" s="123" customFormat="1" ht="20.100000000000001" customHeight="1" x14ac:dyDescent="0.25">
      <c r="B373" s="622" t="s">
        <v>511</v>
      </c>
      <c r="C373" s="663"/>
      <c r="D373" s="663"/>
      <c r="E373" s="663"/>
      <c r="F373" s="663"/>
      <c r="G373" s="623"/>
      <c r="H373" s="185" t="s">
        <v>512</v>
      </c>
      <c r="I373" s="296">
        <f>IF(I371/2&lt;0.05,0.05,IF(I371/2&gt;0.1,0.1,I371/2))</f>
        <v>0.1</v>
      </c>
      <c r="J373" s="185" t="s">
        <v>3</v>
      </c>
      <c r="K373" s="660"/>
      <c r="L373" s="661"/>
      <c r="M373" s="661"/>
      <c r="N373" s="662"/>
      <c r="O373" s="114"/>
      <c r="P373" s="114"/>
      <c r="Q373" s="114"/>
      <c r="R373" s="114"/>
      <c r="S373" s="114"/>
      <c r="T373" s="114"/>
      <c r="U373" s="114"/>
      <c r="V373" s="114"/>
      <c r="W373" s="114"/>
      <c r="X373" s="114"/>
      <c r="Y373" s="187"/>
      <c r="Z373" s="124"/>
      <c r="AA373" s="113"/>
    </row>
    <row r="374" spans="2:27" s="123" customFormat="1" ht="20.100000000000001" customHeight="1" x14ac:dyDescent="0.25">
      <c r="B374" s="622" t="s">
        <v>513</v>
      </c>
      <c r="C374" s="663"/>
      <c r="D374" s="663"/>
      <c r="E374" s="663"/>
      <c r="F374" s="663"/>
      <c r="G374" s="623"/>
      <c r="H374" s="185" t="s">
        <v>514</v>
      </c>
      <c r="I374" s="296">
        <f>ROUND(I371+I373,2)</f>
        <v>0.45</v>
      </c>
      <c r="J374" s="185" t="s">
        <v>3</v>
      </c>
      <c r="K374" s="660"/>
      <c r="L374" s="661"/>
      <c r="M374" s="661"/>
      <c r="N374" s="662"/>
      <c r="O374" s="114" t="str">
        <f>IF(I374&gt;I370,"¡Error, aumente ancho de la canaleta!",IF(I374&lt;(0.8*I370),"¡Error, disminuya ancho de la canaleta!","¡ok!"))</f>
        <v>¡Error, aumente ancho de la canaleta!</v>
      </c>
      <c r="P374" s="114"/>
      <c r="Q374" s="114"/>
      <c r="R374" s="114"/>
      <c r="S374" s="114"/>
      <c r="T374" s="114"/>
      <c r="U374" s="114"/>
      <c r="V374" s="114"/>
      <c r="W374" s="114"/>
      <c r="X374" s="114"/>
      <c r="Y374" s="187"/>
      <c r="Z374" s="124"/>
      <c r="AA374" s="113"/>
    </row>
    <row r="375" spans="2:27" s="123" customFormat="1" ht="20.100000000000001" customHeight="1" x14ac:dyDescent="0.25">
      <c r="B375" s="622" t="s">
        <v>487</v>
      </c>
      <c r="C375" s="663"/>
      <c r="D375" s="663"/>
      <c r="E375" s="663"/>
      <c r="F375" s="663"/>
      <c r="G375" s="623"/>
      <c r="H375" s="172" t="s">
        <v>88</v>
      </c>
      <c r="I375" s="290">
        <f>$I$74</f>
        <v>0.64</v>
      </c>
      <c r="J375" s="172" t="s">
        <v>3</v>
      </c>
      <c r="K375" s="469"/>
      <c r="L375" s="470"/>
      <c r="M375" s="470"/>
      <c r="N375" s="471"/>
      <c r="O375" s="114"/>
      <c r="P375" s="114"/>
      <c r="Q375" s="114"/>
      <c r="R375" s="114"/>
      <c r="S375" s="114"/>
      <c r="T375" s="114"/>
      <c r="U375" s="114"/>
      <c r="V375" s="114"/>
      <c r="W375" s="114"/>
      <c r="X375" s="114"/>
      <c r="Y375" s="187"/>
      <c r="Z375" s="124"/>
      <c r="AA375" s="113"/>
    </row>
    <row r="376" spans="2:27" s="123" customFormat="1" ht="20.100000000000001" customHeight="1" x14ac:dyDescent="0.25">
      <c r="B376" s="548" t="s">
        <v>488</v>
      </c>
      <c r="C376" s="549"/>
      <c r="D376" s="549"/>
      <c r="E376" s="549"/>
      <c r="F376" s="549"/>
      <c r="G376" s="550"/>
      <c r="H376" s="298" t="s">
        <v>497</v>
      </c>
      <c r="I376" s="291">
        <f>$I$202</f>
        <v>0.88566735456816503</v>
      </c>
      <c r="J376" s="298" t="s">
        <v>3</v>
      </c>
      <c r="K376" s="469"/>
      <c r="L376" s="470"/>
      <c r="M376" s="470"/>
      <c r="N376" s="471"/>
      <c r="O376" s="114"/>
      <c r="P376" s="114"/>
      <c r="Q376" s="114"/>
      <c r="R376" s="114"/>
      <c r="S376" s="114"/>
      <c r="T376" s="114"/>
      <c r="U376" s="114"/>
      <c r="V376" s="114"/>
      <c r="W376" s="114"/>
      <c r="X376" s="114"/>
      <c r="Y376" s="187"/>
      <c r="Z376" s="124"/>
      <c r="AA376" s="113"/>
    </row>
    <row r="377" spans="2:27" s="123" customFormat="1" ht="20.100000000000001" customHeight="1" x14ac:dyDescent="0.25">
      <c r="B377" s="622" t="s">
        <v>499</v>
      </c>
      <c r="C377" s="663"/>
      <c r="D377" s="663"/>
      <c r="E377" s="663"/>
      <c r="F377" s="663"/>
      <c r="G377" s="623"/>
      <c r="H377" s="289" t="s">
        <v>500</v>
      </c>
      <c r="I377" s="601">
        <f>((0.75*I375+I374)+(I375+I374))/2</f>
        <v>1.01</v>
      </c>
      <c r="J377" s="289" t="s">
        <v>3</v>
      </c>
      <c r="K377" s="660"/>
      <c r="L377" s="661"/>
      <c r="M377" s="661"/>
      <c r="N377" s="662"/>
      <c r="O377" s="114"/>
      <c r="P377" s="114"/>
      <c r="Q377" s="114"/>
      <c r="R377" s="114"/>
      <c r="S377" s="114"/>
      <c r="T377" s="114"/>
      <c r="U377" s="114"/>
      <c r="V377" s="114"/>
      <c r="W377" s="114"/>
      <c r="X377" s="114"/>
      <c r="Y377" s="187"/>
      <c r="Z377" s="124"/>
      <c r="AA377" s="113"/>
    </row>
    <row r="378" spans="2:27" s="123" customFormat="1" ht="20.100000000000001" customHeight="1" x14ac:dyDescent="0.25">
      <c r="B378" s="640" t="s">
        <v>516</v>
      </c>
      <c r="C378" s="640"/>
      <c r="D378" s="640"/>
      <c r="E378" s="640"/>
      <c r="F378" s="640"/>
      <c r="G378" s="640"/>
      <c r="H378" s="292" t="s">
        <v>448</v>
      </c>
      <c r="I378" s="172">
        <f>I365/I366</f>
        <v>1.4356434097644164</v>
      </c>
      <c r="J378" s="185" t="s">
        <v>3</v>
      </c>
      <c r="K378" s="660"/>
      <c r="L378" s="661"/>
      <c r="M378" s="661"/>
      <c r="N378" s="662"/>
      <c r="O378" s="114" t="str">
        <f>IF(I378&lt;1.5*I377,"¡Error, aumente espaciamiento entre ejes asumido!",IF(I378&gt;2*I377,"¡Error, disminuya espaciamiento entre ejes asumido!","¡ok!"))</f>
        <v>¡Error, aumente espaciamiento entre ejes asumido!</v>
      </c>
      <c r="P378" s="114"/>
      <c r="Q378" s="114"/>
      <c r="R378" s="114"/>
      <c r="S378" s="114"/>
      <c r="T378" s="114"/>
      <c r="U378" s="114"/>
      <c r="V378" s="114"/>
      <c r="W378" s="114"/>
      <c r="X378" s="114"/>
      <c r="Y378" s="187"/>
      <c r="Z378" s="124"/>
      <c r="AA378" s="113"/>
    </row>
    <row r="379" spans="2:27" s="123" customFormat="1" ht="20.100000000000001" customHeight="1" x14ac:dyDescent="0.25">
      <c r="B379" s="622" t="s">
        <v>498</v>
      </c>
      <c r="C379" s="663"/>
      <c r="D379" s="663"/>
      <c r="E379" s="663"/>
      <c r="F379" s="663"/>
      <c r="G379" s="623"/>
      <c r="H379" s="185" t="s">
        <v>501</v>
      </c>
      <c r="I379" s="296">
        <f>I377-(I376-I375)</f>
        <v>0.76433264543183499</v>
      </c>
      <c r="J379" s="185" t="s">
        <v>3</v>
      </c>
      <c r="K379" s="660"/>
      <c r="L379" s="661"/>
      <c r="M379" s="661"/>
      <c r="N379" s="662"/>
      <c r="O379" s="114"/>
      <c r="P379" s="114"/>
      <c r="Q379" s="114"/>
      <c r="R379" s="114"/>
      <c r="S379" s="114"/>
      <c r="T379" s="114"/>
      <c r="U379" s="114"/>
      <c r="V379" s="114"/>
      <c r="W379" s="114"/>
      <c r="X379" s="114"/>
      <c r="Y379" s="187"/>
      <c r="Z379" s="124"/>
      <c r="AA379" s="113"/>
    </row>
    <row r="380" spans="2:27" s="123" customFormat="1" ht="20.100000000000001" customHeight="1" x14ac:dyDescent="0.25">
      <c r="B380" s="187"/>
      <c r="C380" s="187"/>
      <c r="D380" s="187"/>
      <c r="E380" s="187"/>
      <c r="F380" s="187"/>
      <c r="G380" s="187"/>
      <c r="H380" s="152"/>
      <c r="I380" s="336"/>
      <c r="J380" s="152"/>
      <c r="K380" s="337"/>
      <c r="L380" s="337"/>
      <c r="M380" s="337"/>
      <c r="N380" s="337"/>
      <c r="O380" s="114"/>
      <c r="P380" s="114"/>
      <c r="Q380" s="114"/>
      <c r="R380" s="114"/>
      <c r="S380" s="114"/>
      <c r="T380" s="114"/>
      <c r="U380" s="114"/>
      <c r="V380" s="114"/>
      <c r="W380" s="114"/>
      <c r="X380" s="114"/>
      <c r="Y380" s="187"/>
      <c r="Z380" s="124"/>
      <c r="AA380" s="113"/>
    </row>
    <row r="381" spans="2:27" s="123" customFormat="1" ht="20.100000000000001" customHeight="1" x14ac:dyDescent="0.25">
      <c r="B381" s="187"/>
      <c r="C381" s="187"/>
      <c r="D381" s="187"/>
      <c r="E381" s="187"/>
      <c r="F381" s="187"/>
      <c r="G381" s="187"/>
      <c r="H381" s="152"/>
      <c r="I381" s="336"/>
      <c r="J381" s="152"/>
      <c r="K381" s="337"/>
      <c r="L381" s="337"/>
      <c r="M381" s="337"/>
      <c r="N381" s="337"/>
      <c r="O381" s="114"/>
      <c r="P381" s="114"/>
      <c r="Q381" s="114"/>
      <c r="R381" s="114"/>
      <c r="S381" s="114"/>
      <c r="T381" s="114"/>
      <c r="U381" s="114"/>
      <c r="V381" s="114"/>
      <c r="W381" s="114"/>
      <c r="X381" s="114"/>
      <c r="Y381" s="187"/>
      <c r="Z381" s="545"/>
      <c r="AA381" s="113"/>
    </row>
    <row r="382" spans="2:27" s="123" customFormat="1" ht="20.100000000000001" customHeight="1" x14ac:dyDescent="0.25">
      <c r="B382" s="86" t="s">
        <v>643</v>
      </c>
      <c r="C382" s="187"/>
      <c r="D382" s="187"/>
      <c r="E382" s="187"/>
      <c r="F382" s="187"/>
      <c r="G382" s="187"/>
      <c r="H382" s="152"/>
      <c r="I382" s="336"/>
      <c r="J382" s="152"/>
      <c r="K382" s="337"/>
      <c r="L382" s="337"/>
      <c r="M382" s="337"/>
      <c r="N382" s="337"/>
      <c r="O382" s="114"/>
      <c r="P382" s="114"/>
      <c r="Q382" s="114"/>
      <c r="R382" s="114"/>
      <c r="S382" s="114"/>
      <c r="T382" s="114"/>
      <c r="U382" s="114"/>
      <c r="V382" s="114"/>
      <c r="W382" s="114"/>
      <c r="X382" s="114"/>
      <c r="Y382" s="187"/>
      <c r="Z382" s="545"/>
      <c r="AA382" s="113"/>
    </row>
    <row r="383" spans="2:27" s="123" customFormat="1" ht="20.100000000000001" customHeight="1" x14ac:dyDescent="0.25">
      <c r="B383" s="622" t="s">
        <v>278</v>
      </c>
      <c r="C383" s="663"/>
      <c r="D383" s="663"/>
      <c r="E383" s="663"/>
      <c r="F383" s="663"/>
      <c r="G383" s="623"/>
      <c r="H383" s="555" t="s">
        <v>279</v>
      </c>
      <c r="I383" s="532">
        <f>SUM(G88:G92)</f>
        <v>0.44999999999999996</v>
      </c>
      <c r="J383" s="533" t="s">
        <v>3</v>
      </c>
      <c r="K383" s="660"/>
      <c r="L383" s="661"/>
      <c r="M383" s="661"/>
      <c r="N383" s="662"/>
      <c r="O383" s="114"/>
      <c r="P383" s="114"/>
      <c r="Q383" s="114"/>
      <c r="R383" s="114"/>
      <c r="S383" s="114"/>
      <c r="T383" s="114"/>
      <c r="U383" s="114"/>
      <c r="V383" s="114"/>
      <c r="W383" s="114"/>
      <c r="X383" s="114"/>
      <c r="Y383" s="187"/>
      <c r="Z383" s="545"/>
      <c r="AA383" s="113"/>
    </row>
    <row r="384" spans="2:27" s="123" customFormat="1" ht="20.100000000000001" customHeight="1" x14ac:dyDescent="0.25">
      <c r="B384" s="622" t="s">
        <v>272</v>
      </c>
      <c r="C384" s="663"/>
      <c r="D384" s="663"/>
      <c r="E384" s="663"/>
      <c r="F384" s="663"/>
      <c r="G384" s="623"/>
      <c r="H384" s="555" t="s">
        <v>88</v>
      </c>
      <c r="I384" s="532">
        <f>I74</f>
        <v>0.64</v>
      </c>
      <c r="J384" s="533" t="s">
        <v>3</v>
      </c>
      <c r="K384" s="660"/>
      <c r="L384" s="661"/>
      <c r="M384" s="661"/>
      <c r="N384" s="662"/>
      <c r="O384" s="114"/>
      <c r="P384" s="114"/>
      <c r="Q384" s="114"/>
      <c r="R384" s="114"/>
      <c r="S384" s="114"/>
      <c r="T384" s="114"/>
      <c r="U384" s="114"/>
      <c r="V384" s="114"/>
      <c r="W384" s="114"/>
      <c r="X384" s="114"/>
      <c r="Y384" s="187"/>
      <c r="Z384" s="545"/>
      <c r="AA384" s="113"/>
    </row>
    <row r="385" spans="2:27" s="123" customFormat="1" ht="20.100000000000001" customHeight="1" x14ac:dyDescent="0.25">
      <c r="B385" s="622" t="s">
        <v>641</v>
      </c>
      <c r="C385" s="663"/>
      <c r="D385" s="663"/>
      <c r="E385" s="663"/>
      <c r="F385" s="663"/>
      <c r="G385" s="623"/>
      <c r="H385" s="555" t="s">
        <v>642</v>
      </c>
      <c r="I385" s="561">
        <v>0.2</v>
      </c>
      <c r="J385" s="555" t="s">
        <v>3</v>
      </c>
      <c r="K385" s="551"/>
      <c r="L385" s="552"/>
      <c r="M385" s="552"/>
      <c r="N385" s="553"/>
      <c r="O385" s="114"/>
      <c r="P385" s="114"/>
      <c r="Q385" s="114"/>
      <c r="R385" s="114"/>
      <c r="S385" s="114"/>
      <c r="T385" s="114"/>
      <c r="U385" s="114"/>
      <c r="V385" s="114"/>
      <c r="W385" s="114"/>
      <c r="X385" s="114"/>
      <c r="Y385" s="187"/>
      <c r="Z385" s="547"/>
      <c r="AA385" s="113"/>
    </row>
    <row r="386" spans="2:27" s="123" customFormat="1" ht="20.100000000000001" customHeight="1" x14ac:dyDescent="0.25">
      <c r="B386" s="622" t="s">
        <v>639</v>
      </c>
      <c r="C386" s="663"/>
      <c r="D386" s="663"/>
      <c r="E386" s="663"/>
      <c r="F386" s="663"/>
      <c r="G386" s="623"/>
      <c r="H386" s="555" t="s">
        <v>640</v>
      </c>
      <c r="I386" s="561">
        <v>1.8</v>
      </c>
      <c r="J386" s="555" t="s">
        <v>3</v>
      </c>
      <c r="K386" s="551"/>
      <c r="L386" s="552"/>
      <c r="M386" s="552"/>
      <c r="N386" s="553"/>
      <c r="O386" s="114"/>
      <c r="P386" s="114"/>
      <c r="Q386" s="114"/>
      <c r="R386" s="114"/>
      <c r="S386" s="114"/>
      <c r="T386" s="114"/>
      <c r="U386" s="114"/>
      <c r="V386" s="114"/>
      <c r="W386" s="114"/>
      <c r="X386" s="114"/>
      <c r="Y386" s="187"/>
      <c r="Z386" s="547"/>
      <c r="AA386" s="113"/>
    </row>
    <row r="387" spans="2:27" s="123" customFormat="1" ht="20.100000000000001" customHeight="1" x14ac:dyDescent="0.25">
      <c r="B387" s="622" t="s">
        <v>646</v>
      </c>
      <c r="C387" s="663"/>
      <c r="D387" s="663"/>
      <c r="E387" s="663"/>
      <c r="F387" s="663"/>
      <c r="G387" s="623"/>
      <c r="H387" s="285" t="s">
        <v>558</v>
      </c>
      <c r="I387" s="554">
        <f>I360</f>
        <v>0.38997489298823695</v>
      </c>
      <c r="J387" s="555" t="s">
        <v>3</v>
      </c>
      <c r="K387" s="551"/>
      <c r="L387" s="552"/>
      <c r="M387" s="552"/>
      <c r="N387" s="553"/>
      <c r="O387" s="114"/>
      <c r="P387" s="114"/>
      <c r="Q387" s="114"/>
      <c r="R387" s="114"/>
      <c r="S387" s="114"/>
      <c r="T387" s="114"/>
      <c r="U387" s="114"/>
      <c r="V387" s="114"/>
      <c r="W387" s="114"/>
      <c r="X387" s="114"/>
      <c r="Y387" s="187"/>
      <c r="Z387" s="547"/>
      <c r="AA387" s="113"/>
    </row>
    <row r="388" spans="2:27" s="123" customFormat="1" ht="20.100000000000001" customHeight="1" x14ac:dyDescent="0.25">
      <c r="B388" s="622" t="s">
        <v>53</v>
      </c>
      <c r="C388" s="663"/>
      <c r="D388" s="663"/>
      <c r="E388" s="663"/>
      <c r="F388" s="663"/>
      <c r="G388" s="623"/>
      <c r="H388" s="555" t="s">
        <v>54</v>
      </c>
      <c r="I388" s="561">
        <v>0.4</v>
      </c>
      <c r="J388" s="533" t="s">
        <v>3</v>
      </c>
      <c r="K388" s="660"/>
      <c r="L388" s="661"/>
      <c r="M388" s="661"/>
      <c r="N388" s="662"/>
      <c r="O388" s="114"/>
      <c r="P388" s="114"/>
      <c r="Q388" s="114"/>
      <c r="R388" s="114"/>
      <c r="S388" s="114"/>
      <c r="T388" s="114"/>
      <c r="U388" s="114"/>
      <c r="V388" s="114"/>
      <c r="W388" s="114"/>
      <c r="X388" s="114"/>
      <c r="Y388" s="187"/>
      <c r="Z388" s="545"/>
      <c r="AA388" s="113"/>
    </row>
    <row r="389" spans="2:27" s="123" customFormat="1" ht="20.100000000000001" customHeight="1" x14ac:dyDescent="0.25">
      <c r="B389" s="622" t="s">
        <v>650</v>
      </c>
      <c r="C389" s="663"/>
      <c r="D389" s="663"/>
      <c r="E389" s="663"/>
      <c r="F389" s="663"/>
      <c r="G389" s="623"/>
      <c r="H389" s="555" t="s">
        <v>651</v>
      </c>
      <c r="I389" s="532">
        <f>I383+I384+I385+I387</f>
        <v>1.6799748929882368</v>
      </c>
      <c r="J389" s="555" t="s">
        <v>3</v>
      </c>
      <c r="K389" s="660"/>
      <c r="L389" s="661"/>
      <c r="M389" s="661"/>
      <c r="N389" s="662"/>
      <c r="O389" s="114"/>
      <c r="P389" s="114"/>
      <c r="Q389" s="114"/>
      <c r="R389" s="114"/>
      <c r="S389" s="114"/>
      <c r="T389" s="114"/>
      <c r="U389" s="114"/>
      <c r="V389" s="114"/>
      <c r="W389" s="114"/>
      <c r="X389" s="114"/>
      <c r="Y389" s="187"/>
      <c r="Z389" s="545"/>
      <c r="AA389" s="113"/>
    </row>
    <row r="390" spans="2:27" s="123" customFormat="1" ht="20.100000000000001" customHeight="1" x14ac:dyDescent="0.25">
      <c r="B390" s="622" t="s">
        <v>653</v>
      </c>
      <c r="C390" s="663"/>
      <c r="D390" s="663"/>
      <c r="E390" s="663"/>
      <c r="F390" s="663"/>
      <c r="G390" s="623"/>
      <c r="H390" s="555" t="s">
        <v>652</v>
      </c>
      <c r="I390" s="532">
        <f>I383+I384+I385+I386</f>
        <v>3.09</v>
      </c>
      <c r="J390" s="555" t="s">
        <v>3</v>
      </c>
      <c r="K390" s="660"/>
      <c r="L390" s="661"/>
      <c r="M390" s="661"/>
      <c r="N390" s="662"/>
      <c r="O390" s="114"/>
      <c r="P390" s="114"/>
      <c r="Q390" s="114"/>
      <c r="R390" s="114"/>
      <c r="S390" s="114"/>
      <c r="T390" s="114"/>
      <c r="U390" s="114"/>
      <c r="V390" s="114"/>
      <c r="W390" s="114"/>
      <c r="X390" s="114"/>
      <c r="Y390" s="187"/>
      <c r="Z390" s="545"/>
      <c r="AA390" s="113"/>
    </row>
    <row r="391" spans="2:27" s="123" customFormat="1" ht="20.100000000000001" customHeight="1" x14ac:dyDescent="0.25">
      <c r="B391" s="622" t="s">
        <v>647</v>
      </c>
      <c r="C391" s="663"/>
      <c r="D391" s="663"/>
      <c r="E391" s="663"/>
      <c r="F391" s="663"/>
      <c r="G391" s="623"/>
      <c r="H391" s="555" t="s">
        <v>648</v>
      </c>
      <c r="I391" s="554">
        <f>I383+I384+I385+I386+I388</f>
        <v>3.4899999999999998</v>
      </c>
      <c r="J391" s="555" t="s">
        <v>3</v>
      </c>
      <c r="K391" s="660"/>
      <c r="L391" s="661"/>
      <c r="M391" s="661"/>
      <c r="N391" s="662"/>
      <c r="O391" s="114"/>
      <c r="P391" s="114"/>
      <c r="Q391" s="114"/>
      <c r="R391" s="114"/>
      <c r="S391" s="114"/>
      <c r="T391" s="114"/>
      <c r="U391" s="114"/>
      <c r="V391" s="114"/>
      <c r="W391" s="114"/>
      <c r="X391" s="114"/>
      <c r="Y391" s="187"/>
      <c r="Z391" s="545"/>
      <c r="AA391" s="113"/>
    </row>
    <row r="392" spans="2:27" s="123" customFormat="1" ht="20.100000000000001" customHeight="1" x14ac:dyDescent="0.25">
      <c r="B392" s="187"/>
      <c r="C392" s="187"/>
      <c r="D392" s="187"/>
      <c r="E392" s="187"/>
      <c r="F392" s="187"/>
      <c r="G392" s="187"/>
      <c r="H392" s="152"/>
      <c r="I392" s="336"/>
      <c r="J392" s="152"/>
      <c r="K392" s="559"/>
      <c r="L392" s="559"/>
      <c r="M392" s="559"/>
      <c r="N392" s="559"/>
      <c r="O392" s="114"/>
      <c r="P392" s="114"/>
      <c r="Q392" s="114"/>
      <c r="R392" s="114"/>
      <c r="S392" s="114"/>
      <c r="T392" s="114"/>
      <c r="U392" s="114"/>
      <c r="V392" s="114"/>
      <c r="W392" s="114"/>
      <c r="X392" s="114"/>
      <c r="Y392" s="187"/>
      <c r="Z392" s="547"/>
      <c r="AA392" s="113"/>
    </row>
    <row r="393" spans="2:27" s="123" customFormat="1" ht="17.100000000000001" customHeight="1" x14ac:dyDescent="0.25">
      <c r="B393" s="103"/>
      <c r="C393" s="103"/>
      <c r="D393" s="103"/>
      <c r="E393" s="103"/>
      <c r="F393" s="104"/>
      <c r="G393" s="105"/>
      <c r="H393" s="106"/>
      <c r="I393" s="114"/>
      <c r="J393" s="114"/>
      <c r="K393" s="114"/>
      <c r="L393" s="114"/>
      <c r="M393" s="114"/>
      <c r="N393" s="114"/>
      <c r="O393" s="114"/>
      <c r="P393" s="114"/>
      <c r="Q393" s="114"/>
      <c r="R393" s="114"/>
      <c r="S393" s="114"/>
      <c r="T393" s="114"/>
      <c r="U393" s="114"/>
      <c r="V393" s="114"/>
      <c r="W393" s="114"/>
      <c r="X393" s="114"/>
      <c r="Y393" s="187"/>
      <c r="Z393" s="124"/>
      <c r="AA393" s="113"/>
    </row>
    <row r="394" spans="2:27" s="261" customFormat="1" ht="17.100000000000001" customHeight="1" x14ac:dyDescent="0.25">
      <c r="B394" s="253"/>
      <c r="C394" s="253"/>
      <c r="D394" s="253"/>
      <c r="E394" s="253"/>
      <c r="F394" s="254"/>
      <c r="G394" s="255"/>
      <c r="H394" s="256"/>
      <c r="I394" s="257"/>
      <c r="J394" s="257"/>
      <c r="K394" s="257"/>
      <c r="L394" s="257"/>
      <c r="M394" s="257"/>
      <c r="N394" s="257"/>
      <c r="O394" s="257"/>
      <c r="P394" s="257"/>
      <c r="Q394" s="257"/>
      <c r="R394" s="257"/>
      <c r="S394" s="257"/>
      <c r="T394" s="257"/>
      <c r="U394" s="257"/>
      <c r="V394" s="257"/>
      <c r="W394" s="257"/>
      <c r="X394" s="257"/>
      <c r="Y394" s="258"/>
      <c r="Z394" s="259"/>
      <c r="AA394" s="260"/>
    </row>
    <row r="395" spans="2:27" s="270" customFormat="1" ht="17.100000000000001" customHeight="1" x14ac:dyDescent="0.25">
      <c r="B395" s="262"/>
      <c r="C395" s="262"/>
      <c r="D395" s="262"/>
      <c r="E395" s="262"/>
      <c r="F395" s="263"/>
      <c r="G395" s="264"/>
      <c r="H395" s="265"/>
      <c r="I395" s="266"/>
      <c r="J395" s="266"/>
      <c r="K395" s="266"/>
      <c r="L395" s="266"/>
      <c r="M395" s="266"/>
      <c r="N395" s="266"/>
      <c r="O395" s="266"/>
      <c r="P395" s="266"/>
      <c r="Q395" s="266"/>
      <c r="R395" s="266"/>
      <c r="S395" s="266"/>
      <c r="T395" s="266"/>
      <c r="U395" s="266"/>
      <c r="V395" s="266"/>
      <c r="W395" s="266"/>
      <c r="X395" s="266"/>
      <c r="Y395" s="267"/>
      <c r="Z395" s="268"/>
      <c r="AA395" s="269"/>
    </row>
    <row r="396" spans="2:27" ht="17.100000000000001" customHeight="1" x14ac:dyDescent="0.25">
      <c r="B396" s="5"/>
      <c r="C396" s="5"/>
      <c r="D396" s="5"/>
      <c r="E396" s="5"/>
      <c r="F396" s="5"/>
      <c r="G396" s="5"/>
      <c r="H396" s="114"/>
      <c r="I396" s="114"/>
      <c r="J396" s="114"/>
      <c r="K396" s="114"/>
      <c r="L396" s="114"/>
      <c r="M396" s="114"/>
      <c r="N396" s="114"/>
      <c r="O396" s="114"/>
      <c r="P396" s="114"/>
      <c r="Q396" s="114"/>
      <c r="R396" s="114"/>
      <c r="S396" s="114"/>
      <c r="T396" s="114"/>
      <c r="U396" s="114"/>
      <c r="V396" s="114"/>
      <c r="W396" s="114"/>
      <c r="X396" s="114"/>
      <c r="Y396" s="111"/>
      <c r="Z396" s="111"/>
    </row>
    <row r="397" spans="2:27" ht="17.100000000000001" customHeight="1" x14ac:dyDescent="0.25">
      <c r="B397" s="5"/>
      <c r="C397" s="5"/>
      <c r="D397" s="5"/>
      <c r="E397" s="5"/>
      <c r="F397" s="5"/>
      <c r="G397" s="5"/>
      <c r="H397" s="114"/>
      <c r="I397" s="114"/>
      <c r="J397" s="114"/>
      <c r="K397" s="114"/>
      <c r="L397" s="114"/>
      <c r="M397" s="114"/>
      <c r="N397" s="114"/>
      <c r="O397" s="114"/>
      <c r="P397" s="114"/>
      <c r="Q397" s="114"/>
      <c r="R397" s="114"/>
      <c r="S397" s="114"/>
      <c r="T397" s="114"/>
      <c r="U397" s="114"/>
      <c r="V397" s="114"/>
      <c r="W397" s="114"/>
      <c r="X397" s="114"/>
      <c r="Y397" s="111"/>
      <c r="Z397" s="111"/>
    </row>
    <row r="398" spans="2:27" ht="17.100000000000001" customHeight="1" x14ac:dyDescent="0.25">
      <c r="B398" s="634" t="s">
        <v>34</v>
      </c>
      <c r="C398" s="634"/>
      <c r="D398" s="634"/>
      <c r="E398" s="634"/>
      <c r="F398" s="12"/>
      <c r="G398" s="12"/>
      <c r="H398" s="12"/>
      <c r="I398" s="12"/>
      <c r="J398" s="111"/>
      <c r="K398" s="111"/>
      <c r="L398" s="111"/>
      <c r="M398" s="111"/>
      <c r="N398" s="111"/>
      <c r="O398" s="111"/>
      <c r="P398" s="111"/>
      <c r="Q398" s="111"/>
      <c r="R398" s="111"/>
      <c r="S398" s="111"/>
      <c r="T398" s="111"/>
      <c r="U398" s="111"/>
      <c r="V398" s="111"/>
      <c r="W398" s="111"/>
      <c r="X398" s="111"/>
      <c r="Y398" s="111"/>
      <c r="Z398" s="111"/>
    </row>
    <row r="399" spans="2:27" ht="17.100000000000001" customHeight="1" x14ac:dyDescent="0.25">
      <c r="B399" s="12"/>
      <c r="C399" s="12"/>
      <c r="D399" s="12"/>
      <c r="E399" s="12"/>
      <c r="F399" s="12"/>
      <c r="G399" s="12"/>
      <c r="H399" s="12"/>
      <c r="I399" s="12"/>
      <c r="J399" s="111"/>
      <c r="K399" s="111"/>
      <c r="L399" s="111"/>
      <c r="M399" s="111"/>
      <c r="N399" s="111"/>
      <c r="O399" s="111"/>
      <c r="P399" s="111"/>
      <c r="Q399" s="111"/>
      <c r="R399" s="111"/>
      <c r="S399" s="111"/>
      <c r="T399" s="111"/>
      <c r="U399" s="111"/>
      <c r="V399" s="111"/>
      <c r="W399" s="111"/>
      <c r="X399" s="111"/>
      <c r="Y399" s="111"/>
      <c r="Z399" s="111"/>
    </row>
    <row r="400" spans="2:27" ht="17.100000000000001" customHeight="1" x14ac:dyDescent="0.25">
      <c r="B400" s="12" t="s">
        <v>35</v>
      </c>
      <c r="C400" s="621"/>
      <c r="D400" s="621"/>
      <c r="E400" s="621"/>
      <c r="F400" s="621"/>
      <c r="G400" s="621"/>
      <c r="H400" s="621"/>
      <c r="I400" s="621"/>
      <c r="J400" s="111"/>
      <c r="K400" s="111"/>
      <c r="L400" s="111"/>
      <c r="M400" s="111"/>
      <c r="N400" s="111"/>
      <c r="O400" s="111"/>
      <c r="P400" s="111"/>
      <c r="Q400" s="111"/>
      <c r="R400" s="111"/>
      <c r="S400" s="111"/>
      <c r="T400" s="111"/>
      <c r="U400" s="111"/>
      <c r="V400" s="111"/>
      <c r="W400" s="111"/>
      <c r="X400" s="111"/>
      <c r="Y400" s="111"/>
      <c r="Z400" s="111"/>
    </row>
    <row r="401" spans="2:26" ht="17.100000000000001" customHeight="1" x14ac:dyDescent="0.25">
      <c r="B401" s="12" t="s">
        <v>37</v>
      </c>
      <c r="C401" s="621"/>
      <c r="D401" s="621"/>
      <c r="E401" s="621"/>
      <c r="F401" s="621"/>
      <c r="G401" s="621"/>
      <c r="H401" s="621"/>
      <c r="I401" s="621"/>
      <c r="J401" s="111"/>
      <c r="K401" s="111"/>
      <c r="L401" s="111"/>
      <c r="M401" s="111"/>
      <c r="N401" s="111"/>
      <c r="O401" s="111"/>
      <c r="P401" s="111"/>
      <c r="Q401" s="111"/>
      <c r="R401" s="111"/>
      <c r="S401" s="111"/>
      <c r="T401" s="111"/>
      <c r="U401" s="111"/>
      <c r="V401" s="111"/>
      <c r="W401" s="111"/>
      <c r="X401" s="111"/>
      <c r="Y401" s="111"/>
      <c r="Z401" s="111"/>
    </row>
    <row r="402" spans="2:26" s="12" customFormat="1" ht="17.100000000000001" customHeight="1" x14ac:dyDescent="0.25">
      <c r="B402" s="12" t="s">
        <v>39</v>
      </c>
      <c r="C402" s="891"/>
      <c r="D402" s="891"/>
      <c r="E402" s="891"/>
      <c r="F402" s="891"/>
      <c r="G402" s="891"/>
      <c r="H402" s="891"/>
      <c r="I402" s="891"/>
      <c r="J402" s="23"/>
      <c r="K402" s="23"/>
      <c r="L402" s="23"/>
      <c r="M402" s="23"/>
      <c r="N402" s="23"/>
      <c r="O402" s="23"/>
      <c r="P402" s="23"/>
      <c r="Q402" s="23"/>
      <c r="R402" s="23"/>
      <c r="S402" s="23"/>
      <c r="T402" s="23"/>
      <c r="U402" s="23"/>
      <c r="V402" s="23"/>
      <c r="W402" s="23"/>
      <c r="X402" s="23"/>
      <c r="Y402" s="23"/>
      <c r="Z402" s="23"/>
    </row>
    <row r="403" spans="2:26" s="12" customFormat="1" ht="17.100000000000001" customHeight="1" x14ac:dyDescent="0.25">
      <c r="B403" s="12" t="s">
        <v>50</v>
      </c>
      <c r="C403" s="621"/>
      <c r="D403" s="621"/>
      <c r="E403" s="621"/>
      <c r="F403" s="621"/>
      <c r="G403" s="621"/>
      <c r="H403" s="621"/>
      <c r="I403" s="621"/>
      <c r="J403" s="23"/>
      <c r="K403" s="23"/>
      <c r="L403" s="23"/>
      <c r="M403" s="23"/>
      <c r="N403" s="23"/>
      <c r="O403" s="23"/>
      <c r="P403" s="23"/>
      <c r="Q403" s="23"/>
      <c r="R403" s="23"/>
      <c r="S403" s="23"/>
      <c r="T403" s="23"/>
      <c r="U403" s="23"/>
      <c r="V403" s="23"/>
      <c r="W403" s="23"/>
      <c r="X403" s="23"/>
      <c r="Y403" s="23"/>
      <c r="Z403" s="23"/>
    </row>
    <row r="404" spans="2:26" s="12" customFormat="1" ht="17.100000000000001" customHeight="1" x14ac:dyDescent="0.25">
      <c r="B404" s="12" t="s">
        <v>57</v>
      </c>
      <c r="C404" s="621"/>
      <c r="D404" s="621"/>
      <c r="E404" s="621"/>
      <c r="F404" s="621"/>
      <c r="G404" s="621"/>
      <c r="H404" s="621"/>
      <c r="I404" s="621"/>
      <c r="J404" s="23"/>
      <c r="K404" s="23"/>
      <c r="L404" s="23"/>
      <c r="M404" s="23"/>
      <c r="N404" s="23"/>
      <c r="O404" s="23"/>
      <c r="P404" s="23"/>
      <c r="Q404" s="23"/>
      <c r="R404" s="23"/>
      <c r="S404" s="23"/>
      <c r="T404" s="23"/>
      <c r="U404" s="23"/>
      <c r="V404" s="23"/>
      <c r="W404" s="23"/>
      <c r="X404" s="23"/>
      <c r="Y404" s="23"/>
      <c r="Z404" s="23"/>
    </row>
    <row r="405" spans="2:26" ht="17.100000000000001" customHeight="1" x14ac:dyDescent="0.25">
      <c r="B405" s="12" t="s">
        <v>60</v>
      </c>
      <c r="C405" s="633"/>
      <c r="D405" s="633"/>
      <c r="E405" s="633"/>
      <c r="F405" s="633"/>
      <c r="G405" s="633"/>
      <c r="H405" s="633"/>
      <c r="I405" s="633"/>
      <c r="J405" s="111"/>
      <c r="K405" s="111"/>
      <c r="L405" s="111"/>
      <c r="M405" s="111"/>
      <c r="N405" s="111"/>
      <c r="O405" s="111"/>
      <c r="P405" s="111"/>
      <c r="Q405" s="111"/>
      <c r="R405" s="111"/>
      <c r="S405" s="111"/>
      <c r="T405" s="111"/>
      <c r="U405" s="111"/>
      <c r="V405" s="111"/>
      <c r="W405" s="111"/>
      <c r="X405" s="111"/>
      <c r="Y405" s="111"/>
      <c r="Z405" s="111"/>
    </row>
    <row r="406" spans="2:26" ht="17.100000000000001" customHeight="1" x14ac:dyDescent="0.25">
      <c r="B406" s="12" t="s">
        <v>79</v>
      </c>
      <c r="C406" s="891"/>
      <c r="D406" s="891"/>
      <c r="E406" s="891"/>
      <c r="F406" s="891"/>
      <c r="G406" s="891"/>
      <c r="H406" s="891"/>
      <c r="I406" s="891"/>
      <c r="J406" s="111"/>
      <c r="K406" s="111"/>
      <c r="L406" s="111"/>
      <c r="M406" s="111"/>
      <c r="N406" s="111"/>
      <c r="O406" s="111"/>
      <c r="P406" s="111"/>
      <c r="Q406" s="111"/>
      <c r="R406" s="111"/>
      <c r="S406" s="111"/>
      <c r="T406" s="111"/>
      <c r="U406" s="111"/>
      <c r="V406" s="111"/>
      <c r="W406" s="111"/>
      <c r="X406" s="111"/>
      <c r="Y406" s="111"/>
      <c r="Z406" s="111"/>
    </row>
    <row r="407" spans="2:26" ht="17.100000000000001" customHeight="1" x14ac:dyDescent="0.25">
      <c r="B407" s="12" t="s">
        <v>93</v>
      </c>
      <c r="C407" s="621"/>
      <c r="D407" s="621"/>
      <c r="E407" s="621"/>
      <c r="F407" s="621"/>
      <c r="G407" s="621"/>
      <c r="H407" s="621"/>
      <c r="I407" s="621"/>
      <c r="J407" s="111"/>
      <c r="K407" s="111"/>
      <c r="L407" s="111"/>
      <c r="M407" s="111"/>
      <c r="N407" s="111"/>
      <c r="O407" s="111"/>
      <c r="P407" s="111"/>
      <c r="Q407" s="111"/>
      <c r="R407" s="111"/>
      <c r="S407" s="111"/>
      <c r="T407" s="111"/>
      <c r="U407" s="111"/>
      <c r="V407" s="111"/>
      <c r="W407" s="111"/>
      <c r="X407" s="111"/>
      <c r="Y407" s="111"/>
      <c r="Z407" s="111"/>
    </row>
    <row r="408" spans="2:26" ht="17.100000000000001" customHeight="1" x14ac:dyDescent="0.25">
      <c r="B408" s="12" t="s">
        <v>168</v>
      </c>
      <c r="C408" s="621"/>
      <c r="D408" s="621"/>
      <c r="E408" s="621"/>
      <c r="F408" s="621"/>
      <c r="G408" s="621"/>
      <c r="H408" s="621"/>
      <c r="I408" s="621"/>
      <c r="J408" s="114"/>
      <c r="K408" s="114"/>
      <c r="L408" s="114"/>
      <c r="M408" s="114"/>
      <c r="N408" s="114"/>
      <c r="O408" s="114"/>
      <c r="P408" s="114"/>
      <c r="Q408" s="114"/>
      <c r="R408" s="114"/>
      <c r="S408" s="114"/>
      <c r="T408" s="114"/>
      <c r="U408" s="114"/>
      <c r="V408" s="114"/>
      <c r="W408" s="114"/>
      <c r="X408" s="114"/>
      <c r="Y408" s="111"/>
      <c r="Z408" s="111"/>
    </row>
    <row r="409" spans="2:26" ht="17.100000000000001" customHeight="1" x14ac:dyDescent="0.25">
      <c r="B409" s="12"/>
      <c r="C409" s="12"/>
      <c r="D409" s="12"/>
      <c r="E409" s="12"/>
      <c r="F409" s="12"/>
      <c r="G409" s="12"/>
      <c r="H409" s="12"/>
      <c r="I409" s="12"/>
      <c r="J409" s="114"/>
      <c r="K409" s="114"/>
      <c r="L409" s="114"/>
      <c r="M409" s="114"/>
      <c r="N409" s="114"/>
      <c r="O409" s="114"/>
      <c r="P409" s="114"/>
      <c r="Q409" s="114"/>
      <c r="R409" s="114"/>
      <c r="S409" s="114"/>
      <c r="T409" s="114"/>
      <c r="U409" s="114"/>
      <c r="V409" s="114"/>
      <c r="W409" s="114"/>
      <c r="X409" s="114"/>
      <c r="Y409" s="111"/>
      <c r="Z409" s="111"/>
    </row>
    <row r="410" spans="2:26" ht="17.100000000000001" customHeight="1" x14ac:dyDescent="0.25">
      <c r="B410" s="41" t="s">
        <v>122</v>
      </c>
      <c r="C410" s="41"/>
      <c r="D410" s="41"/>
      <c r="E410" s="12"/>
      <c r="F410" s="12"/>
      <c r="G410" s="12"/>
      <c r="H410" s="12"/>
      <c r="I410" s="12"/>
      <c r="J410" s="114"/>
      <c r="K410" s="114"/>
      <c r="L410" s="114"/>
      <c r="M410" s="114"/>
      <c r="N410" s="114"/>
      <c r="O410" s="114"/>
      <c r="P410" s="114"/>
      <c r="Q410" s="114"/>
      <c r="R410" s="114"/>
      <c r="S410" s="114"/>
      <c r="T410" s="114"/>
      <c r="U410" s="114"/>
      <c r="V410" s="114"/>
      <c r="W410" s="114"/>
      <c r="X410" s="114"/>
      <c r="Y410" s="111"/>
      <c r="Z410" s="111"/>
    </row>
    <row r="411" spans="2:26" ht="17.100000000000001" customHeight="1" x14ac:dyDescent="0.25">
      <c r="B411" s="12" t="s">
        <v>123</v>
      </c>
      <c r="C411" s="12"/>
      <c r="D411" s="12"/>
      <c r="E411" s="12"/>
      <c r="F411" s="12"/>
      <c r="G411" s="12"/>
      <c r="H411" s="12"/>
      <c r="I411" s="12"/>
      <c r="J411" s="114"/>
      <c r="K411" s="114"/>
      <c r="L411" s="114"/>
      <c r="M411" s="114"/>
      <c r="N411" s="114"/>
      <c r="O411" s="114"/>
      <c r="P411" s="114"/>
      <c r="Q411" s="114"/>
      <c r="R411" s="114"/>
      <c r="S411" s="114"/>
      <c r="T411" s="114"/>
      <c r="U411" s="114"/>
      <c r="V411" s="114"/>
      <c r="W411" s="114"/>
      <c r="X411" s="114"/>
      <c r="Y411" s="111"/>
      <c r="Z411" s="111"/>
    </row>
    <row r="412" spans="2:26" ht="17.100000000000001" customHeight="1" x14ac:dyDescent="0.25">
      <c r="B412" s="12" t="s">
        <v>124</v>
      </c>
      <c r="C412" s="12"/>
      <c r="D412" s="12"/>
      <c r="E412" s="12"/>
      <c r="F412" s="12"/>
      <c r="G412" s="12"/>
      <c r="H412" s="12"/>
      <c r="I412" s="12"/>
      <c r="J412" s="114"/>
      <c r="K412" s="114"/>
      <c r="L412" s="114"/>
      <c r="M412" s="114"/>
      <c r="N412" s="114"/>
      <c r="O412" s="114"/>
      <c r="P412" s="114"/>
      <c r="Q412" s="114"/>
      <c r="R412" s="114"/>
      <c r="S412" s="114"/>
      <c r="T412" s="114"/>
      <c r="U412" s="114"/>
      <c r="V412" s="114"/>
      <c r="W412" s="114"/>
      <c r="X412" s="114"/>
      <c r="Y412" s="111"/>
      <c r="Z412" s="111"/>
    </row>
    <row r="413" spans="2:26" ht="17.100000000000001" customHeight="1" x14ac:dyDescent="0.25">
      <c r="B413" s="12"/>
      <c r="C413" s="12"/>
      <c r="D413" s="12"/>
      <c r="E413" s="12"/>
      <c r="F413" s="12"/>
      <c r="G413" s="12"/>
      <c r="H413" s="12"/>
      <c r="I413" s="12"/>
      <c r="J413" s="114"/>
      <c r="K413" s="114"/>
      <c r="L413" s="114"/>
      <c r="M413" s="114"/>
      <c r="N413" s="114"/>
      <c r="O413" s="114"/>
      <c r="P413" s="114"/>
      <c r="Q413" s="114"/>
      <c r="R413" s="114"/>
      <c r="S413" s="114"/>
      <c r="T413" s="114"/>
      <c r="U413" s="114"/>
      <c r="V413" s="114"/>
      <c r="W413" s="114"/>
      <c r="X413" s="114"/>
      <c r="Y413" s="111"/>
      <c r="Z413" s="111"/>
    </row>
    <row r="414" spans="2:26" ht="17.100000000000001" customHeight="1" x14ac:dyDescent="0.25">
      <c r="B414" s="41" t="s">
        <v>126</v>
      </c>
      <c r="C414" s="12"/>
      <c r="D414" s="12"/>
      <c r="E414" s="12"/>
      <c r="F414" s="12"/>
      <c r="G414" s="12"/>
      <c r="H414" s="12"/>
      <c r="I414" s="12"/>
      <c r="J414" s="114"/>
      <c r="K414" s="114"/>
      <c r="L414" s="114"/>
      <c r="M414" s="114"/>
      <c r="N414" s="114"/>
      <c r="O414" s="114"/>
      <c r="P414" s="114"/>
      <c r="Q414" s="114"/>
      <c r="R414" s="114"/>
      <c r="S414" s="114"/>
      <c r="T414" s="114"/>
      <c r="U414" s="114"/>
      <c r="V414" s="114"/>
      <c r="W414" s="114"/>
      <c r="X414" s="114"/>
      <c r="Y414" s="111"/>
      <c r="Z414" s="111"/>
    </row>
    <row r="415" spans="2:26" ht="17.100000000000001" customHeight="1" x14ac:dyDescent="0.25">
      <c r="B415" s="12" t="s">
        <v>209</v>
      </c>
      <c r="C415" s="41"/>
      <c r="D415" s="41"/>
      <c r="E415" s="12"/>
      <c r="F415" s="12"/>
      <c r="G415" s="12"/>
      <c r="H415" s="12"/>
      <c r="I415" s="12"/>
      <c r="J415" s="114"/>
      <c r="K415" s="114"/>
      <c r="L415" s="114"/>
      <c r="M415" s="114"/>
      <c r="N415" s="114"/>
      <c r="O415" s="114"/>
      <c r="P415" s="114"/>
      <c r="Q415" s="114"/>
      <c r="R415" s="114"/>
      <c r="S415" s="114"/>
      <c r="T415" s="114"/>
      <c r="U415" s="114"/>
      <c r="V415" s="114"/>
      <c r="W415" s="114"/>
      <c r="X415" s="114"/>
      <c r="Y415" s="111"/>
      <c r="Z415" s="111"/>
    </row>
    <row r="416" spans="2:26" ht="17.100000000000001" customHeight="1" x14ac:dyDescent="0.25">
      <c r="B416" s="12"/>
      <c r="C416" s="12"/>
      <c r="D416" s="12"/>
      <c r="E416" s="12"/>
      <c r="F416" s="12"/>
      <c r="G416" s="12"/>
      <c r="H416" s="12"/>
      <c r="I416" s="12"/>
      <c r="J416" s="114"/>
      <c r="K416" s="114"/>
      <c r="L416" s="114"/>
      <c r="M416" s="114"/>
      <c r="N416" s="114"/>
      <c r="O416" s="114"/>
      <c r="P416" s="114"/>
      <c r="Q416" s="114"/>
      <c r="R416" s="114"/>
      <c r="S416" s="114"/>
      <c r="T416" s="114"/>
      <c r="U416" s="114"/>
      <c r="V416" s="114"/>
      <c r="W416" s="114"/>
      <c r="X416" s="114"/>
      <c r="Y416" s="111"/>
      <c r="Z416" s="111"/>
    </row>
    <row r="417" spans="2:26" ht="17.100000000000001" customHeight="1" x14ac:dyDescent="0.25">
      <c r="B417" s="105"/>
      <c r="C417" s="105"/>
      <c r="D417" s="105"/>
      <c r="E417" s="105"/>
      <c r="F417" s="105"/>
      <c r="G417" s="105"/>
      <c r="H417" s="114"/>
      <c r="I417" s="114"/>
      <c r="J417" s="114"/>
      <c r="K417" s="114"/>
      <c r="L417" s="114"/>
      <c r="M417" s="114"/>
      <c r="N417" s="114"/>
      <c r="O417" s="114"/>
      <c r="P417" s="114"/>
      <c r="Q417" s="114"/>
      <c r="R417" s="114"/>
      <c r="S417" s="114"/>
      <c r="T417" s="114"/>
      <c r="U417" s="114"/>
      <c r="V417" s="114"/>
      <c r="W417" s="114"/>
      <c r="X417" s="114"/>
      <c r="Y417" s="111"/>
      <c r="Z417" s="111"/>
    </row>
    <row r="418" spans="2:26" ht="17.100000000000001" customHeight="1" x14ac:dyDescent="0.25">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2:26" ht="17.100000000000001" customHeight="1" x14ac:dyDescent="0.25">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2:26" ht="17.100000000000001" customHeight="1" x14ac:dyDescent="0.25">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2:26" ht="17.100000000000001" customHeight="1" x14ac:dyDescent="0.25">
      <c r="B421" s="5"/>
      <c r="C421" s="5"/>
      <c r="D421" s="5"/>
      <c r="E421" s="5"/>
      <c r="F421" s="5"/>
      <c r="G421" s="5"/>
      <c r="H421" s="111"/>
      <c r="I421" s="111"/>
      <c r="J421" s="111"/>
      <c r="K421" s="111"/>
      <c r="L421" s="111"/>
      <c r="M421" s="111"/>
      <c r="N421" s="111"/>
      <c r="O421" s="111"/>
      <c r="P421" s="111"/>
      <c r="Q421" s="111"/>
      <c r="R421" s="111"/>
      <c r="S421" s="111"/>
      <c r="T421" s="111"/>
      <c r="U421" s="111"/>
      <c r="V421" s="111"/>
      <c r="W421" s="111"/>
      <c r="X421" s="111"/>
      <c r="Y421" s="111"/>
    </row>
    <row r="422" spans="2:26" ht="17.100000000000001" customHeight="1" x14ac:dyDescent="0.25">
      <c r="B422" s="23"/>
      <c r="C422" s="23"/>
      <c r="D422" s="23"/>
      <c r="E422" s="23"/>
      <c r="F422" s="23"/>
      <c r="G422" s="23"/>
      <c r="H422" s="111"/>
      <c r="I422" s="111"/>
      <c r="J422" s="111"/>
      <c r="K422" s="111"/>
      <c r="L422" s="111"/>
      <c r="M422" s="111"/>
      <c r="N422" s="111"/>
      <c r="O422" s="111"/>
      <c r="P422" s="111"/>
      <c r="Q422" s="111"/>
      <c r="R422" s="111"/>
      <c r="S422" s="111"/>
      <c r="T422" s="111"/>
      <c r="U422" s="111"/>
      <c r="V422" s="111"/>
      <c r="W422" s="111"/>
      <c r="X422" s="111"/>
      <c r="Y422" s="111"/>
    </row>
    <row r="423" spans="2:26" ht="17.100000000000001" customHeight="1" x14ac:dyDescent="0.25">
      <c r="B423" s="23"/>
      <c r="C423" s="23"/>
      <c r="D423" s="23"/>
      <c r="E423" s="23"/>
      <c r="F423" s="23"/>
      <c r="G423" s="23"/>
      <c r="H423" s="111"/>
      <c r="I423" s="111"/>
      <c r="J423" s="111"/>
      <c r="K423" s="111"/>
      <c r="L423" s="111"/>
      <c r="M423" s="111"/>
      <c r="N423" s="111"/>
      <c r="O423" s="111"/>
      <c r="P423" s="111"/>
      <c r="Q423" s="111"/>
      <c r="R423" s="111"/>
      <c r="S423" s="111"/>
      <c r="T423" s="111"/>
      <c r="U423" s="111"/>
      <c r="V423" s="111"/>
      <c r="W423" s="111"/>
      <c r="X423" s="111"/>
      <c r="Y423" s="111"/>
    </row>
    <row r="424" spans="2:26" ht="17.100000000000001" customHeight="1" x14ac:dyDescent="0.25">
      <c r="B424" s="23"/>
      <c r="C424" s="23"/>
      <c r="D424" s="23"/>
      <c r="E424" s="23"/>
      <c r="F424" s="23"/>
      <c r="G424" s="23"/>
      <c r="H424" s="111"/>
      <c r="I424" s="111"/>
      <c r="J424" s="111"/>
      <c r="K424" s="111"/>
      <c r="L424" s="111"/>
      <c r="M424" s="111"/>
      <c r="N424" s="111"/>
      <c r="O424" s="111"/>
      <c r="P424" s="111"/>
      <c r="Q424" s="111"/>
      <c r="R424" s="111"/>
      <c r="S424" s="111"/>
      <c r="T424" s="111"/>
      <c r="U424" s="111"/>
      <c r="V424" s="111"/>
      <c r="W424" s="111"/>
      <c r="X424" s="111"/>
      <c r="Y424" s="111"/>
    </row>
    <row r="425" spans="2:26" ht="17.100000000000001" customHeight="1" x14ac:dyDescent="0.25">
      <c r="B425" s="23"/>
      <c r="C425" s="23"/>
      <c r="D425" s="23"/>
      <c r="E425" s="23"/>
      <c r="F425" s="23"/>
      <c r="G425" s="23"/>
      <c r="H425" s="111"/>
      <c r="I425" s="111"/>
      <c r="J425" s="111"/>
      <c r="K425" s="111"/>
      <c r="L425" s="111"/>
      <c r="M425" s="111"/>
      <c r="N425" s="111"/>
      <c r="O425" s="111"/>
      <c r="P425" s="111"/>
      <c r="Q425" s="111"/>
      <c r="R425" s="111"/>
      <c r="S425" s="111"/>
      <c r="T425" s="111"/>
      <c r="U425" s="111"/>
      <c r="V425" s="111"/>
      <c r="W425" s="111"/>
      <c r="X425" s="111"/>
      <c r="Y425" s="111"/>
    </row>
    <row r="426" spans="2:26" ht="17.100000000000001" customHeight="1" x14ac:dyDescent="0.25">
      <c r="B426" s="83"/>
      <c r="C426" s="83"/>
      <c r="D426" s="83"/>
      <c r="E426" s="83"/>
      <c r="F426" s="83"/>
      <c r="G426" s="83"/>
      <c r="H426" s="111"/>
      <c r="I426" s="111"/>
      <c r="J426" s="111"/>
      <c r="K426" s="111"/>
      <c r="L426" s="111"/>
      <c r="M426" s="111"/>
      <c r="N426" s="111"/>
      <c r="O426" s="111"/>
      <c r="P426" s="111"/>
      <c r="Q426" s="111"/>
      <c r="R426" s="111"/>
      <c r="S426" s="111"/>
      <c r="T426" s="111"/>
      <c r="U426" s="111"/>
      <c r="V426" s="111"/>
      <c r="W426" s="111"/>
      <c r="X426" s="111"/>
      <c r="Y426" s="111"/>
    </row>
    <row r="427" spans="2:26" ht="17.100000000000001" customHeight="1" x14ac:dyDescent="0.25">
      <c r="B427" s="83"/>
      <c r="C427" s="83"/>
      <c r="D427" s="83"/>
      <c r="E427" s="83"/>
      <c r="F427" s="83"/>
      <c r="G427" s="83"/>
      <c r="H427" s="111"/>
      <c r="I427" s="111"/>
      <c r="J427" s="111"/>
      <c r="K427" s="111"/>
      <c r="L427" s="111"/>
      <c r="M427" s="111"/>
      <c r="N427" s="111"/>
      <c r="O427" s="111"/>
      <c r="P427" s="111"/>
      <c r="Q427" s="111"/>
      <c r="R427" s="111"/>
      <c r="S427" s="111"/>
      <c r="T427" s="111"/>
      <c r="U427" s="111"/>
      <c r="V427" s="111"/>
      <c r="W427" s="111"/>
      <c r="X427" s="111"/>
      <c r="Y427" s="111"/>
    </row>
    <row r="428" spans="2:26" ht="17.100000000000001" customHeight="1" x14ac:dyDescent="0.25">
      <c r="B428" s="83"/>
      <c r="C428" s="83"/>
      <c r="D428" s="83"/>
      <c r="E428" s="83"/>
      <c r="F428" s="83"/>
      <c r="G428" s="83"/>
      <c r="H428" s="23"/>
      <c r="I428" s="23"/>
      <c r="J428" s="23"/>
      <c r="K428" s="23"/>
      <c r="L428" s="23"/>
      <c r="M428" s="23"/>
      <c r="N428" s="23"/>
      <c r="O428" s="23"/>
      <c r="P428" s="23"/>
      <c r="Q428" s="23"/>
      <c r="R428" s="23"/>
      <c r="S428" s="23"/>
      <c r="T428" s="23"/>
      <c r="U428" s="23"/>
      <c r="V428" s="23"/>
      <c r="W428" s="23"/>
      <c r="X428" s="23"/>
      <c r="Y428" s="111"/>
    </row>
    <row r="429" spans="2:26" ht="17.100000000000001" customHeight="1" x14ac:dyDescent="0.25">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2:26" ht="17.100000000000001" customHeight="1" x14ac:dyDescent="0.25">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2:26" ht="17.100000000000001" customHeight="1" x14ac:dyDescent="0.25">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2:26" ht="17.100000000000001" customHeight="1" x14ac:dyDescent="0.25">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2:25" ht="17.100000000000001" customHeight="1" x14ac:dyDescent="0.25">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2:25" ht="17.100000000000001" customHeight="1" x14ac:dyDescent="0.25">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2:25" ht="17.100000000000001" customHeight="1" x14ac:dyDescent="0.25">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2:25" ht="17.100000000000001" customHeight="1" x14ac:dyDescent="0.25">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2:25" ht="17.100000000000001" customHeight="1" x14ac:dyDescent="0.25">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2:25" ht="17.100000000000001" customHeight="1" x14ac:dyDescent="0.25">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2:25" ht="17.100000000000001" customHeight="1" x14ac:dyDescent="0.25">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2:25" ht="17.100000000000001" customHeight="1" x14ac:dyDescent="0.25">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2:25" ht="17.100000000000001" customHeight="1" x14ac:dyDescent="0.25">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2:25" ht="17.100000000000001" customHeight="1" x14ac:dyDescent="0.25">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2:25" ht="17.100000000000001" customHeight="1" x14ac:dyDescent="0.25">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2:25" ht="17.100000000000001" customHeight="1" x14ac:dyDescent="0.25">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2:25" ht="17.100000000000001" customHeight="1" x14ac:dyDescent="0.25">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2:25" ht="17.100000000000001" customHeight="1" x14ac:dyDescent="0.25">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2:25" ht="17.100000000000001" customHeight="1" x14ac:dyDescent="0.25">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2:25" ht="17.100000000000001" customHeight="1" x14ac:dyDescent="0.25">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2:25" ht="17.100000000000001" customHeight="1" x14ac:dyDescent="0.25">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2:25" ht="17.100000000000001" customHeight="1" x14ac:dyDescent="0.25">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2:25" ht="17.100000000000001" customHeight="1" x14ac:dyDescent="0.25">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2:25" ht="17.100000000000001" customHeight="1" x14ac:dyDescent="0.25">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2:25" ht="17.100000000000001" customHeight="1" x14ac:dyDescent="0.25">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2:25" ht="17.100000000000001" customHeight="1" x14ac:dyDescent="0.25">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2:25" ht="17.100000000000001" customHeight="1" x14ac:dyDescent="0.25">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2:25" ht="17.100000000000001" customHeight="1" x14ac:dyDescent="0.25">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2:25" ht="17.100000000000001" customHeight="1" x14ac:dyDescent="0.25">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2:25" ht="17.100000000000001" customHeight="1" x14ac:dyDescent="0.25">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2:25" ht="17.100000000000001" customHeight="1" x14ac:dyDescent="0.25">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2:25" ht="17.100000000000001" customHeight="1" x14ac:dyDescent="0.25">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2:25" ht="17.100000000000001" customHeight="1" x14ac:dyDescent="0.25">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2:25" ht="17.100000000000001" customHeight="1" x14ac:dyDescent="0.25">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2:25" ht="17.100000000000001" customHeight="1" x14ac:dyDescent="0.25">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2:25" ht="17.100000000000001" customHeight="1" x14ac:dyDescent="0.25">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2:25" ht="17.100000000000001" customHeight="1" x14ac:dyDescent="0.25">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2:25" ht="17.100000000000001" customHeight="1" x14ac:dyDescent="0.25">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2:25" ht="17.100000000000001" customHeight="1" x14ac:dyDescent="0.25">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2:25" ht="17.100000000000001" customHeight="1" x14ac:dyDescent="0.25">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2:25" ht="17.100000000000001" customHeight="1" x14ac:dyDescent="0.25">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2:25" ht="17.100000000000001" customHeight="1" x14ac:dyDescent="0.25">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2:25" ht="17.100000000000001" customHeight="1" x14ac:dyDescent="0.25">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2:25" ht="17.100000000000001" customHeight="1" x14ac:dyDescent="0.25">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2:25" ht="17.100000000000001" customHeight="1" x14ac:dyDescent="0.25">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sheetData>
  <mergeCells count="769">
    <mergeCell ref="K314:N314"/>
    <mergeCell ref="K297:N297"/>
    <mergeCell ref="K321:N321"/>
    <mergeCell ref="B391:G391"/>
    <mergeCell ref="K391:N391"/>
    <mergeCell ref="M99:N107"/>
    <mergeCell ref="I126:I128"/>
    <mergeCell ref="P126:P128"/>
    <mergeCell ref="V126:V128"/>
    <mergeCell ref="J106:K106"/>
    <mergeCell ref="J107:K107"/>
    <mergeCell ref="L108:L110"/>
    <mergeCell ref="Q117:R125"/>
    <mergeCell ref="I114:I116"/>
    <mergeCell ref="J114:K116"/>
    <mergeCell ref="M114:M116"/>
    <mergeCell ref="N114:O116"/>
    <mergeCell ref="P114:P116"/>
    <mergeCell ref="Q114:R116"/>
    <mergeCell ref="S114:S116"/>
    <mergeCell ref="J99:K99"/>
    <mergeCell ref="J100:K100"/>
    <mergeCell ref="J101:K101"/>
    <mergeCell ref="J102:K102"/>
    <mergeCell ref="B315:G316"/>
    <mergeCell ref="B295:H296"/>
    <mergeCell ref="I295:I296"/>
    <mergeCell ref="J295:J296"/>
    <mergeCell ref="B297:G297"/>
    <mergeCell ref="J103:K103"/>
    <mergeCell ref="Z119:AA119"/>
    <mergeCell ref="O108:O110"/>
    <mergeCell ref="P99:R107"/>
    <mergeCell ref="S113:X113"/>
    <mergeCell ref="W114:X116"/>
    <mergeCell ref="W117:X125"/>
    <mergeCell ref="T114:U116"/>
    <mergeCell ref="T117:U117"/>
    <mergeCell ref="T118:U118"/>
    <mergeCell ref="T119:U119"/>
    <mergeCell ref="T120:U120"/>
    <mergeCell ref="T121:U121"/>
    <mergeCell ref="T122:U122"/>
    <mergeCell ref="T123:U123"/>
    <mergeCell ref="N119:O119"/>
    <mergeCell ref="V114:V116"/>
    <mergeCell ref="M113:R113"/>
    <mergeCell ref="N117:O117"/>
    <mergeCell ref="K307:N307"/>
    <mergeCell ref="B308:G309"/>
    <mergeCell ref="H308:H309"/>
    <mergeCell ref="I308:I309"/>
    <mergeCell ref="J308:J309"/>
    <mergeCell ref="K300:N301"/>
    <mergeCell ref="B300:G301"/>
    <mergeCell ref="H300:H301"/>
    <mergeCell ref="I300:I301"/>
    <mergeCell ref="J300:J301"/>
    <mergeCell ref="K378:N378"/>
    <mergeCell ref="J158:J159"/>
    <mergeCell ref="I178:I179"/>
    <mergeCell ref="K162:N162"/>
    <mergeCell ref="I158:I159"/>
    <mergeCell ref="I163:I164"/>
    <mergeCell ref="I166:I167"/>
    <mergeCell ref="B312:G312"/>
    <mergeCell ref="K312:N312"/>
    <mergeCell ref="B313:G313"/>
    <mergeCell ref="K313:N313"/>
    <mergeCell ref="H178:H179"/>
    <mergeCell ref="B182:G183"/>
    <mergeCell ref="K178:N179"/>
    <mergeCell ref="I160:I161"/>
    <mergeCell ref="K158:N159"/>
    <mergeCell ref="I182:I183"/>
    <mergeCell ref="B163:G164"/>
    <mergeCell ref="H163:H164"/>
    <mergeCell ref="B160:G161"/>
    <mergeCell ref="H160:H161"/>
    <mergeCell ref="B168:G168"/>
    <mergeCell ref="B165:G165"/>
    <mergeCell ref="B298:G299"/>
    <mergeCell ref="CB5:CB7"/>
    <mergeCell ref="H315:H316"/>
    <mergeCell ref="I315:I316"/>
    <mergeCell ref="H182:H183"/>
    <mergeCell ref="O371:O372"/>
    <mergeCell ref="CE58:CP58"/>
    <mergeCell ref="J371:J372"/>
    <mergeCell ref="K358:N358"/>
    <mergeCell ref="B359:G359"/>
    <mergeCell ref="K371:N372"/>
    <mergeCell ref="B366:G366"/>
    <mergeCell ref="K366:N366"/>
    <mergeCell ref="B365:G365"/>
    <mergeCell ref="K365:N365"/>
    <mergeCell ref="B358:G358"/>
    <mergeCell ref="K357:N357"/>
    <mergeCell ref="H298:H299"/>
    <mergeCell ref="I298:I299"/>
    <mergeCell ref="J298:J299"/>
    <mergeCell ref="K298:N299"/>
    <mergeCell ref="K295:N296"/>
    <mergeCell ref="J315:J316"/>
    <mergeCell ref="K315:N316"/>
    <mergeCell ref="B307:G307"/>
    <mergeCell ref="K171:N171"/>
    <mergeCell ref="K172:N172"/>
    <mergeCell ref="K168:N168"/>
    <mergeCell ref="K225:N225"/>
    <mergeCell ref="K214:N214"/>
    <mergeCell ref="K208:N208"/>
    <mergeCell ref="DM6:DM7"/>
    <mergeCell ref="DO5:DO7"/>
    <mergeCell ref="B373:G373"/>
    <mergeCell ref="B364:G364"/>
    <mergeCell ref="K364:N364"/>
    <mergeCell ref="B367:G367"/>
    <mergeCell ref="B368:G369"/>
    <mergeCell ref="H368:H369"/>
    <mergeCell ref="I368:I369"/>
    <mergeCell ref="J368:J369"/>
    <mergeCell ref="K368:N369"/>
    <mergeCell ref="K367:N367"/>
    <mergeCell ref="CF5:CF7"/>
    <mergeCell ref="CG5:CG7"/>
    <mergeCell ref="CX6:DK6"/>
    <mergeCell ref="B356:G356"/>
    <mergeCell ref="B357:G357"/>
    <mergeCell ref="K359:N359"/>
    <mergeCell ref="K175:N175"/>
    <mergeCell ref="K176:N176"/>
    <mergeCell ref="K184:N184"/>
    <mergeCell ref="K185:N185"/>
    <mergeCell ref="K194:N194"/>
    <mergeCell ref="K195:N195"/>
    <mergeCell ref="J178:J179"/>
    <mergeCell ref="J182:J183"/>
    <mergeCell ref="K226:N226"/>
    <mergeCell ref="BY5:BY7"/>
    <mergeCell ref="BZ5:BZ7"/>
    <mergeCell ref="CA5:CA7"/>
    <mergeCell ref="H319:J319"/>
    <mergeCell ref="K308:N309"/>
    <mergeCell ref="J105:K105"/>
    <mergeCell ref="K63:K64"/>
    <mergeCell ref="AB24:AC24"/>
    <mergeCell ref="BU8:CB8"/>
    <mergeCell ref="K152:N152"/>
    <mergeCell ref="K222:N222"/>
    <mergeCell ref="K210:N210"/>
    <mergeCell ref="K212:N212"/>
    <mergeCell ref="J104:K104"/>
    <mergeCell ref="Y8:AA8"/>
    <mergeCell ref="Y9:AA9"/>
    <mergeCell ref="Y10:AA10"/>
    <mergeCell ref="K198:N198"/>
    <mergeCell ref="K177:N177"/>
    <mergeCell ref="O298:O299"/>
    <mergeCell ref="O300:O301"/>
    <mergeCell ref="K149:N149"/>
    <mergeCell ref="K150:N150"/>
    <mergeCell ref="J163:J164"/>
    <mergeCell ref="CE5:CE7"/>
    <mergeCell ref="BU19:CB19"/>
    <mergeCell ref="BU31:CB31"/>
    <mergeCell ref="BU39:CB39"/>
    <mergeCell ref="CH6:CW6"/>
    <mergeCell ref="CH5:DK5"/>
    <mergeCell ref="Y24:Z24"/>
    <mergeCell ref="N118:O118"/>
    <mergeCell ref="CE65:CP65"/>
    <mergeCell ref="CE72:CP72"/>
    <mergeCell ref="Y20:AA22"/>
    <mergeCell ref="P95:R96"/>
    <mergeCell ref="AA31:AA32"/>
    <mergeCell ref="Y25:Z25"/>
    <mergeCell ref="Y95:Y98"/>
    <mergeCell ref="Z95:Z98"/>
    <mergeCell ref="BU77:CB77"/>
    <mergeCell ref="BQ5:BQ7"/>
    <mergeCell ref="BR5:BR7"/>
    <mergeCell ref="AB25:AC25"/>
    <mergeCell ref="BW5:BW7"/>
    <mergeCell ref="BX5:BX7"/>
    <mergeCell ref="BU5:BU7"/>
    <mergeCell ref="BV5:BV7"/>
    <mergeCell ref="J135:L143"/>
    <mergeCell ref="G16:H16"/>
    <mergeCell ref="G17:H17"/>
    <mergeCell ref="G19:H19"/>
    <mergeCell ref="G18:H18"/>
    <mergeCell ref="E38:E41"/>
    <mergeCell ref="F38:F41"/>
    <mergeCell ref="B30:G30"/>
    <mergeCell ref="B38:B41"/>
    <mergeCell ref="G21:H21"/>
    <mergeCell ref="G22:H22"/>
    <mergeCell ref="G23:H23"/>
    <mergeCell ref="B74:G74"/>
    <mergeCell ref="B76:G76"/>
    <mergeCell ref="C95:C96"/>
    <mergeCell ref="D95:D96"/>
    <mergeCell ref="I113:L113"/>
    <mergeCell ref="L94:O94"/>
    <mergeCell ref="I144:I146"/>
    <mergeCell ref="K165:N165"/>
    <mergeCell ref="J166:J167"/>
    <mergeCell ref="K166:N167"/>
    <mergeCell ref="B152:G152"/>
    <mergeCell ref="B149:G149"/>
    <mergeCell ref="J160:J161"/>
    <mergeCell ref="K160:N161"/>
    <mergeCell ref="K163:N164"/>
    <mergeCell ref="K155:N155"/>
    <mergeCell ref="G113:G116"/>
    <mergeCell ref="B10:G10"/>
    <mergeCell ref="B12:G12"/>
    <mergeCell ref="B8:G8"/>
    <mergeCell ref="B9:G9"/>
    <mergeCell ref="Y11:AA11"/>
    <mergeCell ref="Y12:AA12"/>
    <mergeCell ref="Y13:AA13"/>
    <mergeCell ref="Y14:AA14"/>
    <mergeCell ref="Y15:AA15"/>
    <mergeCell ref="B11:G11"/>
    <mergeCell ref="B15:F15"/>
    <mergeCell ref="G15:H15"/>
    <mergeCell ref="Y16:AA16"/>
    <mergeCell ref="Y17:AA17"/>
    <mergeCell ref="Y18:AA18"/>
    <mergeCell ref="Y19:AA19"/>
    <mergeCell ref="G95:G98"/>
    <mergeCell ref="H95:H98"/>
    <mergeCell ref="G39:G41"/>
    <mergeCell ref="B26:F26"/>
    <mergeCell ref="B81:G81"/>
    <mergeCell ref="G63:I64"/>
    <mergeCell ref="B21:F21"/>
    <mergeCell ref="C408:I408"/>
    <mergeCell ref="B398:E398"/>
    <mergeCell ref="C403:I403"/>
    <mergeCell ref="C404:I404"/>
    <mergeCell ref="C405:I405"/>
    <mergeCell ref="C406:I406"/>
    <mergeCell ref="C407:I407"/>
    <mergeCell ref="C400:I400"/>
    <mergeCell ref="C401:I401"/>
    <mergeCell ref="C402:I402"/>
    <mergeCell ref="B375:G375"/>
    <mergeCell ref="B377:G377"/>
    <mergeCell ref="B370:G370"/>
    <mergeCell ref="B355:G355"/>
    <mergeCell ref="B360:G360"/>
    <mergeCell ref="B374:G374"/>
    <mergeCell ref="B371:G372"/>
    <mergeCell ref="E53:E55"/>
    <mergeCell ref="B78:G78"/>
    <mergeCell ref="B75:G75"/>
    <mergeCell ref="B67:B69"/>
    <mergeCell ref="E67:E69"/>
    <mergeCell ref="F67:G69"/>
    <mergeCell ref="G56:I57"/>
    <mergeCell ref="B53:B55"/>
    <mergeCell ref="B77:G77"/>
    <mergeCell ref="B174:G174"/>
    <mergeCell ref="B210:G210"/>
    <mergeCell ref="B211:G211"/>
    <mergeCell ref="B198:G198"/>
    <mergeCell ref="B157:G157"/>
    <mergeCell ref="B155:G155"/>
    <mergeCell ref="B276:G276"/>
    <mergeCell ref="B158:G159"/>
    <mergeCell ref="H158:H159"/>
    <mergeCell ref="B156:G156"/>
    <mergeCell ref="B195:G195"/>
    <mergeCell ref="B178:G179"/>
    <mergeCell ref="B176:G176"/>
    <mergeCell ref="B177:G177"/>
    <mergeCell ref="B225:G225"/>
    <mergeCell ref="B199:G200"/>
    <mergeCell ref="H199:H200"/>
    <mergeCell ref="B184:G184"/>
    <mergeCell ref="B175:G175"/>
    <mergeCell ref="B172:G172"/>
    <mergeCell ref="B173:G173"/>
    <mergeCell ref="B162:G162"/>
    <mergeCell ref="B166:G167"/>
    <mergeCell ref="H166:H167"/>
    <mergeCell ref="B209:G209"/>
    <mergeCell ref="B219:G219"/>
    <mergeCell ref="B201:G201"/>
    <mergeCell ref="B171:G171"/>
    <mergeCell ref="B185:G185"/>
    <mergeCell ref="B194:G194"/>
    <mergeCell ref="B193:G193"/>
    <mergeCell ref="B186:G186"/>
    <mergeCell ref="BS5:BS7"/>
    <mergeCell ref="BB5:BB7"/>
    <mergeCell ref="BM5:BM7"/>
    <mergeCell ref="BE5:BE7"/>
    <mergeCell ref="BC5:BC7"/>
    <mergeCell ref="Y6:AC7"/>
    <mergeCell ref="BG5:BG7"/>
    <mergeCell ref="BH5:BH7"/>
    <mergeCell ref="AW5:AW7"/>
    <mergeCell ref="AH5:AH6"/>
    <mergeCell ref="BI5:BI7"/>
    <mergeCell ref="AX5:AX7"/>
    <mergeCell ref="AJ5:AK7"/>
    <mergeCell ref="AG5:AG6"/>
    <mergeCell ref="BK5:BK7"/>
    <mergeCell ref="AM5:AM7"/>
    <mergeCell ref="AR5:AR7"/>
    <mergeCell ref="BO5:BO7"/>
    <mergeCell ref="AN5:AN7"/>
    <mergeCell ref="AO5:AO7"/>
    <mergeCell ref="AT5:AT7"/>
    <mergeCell ref="AU5:AU7"/>
    <mergeCell ref="AZ5:AZ7"/>
    <mergeCell ref="AB31:AB32"/>
    <mergeCell ref="J63:J64"/>
    <mergeCell ref="I38:J38"/>
    <mergeCell ref="G27:H27"/>
    <mergeCell ref="F60:F62"/>
    <mergeCell ref="I39:I41"/>
    <mergeCell ref="J39:J41"/>
    <mergeCell ref="J60:J62"/>
    <mergeCell ref="G60:I62"/>
    <mergeCell ref="J56:J57"/>
    <mergeCell ref="G53:I55"/>
    <mergeCell ref="B31:G31"/>
    <mergeCell ref="B27:F27"/>
    <mergeCell ref="B33:G33"/>
    <mergeCell ref="F53:F55"/>
    <mergeCell ref="B60:B62"/>
    <mergeCell ref="E60:E62"/>
    <mergeCell ref="B32:G32"/>
    <mergeCell ref="G38:H38"/>
    <mergeCell ref="H39:H41"/>
    <mergeCell ref="AB26:AC26"/>
    <mergeCell ref="Y26:Z26"/>
    <mergeCell ref="AP5:AP7"/>
    <mergeCell ref="AQ5:AQ7"/>
    <mergeCell ref="G24:H24"/>
    <mergeCell ref="G25:H25"/>
    <mergeCell ref="B22:F22"/>
    <mergeCell ref="B20:F20"/>
    <mergeCell ref="G20:H20"/>
    <mergeCell ref="B23:F23"/>
    <mergeCell ref="B18:F18"/>
    <mergeCell ref="B25:F25"/>
    <mergeCell ref="G26:H26"/>
    <mergeCell ref="B19:F19"/>
    <mergeCell ref="B16:F16"/>
    <mergeCell ref="B17:F17"/>
    <mergeCell ref="B2:E5"/>
    <mergeCell ref="F70:G70"/>
    <mergeCell ref="H73:J73"/>
    <mergeCell ref="B24:F24"/>
    <mergeCell ref="E95:E98"/>
    <mergeCell ref="F95:F98"/>
    <mergeCell ref="B73:G73"/>
    <mergeCell ref="J53:J55"/>
    <mergeCell ref="B150:G150"/>
    <mergeCell ref="B131:B134"/>
    <mergeCell ref="C131:C132"/>
    <mergeCell ref="D131:D132"/>
    <mergeCell ref="E131:E134"/>
    <mergeCell ref="F131:F134"/>
    <mergeCell ref="G131:G134"/>
    <mergeCell ref="H113:H116"/>
    <mergeCell ref="H131:H134"/>
    <mergeCell ref="I95:I98"/>
    <mergeCell ref="J132:K134"/>
    <mergeCell ref="B95:B98"/>
    <mergeCell ref="B113:B116"/>
    <mergeCell ref="C113:C114"/>
    <mergeCell ref="D113:D114"/>
    <mergeCell ref="E113:E116"/>
    <mergeCell ref="F113:F116"/>
    <mergeCell ref="B192:G192"/>
    <mergeCell ref="K186:N186"/>
    <mergeCell ref="K192:N192"/>
    <mergeCell ref="K201:N201"/>
    <mergeCell ref="K221:N221"/>
    <mergeCell ref="K213:N213"/>
    <mergeCell ref="J202:J203"/>
    <mergeCell ref="K202:N203"/>
    <mergeCell ref="B214:G214"/>
    <mergeCell ref="B215:G215"/>
    <mergeCell ref="B204:G205"/>
    <mergeCell ref="H204:H205"/>
    <mergeCell ref="I204:I205"/>
    <mergeCell ref="K215:N215"/>
    <mergeCell ref="H238:J238"/>
    <mergeCell ref="B221:G221"/>
    <mergeCell ref="B231:G231"/>
    <mergeCell ref="K232:N232"/>
    <mergeCell ref="B226:G226"/>
    <mergeCell ref="I199:I200"/>
    <mergeCell ref="J199:J200"/>
    <mergeCell ref="B196:G196"/>
    <mergeCell ref="K196:N196"/>
    <mergeCell ref="B197:G197"/>
    <mergeCell ref="B213:G213"/>
    <mergeCell ref="B227:G228"/>
    <mergeCell ref="B233:G233"/>
    <mergeCell ref="K233:N233"/>
    <mergeCell ref="K234:N235"/>
    <mergeCell ref="K231:N231"/>
    <mergeCell ref="Q242:R242"/>
    <mergeCell ref="I248:I249"/>
    <mergeCell ref="I245:I246"/>
    <mergeCell ref="B234:G235"/>
    <mergeCell ref="K241:N241"/>
    <mergeCell ref="Q244:R244"/>
    <mergeCell ref="Q247:R247"/>
    <mergeCell ref="Q248:R248"/>
    <mergeCell ref="Q243:R243"/>
    <mergeCell ref="B241:G241"/>
    <mergeCell ref="B238:G238"/>
    <mergeCell ref="B239:G239"/>
    <mergeCell ref="J248:J249"/>
    <mergeCell ref="B243:G244"/>
    <mergeCell ref="H243:H244"/>
    <mergeCell ref="I243:I244"/>
    <mergeCell ref="J243:J244"/>
    <mergeCell ref="K243:N244"/>
    <mergeCell ref="B248:G249"/>
    <mergeCell ref="K248:N249"/>
    <mergeCell ref="H248:H249"/>
    <mergeCell ref="K245:N246"/>
    <mergeCell ref="K242:N242"/>
    <mergeCell ref="I234:I235"/>
    <mergeCell ref="B287:G287"/>
    <mergeCell ref="I266:I267"/>
    <mergeCell ref="H245:H246"/>
    <mergeCell ref="K268:N268"/>
    <mergeCell ref="H260:J260"/>
    <mergeCell ref="B277:G277"/>
    <mergeCell ref="B278:G278"/>
    <mergeCell ref="B279:G279"/>
    <mergeCell ref="B274:G274"/>
    <mergeCell ref="B283:G284"/>
    <mergeCell ref="H283:H284"/>
    <mergeCell ref="I283:I284"/>
    <mergeCell ref="K255:N255"/>
    <mergeCell ref="B250:G250"/>
    <mergeCell ref="B251:G252"/>
    <mergeCell ref="H251:H252"/>
    <mergeCell ref="B255:G255"/>
    <mergeCell ref="B271:G273"/>
    <mergeCell ref="H271:H272"/>
    <mergeCell ref="I271:I273"/>
    <mergeCell ref="J271:J273"/>
    <mergeCell ref="B268:G268"/>
    <mergeCell ref="K260:N260"/>
    <mergeCell ref="K247:N247"/>
    <mergeCell ref="B292:G292"/>
    <mergeCell ref="B265:G265"/>
    <mergeCell ref="K291:N291"/>
    <mergeCell ref="B247:G247"/>
    <mergeCell ref="K256:N257"/>
    <mergeCell ref="I251:I252"/>
    <mergeCell ref="J251:J252"/>
    <mergeCell ref="K251:N252"/>
    <mergeCell ref="B254:G254"/>
    <mergeCell ref="B256:G257"/>
    <mergeCell ref="H256:H257"/>
    <mergeCell ref="B261:G261"/>
    <mergeCell ref="B260:G260"/>
    <mergeCell ref="J256:J257"/>
    <mergeCell ref="B280:G280"/>
    <mergeCell ref="B288:G288"/>
    <mergeCell ref="B289:G289"/>
    <mergeCell ref="B290:G290"/>
    <mergeCell ref="K287:N287"/>
    <mergeCell ref="K288:N288"/>
    <mergeCell ref="K289:N289"/>
    <mergeCell ref="K290:N290"/>
    <mergeCell ref="B264:G264"/>
    <mergeCell ref="I256:I257"/>
    <mergeCell ref="B327:G328"/>
    <mergeCell ref="H327:H328"/>
    <mergeCell ref="I327:I328"/>
    <mergeCell ref="J327:J328"/>
    <mergeCell ref="K327:N328"/>
    <mergeCell ref="B348:G348"/>
    <mergeCell ref="B350:G350"/>
    <mergeCell ref="K350:N350"/>
    <mergeCell ref="B351:G352"/>
    <mergeCell ref="H351:H352"/>
    <mergeCell ref="I351:I352"/>
    <mergeCell ref="J351:J352"/>
    <mergeCell ref="K351:N352"/>
    <mergeCell ref="B342:G344"/>
    <mergeCell ref="H342:H343"/>
    <mergeCell ref="B347:G347"/>
    <mergeCell ref="K338:N339"/>
    <mergeCell ref="B330:G331"/>
    <mergeCell ref="J330:J331"/>
    <mergeCell ref="I330:I331"/>
    <mergeCell ref="I342:I344"/>
    <mergeCell ref="J342:J344"/>
    <mergeCell ref="B345:G345"/>
    <mergeCell ref="B346:G346"/>
    <mergeCell ref="BU50:CB50"/>
    <mergeCell ref="BU58:CB58"/>
    <mergeCell ref="BU66:CB66"/>
    <mergeCell ref="B180:G181"/>
    <mergeCell ref="H180:H181"/>
    <mergeCell ref="K180:N181"/>
    <mergeCell ref="I180:I181"/>
    <mergeCell ref="J180:J181"/>
    <mergeCell ref="B325:G326"/>
    <mergeCell ref="P298:P299"/>
    <mergeCell ref="B187:G187"/>
    <mergeCell ref="K187:N187"/>
    <mergeCell ref="B80:G80"/>
    <mergeCell ref="B79:G79"/>
    <mergeCell ref="K319:N319"/>
    <mergeCell ref="B320:G320"/>
    <mergeCell ref="B321:G321"/>
    <mergeCell ref="B84:B87"/>
    <mergeCell ref="E84:E87"/>
    <mergeCell ref="F84:F87"/>
    <mergeCell ref="G84:G87"/>
    <mergeCell ref="I131:L131"/>
    <mergeCell ref="M131:R131"/>
    <mergeCell ref="I132:I134"/>
    <mergeCell ref="K322:N322"/>
    <mergeCell ref="J266:J267"/>
    <mergeCell ref="B323:G323"/>
    <mergeCell ref="B332:G332"/>
    <mergeCell ref="B253:G253"/>
    <mergeCell ref="B151:G151"/>
    <mergeCell ref="K151:N151"/>
    <mergeCell ref="B322:G322"/>
    <mergeCell ref="B282:G282"/>
    <mergeCell ref="K282:N282"/>
    <mergeCell ref="B240:G240"/>
    <mergeCell ref="B242:G242"/>
    <mergeCell ref="B275:G275"/>
    <mergeCell ref="K283:N284"/>
    <mergeCell ref="B306:G306"/>
    <mergeCell ref="K306:N306"/>
    <mergeCell ref="B262:G262"/>
    <mergeCell ref="B263:G263"/>
    <mergeCell ref="B291:G291"/>
    <mergeCell ref="K292:N292"/>
    <mergeCell ref="K266:N267"/>
    <mergeCell ref="J283:J284"/>
    <mergeCell ref="B319:G319"/>
    <mergeCell ref="B314:G314"/>
    <mergeCell ref="H338:H339"/>
    <mergeCell ref="I338:I339"/>
    <mergeCell ref="J338:J339"/>
    <mergeCell ref="B329:G329"/>
    <mergeCell ref="K330:N331"/>
    <mergeCell ref="K323:N323"/>
    <mergeCell ref="K325:N326"/>
    <mergeCell ref="K324:N324"/>
    <mergeCell ref="K329:N329"/>
    <mergeCell ref="B336:G336"/>
    <mergeCell ref="B337:G337"/>
    <mergeCell ref="K337:N337"/>
    <mergeCell ref="B338:G339"/>
    <mergeCell ref="B324:G324"/>
    <mergeCell ref="B333:G334"/>
    <mergeCell ref="H333:H334"/>
    <mergeCell ref="I333:I334"/>
    <mergeCell ref="J333:J334"/>
    <mergeCell ref="K333:N334"/>
    <mergeCell ref="H325:H326"/>
    <mergeCell ref="I325:I326"/>
    <mergeCell ref="J325:J326"/>
    <mergeCell ref="H330:H331"/>
    <mergeCell ref="B335:G335"/>
    <mergeCell ref="K261:N261"/>
    <mergeCell ref="K262:N262"/>
    <mergeCell ref="K263:N263"/>
    <mergeCell ref="K264:N264"/>
    <mergeCell ref="K265:N265"/>
    <mergeCell ref="B266:G267"/>
    <mergeCell ref="H266:H267"/>
    <mergeCell ref="M132:M134"/>
    <mergeCell ref="N132:O134"/>
    <mergeCell ref="J245:J246"/>
    <mergeCell ref="K182:N183"/>
    <mergeCell ref="K197:N197"/>
    <mergeCell ref="J204:J205"/>
    <mergeCell ref="K204:N205"/>
    <mergeCell ref="K211:N211"/>
    <mergeCell ref="K199:N200"/>
    <mergeCell ref="B220:G220"/>
    <mergeCell ref="B208:G208"/>
    <mergeCell ref="B202:G203"/>
    <mergeCell ref="H202:H203"/>
    <mergeCell ref="I202:I203"/>
    <mergeCell ref="B216:G216"/>
    <mergeCell ref="B212:G212"/>
    <mergeCell ref="K238:N238"/>
    <mergeCell ref="B245:G246"/>
    <mergeCell ref="J95:K96"/>
    <mergeCell ref="M95:N96"/>
    <mergeCell ref="O97:O98"/>
    <mergeCell ref="N121:O121"/>
    <mergeCell ref="N122:O122"/>
    <mergeCell ref="N123:O123"/>
    <mergeCell ref="N124:O124"/>
    <mergeCell ref="N125:O125"/>
    <mergeCell ref="J117:L125"/>
    <mergeCell ref="L97:L98"/>
    <mergeCell ref="N120:O120"/>
    <mergeCell ref="O204:O205"/>
    <mergeCell ref="J234:J235"/>
    <mergeCell ref="H234:H235"/>
    <mergeCell ref="J227:J228"/>
    <mergeCell ref="K227:N228"/>
    <mergeCell ref="I227:I228"/>
    <mergeCell ref="H227:H228"/>
    <mergeCell ref="B232:G232"/>
    <mergeCell ref="K219:N219"/>
    <mergeCell ref="K220:N220"/>
    <mergeCell ref="K216:N216"/>
    <mergeCell ref="B222:G222"/>
    <mergeCell ref="S132:S134"/>
    <mergeCell ref="P144:P146"/>
    <mergeCell ref="V144:V146"/>
    <mergeCell ref="Q135:R143"/>
    <mergeCell ref="N136:O136"/>
    <mergeCell ref="N137:O137"/>
    <mergeCell ref="N138:O138"/>
    <mergeCell ref="N139:O139"/>
    <mergeCell ref="N140:O140"/>
    <mergeCell ref="N141:O141"/>
    <mergeCell ref="N142:O142"/>
    <mergeCell ref="N143:O143"/>
    <mergeCell ref="T137:U137"/>
    <mergeCell ref="T138:U138"/>
    <mergeCell ref="T139:U139"/>
    <mergeCell ref="T140:U140"/>
    <mergeCell ref="T141:U141"/>
    <mergeCell ref="T142:U142"/>
    <mergeCell ref="T143:U143"/>
    <mergeCell ref="Q132:R134"/>
    <mergeCell ref="V132:V134"/>
    <mergeCell ref="P132:P134"/>
    <mergeCell ref="N135:O135"/>
    <mergeCell ref="W329:Z329"/>
    <mergeCell ref="V330:V331"/>
    <mergeCell ref="W330:Z331"/>
    <mergeCell ref="V333:V334"/>
    <mergeCell ref="W333:Z334"/>
    <mergeCell ref="P327:S328"/>
    <mergeCell ref="P325:S326"/>
    <mergeCell ref="V327:V328"/>
    <mergeCell ref="W327:Z328"/>
    <mergeCell ref="P306:S306"/>
    <mergeCell ref="P307:S307"/>
    <mergeCell ref="P308:S309"/>
    <mergeCell ref="P312:S312"/>
    <mergeCell ref="P313:S313"/>
    <mergeCell ref="P314:S314"/>
    <mergeCell ref="P315:S316"/>
    <mergeCell ref="P319:S319"/>
    <mergeCell ref="P320:S320"/>
    <mergeCell ref="P321:S321"/>
    <mergeCell ref="P322:S322"/>
    <mergeCell ref="P323:S323"/>
    <mergeCell ref="P324:S324"/>
    <mergeCell ref="P329:S329"/>
    <mergeCell ref="P335:S335"/>
    <mergeCell ref="P336:S336"/>
    <mergeCell ref="P337:S337"/>
    <mergeCell ref="P338:S339"/>
    <mergeCell ref="W337:Z337"/>
    <mergeCell ref="V338:V339"/>
    <mergeCell ref="W338:Z339"/>
    <mergeCell ref="T338:T339"/>
    <mergeCell ref="U338:U339"/>
    <mergeCell ref="P330:S331"/>
    <mergeCell ref="P332:S332"/>
    <mergeCell ref="P333:S334"/>
    <mergeCell ref="T124:U124"/>
    <mergeCell ref="T125:U125"/>
    <mergeCell ref="T315:T316"/>
    <mergeCell ref="U315:U316"/>
    <mergeCell ref="T327:T328"/>
    <mergeCell ref="U327:U328"/>
    <mergeCell ref="T330:T331"/>
    <mergeCell ref="U330:U331"/>
    <mergeCell ref="T333:T334"/>
    <mergeCell ref="U333:U334"/>
    <mergeCell ref="S131:X131"/>
    <mergeCell ref="W135:X143"/>
    <mergeCell ref="W132:X134"/>
    <mergeCell ref="T132:U134"/>
    <mergeCell ref="T135:U135"/>
    <mergeCell ref="T136:U136"/>
    <mergeCell ref="W306:Z306"/>
    <mergeCell ref="W307:Z307"/>
    <mergeCell ref="T308:T309"/>
    <mergeCell ref="U308:U309"/>
    <mergeCell ref="V308:V309"/>
    <mergeCell ref="W308:Z309"/>
    <mergeCell ref="W312:Z312"/>
    <mergeCell ref="W313:Z313"/>
    <mergeCell ref="W314:Z314"/>
    <mergeCell ref="V315:V316"/>
    <mergeCell ref="W315:Z316"/>
    <mergeCell ref="T319:V319"/>
    <mergeCell ref="W319:Z319"/>
    <mergeCell ref="W322:Z322"/>
    <mergeCell ref="W323:Z323"/>
    <mergeCell ref="W324:Z324"/>
    <mergeCell ref="T325:T326"/>
    <mergeCell ref="U325:U326"/>
    <mergeCell ref="V325:V326"/>
    <mergeCell ref="W325:Z326"/>
    <mergeCell ref="W357:Z357"/>
    <mergeCell ref="W358:Z358"/>
    <mergeCell ref="W359:Z359"/>
    <mergeCell ref="V342:V344"/>
    <mergeCell ref="W360:Z360"/>
    <mergeCell ref="P342:S344"/>
    <mergeCell ref="K383:N383"/>
    <mergeCell ref="K384:N384"/>
    <mergeCell ref="P357:S357"/>
    <mergeCell ref="P358:S358"/>
    <mergeCell ref="P359:S359"/>
    <mergeCell ref="P360:S360"/>
    <mergeCell ref="P350:S350"/>
    <mergeCell ref="P351:S352"/>
    <mergeCell ref="P355:S355"/>
    <mergeCell ref="P356:S356"/>
    <mergeCell ref="W350:Z350"/>
    <mergeCell ref="T351:T352"/>
    <mergeCell ref="U351:U352"/>
    <mergeCell ref="V351:V352"/>
    <mergeCell ref="W351:Z352"/>
    <mergeCell ref="W355:Z355"/>
    <mergeCell ref="W356:Z356"/>
    <mergeCell ref="T342:T343"/>
    <mergeCell ref="U342:U344"/>
    <mergeCell ref="K370:N370"/>
    <mergeCell ref="K377:N377"/>
    <mergeCell ref="K379:N379"/>
    <mergeCell ref="K388:N388"/>
    <mergeCell ref="K389:N389"/>
    <mergeCell ref="K390:N390"/>
    <mergeCell ref="B383:G383"/>
    <mergeCell ref="B384:G384"/>
    <mergeCell ref="B388:G388"/>
    <mergeCell ref="B389:G389"/>
    <mergeCell ref="B390:G390"/>
    <mergeCell ref="B385:G385"/>
    <mergeCell ref="B386:G386"/>
    <mergeCell ref="B387:G387"/>
    <mergeCell ref="B378:G378"/>
    <mergeCell ref="B379:G379"/>
    <mergeCell ref="K355:N355"/>
    <mergeCell ref="K360:N360"/>
    <mergeCell ref="K356:N356"/>
    <mergeCell ref="K373:N373"/>
    <mergeCell ref="K374:N374"/>
    <mergeCell ref="H371:H372"/>
    <mergeCell ref="I371:I372"/>
  </mergeCells>
  <conditionalFormatting sqref="B28:I28 A27:J27">
    <cfRule type="expression" dxfId="1" priority="32">
      <formula>$G$15=$AB$8</formula>
    </cfRule>
  </conditionalFormatting>
  <conditionalFormatting sqref="B26:I26">
    <cfRule type="expression" dxfId="0" priority="34">
      <formula>$G$15=$AB$8</formula>
    </cfRule>
  </conditionalFormatting>
  <dataValidations xWindow="372" yWindow="492" count="59">
    <dataValidation type="list" allowBlank="1" showInputMessage="1" showErrorMessage="1" error="Seleccione un valor de temperatura del agua" sqref="I30" xr:uid="{00000000-0002-0000-0200-000000000000}">
      <formula1>$AE$8:$AE$44</formula1>
    </dataValidation>
    <dataValidation type="decimal" allowBlank="1" showInputMessage="1" showErrorMessage="1" error="Ingrese un valor correcto de densidad relativa de arena" sqref="I75" xr:uid="{00000000-0002-0000-0200-000001000000}">
      <formula1>2.5</formula1>
      <formula2>2.7</formula2>
    </dataValidation>
    <dataValidation type="decimal" allowBlank="1" showInputMessage="1" showErrorMessage="1" error="Ingrese un valor de profundidad del lecho fijo de arena en el rango 0,6 - 0,75 m" sqref="I74" xr:uid="{00000000-0002-0000-0200-000002000000}">
      <formula1>0.6</formula1>
      <formula2>0.75</formula2>
    </dataValidation>
    <dataValidation type="custom" allowBlank="1" showInputMessage="1" showErrorMessage="1" sqref="I193" xr:uid="{00000000-0002-0000-0200-000003000000}">
      <formula1>#REF!</formula1>
    </dataValidation>
    <dataValidation type="decimal" allowBlank="1" showInputMessage="1" showErrorMessage="1" error="Ingrese un valor correcto para k1" sqref="I8" xr:uid="{00000000-0002-0000-0200-000004000000}">
      <formula1>1</formula1>
      <formula2>1.3</formula2>
    </dataValidation>
    <dataValidation type="decimal" allowBlank="1" showInputMessage="1" showErrorMessage="1" error="Ingrese un valor correcto para k2" sqref="I9" xr:uid="{00000000-0002-0000-0200-000005000000}">
      <formula1>1</formula1>
      <formula2>1.6</formula2>
    </dataValidation>
    <dataValidation type="list" allowBlank="1" showInputMessage="1" showErrorMessage="1" error="Seleccione un tipo de filtro" sqref="G15:H15" xr:uid="{00000000-0002-0000-0200-000006000000}">
      <formula1>$AA$8:$AC$8</formula1>
    </dataValidation>
    <dataValidation type="list" allowBlank="1" showInputMessage="1" showErrorMessage="1" error="Seleccione el sistema de drenaje del filtro" sqref="G18:H18" xr:uid="{00000000-0002-0000-0200-000007000000}">
      <formula1>$AB$20:$AB$22</formula1>
    </dataValidation>
    <dataValidation type="list" allowBlank="1" showInputMessage="1" showErrorMessage="1" sqref="I171" xr:uid="{00000000-0002-0000-0200-000008000000}">
      <formula1>$AW$8:$AW$12</formula1>
    </dataValidation>
    <dataValidation type="list" allowBlank="1" showInputMessage="1" showErrorMessage="1" sqref="I176" xr:uid="{00000000-0002-0000-0200-000009000000}">
      <formula1>$BE$8:$BE$11</formula1>
    </dataValidation>
    <dataValidation type="list" showInputMessage="1" showErrorMessage="1" error="Seleccione una sección transversal de múltiple_x000a_" sqref="I173" xr:uid="{00000000-0002-0000-0200-00000A000000}">
      <formula1>$BG$8:$BG$16</formula1>
    </dataValidation>
    <dataValidation type="list" showInputMessage="1" showErrorMessage="1" sqref="I208" xr:uid="{00000000-0002-0000-0200-00000B000000}">
      <formula1>$BM$8:$BM$13</formula1>
    </dataValidation>
    <dataValidation type="list" showInputMessage="1" showErrorMessage="1" sqref="I209" xr:uid="{00000000-0002-0000-0200-00000C000000}">
      <formula1>$BO$8:$BO$9</formula1>
    </dataValidation>
    <dataValidation type="list" allowBlank="1" showInputMessage="1" showErrorMessage="1" sqref="CL29:CM29" xr:uid="{00000000-0002-0000-0200-00000D000000}">
      <formula1>$CJ$28:$CJ$36</formula1>
    </dataValidation>
    <dataValidation type="list" allowBlank="1" showInputMessage="1" showErrorMessage="1" sqref="H238:J238" xr:uid="{00000000-0002-0000-0200-00000E000000}">
      <formula1>$BQ$8:$BQ$16</formula1>
    </dataValidation>
    <dataValidation type="decimal" allowBlank="1" showInputMessage="1" showErrorMessage="1" error="Introduzca un valor de f entre 0,00001 y 0,1" prompt="Introduzca un valor de f entre 0,00001 y 0,1" sqref="I250 I332" xr:uid="{00000000-0002-0000-0200-00000F000000}">
      <formula1>0.00001</formula1>
      <formula2>0.1</formula2>
    </dataValidation>
    <dataValidation type="decimal" allowBlank="1" showInputMessage="1" showErrorMessage="1" prompt="Introduzca un valor de longitud entre 5 y 50 m" sqref="I240" xr:uid="{00000000-0002-0000-0200-000010000000}">
      <formula1>5</formula1>
      <formula2>50</formula2>
    </dataValidation>
    <dataValidation allowBlank="1" showInputMessage="1" showErrorMessage="1" prompt="Introduzca un valor de longitud entre 5 y 50 m" sqref="I262" xr:uid="{00000000-0002-0000-0200-000011000000}"/>
    <dataValidation type="list" allowBlank="1" showInputMessage="1" showErrorMessage="1" sqref="B155:G155" xr:uid="{00000000-0002-0000-0200-000012000000}">
      <formula1>$AJ$8:$AJ$10</formula1>
    </dataValidation>
    <dataValidation type="list" allowBlank="1" showInputMessage="1" showErrorMessage="1" error="Seleccione una válvula en la tubería de lavado" prompt="Seleccione una válvula en la tubería de lavado" sqref="B274:G274 B345:G345 P345:S345" xr:uid="{00000000-0002-0000-0200-000013000000}">
      <formula1>$CE$8:$CE$9</formula1>
    </dataValidation>
    <dataValidation type="list" allowBlank="1" showDropDown="1" showInputMessage="1" showErrorMessage="1" error="Seleccione material de tubería" sqref="H319:J319 T319:V319" xr:uid="{00000000-0002-0000-0200-000014000000}">
      <formula1>$BQ$8:$BQ$16</formula1>
    </dataValidation>
    <dataValidation type="list" allowBlank="1" showInputMessage="1" showErrorMessage="1" error="Seleccione un accesorio en la tubería de lavado,siga el orden del listado" prompt="Seleccione un accesorio en la tubería de lavado" sqref="B275:G275" xr:uid="{00000000-0002-0000-0200-000015000000}">
      <formula1>$CE$10:$CE$12</formula1>
    </dataValidation>
    <dataValidation type="list" allowBlank="1" showInputMessage="1" showErrorMessage="1" error="Seleccione un accesorio en la tubería de lavado" prompt="Seleccione un accesorio en la tubería de lavado" sqref="B276:G276 B346:G346 P346:S346" xr:uid="{00000000-0002-0000-0200-000016000000}">
      <formula1>$CE$13:$CE$14</formula1>
    </dataValidation>
    <dataValidation type="list" allowBlank="1" showInputMessage="1" showErrorMessage="1" error="Seleccione un accesorio en la tubería de lavado" prompt="Seleccione un accesorio en la tubería de lavado_x000a_" sqref="B277:G277" xr:uid="{00000000-0002-0000-0200-000017000000}">
      <formula1>$CE$15:$CE$16</formula1>
    </dataValidation>
    <dataValidation type="list" showInputMessage="1" showErrorMessage="1" error="Seleccione un accesorio en la tubería de lavado" prompt="Seleccione un accesorio en la tubería de lavado" sqref="B278:G278" xr:uid="{00000000-0002-0000-0200-000018000000}">
      <formula1>$CE$17:$CE$18</formula1>
    </dataValidation>
    <dataValidation type="list" allowBlank="1" showInputMessage="1" showErrorMessage="1" error="Seleccione un accesorio en la tubería de lavado" prompt="Seleccione un accesorio en la tubería de lavado" sqref="B279:G279 B347:G347 P347:S347" xr:uid="{00000000-0002-0000-0200-000019000000}">
      <formula1>$CE$19:$CE$21</formula1>
    </dataValidation>
    <dataValidation type="list" allowBlank="1" showInputMessage="1" showErrorMessage="1" error="Seleccione un accesorio en la tubería de lavado" prompt="Seleccione un accesorio en la tubería de lavado" sqref="B280:G280 B348:G348 P348:S348" xr:uid="{00000000-0002-0000-0200-00001A000000}">
      <formula1>$CE$22:$CE$23</formula1>
    </dataValidation>
    <dataValidation type="list" allowBlank="1" showInputMessage="1" showErrorMessage="1" prompt="Coeficiente es 0.6 para orificios concéntricos de bordes afilados" sqref="I232" xr:uid="{00000000-0002-0000-0200-00001B000000}">
      <formula1>$BK$8:$BK$9</formula1>
    </dataValidation>
    <dataValidation type="list" allowBlank="1" showInputMessage="1" showErrorMessage="1" sqref="B290:G290" xr:uid="{00000000-0002-0000-0200-00001C000000}">
      <formula1>$DM$8:$DM$10</formula1>
    </dataValidation>
    <dataValidation type="list" allowBlank="1" showInputMessage="1" showErrorMessage="1" sqref="I370" xr:uid="{00000000-0002-0000-0200-00001D000000}">
      <formula1>$DO$8:$DO$13</formula1>
    </dataValidation>
    <dataValidation type="decimal" allowBlank="1" showInputMessage="1" showErrorMessage="1" error="Asuma inicialmente un espaciamiento entre ejes entre 1,2 y 2,0 metros" sqref="I364" xr:uid="{00000000-0002-0000-0200-00001E000000}">
      <formula1>1.2</formula1>
      <formula2>2</formula2>
    </dataValidation>
    <dataValidation type="list" allowBlank="1" showInputMessage="1" showErrorMessage="1" sqref="H73" xr:uid="{00000000-0002-0000-0200-00001F000000}">
      <formula1>$AM$8:$AM$13</formula1>
    </dataValidation>
    <dataValidation type="whole" allowBlank="1" showInputMessage="1" showErrorMessage="1" error="Constante de filtración de Fair - Hatch es 5 para lecho abierto" prompt="Constante de filtración de Fair - Hatch es 5 para lecho abierto" sqref="I77" xr:uid="{00000000-0002-0000-0200-000020000000}">
      <formula1>5</formula1>
      <formula2>5</formula2>
    </dataValidation>
    <dataValidation type="decimal" allowBlank="1" showInputMessage="1" showErrorMessage="1" error="Porosidad del medio filtrante debe ser aproximadamente 0,45" sqref="I76" xr:uid="{00000000-0002-0000-0200-000021000000}">
      <formula1>0.4</formula1>
      <formula2>0.48</formula2>
    </dataValidation>
    <dataValidation type="list" allowBlank="1" showDropDown="1" showInputMessage="1" showErrorMessage="1" sqref="H260:J260" xr:uid="{00000000-0002-0000-0200-000022000000}">
      <formula1>$BQ$8:$BQ$16</formula1>
    </dataValidation>
    <dataValidation type="decimal" allowBlank="1" showInputMessage="1" showErrorMessage="1" error="Ingrese un valor entre 1,5 y 2,5 teniendo en cuenta las dimensiones de los accesorios según DN de tubería del efluente" prompt="Introduzca un valor de longitud entre 5 y 50 m" sqref="I321" xr:uid="{00000000-0002-0000-0200-000023000000}">
      <formula1>1.5</formula1>
      <formula2>2.5</formula2>
    </dataValidation>
    <dataValidation type="whole" allowBlank="1" showInputMessage="1" showErrorMessage="1" error="Cantidad de Tee es 1 en tubería del efluente" sqref="I346 U346" xr:uid="{00000000-0002-0000-0200-000024000000}">
      <formula1>1</formula1>
      <formula2>1</formula2>
    </dataValidation>
    <dataValidation type="whole" allowBlank="1" showInputMessage="1" showErrorMessage="1" error="Cantidad de entradas a tubo es 1" sqref="I347 U347" xr:uid="{00000000-0002-0000-0200-000025000000}">
      <formula1>1</formula1>
      <formula2>1</formula2>
    </dataValidation>
    <dataValidation type="whole" allowBlank="1" showInputMessage="1" showErrorMessage="1" error="Cantidad de salidas del tubo es 1" sqref="I348 U348" xr:uid="{00000000-0002-0000-0200-000026000000}">
      <formula1>1</formula1>
      <formula2>1</formula2>
    </dataValidation>
    <dataValidation type="whole" allowBlank="1" showInputMessage="1" showErrorMessage="1" error="Cantidad de válvulas de compuerta es 1 en tubería del efluente" sqref="I345 U345" xr:uid="{00000000-0002-0000-0200-000027000000}">
      <formula1>1</formula1>
      <formula2>1</formula2>
    </dataValidation>
    <dataValidation type="whole" allowBlank="1" showInputMessage="1" showErrorMessage="1" sqref="B88" xr:uid="{00000000-0002-0000-0200-000028000000}">
      <formula1>1</formula1>
      <formula2>1</formula2>
    </dataValidation>
    <dataValidation type="decimal" allowBlank="1" showInputMessage="1" showErrorMessage="1" error="Rango de caudal: 0,01 - 0,50 m3/s " sqref="I10" xr:uid="{00000000-0002-0000-0200-000029000000}">
      <formula1>0.01</formula1>
      <formula2>0.2</formula2>
    </dataValidation>
    <dataValidation allowBlank="1" showInputMessage="1" showErrorMessage="1" prompt="Coeficiente es 0.6 para orificios concéntricos de bordes afilados" sqref="I313 U313" xr:uid="{00000000-0002-0000-0200-00002A000000}"/>
    <dataValidation type="list" allowBlank="1" showInputMessage="1" showErrorMessage="1" error="Seleccione un diámetro de tubo lateral" sqref="I177" xr:uid="{00000000-0002-0000-0200-00002B000000}">
      <formula1>$BB$8:$BB$12</formula1>
    </dataValidation>
    <dataValidation type="list" allowBlank="1" showInputMessage="1" showErrorMessage="1" error="Seleccione una distancia entre orificios" sqref="I172" xr:uid="{00000000-0002-0000-0200-00002C000000}">
      <formula1>$AZ$8:$AZ$12</formula1>
    </dataValidation>
    <dataValidation type="custom" allowBlank="1" showInputMessage="1" showErrorMessage="1" sqref="I32" xr:uid="{00000000-0002-0000-0200-00002D000000}">
      <formula1>IF(I30="…","",ROUND(VLOOKUP(I30,AE$9:AH$44,3,FALSE),9))</formula1>
    </dataValidation>
    <dataValidation allowBlank="1" showInputMessage="1" showErrorMessage="1" error="Ingrese un valor entre 1,5 y 2,5 teniendo en cuenta las dimensiones de los accesorios según DN de tubería del efluente" prompt="Introduzca un valor de longitud entre 5 y 50 m" sqref="U321" xr:uid="{00000000-0002-0000-0200-00002E000000}"/>
    <dataValidation type="decimal" allowBlank="1" showInputMessage="1" showErrorMessage="1" sqref="U332" xr:uid="{00000000-0002-0000-0200-00002F000000}">
      <formula1>0.00001</formula1>
      <formula2>0.1</formula2>
    </dataValidation>
    <dataValidation type="list" allowBlank="1" showInputMessage="1" showErrorMessage="1" sqref="I241" xr:uid="{00000000-0002-0000-0200-000030000000}">
      <formula1>IF(H238=$BQ$9,$BU$9:$BU$18,IF(H238=$BQ$10,$BU$20:$BU$30,IF(H238=$BQ$11,$BV$32:$BV$38,IF(H238=$BQ$12,$BV$40:$BV$49,IF(H238=$BQ$13,$BV$51:$BV$57,IF(H238=$BQ$14,$BV$59:$BV$65,IF(H238=$BQ$15,$BU$67:$BU$76,IF(H238=$BQ$16,$BU$78:$BU$87))))))))</formula1>
    </dataValidation>
    <dataValidation type="whole" allowBlank="1" showInputMessage="1" showErrorMessage="1" error="Cantidad de válvulas de compuerta es 1" sqref="I274" xr:uid="{00000000-0002-0000-0200-000031000000}">
      <formula1>VLOOKUP(B274,CE8:CG23,2,FALSE)</formula1>
      <formula2>VLOOKUP(B274,CE8:CG23,3,FALSE)</formula2>
    </dataValidation>
    <dataValidation type="whole" allowBlank="1" showInputMessage="1" showErrorMessage="1" error="Revise cantidad de accesorios Tee sentido recto" sqref="I276" xr:uid="{00000000-0002-0000-0200-000032000000}">
      <formula1>VLOOKUP(B276,CE8:CG23,2,FALSE)</formula1>
      <formula2>VLOOKUP(B276,CE8:CG23,3,FALSE)</formula2>
    </dataValidation>
    <dataValidation type="whole" allowBlank="1" showInputMessage="1" showErrorMessage="1" error="Revise cantidad de accesorios Tee sentido lateral" sqref="I277" xr:uid="{00000000-0002-0000-0200-000033000000}">
      <formula1>VLOOKUP(B277,CE8:CG23,2,FALSE)</formula1>
      <formula2>VLOOKUP(B277,CE8:CG23,3,FALSE)</formula2>
    </dataValidation>
    <dataValidation type="whole" allowBlank="1" showInputMessage="1" showErrorMessage="1" error="Revise cantidad de codos 90°" sqref="I275" xr:uid="{00000000-0002-0000-0200-000034000000}">
      <formula1>VLOOKUP(B275,CE8:CG23,2,FALSE)</formula1>
      <formula2>VLOOKUP(B275,CE8:CG23,3,FALSE)</formula2>
    </dataValidation>
    <dataValidation type="whole" allowBlank="1" showInputMessage="1" showErrorMessage="1" error="Revise cantidad de accesorios Unión" sqref="I278" xr:uid="{00000000-0002-0000-0200-000035000000}">
      <formula1>VLOOKUP(B278,CE8:CG23,2,FALSE)</formula1>
      <formula2>VLOOKUP(B278,CE8:CG23,3,FALSE)</formula2>
    </dataValidation>
    <dataValidation type="whole" allowBlank="1" showInputMessage="1" showErrorMessage="1" error="Cantidad de entradas a tubo es 1" sqref="I279" xr:uid="{00000000-0002-0000-0200-000036000000}">
      <formula1>VLOOKUP(B279,CE8:CG23,2,FALSE)</formula1>
      <formula2>VLOOKUP(B279,CE8:CG23,3,FALSE)</formula2>
    </dataValidation>
    <dataValidation type="whole" allowBlank="1" showInputMessage="1" showErrorMessage="1" error="Cantidad de salidas de tubo es 1" sqref="I280" xr:uid="{00000000-0002-0000-0200-000037000000}">
      <formula1>VLOOKUP(B280,CE8:CG23,2,FALSE)</formula1>
      <formula2>VLOOKUP(B280,CE8:CG23,3,FALSE)</formula2>
    </dataValidation>
    <dataValidation type="decimal" allowBlank="1" showInputMessage="1" showErrorMessage="1" error="Energía disponible de filtración entre 1,8 y 2,0 m" prompt="Energía disponible de filtración entre 1,8 y 2,0 m" sqref="I386" xr:uid="{00000000-0002-0000-0200-000038000000}">
      <formula1>1.8</formula1>
      <formula2>2</formula2>
    </dataValidation>
    <dataValidation type="decimal" allowBlank="1" showInputMessage="1" showErrorMessage="1" error="Borde libre: 0,40 - 0,50 m" prompt="Borde libre: 0,40 - 0,50 m" sqref="I388" xr:uid="{00000000-0002-0000-0200-000039000000}">
      <formula1>0.4</formula1>
      <formula2>0.5</formula2>
    </dataValidation>
    <dataValidation type="decimal" allowBlank="1" showInputMessage="1" showErrorMessage="1" error="Nivel de vertedero sobre el lecho fijo de arena: 0,15 - 0,20 m" prompt="Nivel de vertedero sobre el lecho fijo de arena: 0,15 - 0,20 m" sqref="I385" xr:uid="{00000000-0002-0000-0200-00003A000000}">
      <formula1>0.15</formula1>
      <formula2>0.2</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8960-382B-4DFF-9C4B-E0ABC78F109D}">
  <dimension ref="E6:P19"/>
  <sheetViews>
    <sheetView topLeftCell="C4" workbookViewId="0">
      <selection activeCell="K3" sqref="K3"/>
    </sheetView>
  </sheetViews>
  <sheetFormatPr baseColWidth="10" defaultRowHeight="15" x14ac:dyDescent="0.25"/>
  <sheetData>
    <row r="6" spans="5:16" ht="16.5" x14ac:dyDescent="0.25">
      <c r="E6" s="622" t="s">
        <v>33</v>
      </c>
      <c r="F6" s="663"/>
      <c r="G6" s="663"/>
      <c r="H6" s="663"/>
      <c r="I6" s="663"/>
      <c r="J6" s="623"/>
      <c r="K6" s="613" t="s">
        <v>0</v>
      </c>
      <c r="L6" s="609" t="s">
        <v>274</v>
      </c>
      <c r="M6" s="706"/>
      <c r="N6" s="707"/>
      <c r="O6" s="707"/>
      <c r="P6" s="708"/>
    </row>
    <row r="7" spans="5:16" ht="17.25" x14ac:dyDescent="0.3">
      <c r="E7" s="622" t="s">
        <v>329</v>
      </c>
      <c r="F7" s="663"/>
      <c r="G7" s="663"/>
      <c r="H7" s="663"/>
      <c r="I7" s="663"/>
      <c r="J7" s="623"/>
      <c r="K7" s="157" t="s">
        <v>207</v>
      </c>
      <c r="L7" s="609" t="s">
        <v>341</v>
      </c>
      <c r="M7" s="610"/>
      <c r="N7" s="611"/>
      <c r="O7" s="611"/>
      <c r="P7" s="612"/>
    </row>
    <row r="8" spans="5:16" ht="17.25" x14ac:dyDescent="0.3">
      <c r="E8" s="622" t="s">
        <v>517</v>
      </c>
      <c r="F8" s="663"/>
      <c r="G8" s="663"/>
      <c r="H8" s="663"/>
      <c r="I8" s="663"/>
      <c r="J8" s="623"/>
      <c r="K8" s="157" t="s">
        <v>619</v>
      </c>
      <c r="L8" s="609" t="s">
        <v>341</v>
      </c>
      <c r="M8" s="610"/>
      <c r="N8" s="611"/>
      <c r="O8" s="611"/>
      <c r="P8" s="612"/>
    </row>
    <row r="9" spans="5:16" x14ac:dyDescent="0.25">
      <c r="E9" s="713" t="s">
        <v>342</v>
      </c>
      <c r="F9" s="714"/>
      <c r="G9" s="714"/>
      <c r="H9" s="714"/>
      <c r="I9" s="714"/>
      <c r="J9" s="754"/>
      <c r="K9" s="665" t="s">
        <v>257</v>
      </c>
      <c r="L9" s="665" t="s">
        <v>340</v>
      </c>
      <c r="M9" s="686"/>
      <c r="N9" s="687"/>
      <c r="O9" s="687"/>
      <c r="P9" s="688"/>
    </row>
    <row r="10" spans="5:16" x14ac:dyDescent="0.25">
      <c r="E10" s="715"/>
      <c r="F10" s="716"/>
      <c r="G10" s="716"/>
      <c r="H10" s="716"/>
      <c r="I10" s="716"/>
      <c r="J10" s="755"/>
      <c r="K10" s="666"/>
      <c r="L10" s="666"/>
      <c r="M10" s="689"/>
      <c r="N10" s="690"/>
      <c r="O10" s="690"/>
      <c r="P10" s="691"/>
    </row>
    <row r="11" spans="5:16" x14ac:dyDescent="0.25">
      <c r="E11" s="713" t="s">
        <v>518</v>
      </c>
      <c r="F11" s="714"/>
      <c r="G11" s="714"/>
      <c r="H11" s="714"/>
      <c r="I11" s="714"/>
      <c r="J11" s="754"/>
      <c r="K11" s="665" t="s">
        <v>344</v>
      </c>
      <c r="L11" s="665" t="s">
        <v>340</v>
      </c>
      <c r="M11" s="686"/>
      <c r="N11" s="687"/>
      <c r="O11" s="687"/>
      <c r="P11" s="688"/>
    </row>
    <row r="12" spans="5:16" x14ac:dyDescent="0.25">
      <c r="E12" s="715"/>
      <c r="F12" s="716"/>
      <c r="G12" s="716"/>
      <c r="H12" s="716"/>
      <c r="I12" s="716"/>
      <c r="J12" s="755"/>
      <c r="K12" s="666"/>
      <c r="L12" s="666"/>
      <c r="M12" s="689"/>
      <c r="N12" s="690"/>
      <c r="O12" s="690"/>
      <c r="P12" s="691"/>
    </row>
    <row r="13" spans="5:16" ht="17.25" x14ac:dyDescent="0.25">
      <c r="E13" s="622" t="s">
        <v>520</v>
      </c>
      <c r="F13" s="663"/>
      <c r="G13" s="663"/>
      <c r="H13" s="663"/>
      <c r="I13" s="663"/>
      <c r="J13" s="623"/>
      <c r="K13" s="608" t="s">
        <v>522</v>
      </c>
      <c r="L13" s="608" t="s">
        <v>340</v>
      </c>
      <c r="M13" s="706"/>
      <c r="N13" s="707"/>
      <c r="O13" s="707"/>
      <c r="P13" s="708"/>
    </row>
    <row r="14" spans="5:16" x14ac:dyDescent="0.25">
      <c r="E14" s="713" t="s">
        <v>519</v>
      </c>
      <c r="F14" s="714"/>
      <c r="G14" s="714"/>
      <c r="H14" s="714"/>
      <c r="I14" s="714"/>
      <c r="J14" s="754"/>
      <c r="K14" s="665" t="s">
        <v>523</v>
      </c>
      <c r="L14" s="665"/>
      <c r="M14" s="686"/>
      <c r="N14" s="687"/>
      <c r="O14" s="687"/>
      <c r="P14" s="688"/>
    </row>
    <row r="15" spans="5:16" x14ac:dyDescent="0.25">
      <c r="E15" s="715"/>
      <c r="F15" s="716"/>
      <c r="G15" s="716"/>
      <c r="H15" s="716"/>
      <c r="I15" s="716"/>
      <c r="J15" s="755"/>
      <c r="K15" s="666"/>
      <c r="L15" s="666"/>
      <c r="M15" s="689"/>
      <c r="N15" s="690"/>
      <c r="O15" s="690"/>
      <c r="P15" s="691"/>
    </row>
    <row r="16" spans="5:16" ht="17.25" x14ac:dyDescent="0.25">
      <c r="E16" s="622" t="s">
        <v>327</v>
      </c>
      <c r="F16" s="663"/>
      <c r="G16" s="663"/>
      <c r="H16" s="663"/>
      <c r="I16" s="663"/>
      <c r="J16" s="623"/>
      <c r="K16" s="608" t="s">
        <v>352</v>
      </c>
      <c r="L16" s="608"/>
      <c r="M16" s="706"/>
      <c r="N16" s="707"/>
      <c r="O16" s="707"/>
      <c r="P16" s="708"/>
    </row>
    <row r="17" spans="5:16" x14ac:dyDescent="0.25">
      <c r="E17" s="713" t="s">
        <v>521</v>
      </c>
      <c r="F17" s="714"/>
      <c r="G17" s="714"/>
      <c r="H17" s="714"/>
      <c r="I17" s="714"/>
      <c r="J17" s="754"/>
      <c r="K17" s="665" t="s">
        <v>343</v>
      </c>
      <c r="L17" s="665" t="s">
        <v>340</v>
      </c>
      <c r="M17" s="686"/>
      <c r="N17" s="687"/>
      <c r="O17" s="687"/>
      <c r="P17" s="688"/>
    </row>
    <row r="18" spans="5:16" x14ac:dyDescent="0.25">
      <c r="E18" s="715"/>
      <c r="F18" s="716"/>
      <c r="G18" s="716"/>
      <c r="H18" s="716"/>
      <c r="I18" s="716"/>
      <c r="J18" s="755"/>
      <c r="K18" s="666"/>
      <c r="L18" s="666"/>
      <c r="M18" s="689"/>
      <c r="N18" s="690"/>
      <c r="O18" s="690"/>
      <c r="P18" s="691"/>
    </row>
    <row r="19" spans="5:16" ht="17.25" x14ac:dyDescent="0.25">
      <c r="E19" s="640" t="s">
        <v>346</v>
      </c>
      <c r="F19" s="640"/>
      <c r="G19" s="640"/>
      <c r="H19" s="640"/>
      <c r="I19" s="640"/>
      <c r="J19" s="640"/>
      <c r="K19" s="609" t="s">
        <v>345</v>
      </c>
      <c r="L19" s="609" t="s">
        <v>3</v>
      </c>
      <c r="M19" s="664"/>
      <c r="N19" s="664"/>
      <c r="O19" s="664"/>
      <c r="P19" s="664"/>
    </row>
  </sheetData>
  <mergeCells count="26">
    <mergeCell ref="K11:K12"/>
    <mergeCell ref="L11:L12"/>
    <mergeCell ref="E6:J6"/>
    <mergeCell ref="M6:P6"/>
    <mergeCell ref="E7:J7"/>
    <mergeCell ref="E8:J8"/>
    <mergeCell ref="E9:J10"/>
    <mergeCell ref="K9:K10"/>
    <mergeCell ref="L9:L10"/>
    <mergeCell ref="M9:P10"/>
    <mergeCell ref="M17:P18"/>
    <mergeCell ref="E19:J19"/>
    <mergeCell ref="M19:P19"/>
    <mergeCell ref="M11:P12"/>
    <mergeCell ref="E13:J13"/>
    <mergeCell ref="M13:P13"/>
    <mergeCell ref="E14:J15"/>
    <mergeCell ref="K14:K15"/>
    <mergeCell ref="L14:L15"/>
    <mergeCell ref="M14:P15"/>
    <mergeCell ref="E17:J18"/>
    <mergeCell ref="K17:K18"/>
    <mergeCell ref="E16:J16"/>
    <mergeCell ref="M16:P16"/>
    <mergeCell ref="L17:L18"/>
    <mergeCell ref="E11:J12"/>
  </mergeCells>
  <dataValidations count="1">
    <dataValidation type="list" allowBlank="1" showInputMessage="1" showErrorMessage="1" sqref="E6:J6" xr:uid="{8EDF47B7-23CF-43EF-BEF7-E38159D14FF7}">
      <formula1>$AI$8:$AI$10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Sedimentador alta tasa</vt:lpstr>
      <vt:lpstr>Sedimentador alta tasa (Romero)</vt:lpstr>
      <vt:lpstr>Filtro rápido</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cp:lastPrinted>2022-02-02T23:22:19Z</cp:lastPrinted>
  <dcterms:created xsi:type="dcterms:W3CDTF">2021-03-13T14:20:49Z</dcterms:created>
  <dcterms:modified xsi:type="dcterms:W3CDTF">2022-04-15T21:42:05Z</dcterms:modified>
</cp:coreProperties>
</file>