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12180" yWindow="0" windowWidth="22260" windowHeight="12645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" l="1"/>
  <c r="J14" i="1" l="1"/>
  <c r="K31" i="1"/>
  <c r="K32" i="1"/>
  <c r="R11" i="1" l="1"/>
  <c r="O25" i="1"/>
  <c r="Q25" i="1" s="1"/>
  <c r="C48" i="1"/>
  <c r="C46" i="1"/>
  <c r="R4" i="1"/>
  <c r="Q26" i="1" l="1"/>
  <c r="N31" i="1"/>
  <c r="M27" i="1"/>
  <c r="M26" i="1"/>
  <c r="B42" i="1"/>
  <c r="D46" i="1" s="1"/>
  <c r="B40" i="1"/>
  <c r="D48" i="1" s="1"/>
  <c r="R20" i="1" l="1"/>
  <c r="Q17" i="1" s="1"/>
  <c r="S17" i="1" s="1"/>
  <c r="R5" i="1"/>
  <c r="V20" i="1"/>
  <c r="V21" i="1" s="1"/>
  <c r="V10" i="1" s="1"/>
  <c r="R21" i="1" l="1"/>
  <c r="R12" i="1" s="1"/>
  <c r="R10" i="1" s="1"/>
  <c r="B78" i="1"/>
  <c r="B80" i="1"/>
  <c r="D78" i="1"/>
  <c r="D80" i="1"/>
  <c r="C85" i="1"/>
  <c r="B84" i="1"/>
  <c r="C84" i="1"/>
  <c r="B85" i="1"/>
  <c r="D73" i="1"/>
  <c r="M14" i="1"/>
  <c r="D62" i="1" l="1"/>
  <c r="D63" i="1"/>
  <c r="D61" i="1"/>
  <c r="C74" i="1"/>
  <c r="C73" i="1"/>
  <c r="D74" i="1"/>
  <c r="E68" i="1"/>
  <c r="E67" i="1"/>
  <c r="E66" i="1"/>
  <c r="J12" i="1" l="1"/>
  <c r="J9" i="1"/>
  <c r="G11" i="1"/>
  <c r="G5" i="1"/>
  <c r="G4" i="1"/>
  <c r="G8" i="1" s="1"/>
  <c r="G9" i="1" s="1"/>
  <c r="G14" i="1" s="1"/>
  <c r="D42" i="1"/>
  <c r="D43" i="1" s="1"/>
  <c r="J11" i="1" l="1"/>
  <c r="M11" i="1" s="1"/>
  <c r="G12" i="1"/>
  <c r="M12" i="1" s="1"/>
  <c r="B90" i="1" a="1"/>
  <c r="D90" i="1" s="1"/>
  <c r="D40" i="1"/>
  <c r="D41" i="1" s="1"/>
  <c r="C90" i="1" l="1"/>
  <c r="D93" i="1"/>
  <c r="C91" i="1"/>
  <c r="E91" i="1"/>
  <c r="B90" i="1"/>
  <c r="E93" i="1"/>
  <c r="B91" i="1"/>
  <c r="E92" i="1"/>
  <c r="C93" i="1"/>
  <c r="C92" i="1"/>
  <c r="D92" i="1"/>
  <c r="E90" i="1"/>
  <c r="D91" i="1"/>
  <c r="B92" i="1"/>
  <c r="B93" i="1"/>
  <c r="H66" i="1" l="1" a="1"/>
  <c r="H67" i="1" s="1"/>
  <c r="L65" i="1" a="1"/>
  <c r="H66" i="1" l="1"/>
  <c r="H68" i="1"/>
  <c r="H69" i="1"/>
  <c r="L66" i="1"/>
  <c r="L65" i="1"/>
  <c r="L67" i="1"/>
  <c r="L68" i="1" l="1"/>
</calcChain>
</file>

<file path=xl/sharedStrings.xml><?xml version="1.0" encoding="utf-8"?>
<sst xmlns="http://schemas.openxmlformats.org/spreadsheetml/2006/main" count="115" uniqueCount="75">
  <si>
    <t>Strefa Robocza</t>
  </si>
  <si>
    <t>d=</t>
  </si>
  <si>
    <t>h=</t>
  </si>
  <si>
    <t>kąt=</t>
  </si>
  <si>
    <t>deg</t>
  </si>
  <si>
    <t>mm</t>
  </si>
  <si>
    <t>platforma</t>
  </si>
  <si>
    <t>aktuator</t>
  </si>
  <si>
    <t>Lfull=</t>
  </si>
  <si>
    <t>Lmin=</t>
  </si>
  <si>
    <t>podstawa</t>
  </si>
  <si>
    <t>średnica rozstawu zaczepu</t>
  </si>
  <si>
    <t>x=</t>
  </si>
  <si>
    <t>y=</t>
  </si>
  <si>
    <t>mm/s^2</t>
  </si>
  <si>
    <t>m/s^2</t>
  </si>
  <si>
    <t>przyspieszenie i prędkości siłowników</t>
  </si>
  <si>
    <t>mm/s</t>
  </si>
  <si>
    <t>m/s</t>
  </si>
  <si>
    <t>Strefa robocza</t>
  </si>
  <si>
    <t>najmniejsza wysokość:</t>
  </si>
  <si>
    <t>ymin=</t>
  </si>
  <si>
    <t>ymax=</t>
  </si>
  <si>
    <t>najdalej wysunięty punkt</t>
  </si>
  <si>
    <t>xmax=</t>
  </si>
  <si>
    <t>z warunku wysokości</t>
  </si>
  <si>
    <t>r=</t>
  </si>
  <si>
    <t>z warunku zasięgu</t>
  </si>
  <si>
    <t>x</t>
  </si>
  <si>
    <t>y</t>
  </si>
  <si>
    <t>z</t>
  </si>
  <si>
    <t>z=</t>
  </si>
  <si>
    <t>A=</t>
  </si>
  <si>
    <t>B=</t>
  </si>
  <si>
    <t>G=</t>
  </si>
  <si>
    <t>Macierz translacji</t>
  </si>
  <si>
    <t>Macierz rotacji</t>
  </si>
  <si>
    <t>obrót względem osi X</t>
  </si>
  <si>
    <t>obrót względem osi y</t>
  </si>
  <si>
    <t>obrót względem osi Z</t>
  </si>
  <si>
    <t>Rz(G)</t>
  </si>
  <si>
    <t>Ry(B)</t>
  </si>
  <si>
    <t>Rx(A)</t>
  </si>
  <si>
    <t>Macierz wynikowa</t>
  </si>
  <si>
    <t>wektor</t>
  </si>
  <si>
    <t>ALGORYTM STEROWANIA</t>
  </si>
  <si>
    <t>siłowniki</t>
  </si>
  <si>
    <t>wektor mocowania:</t>
  </si>
  <si>
    <t>wektor przy platf.:</t>
  </si>
  <si>
    <t>długość:</t>
  </si>
  <si>
    <t>wek przetworzony</t>
  </si>
  <si>
    <t>wysokość środka ciężkości</t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</si>
  <si>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=</t>
    </r>
  </si>
  <si>
    <t>Z warunku momentów</t>
  </si>
  <si>
    <t>Obliczenia strefy roboczej</t>
  </si>
  <si>
    <t>2D:</t>
  </si>
  <si>
    <t>Walcowa</t>
  </si>
  <si>
    <t xml:space="preserve">najniżej położony punkt </t>
  </si>
  <si>
    <t>Ze względu na:</t>
  </si>
  <si>
    <t>Wysokość</t>
  </si>
  <si>
    <t>Promień:</t>
  </si>
  <si>
    <t>najwyższy punkt</t>
  </si>
  <si>
    <t>hmax=</t>
  </si>
  <si>
    <t>alfa=</t>
  </si>
  <si>
    <t>najwyższy punkt=</t>
  </si>
  <si>
    <t>rad</t>
  </si>
  <si>
    <t>x_siłownika=</t>
  </si>
  <si>
    <t>hmin=</t>
  </si>
  <si>
    <t>y_siłownika=</t>
  </si>
  <si>
    <t>najszerzej położony punkt</t>
  </si>
  <si>
    <t>rmax=</t>
  </si>
  <si>
    <t>prędkość</t>
  </si>
  <si>
    <t>przyspieszenie</t>
  </si>
  <si>
    <t>beta</t>
  </si>
  <si>
    <t>ze środka ciężkości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</si>
</sst>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2" borderId="1" xfId="0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27.28515625" customWidth="1"/>
    <col min="2" max="2" width="9.140625" customWidth="1"/>
    <col min="5" max="5" width="8.28515625" customWidth="1"/>
    <col min="7" max="7" width="15.42578125" customWidth="1"/>
    <col min="8" max="8" width="13.28515625" customWidth="1"/>
    <col min="11" max="11" width="9.85546875" bestFit="1" customWidth="1"/>
    <col min="17" max="17" width="15.85546875" customWidth="1"/>
    <col min="18" max="18" width="9.140625" customWidth="1"/>
    <col min="21" max="21" width="10.7109375" customWidth="1"/>
  </cols>
  <sheetData>
    <row r="1" spans="1:22" x14ac:dyDescent="0.25">
      <c r="A1" t="s">
        <v>0</v>
      </c>
      <c r="F1" s="2" t="s">
        <v>19</v>
      </c>
      <c r="G1" s="2"/>
      <c r="H1" s="2"/>
      <c r="I1" s="2"/>
      <c r="J1" s="2"/>
      <c r="K1" s="2"/>
      <c r="L1" s="2"/>
      <c r="M1" s="2"/>
      <c r="Q1" t="s">
        <v>54</v>
      </c>
    </row>
    <row r="2" spans="1:22" x14ac:dyDescent="0.25">
      <c r="B2" s="1" t="s">
        <v>1</v>
      </c>
      <c r="C2" s="1">
        <v>1500</v>
      </c>
      <c r="D2" t="s">
        <v>5</v>
      </c>
      <c r="E2" s="3"/>
      <c r="F2" s="2"/>
      <c r="G2" s="2"/>
      <c r="H2" s="2"/>
      <c r="I2" s="2"/>
      <c r="J2" s="2"/>
      <c r="K2" s="2"/>
      <c r="L2" s="2"/>
      <c r="M2" s="2"/>
      <c r="Q2" t="s">
        <v>56</v>
      </c>
    </row>
    <row r="3" spans="1:22" x14ac:dyDescent="0.25">
      <c r="B3" s="1" t="s">
        <v>2</v>
      </c>
      <c r="C3">
        <v>750</v>
      </c>
      <c r="D3" t="s">
        <v>5</v>
      </c>
      <c r="F3" s="8" t="s">
        <v>20</v>
      </c>
      <c r="G3" s="9"/>
      <c r="H3" s="2"/>
      <c r="I3" s="2"/>
      <c r="J3" s="2"/>
      <c r="K3" s="2"/>
      <c r="L3" s="2"/>
      <c r="M3" s="2"/>
      <c r="Q3" t="s">
        <v>55</v>
      </c>
    </row>
    <row r="4" spans="1:22" x14ac:dyDescent="0.25">
      <c r="B4" s="1" t="s">
        <v>3</v>
      </c>
      <c r="C4">
        <v>35</v>
      </c>
      <c r="D4" t="s">
        <v>4</v>
      </c>
      <c r="F4" s="2" t="s">
        <v>21</v>
      </c>
      <c r="G4" s="2">
        <f>C12+SIN(RADIANS(C4))*C6/2</f>
        <v>2032.0729309053138</v>
      </c>
      <c r="H4" s="2"/>
      <c r="I4" s="2"/>
      <c r="J4" s="2"/>
      <c r="K4" s="2"/>
      <c r="L4" s="2"/>
      <c r="M4" s="2"/>
      <c r="N4" t="s">
        <v>57</v>
      </c>
      <c r="Q4" s="1" t="s">
        <v>67</v>
      </c>
      <c r="R4">
        <f>C12+COS(RADIANS(C4))*C6/2</f>
        <v>2105.7456132866973</v>
      </c>
    </row>
    <row r="5" spans="1:22" x14ac:dyDescent="0.25">
      <c r="B5" s="1"/>
      <c r="F5" s="2" t="s">
        <v>12</v>
      </c>
      <c r="G5" s="2">
        <f>-C15/2+C11*COS(ASIN((C12/C11)))+C6/2*SIN(RADIANS(90-C4))</f>
        <v>2093.9593292133418</v>
      </c>
      <c r="H5" s="2"/>
      <c r="I5" s="2"/>
      <c r="J5" s="2"/>
      <c r="K5" s="2"/>
      <c r="L5" s="2"/>
      <c r="M5" s="2"/>
      <c r="N5" t="s">
        <v>69</v>
      </c>
      <c r="Q5" s="1" t="s">
        <v>70</v>
      </c>
      <c r="R5">
        <f>C15/2-C17*COS(RADIANS(90-C4))</f>
        <v>777.9270690946862</v>
      </c>
    </row>
    <row r="6" spans="1:22" x14ac:dyDescent="0.25">
      <c r="A6" t="s">
        <v>6</v>
      </c>
      <c r="B6" s="1" t="s">
        <v>1</v>
      </c>
      <c r="C6">
        <v>600</v>
      </c>
      <c r="D6" t="s">
        <v>5</v>
      </c>
      <c r="F6" s="8" t="s">
        <v>23</v>
      </c>
      <c r="G6" s="9"/>
      <c r="H6" s="2"/>
      <c r="I6" s="2"/>
      <c r="J6" s="2"/>
      <c r="K6" s="2"/>
      <c r="L6" s="2"/>
      <c r="M6" s="2"/>
    </row>
    <row r="7" spans="1:22" x14ac:dyDescent="0.25">
      <c r="B7" s="1"/>
      <c r="F7" s="8" t="s">
        <v>25</v>
      </c>
      <c r="G7" s="9"/>
      <c r="H7" s="2"/>
      <c r="I7" s="2" t="s">
        <v>27</v>
      </c>
      <c r="J7" s="2"/>
      <c r="K7" s="2"/>
      <c r="L7" s="2"/>
      <c r="M7" s="2"/>
      <c r="Q7" t="s">
        <v>58</v>
      </c>
    </row>
    <row r="8" spans="1:22" x14ac:dyDescent="0.25">
      <c r="B8" s="1"/>
      <c r="F8" s="2" t="s">
        <v>22</v>
      </c>
      <c r="G8" s="2">
        <f>G4+C3</f>
        <v>2782.072930905314</v>
      </c>
      <c r="H8" s="2"/>
      <c r="I8" s="2" t="s">
        <v>24</v>
      </c>
      <c r="J8" s="4">
        <v>750</v>
      </c>
      <c r="K8" s="2" t="s">
        <v>5</v>
      </c>
      <c r="L8" s="2"/>
      <c r="M8" s="2"/>
      <c r="Q8" t="s">
        <v>60</v>
      </c>
      <c r="U8" t="s">
        <v>59</v>
      </c>
    </row>
    <row r="9" spans="1:22" x14ac:dyDescent="0.25">
      <c r="B9" s="1"/>
      <c r="F9" s="2" t="s">
        <v>12</v>
      </c>
      <c r="G9" s="2">
        <f>C15/2-C11*COS(ASIN(((G8+C6/2*SIN(RADIANS(C4)))/C11)))-C6/2*SIN(RADIANS(90-C4))</f>
        <v>-896.56484953641916</v>
      </c>
      <c r="H9" s="2"/>
      <c r="I9" s="2" t="s">
        <v>22</v>
      </c>
      <c r="J9" s="2">
        <f>C11*SIN(ACOS((C15/2+J8-COS(RADIANS(C4))*C6/2)/C11))-SIN(RADIANS(35))*C6/2</f>
        <v>2856.9110866697401</v>
      </c>
      <c r="K9" s="2"/>
      <c r="L9" s="2"/>
      <c r="M9" s="2"/>
      <c r="Q9" s="5" t="s">
        <v>26</v>
      </c>
      <c r="R9" s="2">
        <v>750</v>
      </c>
      <c r="U9" s="5" t="s">
        <v>2</v>
      </c>
      <c r="V9" s="2">
        <v>600</v>
      </c>
    </row>
    <row r="10" spans="1:22" x14ac:dyDescent="0.25">
      <c r="A10" t="s">
        <v>7</v>
      </c>
      <c r="B10" s="1"/>
      <c r="F10" s="2"/>
      <c r="G10" s="2"/>
      <c r="H10" s="2"/>
      <c r="I10" s="2"/>
      <c r="J10" s="2"/>
      <c r="K10" s="2"/>
      <c r="L10" s="2"/>
      <c r="M10" s="2"/>
      <c r="Q10" s="5" t="s">
        <v>2</v>
      </c>
      <c r="R10" s="2">
        <f>R12-R4</f>
        <v>751.16547338304281</v>
      </c>
      <c r="U10" s="5" t="s">
        <v>26</v>
      </c>
      <c r="V10" s="2">
        <f>V21+COS(RADIANS(C4))*C6/2</f>
        <v>1030.0352161802202</v>
      </c>
    </row>
    <row r="11" spans="1:22" x14ac:dyDescent="0.25">
      <c r="B11" s="1" t="s">
        <v>8</v>
      </c>
      <c r="C11">
        <v>3360</v>
      </c>
      <c r="D11" t="s">
        <v>5</v>
      </c>
      <c r="F11" s="2" t="s">
        <v>2</v>
      </c>
      <c r="G11" s="2">
        <f>C3</f>
        <v>750</v>
      </c>
      <c r="H11" s="2" t="s">
        <v>5</v>
      </c>
      <c r="I11" s="2" t="s">
        <v>2</v>
      </c>
      <c r="J11" s="2">
        <f>J9-G4</f>
        <v>824.83815576442635</v>
      </c>
      <c r="K11" s="2" t="s">
        <v>5</v>
      </c>
      <c r="L11" s="2"/>
      <c r="M11" s="2">
        <f>MIN(J11,G11)</f>
        <v>750</v>
      </c>
      <c r="N11" t="s">
        <v>61</v>
      </c>
      <c r="Q11" t="s">
        <v>2</v>
      </c>
      <c r="R11">
        <f>K31-K32</f>
        <v>751.16547338304281</v>
      </c>
    </row>
    <row r="12" spans="1:22" x14ac:dyDescent="0.25">
      <c r="B12" s="1" t="s">
        <v>9</v>
      </c>
      <c r="C12">
        <v>1860</v>
      </c>
      <c r="D12" t="s">
        <v>5</v>
      </c>
      <c r="F12" s="2" t="s">
        <v>26</v>
      </c>
      <c r="G12" s="2">
        <f>ABS(MIN(G9,G5))</f>
        <v>896.56484953641916</v>
      </c>
      <c r="H12" s="2" t="s">
        <v>5</v>
      </c>
      <c r="I12" s="2" t="s">
        <v>26</v>
      </c>
      <c r="J12" s="2">
        <f>J8</f>
        <v>750</v>
      </c>
      <c r="K12" s="2" t="s">
        <v>5</v>
      </c>
      <c r="L12" s="2"/>
      <c r="M12" s="2">
        <f>MIN(J12,G12)</f>
        <v>750</v>
      </c>
      <c r="Q12" s="1" t="s">
        <v>62</v>
      </c>
      <c r="R12">
        <f>R21-SIN(RADIANS(C4))*C6/2</f>
        <v>2856.9110866697401</v>
      </c>
    </row>
    <row r="13" spans="1:22" x14ac:dyDescent="0.25">
      <c r="B13" s="1"/>
      <c r="F13" s="6" t="s">
        <v>53</v>
      </c>
      <c r="G13" s="7"/>
      <c r="H13" s="2"/>
      <c r="I13" s="2"/>
      <c r="J13" s="2"/>
      <c r="K13" s="2"/>
      <c r="L13" s="2"/>
      <c r="M13" s="2"/>
    </row>
    <row r="14" spans="1:22" x14ac:dyDescent="0.25">
      <c r="A14" t="s">
        <v>10</v>
      </c>
      <c r="B14" s="1"/>
      <c r="F14" s="2" t="s">
        <v>12</v>
      </c>
      <c r="G14" s="2">
        <f>-G9+350*COS(RADIANS((45)))</f>
        <v>1144.0522229517107</v>
      </c>
      <c r="H14" s="2"/>
      <c r="I14" s="2"/>
      <c r="J14" s="2">
        <f>J8+350*COS(RADIANS((35)))</f>
        <v>1036.703215501147</v>
      </c>
      <c r="K14" s="2"/>
      <c r="L14" s="2"/>
      <c r="M14" s="2">
        <f>C15/2</f>
        <v>950</v>
      </c>
    </row>
    <row r="15" spans="1:22" x14ac:dyDescent="0.25">
      <c r="A15" t="s">
        <v>11</v>
      </c>
      <c r="B15" s="1" t="s">
        <v>1</v>
      </c>
      <c r="C15">
        <v>1900</v>
      </c>
      <c r="D15" t="s">
        <v>5</v>
      </c>
      <c r="F15" s="2"/>
      <c r="G15" s="2"/>
      <c r="H15" s="2"/>
      <c r="I15" s="2"/>
      <c r="J15" s="2"/>
      <c r="K15" s="2"/>
      <c r="L15" s="2"/>
      <c r="M15" s="2"/>
    </row>
    <row r="16" spans="1:22" x14ac:dyDescent="0.25">
      <c r="B16" s="1"/>
      <c r="F16" s="2"/>
      <c r="G16" s="2"/>
      <c r="H16" s="2"/>
      <c r="I16" s="2"/>
      <c r="J16" s="2"/>
      <c r="K16" s="2"/>
      <c r="L16" s="2"/>
      <c r="M16" s="2"/>
      <c r="P16" t="s">
        <v>63</v>
      </c>
    </row>
    <row r="17" spans="1:22" x14ac:dyDescent="0.25">
      <c r="A17" t="s">
        <v>51</v>
      </c>
      <c r="B17" s="1" t="s">
        <v>52</v>
      </c>
      <c r="C17">
        <v>300</v>
      </c>
      <c r="D17" t="s">
        <v>5</v>
      </c>
      <c r="F17" s="2"/>
      <c r="G17" s="2"/>
      <c r="H17" s="2"/>
      <c r="I17" s="2"/>
      <c r="J17" s="2"/>
      <c r="K17" s="2"/>
      <c r="L17" s="2"/>
      <c r="M17" s="2"/>
      <c r="Q17">
        <f>ACOS((C15/2+R20)/C11)</f>
        <v>1.123184573832847</v>
      </c>
      <c r="R17" t="s">
        <v>65</v>
      </c>
      <c r="S17">
        <f>DEGREES(Q17)</f>
        <v>64.353735694822134</v>
      </c>
    </row>
    <row r="18" spans="1:22" x14ac:dyDescent="0.25">
      <c r="B18" s="1"/>
      <c r="F18" s="2"/>
      <c r="G18" s="2"/>
      <c r="H18" s="2"/>
      <c r="I18" s="2"/>
      <c r="J18" s="2"/>
      <c r="K18" s="2"/>
      <c r="L18" s="2"/>
      <c r="M18" s="2"/>
      <c r="P18" t="s">
        <v>64</v>
      </c>
    </row>
    <row r="19" spans="1:22" x14ac:dyDescent="0.25">
      <c r="B19" s="1"/>
      <c r="F19" s="2" t="s">
        <v>74</v>
      </c>
      <c r="G19" s="2"/>
      <c r="H19" s="2"/>
      <c r="I19" s="2"/>
      <c r="J19" s="2"/>
      <c r="K19" s="2"/>
      <c r="L19" s="2"/>
      <c r="M19" s="2"/>
    </row>
    <row r="20" spans="1:22" x14ac:dyDescent="0.25">
      <c r="F20" s="2" t="s">
        <v>26</v>
      </c>
      <c r="G20" s="2">
        <f>R9+C17*SIN(RADIANS(C4))</f>
        <v>922.0729309053138</v>
      </c>
      <c r="H20" s="2"/>
      <c r="I20" s="2"/>
      <c r="J20" s="2"/>
      <c r="K20" s="2"/>
      <c r="L20" s="2"/>
      <c r="M20" s="2"/>
      <c r="Q20" t="s">
        <v>66</v>
      </c>
      <c r="R20">
        <f>R9-COS(RADIANS(C4))*C6/2</f>
        <v>504.25438671330244</v>
      </c>
      <c r="U20" t="s">
        <v>68</v>
      </c>
      <c r="V20">
        <f>R4+V9+SIN(RADIANS(C4))*C6/2</f>
        <v>2877.8185441920114</v>
      </c>
    </row>
    <row r="21" spans="1:22" x14ac:dyDescent="0.25">
      <c r="Q21" t="s">
        <v>68</v>
      </c>
      <c r="R21">
        <f>C11*SIN(Q17)</f>
        <v>3028.9840175750542</v>
      </c>
      <c r="U21" t="s">
        <v>66</v>
      </c>
      <c r="V21">
        <f>SQRT(C11^2-V20^2)-C15/2</f>
        <v>784.28960289352267</v>
      </c>
    </row>
    <row r="24" spans="1:22" x14ac:dyDescent="0.25">
      <c r="P24" t="s">
        <v>73</v>
      </c>
    </row>
    <row r="25" spans="1:22" x14ac:dyDescent="0.25">
      <c r="B25" s="1"/>
      <c r="O25">
        <f>(R9-C6/2*COS(RADIANS(C4))+C15/2)/C11</f>
        <v>0.43281380556943527</v>
      </c>
      <c r="Q25">
        <f>ACOS(O25)</f>
        <v>1.123184573832847</v>
      </c>
      <c r="R25" t="s">
        <v>65</v>
      </c>
    </row>
    <row r="26" spans="1:22" x14ac:dyDescent="0.25">
      <c r="B26" s="1"/>
      <c r="M26">
        <f>SQRT(1-O25^2)</f>
        <v>0.9014833385640042</v>
      </c>
      <c r="Q26">
        <f>DEGREES(Q25)</f>
        <v>64.353735694822134</v>
      </c>
    </row>
    <row r="27" spans="1:22" x14ac:dyDescent="0.25">
      <c r="B27" s="1"/>
      <c r="M27">
        <f>SIN(Q25)</f>
        <v>0.9014833385640042</v>
      </c>
    </row>
    <row r="28" spans="1:22" x14ac:dyDescent="0.25">
      <c r="B28" s="1"/>
    </row>
    <row r="29" spans="1:22" x14ac:dyDescent="0.25">
      <c r="B29" s="1"/>
    </row>
    <row r="30" spans="1:22" x14ac:dyDescent="0.25">
      <c r="B30" s="1"/>
    </row>
    <row r="31" spans="1:22" x14ac:dyDescent="0.25">
      <c r="J31" t="s">
        <v>62</v>
      </c>
      <c r="K31">
        <f>C11*SQRT(1-((R9-C6/2*COS(RADIANS(C4))+C15/2)/C11)^2)-C6/2*SIN(RADIANS(C4))</f>
        <v>2856.9110866697401</v>
      </c>
      <c r="M31" t="s">
        <v>62</v>
      </c>
      <c r="N31">
        <f>C11*SIN(Q25)-C6/2*SIN(RADIANS(C4))</f>
        <v>2856.9110866697401</v>
      </c>
    </row>
    <row r="32" spans="1:22" x14ac:dyDescent="0.25">
      <c r="J32" t="s">
        <v>67</v>
      </c>
      <c r="K32">
        <f>C12+C6/2*COS(RADIANS(C4))</f>
        <v>2105.7456132866973</v>
      </c>
    </row>
    <row r="39" spans="1:5" x14ac:dyDescent="0.25">
      <c r="A39" t="s">
        <v>16</v>
      </c>
    </row>
    <row r="40" spans="1:5" x14ac:dyDescent="0.25">
      <c r="B40">
        <f>RADIANS(400)*C6/2</f>
        <v>2094.3951023931954</v>
      </c>
      <c r="C40">
        <v>9800</v>
      </c>
      <c r="D40">
        <f>C40+B40</f>
        <v>11894.395102393195</v>
      </c>
      <c r="E40" t="s">
        <v>14</v>
      </c>
    </row>
    <row r="41" spans="1:5" x14ac:dyDescent="0.25">
      <c r="D41">
        <f>D40/1000</f>
        <v>11.894395102393196</v>
      </c>
      <c r="E41" t="s">
        <v>15</v>
      </c>
    </row>
    <row r="42" spans="1:5" x14ac:dyDescent="0.25">
      <c r="B42">
        <f>RADIANS(28)*C6/2</f>
        <v>146.60765716752368</v>
      </c>
      <c r="C42">
        <v>890</v>
      </c>
      <c r="D42">
        <f>C42+B42</f>
        <v>1036.6076571675237</v>
      </c>
      <c r="E42" t="s">
        <v>17</v>
      </c>
    </row>
    <row r="43" spans="1:5" x14ac:dyDescent="0.25">
      <c r="C43">
        <v>762</v>
      </c>
      <c r="D43">
        <f>D42/1000</f>
        <v>1.0366076571675238</v>
      </c>
      <c r="E43" t="s">
        <v>18</v>
      </c>
    </row>
    <row r="46" spans="1:5" x14ac:dyDescent="0.25">
      <c r="A46" t="s">
        <v>71</v>
      </c>
      <c r="C46">
        <f>SQRT(C42^2+C43^2)</f>
        <v>1171.6415834204588</v>
      </c>
      <c r="D46">
        <f>C46+B42</f>
        <v>1318.2492405879825</v>
      </c>
    </row>
    <row r="48" spans="1:5" x14ac:dyDescent="0.25">
      <c r="A48" t="s">
        <v>72</v>
      </c>
      <c r="C48">
        <f>SQRT(2)*C40</f>
        <v>13859.292911256332</v>
      </c>
      <c r="D48">
        <f>C48+B40</f>
        <v>15953.688013649527</v>
      </c>
    </row>
    <row r="53" spans="1:17" x14ac:dyDescent="0.25">
      <c r="A53" t="s">
        <v>45</v>
      </c>
    </row>
    <row r="56" spans="1:17" x14ac:dyDescent="0.25">
      <c r="L56" t="s">
        <v>46</v>
      </c>
    </row>
    <row r="57" spans="1:17" x14ac:dyDescent="0.25">
      <c r="B57" s="1"/>
      <c r="G57" t="s">
        <v>44</v>
      </c>
      <c r="L57">
        <v>1</v>
      </c>
      <c r="M57">
        <v>2</v>
      </c>
      <c r="N57">
        <v>3</v>
      </c>
      <c r="O57">
        <v>4</v>
      </c>
      <c r="P57">
        <v>5</v>
      </c>
      <c r="Q57">
        <v>6</v>
      </c>
    </row>
    <row r="58" spans="1:17" x14ac:dyDescent="0.25">
      <c r="B58" s="1" t="s">
        <v>12</v>
      </c>
      <c r="C58">
        <v>0</v>
      </c>
      <c r="G58">
        <v>0</v>
      </c>
      <c r="I58" t="s">
        <v>47</v>
      </c>
      <c r="K58" s="1" t="s">
        <v>12</v>
      </c>
      <c r="L58">
        <v>-639.61919999999998</v>
      </c>
    </row>
    <row r="59" spans="1:17" x14ac:dyDescent="0.25">
      <c r="B59" s="1" t="s">
        <v>13</v>
      </c>
      <c r="C59">
        <v>0</v>
      </c>
      <c r="G59">
        <v>-300</v>
      </c>
      <c r="K59" s="1" t="s">
        <v>13</v>
      </c>
      <c r="L59">
        <v>-369.28429999999997</v>
      </c>
    </row>
    <row r="60" spans="1:17" x14ac:dyDescent="0.25">
      <c r="B60" s="1" t="s">
        <v>31</v>
      </c>
      <c r="C60">
        <v>885.87379999999996</v>
      </c>
      <c r="G60">
        <v>0</v>
      </c>
      <c r="K60" s="1" t="s">
        <v>31</v>
      </c>
      <c r="L60">
        <v>0</v>
      </c>
    </row>
    <row r="61" spans="1:17" x14ac:dyDescent="0.25">
      <c r="A61" t="s">
        <v>37</v>
      </c>
      <c r="B61" s="1" t="s">
        <v>32</v>
      </c>
      <c r="C61">
        <v>10</v>
      </c>
      <c r="D61">
        <f>RADIANS(C61)</f>
        <v>0.17453292519943295</v>
      </c>
      <c r="G61">
        <v>1</v>
      </c>
      <c r="I61" t="s">
        <v>48</v>
      </c>
      <c r="K61" s="1" t="s">
        <v>12</v>
      </c>
      <c r="L61">
        <v>0</v>
      </c>
    </row>
    <row r="62" spans="1:17" x14ac:dyDescent="0.25">
      <c r="A62" t="s">
        <v>38</v>
      </c>
      <c r="B62" s="1" t="s">
        <v>33</v>
      </c>
      <c r="C62">
        <v>20</v>
      </c>
      <c r="D62">
        <f>RADIANS(C62)</f>
        <v>0.3490658503988659</v>
      </c>
      <c r="G62">
        <v>0</v>
      </c>
      <c r="K62" s="1" t="s">
        <v>13</v>
      </c>
      <c r="L62">
        <v>-300</v>
      </c>
    </row>
    <row r="63" spans="1:17" x14ac:dyDescent="0.25">
      <c r="A63" t="s">
        <v>39</v>
      </c>
      <c r="B63" s="1" t="s">
        <v>34</v>
      </c>
      <c r="C63">
        <v>30</v>
      </c>
      <c r="D63">
        <f>RADIANS(C63)</f>
        <v>0.52359877559829882</v>
      </c>
      <c r="G63">
        <v>0</v>
      </c>
      <c r="K63" s="1" t="s">
        <v>31</v>
      </c>
      <c r="L63">
        <v>0</v>
      </c>
    </row>
    <row r="64" spans="1:17" x14ac:dyDescent="0.25">
      <c r="L64">
        <v>1</v>
      </c>
    </row>
    <row r="65" spans="2:12" x14ac:dyDescent="0.25">
      <c r="B65" t="s">
        <v>35</v>
      </c>
      <c r="I65" t="s">
        <v>50</v>
      </c>
      <c r="K65" s="1" t="s">
        <v>28</v>
      </c>
      <c r="L65">
        <f t="array" ref="L65:L67">MMULT(B90:E93,L61:L64)</f>
        <v>140.95389311788625</v>
      </c>
    </row>
    <row r="66" spans="2:12" x14ac:dyDescent="0.25">
      <c r="B66" s="2">
        <v>1</v>
      </c>
      <c r="C66" s="2">
        <v>0</v>
      </c>
      <c r="D66" s="2">
        <v>0</v>
      </c>
      <c r="E66" s="2">
        <f>C58</f>
        <v>0</v>
      </c>
      <c r="H66">
        <f t="array" ref="H66:H69">MMULT(B90:E93,G58:G61)</f>
        <v>140.95389311788625</v>
      </c>
      <c r="K66" s="1" t="s">
        <v>29</v>
      </c>
      <c r="L66">
        <v>-246.95188339365029</v>
      </c>
    </row>
    <row r="67" spans="2:12" x14ac:dyDescent="0.25">
      <c r="B67" s="2">
        <v>0</v>
      </c>
      <c r="C67" s="2">
        <v>1</v>
      </c>
      <c r="D67" s="2">
        <v>0</v>
      </c>
      <c r="E67" s="2">
        <f>C59</f>
        <v>0</v>
      </c>
      <c r="H67">
        <v>-246.95188339365029</v>
      </c>
      <c r="K67" s="1" t="s">
        <v>30</v>
      </c>
      <c r="L67">
        <v>790.23506672084966</v>
      </c>
    </row>
    <row r="68" spans="2:12" x14ac:dyDescent="0.25">
      <c r="B68" s="2">
        <v>0</v>
      </c>
      <c r="C68" s="2">
        <v>0</v>
      </c>
      <c r="D68" s="2">
        <v>1</v>
      </c>
      <c r="E68" s="2">
        <f>C60</f>
        <v>885.87379999999996</v>
      </c>
      <c r="H68">
        <v>790.23506672084966</v>
      </c>
      <c r="K68" t="s">
        <v>49</v>
      </c>
      <c r="L68">
        <f>SQRT((L65-L58)^2+(L66-L59)^2+(L67-L60)^2)</f>
        <v>1117.4663460380716</v>
      </c>
    </row>
    <row r="69" spans="2:12" x14ac:dyDescent="0.25">
      <c r="B69" s="2">
        <v>0</v>
      </c>
      <c r="C69" s="2">
        <v>0</v>
      </c>
      <c r="D69" s="2">
        <v>0</v>
      </c>
      <c r="E69" s="2">
        <v>1</v>
      </c>
      <c r="H69">
        <v>1</v>
      </c>
    </row>
    <row r="71" spans="2:12" x14ac:dyDescent="0.25">
      <c r="B71" t="s">
        <v>36</v>
      </c>
      <c r="D71" t="s">
        <v>42</v>
      </c>
    </row>
    <row r="72" spans="2:12" x14ac:dyDescent="0.25">
      <c r="B72" s="2">
        <v>1</v>
      </c>
      <c r="C72" s="2">
        <v>0</v>
      </c>
      <c r="D72" s="2">
        <v>0</v>
      </c>
      <c r="E72" s="2">
        <v>0</v>
      </c>
    </row>
    <row r="73" spans="2:12" x14ac:dyDescent="0.25">
      <c r="B73" s="2">
        <v>0</v>
      </c>
      <c r="C73" s="2">
        <f>COS(RADIANS($C$61))</f>
        <v>0.98480775301220802</v>
      </c>
      <c r="D73" s="2">
        <f>-SIN(RADIANS(($C$61)))</f>
        <v>-0.17364817766693033</v>
      </c>
      <c r="E73" s="2">
        <v>0</v>
      </c>
    </row>
    <row r="74" spans="2:12" x14ac:dyDescent="0.25">
      <c r="B74" s="2">
        <v>0</v>
      </c>
      <c r="C74" s="2">
        <f>SIN(RADIANS($C$61))</f>
        <v>0.17364817766693033</v>
      </c>
      <c r="D74" s="2">
        <f>COS(RADIANS($C$61))</f>
        <v>0.98480775301220802</v>
      </c>
      <c r="E74" s="2">
        <v>0</v>
      </c>
    </row>
    <row r="75" spans="2:12" x14ac:dyDescent="0.25">
      <c r="B75" s="2">
        <v>0</v>
      </c>
      <c r="C75" s="2">
        <v>0</v>
      </c>
      <c r="D75" s="2">
        <v>0</v>
      </c>
      <c r="E75" s="2">
        <v>1</v>
      </c>
    </row>
    <row r="77" spans="2:12" x14ac:dyDescent="0.25">
      <c r="B77" t="s">
        <v>36</v>
      </c>
      <c r="D77" t="s">
        <v>41</v>
      </c>
    </row>
    <row r="78" spans="2:12" x14ac:dyDescent="0.25">
      <c r="B78" s="2">
        <f>COS($D$62)</f>
        <v>0.93969262078590843</v>
      </c>
      <c r="C78" s="2">
        <v>0</v>
      </c>
      <c r="D78" s="2">
        <f>-SIN($D$62)</f>
        <v>-0.34202014332566871</v>
      </c>
      <c r="E78" s="2">
        <v>0</v>
      </c>
    </row>
    <row r="79" spans="2:12" x14ac:dyDescent="0.25">
      <c r="B79" s="2">
        <v>0</v>
      </c>
      <c r="C79" s="2">
        <v>1</v>
      </c>
      <c r="D79" s="2">
        <v>0</v>
      </c>
      <c r="E79" s="2">
        <v>0</v>
      </c>
    </row>
    <row r="80" spans="2:12" x14ac:dyDescent="0.25">
      <c r="B80" s="2">
        <f>-SIN($D$62)</f>
        <v>-0.34202014332566871</v>
      </c>
      <c r="C80" s="2">
        <v>0</v>
      </c>
      <c r="D80" s="2">
        <f>COS($D$62)</f>
        <v>0.93969262078590843</v>
      </c>
      <c r="E80" s="2">
        <v>0</v>
      </c>
    </row>
    <row r="81" spans="2:5" x14ac:dyDescent="0.25">
      <c r="B81" s="2">
        <v>0</v>
      </c>
      <c r="C81" s="2">
        <v>0</v>
      </c>
      <c r="D81" s="2">
        <v>0</v>
      </c>
      <c r="E81" s="2">
        <v>1</v>
      </c>
    </row>
    <row r="83" spans="2:5" x14ac:dyDescent="0.25">
      <c r="B83" t="s">
        <v>36</v>
      </c>
      <c r="D83" t="s">
        <v>40</v>
      </c>
    </row>
    <row r="84" spans="2:5" x14ac:dyDescent="0.25">
      <c r="B84" s="2">
        <f>COS($D$63)</f>
        <v>0.86602540378443871</v>
      </c>
      <c r="C84" s="2">
        <f>-SIN($D$63)</f>
        <v>-0.49999999999999994</v>
      </c>
      <c r="D84" s="2">
        <v>0</v>
      </c>
      <c r="E84" s="2">
        <v>0</v>
      </c>
    </row>
    <row r="85" spans="2:5" x14ac:dyDescent="0.25">
      <c r="B85" s="2">
        <f>SIN($D$63)</f>
        <v>0.49999999999999994</v>
      </c>
      <c r="C85" s="2">
        <f>COS($D$63)</f>
        <v>0.86602540378443871</v>
      </c>
      <c r="D85" s="2">
        <v>0</v>
      </c>
      <c r="E85" s="2">
        <v>0</v>
      </c>
    </row>
    <row r="86" spans="2:5" x14ac:dyDescent="0.25">
      <c r="B86" s="2">
        <v>0</v>
      </c>
      <c r="C86" s="2">
        <v>0</v>
      </c>
      <c r="D86" s="2">
        <v>1</v>
      </c>
      <c r="E86" s="2">
        <v>0</v>
      </c>
    </row>
    <row r="87" spans="2:5" x14ac:dyDescent="0.25">
      <c r="B87" s="2">
        <v>0</v>
      </c>
      <c r="C87" s="2">
        <v>0</v>
      </c>
      <c r="D87" s="2">
        <v>0</v>
      </c>
      <c r="E87" s="2">
        <v>1</v>
      </c>
    </row>
    <row r="89" spans="2:5" x14ac:dyDescent="0.25">
      <c r="B89" t="s">
        <v>43</v>
      </c>
    </row>
    <row r="90" spans="2:5" x14ac:dyDescent="0.25">
      <c r="B90" s="2">
        <f t="array" ref="B90:E93">MMULT(MMULT(B66:E69,B72:E75),MMULT(B78:E81,B84:E87))</f>
        <v>0.8137976813493738</v>
      </c>
      <c r="C90" s="2">
        <v>-0.46984631039295416</v>
      </c>
      <c r="D90" s="2">
        <v>-0.34202014332566871</v>
      </c>
      <c r="E90" s="2">
        <v>0</v>
      </c>
    </row>
    <row r="91" spans="2:5" x14ac:dyDescent="0.25">
      <c r="B91" s="2">
        <v>0.54383814248232554</v>
      </c>
      <c r="C91" s="2">
        <v>0.82317294464550095</v>
      </c>
      <c r="D91" s="2">
        <v>-0.16317591116653482</v>
      </c>
      <c r="E91" s="2">
        <v>0</v>
      </c>
    </row>
    <row r="92" spans="2:5" x14ac:dyDescent="0.25">
      <c r="B92" s="2">
        <v>-0.20487412870286215</v>
      </c>
      <c r="C92" s="2">
        <v>0.31879577759716782</v>
      </c>
      <c r="D92" s="2">
        <v>0.92541657839832336</v>
      </c>
      <c r="E92" s="2">
        <v>885.87379999999996</v>
      </c>
    </row>
    <row r="93" spans="2:5" x14ac:dyDescent="0.25">
      <c r="B93" s="2">
        <v>0</v>
      </c>
      <c r="C93" s="2">
        <v>0</v>
      </c>
      <c r="D93" s="2">
        <v>0</v>
      </c>
      <c r="E93" s="2">
        <v>1</v>
      </c>
    </row>
  </sheetData>
  <mergeCells count="4">
    <mergeCell ref="F13:G13"/>
    <mergeCell ref="F7:G7"/>
    <mergeCell ref="F6:G6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2016-11-29T19:33:50Z</dcterms:modified>
</cp:coreProperties>
</file>