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2995" windowHeight="130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8" i="1" l="1"/>
  <c r="D47" i="1"/>
  <c r="D46" i="1"/>
  <c r="D45" i="1"/>
  <c r="C45" i="1" s="1"/>
  <c r="B45" i="1" s="1"/>
  <c r="D44" i="1"/>
  <c r="C44" i="1" s="1"/>
  <c r="B44" i="1" s="1"/>
  <c r="D43" i="1"/>
  <c r="D42" i="1"/>
  <c r="C42" i="1" s="1"/>
  <c r="B42" i="1" s="1"/>
  <c r="D41" i="1"/>
  <c r="C41" i="1" s="1"/>
  <c r="B41" i="1" s="1"/>
  <c r="D40" i="1"/>
  <c r="D39" i="1"/>
  <c r="D38" i="1"/>
  <c r="D37" i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C30" i="1"/>
  <c r="B30" i="1" s="1"/>
  <c r="C31" i="1"/>
  <c r="B31" i="1" s="1"/>
  <c r="C32" i="1"/>
  <c r="B32" i="1" s="1"/>
  <c r="C33" i="1"/>
  <c r="B33" i="1" s="1"/>
  <c r="C34" i="1"/>
  <c r="B34" i="1" s="1"/>
  <c r="C35" i="1"/>
  <c r="B35" i="1" s="1"/>
  <c r="C36" i="1"/>
  <c r="B36" i="1" s="1"/>
  <c r="C37" i="1"/>
  <c r="B37" i="1" s="1"/>
  <c r="C38" i="1"/>
  <c r="B38" i="1" s="1"/>
  <c r="C39" i="1"/>
  <c r="B39" i="1" s="1"/>
  <c r="C40" i="1"/>
  <c r="B40" i="1" s="1"/>
  <c r="C43" i="1"/>
  <c r="B43" i="1" s="1"/>
  <c r="C46" i="1"/>
  <c r="B46" i="1" s="1"/>
  <c r="C47" i="1"/>
  <c r="B47" i="1" s="1"/>
  <c r="C48" i="1"/>
  <c r="B48" i="1" s="1"/>
  <c r="C49" i="1"/>
  <c r="B49" i="1" s="1"/>
  <c r="C50" i="1"/>
  <c r="B50" i="1" s="1"/>
  <c r="C51" i="1"/>
  <c r="B51" i="1" s="1"/>
  <c r="C52" i="1"/>
  <c r="B52" i="1" s="1"/>
  <c r="C53" i="1"/>
  <c r="B53" i="1" s="1"/>
  <c r="C54" i="1"/>
  <c r="B54" i="1" s="1"/>
  <c r="C55" i="1"/>
  <c r="B55" i="1" s="1"/>
  <c r="C56" i="1"/>
  <c r="B56" i="1" s="1"/>
  <c r="C57" i="1"/>
  <c r="B57" i="1" s="1"/>
  <c r="C58" i="1"/>
  <c r="B58" i="1" s="1"/>
  <c r="C59" i="1"/>
  <c r="B59" i="1" s="1"/>
  <c r="C60" i="1"/>
  <c r="B60" i="1" s="1"/>
  <c r="C12" i="1"/>
  <c r="B12" i="1" s="1"/>
  <c r="I51" i="1" l="1"/>
  <c r="I21" i="1"/>
  <c r="I17" i="1"/>
  <c r="I20" i="1"/>
  <c r="I54" i="1"/>
  <c r="I50" i="1"/>
  <c r="E58" i="1"/>
  <c r="F58" i="1" s="1"/>
  <c r="G58" i="1" s="1"/>
  <c r="H58" i="1" s="1"/>
  <c r="I58" i="1" s="1"/>
  <c r="E59" i="1"/>
  <c r="F59" i="1" s="1"/>
  <c r="G59" i="1" s="1"/>
  <c r="H59" i="1" s="1"/>
  <c r="I59" i="1" s="1"/>
  <c r="E60" i="1"/>
  <c r="F60" i="1" s="1"/>
  <c r="G60" i="1" s="1"/>
  <c r="H60" i="1" s="1"/>
  <c r="I60" i="1" s="1"/>
  <c r="E16" i="1"/>
  <c r="F16" i="1" s="1"/>
  <c r="G16" i="1" s="1"/>
  <c r="H16" i="1" s="1"/>
  <c r="I16" i="1" s="1"/>
  <c r="E15" i="1"/>
  <c r="F15" i="1" s="1"/>
  <c r="G15" i="1" s="1"/>
  <c r="H15" i="1" s="1"/>
  <c r="I15" i="1" s="1"/>
  <c r="E14" i="1"/>
  <c r="F14" i="1" s="1"/>
  <c r="G14" i="1" s="1"/>
  <c r="H14" i="1" s="1"/>
  <c r="I14" i="1" s="1"/>
  <c r="E13" i="1"/>
  <c r="F13" i="1" s="1"/>
  <c r="G13" i="1" s="1"/>
  <c r="H13" i="1" s="1"/>
  <c r="I13" i="1" s="1"/>
  <c r="E12" i="1"/>
  <c r="F12" i="1" s="1"/>
  <c r="G12" i="1" s="1"/>
  <c r="H12" i="1" s="1"/>
  <c r="I12" i="1" s="1"/>
  <c r="E50" i="1"/>
  <c r="F50" i="1" s="1"/>
  <c r="G50" i="1" s="1"/>
  <c r="H50" i="1" s="1"/>
  <c r="E51" i="1"/>
  <c r="F51" i="1" s="1"/>
  <c r="G51" i="1" s="1"/>
  <c r="H51" i="1" s="1"/>
  <c r="E52" i="1"/>
  <c r="F52" i="1" s="1"/>
  <c r="G52" i="1" s="1"/>
  <c r="H52" i="1" s="1"/>
  <c r="I52" i="1" s="1"/>
  <c r="E53" i="1"/>
  <c r="F53" i="1" s="1"/>
  <c r="G53" i="1" s="1"/>
  <c r="H53" i="1" s="1"/>
  <c r="E54" i="1"/>
  <c r="F54" i="1" s="1"/>
  <c r="G54" i="1" s="1"/>
  <c r="H54" i="1" s="1"/>
  <c r="E55" i="1"/>
  <c r="F55" i="1" s="1"/>
  <c r="G55" i="1" s="1"/>
  <c r="H55" i="1" s="1"/>
  <c r="I55" i="1" s="1"/>
  <c r="E56" i="1"/>
  <c r="F56" i="1" s="1"/>
  <c r="G56" i="1" s="1"/>
  <c r="H56" i="1" s="1"/>
  <c r="I56" i="1" s="1"/>
  <c r="E57" i="1"/>
  <c r="F57" i="1" s="1"/>
  <c r="G57" i="1" s="1"/>
  <c r="H57" i="1" s="1"/>
  <c r="I57" i="1" s="1"/>
  <c r="E45" i="1"/>
  <c r="F45" i="1" s="1"/>
  <c r="G45" i="1" s="1"/>
  <c r="H45" i="1" s="1"/>
  <c r="I45" i="1" s="1"/>
  <c r="E46" i="1"/>
  <c r="F46" i="1" s="1"/>
  <c r="G46" i="1" s="1"/>
  <c r="H46" i="1" s="1"/>
  <c r="I46" i="1" s="1"/>
  <c r="E47" i="1"/>
  <c r="F47" i="1" s="1"/>
  <c r="G47" i="1" s="1"/>
  <c r="H47" i="1" s="1"/>
  <c r="I47" i="1" s="1"/>
  <c r="E48" i="1"/>
  <c r="F48" i="1" s="1"/>
  <c r="G48" i="1" s="1"/>
  <c r="H48" i="1" s="1"/>
  <c r="I48" i="1" s="1"/>
  <c r="E49" i="1"/>
  <c r="F49" i="1" s="1"/>
  <c r="G49" i="1" s="1"/>
  <c r="H49" i="1" s="1"/>
  <c r="E19" i="1"/>
  <c r="F19" i="1" s="1"/>
  <c r="G19" i="1" s="1"/>
  <c r="H19" i="1" s="1"/>
  <c r="E18" i="1"/>
  <c r="F18" i="1" s="1"/>
  <c r="G18" i="1" s="1"/>
  <c r="H18" i="1" s="1"/>
  <c r="I19" i="1" s="1"/>
  <c r="E17" i="1"/>
  <c r="F17" i="1" s="1"/>
  <c r="G17" i="1" s="1"/>
  <c r="H17" i="1" s="1"/>
  <c r="E28" i="1"/>
  <c r="F28" i="1" s="1"/>
  <c r="G28" i="1" s="1"/>
  <c r="H28" i="1" s="1"/>
  <c r="I28" i="1" s="1"/>
  <c r="E26" i="1"/>
  <c r="F26" i="1" s="1"/>
  <c r="G26" i="1" s="1"/>
  <c r="H26" i="1" s="1"/>
  <c r="I26" i="1" s="1"/>
  <c r="E25" i="1"/>
  <c r="F25" i="1" s="1"/>
  <c r="G25" i="1" s="1"/>
  <c r="H25" i="1" s="1"/>
  <c r="I25" i="1" s="1"/>
  <c r="E24" i="1"/>
  <c r="F24" i="1" s="1"/>
  <c r="G24" i="1" s="1"/>
  <c r="H24" i="1" s="1"/>
  <c r="I24" i="1" s="1"/>
  <c r="E23" i="1"/>
  <c r="F23" i="1" s="1"/>
  <c r="G23" i="1" s="1"/>
  <c r="H23" i="1" s="1"/>
  <c r="I23" i="1" s="1"/>
  <c r="E22" i="1"/>
  <c r="F22" i="1" s="1"/>
  <c r="G22" i="1" s="1"/>
  <c r="H22" i="1" s="1"/>
  <c r="I22" i="1" s="1"/>
  <c r="E21" i="1"/>
  <c r="F21" i="1" s="1"/>
  <c r="G21" i="1" s="1"/>
  <c r="H21" i="1" s="1"/>
  <c r="E20" i="1"/>
  <c r="F20" i="1" s="1"/>
  <c r="G20" i="1" s="1"/>
  <c r="H20" i="1" s="1"/>
  <c r="E41" i="1"/>
  <c r="F41" i="1" s="1"/>
  <c r="G41" i="1" s="1"/>
  <c r="H41" i="1" s="1"/>
  <c r="E42" i="1"/>
  <c r="F42" i="1" s="1"/>
  <c r="G42" i="1" s="1"/>
  <c r="H42" i="1" s="1"/>
  <c r="I42" i="1" s="1"/>
  <c r="E43" i="1"/>
  <c r="F43" i="1" s="1"/>
  <c r="G43" i="1" s="1"/>
  <c r="H43" i="1" s="1"/>
  <c r="E44" i="1"/>
  <c r="F44" i="1" s="1"/>
  <c r="G44" i="1" s="1"/>
  <c r="H44" i="1" s="1"/>
  <c r="I44" i="1" s="1"/>
  <c r="E31" i="1"/>
  <c r="F31" i="1" s="1"/>
  <c r="G31" i="1" s="1"/>
  <c r="H31" i="1" s="1"/>
  <c r="I31" i="1" s="1"/>
  <c r="E32" i="1"/>
  <c r="F32" i="1" s="1"/>
  <c r="G32" i="1" s="1"/>
  <c r="H32" i="1" s="1"/>
  <c r="E33" i="1"/>
  <c r="F33" i="1" s="1"/>
  <c r="G33" i="1" s="1"/>
  <c r="H33" i="1" s="1"/>
  <c r="E34" i="1"/>
  <c r="F34" i="1" s="1"/>
  <c r="G34" i="1" s="1"/>
  <c r="H34" i="1" s="1"/>
  <c r="I34" i="1" s="1"/>
  <c r="E35" i="1"/>
  <c r="F35" i="1" s="1"/>
  <c r="G35" i="1" s="1"/>
  <c r="H35" i="1" s="1"/>
  <c r="E36" i="1"/>
  <c r="F36" i="1" s="1"/>
  <c r="G36" i="1" s="1"/>
  <c r="H36" i="1" s="1"/>
  <c r="E37" i="1"/>
  <c r="F37" i="1" s="1"/>
  <c r="G37" i="1" s="1"/>
  <c r="H37" i="1" s="1"/>
  <c r="I37" i="1" s="1"/>
  <c r="E38" i="1"/>
  <c r="F38" i="1" s="1"/>
  <c r="G38" i="1" s="1"/>
  <c r="H38" i="1" s="1"/>
  <c r="I38" i="1" s="1"/>
  <c r="E39" i="1"/>
  <c r="F39" i="1" s="1"/>
  <c r="G39" i="1" s="1"/>
  <c r="H39" i="1" s="1"/>
  <c r="I39" i="1" s="1"/>
  <c r="E40" i="1"/>
  <c r="F40" i="1" s="1"/>
  <c r="G40" i="1" s="1"/>
  <c r="H40" i="1" s="1"/>
  <c r="I40" i="1" s="1"/>
  <c r="E27" i="1"/>
  <c r="F27" i="1" s="1"/>
  <c r="G27" i="1" s="1"/>
  <c r="H27" i="1" s="1"/>
  <c r="I27" i="1" s="1"/>
  <c r="E30" i="1"/>
  <c r="F30" i="1" s="1"/>
  <c r="G30" i="1" s="1"/>
  <c r="H30" i="1" s="1"/>
  <c r="I30" i="1" s="1"/>
  <c r="E29" i="1"/>
  <c r="F29" i="1" s="1"/>
  <c r="G29" i="1" s="1"/>
  <c r="H29" i="1" s="1"/>
  <c r="I29" i="1" s="1"/>
  <c r="I49" i="1" l="1"/>
  <c r="I43" i="1"/>
  <c r="I41" i="1"/>
  <c r="I36" i="1"/>
  <c r="I35" i="1"/>
  <c r="I32" i="1"/>
  <c r="I18" i="1"/>
  <c r="I53" i="1"/>
  <c r="I33" i="1"/>
  <c r="I6" i="1" l="1"/>
  <c r="I5" i="1"/>
</calcChain>
</file>

<file path=xl/sharedStrings.xml><?xml version="1.0" encoding="utf-8"?>
<sst xmlns="http://schemas.openxmlformats.org/spreadsheetml/2006/main" count="20" uniqueCount="20">
  <si>
    <t>A</t>
  </si>
  <si>
    <t>B</t>
  </si>
  <si>
    <t>C</t>
  </si>
  <si>
    <t>D</t>
  </si>
  <si>
    <t>D1</t>
  </si>
  <si>
    <t>B1</t>
  </si>
  <si>
    <t>A1</t>
  </si>
  <si>
    <t>C1</t>
  </si>
  <si>
    <t>ln(R/R_ref)</t>
  </si>
  <si>
    <t>T, K</t>
  </si>
  <si>
    <t>T, C</t>
  </si>
  <si>
    <t>T, F</t>
  </si>
  <si>
    <t>R, ohms</t>
  </si>
  <si>
    <t>R_ref, ohms</t>
  </si>
  <si>
    <t>Vishay thermistor, 10k NTC, beta=3977 K</t>
  </si>
  <si>
    <t>R-T coefficients and computed response</t>
  </si>
  <si>
    <t>Rs, Ohms</t>
  </si>
  <si>
    <t>R/R_total</t>
  </si>
  <si>
    <t>ADC</t>
  </si>
  <si>
    <t>dADC/dT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</si>
</sst>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Sheet1!$B$11</c:f>
              <c:strCache>
                <c:ptCount val="1"/>
                <c:pt idx="0">
                  <c:v>ADC</c:v>
                </c:pt>
              </c:strCache>
            </c:strRef>
          </c:tx>
          <c:marker>
            <c:symbol val="none"/>
          </c:marker>
          <c:xVal>
            <c:numRef>
              <c:f>Sheet1!$H$13:$H$60</c:f>
              <c:numCache>
                <c:formatCode>0.00</c:formatCode>
                <c:ptCount val="48"/>
                <c:pt idx="0">
                  <c:v>151.1340252219004</c:v>
                </c:pt>
                <c:pt idx="1">
                  <c:v>139.80556182971151</c:v>
                </c:pt>
                <c:pt idx="2">
                  <c:v>130.82312714743512</c:v>
                </c:pt>
                <c:pt idx="3">
                  <c:v>123.41257389680048</c:v>
                </c:pt>
                <c:pt idx="4">
                  <c:v>117.12482269807465</c:v>
                </c:pt>
                <c:pt idx="5">
                  <c:v>111.6770167323392</c:v>
                </c:pt>
                <c:pt idx="6">
                  <c:v>106.87991757468677</c:v>
                </c:pt>
                <c:pt idx="7">
                  <c:v>102.60093116217361</c:v>
                </c:pt>
                <c:pt idx="8">
                  <c:v>98.743690375773355</c:v>
                </c:pt>
                <c:pt idx="9">
                  <c:v>95.236045305769437</c:v>
                </c:pt>
                <c:pt idx="10">
                  <c:v>92.022631260672881</c:v>
                </c:pt>
                <c:pt idx="11">
                  <c:v>89.060073653257248</c:v>
                </c:pt>
                <c:pt idx="12">
                  <c:v>86.313784157608836</c:v>
                </c:pt>
                <c:pt idx="13">
                  <c:v>83.755755496015425</c:v>
                </c:pt>
                <c:pt idx="14">
                  <c:v>81.363004235672378</c:v>
                </c:pt>
                <c:pt idx="15">
                  <c:v>79.116446400846371</c:v>
                </c:pt>
                <c:pt idx="16">
                  <c:v>77.000069552441019</c:v>
                </c:pt>
                <c:pt idx="17">
                  <c:v>73.105593348281786</c:v>
                </c:pt>
                <c:pt idx="18">
                  <c:v>69.592732369490932</c:v>
                </c:pt>
                <c:pt idx="19">
                  <c:v>66.396417069110868</c:v>
                </c:pt>
                <c:pt idx="20">
                  <c:v>60.764354685990995</c:v>
                </c:pt>
                <c:pt idx="21">
                  <c:v>53.73755911753549</c:v>
                </c:pt>
                <c:pt idx="22">
                  <c:v>49.750813156800163</c:v>
                </c:pt>
                <c:pt idx="23">
                  <c:v>41.480151888887669</c:v>
                </c:pt>
                <c:pt idx="24">
                  <c:v>34.891216718274698</c:v>
                </c:pt>
                <c:pt idx="25">
                  <c:v>29.434535797350669</c:v>
                </c:pt>
                <c:pt idx="26">
                  <c:v>24.789832070972533</c:v>
                </c:pt>
                <c:pt idx="27">
                  <c:v>20.754578879941242</c:v>
                </c:pt>
                <c:pt idx="28">
                  <c:v>17.192826598228418</c:v>
                </c:pt>
                <c:pt idx="29">
                  <c:v>11.133616747612791</c:v>
                </c:pt>
                <c:pt idx="30">
                  <c:v>6.1109682676308239</c:v>
                </c:pt>
                <c:pt idx="31">
                  <c:v>1.8323839672237803</c:v>
                </c:pt>
                <c:pt idx="32">
                  <c:v>-1.8872722390842824</c:v>
                </c:pt>
                <c:pt idx="33">
                  <c:v>-5.1723767428467795</c:v>
                </c:pt>
                <c:pt idx="34">
                  <c:v>-10.765083444546491</c:v>
                </c:pt>
                <c:pt idx="35">
                  <c:v>-15.404971576856965</c:v>
                </c:pt>
                <c:pt idx="36">
                  <c:v>-17.455926214357888</c:v>
                </c:pt>
                <c:pt idx="37">
                  <c:v>-19.360310894568407</c:v>
                </c:pt>
                <c:pt idx="38">
                  <c:v>-21.136879413920518</c:v>
                </c:pt>
                <c:pt idx="39">
                  <c:v>-22.801049805276818</c:v>
                </c:pt>
                <c:pt idx="40">
                  <c:v>-24.365646107150745</c:v>
                </c:pt>
                <c:pt idx="41">
                  <c:v>-25.841445569743996</c:v>
                </c:pt>
                <c:pt idx="42">
                  <c:v>-27.237589341553353</c:v>
                </c:pt>
                <c:pt idx="43">
                  <c:v>-28.561895467149284</c:v>
                </c:pt>
                <c:pt idx="44">
                  <c:v>-29.82110074553799</c:v>
                </c:pt>
                <c:pt idx="45">
                  <c:v>-31.021049959386012</c:v>
                </c:pt>
                <c:pt idx="46">
                  <c:v>-32.16684560955828</c:v>
                </c:pt>
                <c:pt idx="47">
                  <c:v>-33.26296762461574</c:v>
                </c:pt>
              </c:numCache>
            </c:numRef>
          </c:xVal>
          <c:yVal>
            <c:numRef>
              <c:f>Sheet1!$B$13:$B$60</c:f>
              <c:numCache>
                <c:formatCode>General</c:formatCode>
                <c:ptCount val="48"/>
                <c:pt idx="0">
                  <c:v>170</c:v>
                </c:pt>
                <c:pt idx="1">
                  <c:v>204</c:v>
                </c:pt>
                <c:pt idx="2">
                  <c:v>236</c:v>
                </c:pt>
                <c:pt idx="3">
                  <c:v>265</c:v>
                </c:pt>
                <c:pt idx="4">
                  <c:v>292</c:v>
                </c:pt>
                <c:pt idx="5">
                  <c:v>317</c:v>
                </c:pt>
                <c:pt idx="6">
                  <c:v>341</c:v>
                </c:pt>
                <c:pt idx="7">
                  <c:v>363</c:v>
                </c:pt>
                <c:pt idx="8">
                  <c:v>383</c:v>
                </c:pt>
                <c:pt idx="9">
                  <c:v>403</c:v>
                </c:pt>
                <c:pt idx="10">
                  <c:v>421</c:v>
                </c:pt>
                <c:pt idx="11">
                  <c:v>438</c:v>
                </c:pt>
                <c:pt idx="12">
                  <c:v>454</c:v>
                </c:pt>
                <c:pt idx="13">
                  <c:v>470</c:v>
                </c:pt>
                <c:pt idx="14">
                  <c:v>484</c:v>
                </c:pt>
                <c:pt idx="15">
                  <c:v>498</c:v>
                </c:pt>
                <c:pt idx="16">
                  <c:v>511</c:v>
                </c:pt>
                <c:pt idx="17">
                  <c:v>535</c:v>
                </c:pt>
                <c:pt idx="18">
                  <c:v>558</c:v>
                </c:pt>
                <c:pt idx="19">
                  <c:v>578</c:v>
                </c:pt>
                <c:pt idx="20">
                  <c:v>613</c:v>
                </c:pt>
                <c:pt idx="21">
                  <c:v>657</c:v>
                </c:pt>
                <c:pt idx="22">
                  <c:v>682</c:v>
                </c:pt>
                <c:pt idx="23">
                  <c:v>730</c:v>
                </c:pt>
                <c:pt idx="24">
                  <c:v>767</c:v>
                </c:pt>
                <c:pt idx="25">
                  <c:v>795</c:v>
                </c:pt>
                <c:pt idx="26">
                  <c:v>818</c:v>
                </c:pt>
                <c:pt idx="27">
                  <c:v>837</c:v>
                </c:pt>
                <c:pt idx="28">
                  <c:v>852</c:v>
                </c:pt>
                <c:pt idx="29">
                  <c:v>876</c:v>
                </c:pt>
                <c:pt idx="30">
                  <c:v>895</c:v>
                </c:pt>
                <c:pt idx="31">
                  <c:v>909</c:v>
                </c:pt>
                <c:pt idx="32">
                  <c:v>920</c:v>
                </c:pt>
                <c:pt idx="33">
                  <c:v>930</c:v>
                </c:pt>
                <c:pt idx="34">
                  <c:v>944</c:v>
                </c:pt>
                <c:pt idx="35">
                  <c:v>954</c:v>
                </c:pt>
                <c:pt idx="36">
                  <c:v>959</c:v>
                </c:pt>
                <c:pt idx="37">
                  <c:v>962</c:v>
                </c:pt>
                <c:pt idx="38">
                  <c:v>966</c:v>
                </c:pt>
                <c:pt idx="39">
                  <c:v>969</c:v>
                </c:pt>
                <c:pt idx="40">
                  <c:v>971</c:v>
                </c:pt>
                <c:pt idx="41">
                  <c:v>974</c:v>
                </c:pt>
                <c:pt idx="42">
                  <c:v>976</c:v>
                </c:pt>
                <c:pt idx="43">
                  <c:v>978</c:v>
                </c:pt>
                <c:pt idx="44">
                  <c:v>980</c:v>
                </c:pt>
                <c:pt idx="45">
                  <c:v>982</c:v>
                </c:pt>
                <c:pt idx="46">
                  <c:v>983</c:v>
                </c:pt>
                <c:pt idx="47">
                  <c:v>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27264"/>
        <c:axId val="91228800"/>
      </c:scatterChart>
      <c:valAx>
        <c:axId val="912272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1228800"/>
        <c:crosses val="autoZero"/>
        <c:crossBetween val="midCat"/>
      </c:valAx>
      <c:valAx>
        <c:axId val="9122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227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Sheet1!$I$11</c:f>
              <c:strCache>
                <c:ptCount val="1"/>
                <c:pt idx="0">
                  <c:v>dADC/dT</c:v>
                </c:pt>
              </c:strCache>
            </c:strRef>
          </c:tx>
          <c:xVal>
            <c:numRef>
              <c:f>Sheet1!$H$13:$H$60</c:f>
              <c:numCache>
                <c:formatCode>0.00</c:formatCode>
                <c:ptCount val="48"/>
                <c:pt idx="0">
                  <c:v>151.1340252219004</c:v>
                </c:pt>
                <c:pt idx="1">
                  <c:v>139.80556182971151</c:v>
                </c:pt>
                <c:pt idx="2">
                  <c:v>130.82312714743512</c:v>
                </c:pt>
                <c:pt idx="3">
                  <c:v>123.41257389680048</c:v>
                </c:pt>
                <c:pt idx="4">
                  <c:v>117.12482269807465</c:v>
                </c:pt>
                <c:pt idx="5">
                  <c:v>111.6770167323392</c:v>
                </c:pt>
                <c:pt idx="6">
                  <c:v>106.87991757468677</c:v>
                </c:pt>
                <c:pt idx="7">
                  <c:v>102.60093116217361</c:v>
                </c:pt>
                <c:pt idx="8">
                  <c:v>98.743690375773355</c:v>
                </c:pt>
                <c:pt idx="9">
                  <c:v>95.236045305769437</c:v>
                </c:pt>
                <c:pt idx="10">
                  <c:v>92.022631260672881</c:v>
                </c:pt>
                <c:pt idx="11">
                  <c:v>89.060073653257248</c:v>
                </c:pt>
                <c:pt idx="12">
                  <c:v>86.313784157608836</c:v>
                </c:pt>
                <c:pt idx="13">
                  <c:v>83.755755496015425</c:v>
                </c:pt>
                <c:pt idx="14">
                  <c:v>81.363004235672378</c:v>
                </c:pt>
                <c:pt idx="15">
                  <c:v>79.116446400846371</c:v>
                </c:pt>
                <c:pt idx="16">
                  <c:v>77.000069552441019</c:v>
                </c:pt>
                <c:pt idx="17">
                  <c:v>73.105593348281786</c:v>
                </c:pt>
                <c:pt idx="18">
                  <c:v>69.592732369490932</c:v>
                </c:pt>
                <c:pt idx="19">
                  <c:v>66.396417069110868</c:v>
                </c:pt>
                <c:pt idx="20">
                  <c:v>60.764354685990995</c:v>
                </c:pt>
                <c:pt idx="21">
                  <c:v>53.73755911753549</c:v>
                </c:pt>
                <c:pt idx="22">
                  <c:v>49.750813156800163</c:v>
                </c:pt>
                <c:pt idx="23">
                  <c:v>41.480151888887669</c:v>
                </c:pt>
                <c:pt idx="24">
                  <c:v>34.891216718274698</c:v>
                </c:pt>
                <c:pt idx="25">
                  <c:v>29.434535797350669</c:v>
                </c:pt>
                <c:pt idx="26">
                  <c:v>24.789832070972533</c:v>
                </c:pt>
                <c:pt idx="27">
                  <c:v>20.754578879941242</c:v>
                </c:pt>
                <c:pt idx="28">
                  <c:v>17.192826598228418</c:v>
                </c:pt>
                <c:pt idx="29">
                  <c:v>11.133616747612791</c:v>
                </c:pt>
                <c:pt idx="30">
                  <c:v>6.1109682676308239</c:v>
                </c:pt>
                <c:pt idx="31">
                  <c:v>1.8323839672237803</c:v>
                </c:pt>
                <c:pt idx="32">
                  <c:v>-1.8872722390842824</c:v>
                </c:pt>
                <c:pt idx="33">
                  <c:v>-5.1723767428467795</c:v>
                </c:pt>
                <c:pt idx="34">
                  <c:v>-10.765083444546491</c:v>
                </c:pt>
                <c:pt idx="35">
                  <c:v>-15.404971576856965</c:v>
                </c:pt>
                <c:pt idx="36">
                  <c:v>-17.455926214357888</c:v>
                </c:pt>
                <c:pt idx="37">
                  <c:v>-19.360310894568407</c:v>
                </c:pt>
                <c:pt idx="38">
                  <c:v>-21.136879413920518</c:v>
                </c:pt>
                <c:pt idx="39">
                  <c:v>-22.801049805276818</c:v>
                </c:pt>
                <c:pt idx="40">
                  <c:v>-24.365646107150745</c:v>
                </c:pt>
                <c:pt idx="41">
                  <c:v>-25.841445569743996</c:v>
                </c:pt>
                <c:pt idx="42">
                  <c:v>-27.237589341553353</c:v>
                </c:pt>
                <c:pt idx="43">
                  <c:v>-28.561895467149284</c:v>
                </c:pt>
                <c:pt idx="44">
                  <c:v>-29.82110074553799</c:v>
                </c:pt>
                <c:pt idx="45">
                  <c:v>-31.021049959386012</c:v>
                </c:pt>
                <c:pt idx="46">
                  <c:v>-32.16684560955828</c:v>
                </c:pt>
                <c:pt idx="47">
                  <c:v>-33.26296762461574</c:v>
                </c:pt>
              </c:numCache>
            </c:numRef>
          </c:xVal>
          <c:yVal>
            <c:numRef>
              <c:f>Sheet1!$I$13:$I$60</c:f>
              <c:numCache>
                <c:formatCode>General</c:formatCode>
                <c:ptCount val="48"/>
                <c:pt idx="0">
                  <c:v>-2.4376299377128685</c:v>
                </c:pt>
                <c:pt idx="1">
                  <c:v>-3.0012896562338183</c:v>
                </c:pt>
                <c:pt idx="2">
                  <c:v>-3.5625085104309755</c:v>
                </c:pt>
                <c:pt idx="3">
                  <c:v>-3.9133380490203562</c:v>
                </c:pt>
                <c:pt idx="4">
                  <c:v>-4.2940630356798106</c:v>
                </c:pt>
                <c:pt idx="5">
                  <c:v>-4.5890033817724261</c:v>
                </c:pt>
                <c:pt idx="6">
                  <c:v>-5.0030235380302148</c:v>
                </c:pt>
                <c:pt idx="7">
                  <c:v>-5.1414045007632572</c:v>
                </c:pt>
                <c:pt idx="8">
                  <c:v>-5.185053541514808</c:v>
                </c:pt>
                <c:pt idx="9">
                  <c:v>-5.7018311718687267</c:v>
                </c:pt>
                <c:pt idx="10">
                  <c:v>-5.6015190533777419</c:v>
                </c:pt>
                <c:pt idx="11">
                  <c:v>-5.7382850404147367</c:v>
                </c:pt>
                <c:pt idx="12">
                  <c:v>-5.8260427479887085</c:v>
                </c:pt>
                <c:pt idx="13">
                  <c:v>-6.2548165469082369</c:v>
                </c:pt>
                <c:pt idx="14">
                  <c:v>-5.8510051721769143</c:v>
                </c:pt>
                <c:pt idx="15">
                  <c:v>-6.2317558813634033</c:v>
                </c:pt>
                <c:pt idx="16">
                  <c:v>-6.1425733369722133</c:v>
                </c:pt>
                <c:pt idx="17">
                  <c:v>-6.1625745650643386</c:v>
                </c:pt>
                <c:pt idx="18">
                  <c:v>-6.5473698329834624</c:v>
                </c:pt>
                <c:pt idx="19">
                  <c:v>-6.2572049752481744</c:v>
                </c:pt>
                <c:pt idx="20">
                  <c:v>-6.2144198020427108</c:v>
                </c:pt>
                <c:pt idx="21">
                  <c:v>-6.2617447129846182</c:v>
                </c:pt>
                <c:pt idx="22">
                  <c:v>-6.2707782854036997</c:v>
                </c:pt>
                <c:pt idx="23">
                  <c:v>-5.8036471867400206</c:v>
                </c:pt>
                <c:pt idx="24">
                  <c:v>-5.6154748896334761</c:v>
                </c:pt>
                <c:pt idx="25">
                  <c:v>-5.1313244086954066</c:v>
                </c:pt>
                <c:pt idx="26">
                  <c:v>-4.951876665325007</c:v>
                </c:pt>
                <c:pt idx="27">
                  <c:v>-4.7085025649020462</c:v>
                </c:pt>
                <c:pt idx="28">
                  <c:v>-4.2114102311423514</c:v>
                </c:pt>
                <c:pt idx="29">
                  <c:v>-3.960912493823193</c:v>
                </c:pt>
                <c:pt idx="30">
                  <c:v>-3.7828647725847251</c:v>
                </c:pt>
                <c:pt idx="31">
                  <c:v>-3.2721103563784188</c:v>
                </c:pt>
                <c:pt idx="32">
                  <c:v>-2.9572625505941659</c:v>
                </c:pt>
                <c:pt idx="33">
                  <c:v>-3.0440431920953492</c:v>
                </c:pt>
                <c:pt idx="34">
                  <c:v>-2.5032601827206817</c:v>
                </c:pt>
                <c:pt idx="35">
                  <c:v>-2.1552243749938018</c:v>
                </c:pt>
                <c:pt idx="36">
                  <c:v>-2.437889121766474</c:v>
                </c:pt>
                <c:pt idx="37">
                  <c:v>-1.575311979336216</c:v>
                </c:pt>
                <c:pt idx="38">
                  <c:v>-2.2515315094397503</c:v>
                </c:pt>
                <c:pt idx="39">
                  <c:v>-1.8027000213331501</c:v>
                </c:pt>
                <c:pt idx="40">
                  <c:v>-1.2782850103918741</c:v>
                </c:pt>
                <c:pt idx="41">
                  <c:v>-2.0327965120196265</c:v>
                </c:pt>
                <c:pt idx="42">
                  <c:v>-1.4325172237871076</c:v>
                </c:pt>
                <c:pt idx="43">
                  <c:v>-1.5102248349867058</c:v>
                </c:pt>
                <c:pt idx="44">
                  <c:v>-1.5883033801758077</c:v>
                </c:pt>
                <c:pt idx="45">
                  <c:v>-1.6667372059742083</c:v>
                </c:pt>
                <c:pt idx="46">
                  <c:v>-0.87275597515983971</c:v>
                </c:pt>
                <c:pt idx="47">
                  <c:v>-1.8246143882943149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0048"/>
        <c:axId val="91268224"/>
      </c:scatterChart>
      <c:valAx>
        <c:axId val="912500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1268224"/>
        <c:crosses val="autoZero"/>
        <c:crossBetween val="midCat"/>
      </c:valAx>
      <c:valAx>
        <c:axId val="9126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250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0</xdr:row>
      <xdr:rowOff>123825</xdr:rowOff>
    </xdr:from>
    <xdr:to>
      <xdr:col>17</xdr:col>
      <xdr:colOff>314326</xdr:colOff>
      <xdr:row>15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485776</xdr:colOff>
      <xdr:row>45</xdr:row>
      <xdr:rowOff>76200</xdr:rowOff>
    </xdr:from>
    <xdr:to>
      <xdr:col>17</xdr:col>
      <xdr:colOff>314326</xdr:colOff>
      <xdr:row>59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D11:I60" totalsRowShown="0">
  <autoFilter ref="D11:I60"/>
  <tableColumns count="6">
    <tableColumn id="1" name="R, ohms" dataDxfId="5"/>
    <tableColumn id="2" name="ln(R/R_ref)" dataDxfId="4">
      <calculatedColumnFormula>LN(D12/$F$5)</calculatedColumnFormula>
    </tableColumn>
    <tableColumn id="3" name="T, K" dataDxfId="3">
      <calculatedColumnFormula>1/(   (($F$9*E12+$F$8)*E12+$F$7)*E12+$F$6     )</calculatedColumnFormula>
    </tableColumn>
    <tableColumn id="4" name="T, C" dataDxfId="2">
      <calculatedColumnFormula>F12-273.15</calculatedColumnFormula>
    </tableColumn>
    <tableColumn id="5" name="T, F" dataDxfId="1">
      <calculatedColumnFormula>G12*1.8+32</calculatedColumnFormula>
    </tableColumn>
    <tableColumn id="6" name="dADC/dT" dataDxfId="0">
      <calculatedColumnFormula>(B12-B11)/(Table2[[#This Row],[T, F]]-H11)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0"/>
  <sheetViews>
    <sheetView tabSelected="1" workbookViewId="0">
      <pane ySplit="5625" topLeftCell="A44"/>
      <selection activeCell="C6" sqref="C6"/>
      <selection pane="bottomLeft" activeCell="U42" sqref="U42"/>
    </sheetView>
  </sheetViews>
  <sheetFormatPr defaultRowHeight="15" x14ac:dyDescent="0.25"/>
  <cols>
    <col min="3" max="3" width="10" bestFit="1" customWidth="1"/>
    <col min="4" max="4" width="11.28515625" style="1" bestFit="1" customWidth="1"/>
    <col min="5" max="5" width="14.42578125" bestFit="1" customWidth="1"/>
    <col min="6" max="6" width="12.28515625" style="1" bestFit="1" customWidth="1"/>
    <col min="7" max="8" width="9.140625" style="2"/>
    <col min="10" max="10" width="12.28515625" bestFit="1" customWidth="1"/>
  </cols>
  <sheetData>
    <row r="1" spans="2:9" x14ac:dyDescent="0.25">
      <c r="D1" s="1" t="s">
        <v>14</v>
      </c>
    </row>
    <row r="2" spans="2:9" x14ac:dyDescent="0.25">
      <c r="D2" s="1" t="s">
        <v>15</v>
      </c>
    </row>
    <row r="5" spans="2:9" x14ac:dyDescent="0.25">
      <c r="B5" t="s">
        <v>16</v>
      </c>
      <c r="C5">
        <v>10000</v>
      </c>
      <c r="F5">
        <v>10000</v>
      </c>
      <c r="G5" t="s">
        <v>13</v>
      </c>
      <c r="I5">
        <f>MAX(I20:I42)</f>
        <v>-3.960912493823193</v>
      </c>
    </row>
    <row r="6" spans="2:9" x14ac:dyDescent="0.25">
      <c r="D6" s="1">
        <v>14.633699999999999</v>
      </c>
      <c r="E6" t="s">
        <v>0</v>
      </c>
      <c r="F6" s="3">
        <v>3.354016E-3</v>
      </c>
      <c r="G6" t="s">
        <v>6</v>
      </c>
      <c r="I6">
        <f>MIN(I20:I42)</f>
        <v>-6.5473698329834624</v>
      </c>
    </row>
    <row r="7" spans="2:9" x14ac:dyDescent="0.25">
      <c r="D7" s="1">
        <v>4791.8419999999996</v>
      </c>
      <c r="E7" t="s">
        <v>1</v>
      </c>
      <c r="F7" s="3">
        <v>2.5698499999999999E-4</v>
      </c>
      <c r="G7" t="s">
        <v>5</v>
      </c>
    </row>
    <row r="8" spans="2:9" x14ac:dyDescent="0.25">
      <c r="D8" s="1">
        <v>-115334</v>
      </c>
      <c r="E8" t="s">
        <v>2</v>
      </c>
      <c r="F8" s="3">
        <v>2.6201309999999999E-6</v>
      </c>
      <c r="G8" t="s">
        <v>7</v>
      </c>
    </row>
    <row r="9" spans="2:9" x14ac:dyDescent="0.25">
      <c r="D9" s="1">
        <v>-373053.5</v>
      </c>
      <c r="E9" t="s">
        <v>3</v>
      </c>
      <c r="F9" s="3">
        <v>6.3830910000000002E-8</v>
      </c>
      <c r="G9" t="s">
        <v>4</v>
      </c>
    </row>
    <row r="11" spans="2:9" x14ac:dyDescent="0.25">
      <c r="B11" t="s">
        <v>18</v>
      </c>
      <c r="C11" t="s">
        <v>17</v>
      </c>
      <c r="D11" s="1" t="s">
        <v>12</v>
      </c>
      <c r="E11" t="s">
        <v>8</v>
      </c>
      <c r="F11" s="1" t="s">
        <v>9</v>
      </c>
      <c r="G11" s="2" t="s">
        <v>10</v>
      </c>
      <c r="H11" s="2" t="s">
        <v>11</v>
      </c>
      <c r="I11" t="s">
        <v>19</v>
      </c>
    </row>
    <row r="12" spans="2:9" x14ac:dyDescent="0.25">
      <c r="B12">
        <f>INT(C12*1023)</f>
        <v>133</v>
      </c>
      <c r="C12">
        <f>D12/(D12+$C$5)</f>
        <v>0.13043478260869565</v>
      </c>
      <c r="D12" s="1">
        <v>1500</v>
      </c>
      <c r="E12" s="1">
        <f t="shared" ref="E12:E43" si="0">LN(D12/$F$5)</f>
        <v>-1.8971199848858813</v>
      </c>
      <c r="F12" s="1">
        <f t="shared" ref="F12:F43" si="1">1/(   (($F$9*E12+$F$8)*E12+$F$7)*E12+$F$6     )</f>
        <v>347.76816847764638</v>
      </c>
      <c r="G12" s="2">
        <f t="shared" ref="G12:G43" si="2">F12-273.15</f>
        <v>74.618168477646407</v>
      </c>
      <c r="H12" s="2">
        <f t="shared" ref="H12:H43" si="3">G12*1.8+32</f>
        <v>166.31270325976354</v>
      </c>
      <c r="I12" s="1" t="e">
        <f>(B12-B11)/(Table2[[#This Row],[T, F]]-H11)</f>
        <v>#VALUE!</v>
      </c>
    </row>
    <row r="13" spans="2:9" x14ac:dyDescent="0.25">
      <c r="B13">
        <f t="shared" ref="B13:B60" si="4">INT(C13*1023)</f>
        <v>170</v>
      </c>
      <c r="C13">
        <f t="shared" ref="C13:C60" si="5">D13/(D13+$C$5)</f>
        <v>0.16666666666666666</v>
      </c>
      <c r="D13" s="1">
        <v>2000</v>
      </c>
      <c r="E13" s="1">
        <f t="shared" si="0"/>
        <v>-1.6094379124341003</v>
      </c>
      <c r="F13" s="1">
        <f t="shared" si="1"/>
        <v>339.33556956772242</v>
      </c>
      <c r="G13" s="2">
        <f t="shared" si="2"/>
        <v>66.185569567722439</v>
      </c>
      <c r="H13" s="2">
        <f t="shared" si="3"/>
        <v>151.1340252219004</v>
      </c>
      <c r="I13" s="1">
        <f>(B13-B12)/(Table2[[#This Row],[T, F]]-H12)</f>
        <v>-2.4376299377128685</v>
      </c>
    </row>
    <row r="14" spans="2:9" x14ac:dyDescent="0.25">
      <c r="B14">
        <f t="shared" si="4"/>
        <v>204</v>
      </c>
      <c r="C14">
        <f t="shared" si="5"/>
        <v>0.2</v>
      </c>
      <c r="D14" s="1">
        <v>2500</v>
      </c>
      <c r="E14" s="1">
        <f t="shared" si="0"/>
        <v>-1.3862943611198906</v>
      </c>
      <c r="F14" s="1">
        <f t="shared" si="1"/>
        <v>333.04197879428415</v>
      </c>
      <c r="G14" s="2">
        <f t="shared" si="2"/>
        <v>59.891978794284171</v>
      </c>
      <c r="H14" s="2">
        <f t="shared" si="3"/>
        <v>139.80556182971151</v>
      </c>
      <c r="I14" s="1">
        <f>(B14-B13)/(Table2[[#This Row],[T, F]]-H13)</f>
        <v>-3.0012896562338183</v>
      </c>
    </row>
    <row r="15" spans="2:9" x14ac:dyDescent="0.25">
      <c r="B15">
        <f t="shared" si="4"/>
        <v>236</v>
      </c>
      <c r="C15">
        <f t="shared" si="5"/>
        <v>0.23076923076923078</v>
      </c>
      <c r="D15" s="1">
        <v>3000</v>
      </c>
      <c r="E15" s="1">
        <f t="shared" si="0"/>
        <v>-1.2039728043259361</v>
      </c>
      <c r="F15" s="1">
        <f t="shared" si="1"/>
        <v>328.0517373041306</v>
      </c>
      <c r="G15" s="2">
        <f t="shared" si="2"/>
        <v>54.90173730413062</v>
      </c>
      <c r="H15" s="2">
        <f t="shared" si="3"/>
        <v>130.82312714743512</v>
      </c>
      <c r="I15" s="1">
        <f>(B15-B14)/(Table2[[#This Row],[T, F]]-H14)</f>
        <v>-3.5625085104309755</v>
      </c>
    </row>
    <row r="16" spans="2:9" x14ac:dyDescent="0.25">
      <c r="B16">
        <f t="shared" si="4"/>
        <v>265</v>
      </c>
      <c r="C16">
        <f t="shared" si="5"/>
        <v>0.25925925925925924</v>
      </c>
      <c r="D16" s="1">
        <v>3500</v>
      </c>
      <c r="E16" s="1">
        <f t="shared" si="0"/>
        <v>-1.0498221244986778</v>
      </c>
      <c r="F16" s="1">
        <f t="shared" si="1"/>
        <v>323.93476327600024</v>
      </c>
      <c r="G16" s="2">
        <f t="shared" si="2"/>
        <v>50.784763276000263</v>
      </c>
      <c r="H16" s="2">
        <f t="shared" si="3"/>
        <v>123.41257389680048</v>
      </c>
      <c r="I16" s="1">
        <f>(B16-B15)/(Table2[[#This Row],[T, F]]-H15)</f>
        <v>-3.9133380490203562</v>
      </c>
    </row>
    <row r="17" spans="2:9" x14ac:dyDescent="0.25">
      <c r="B17">
        <f t="shared" si="4"/>
        <v>292</v>
      </c>
      <c r="C17">
        <f t="shared" si="5"/>
        <v>0.2857142857142857</v>
      </c>
      <c r="D17" s="1">
        <v>4000</v>
      </c>
      <c r="E17" s="1">
        <f t="shared" si="0"/>
        <v>-0.916290731874155</v>
      </c>
      <c r="F17" s="1">
        <f t="shared" si="1"/>
        <v>320.441568165597</v>
      </c>
      <c r="G17" s="2">
        <f t="shared" si="2"/>
        <v>47.291568165597027</v>
      </c>
      <c r="H17" s="2">
        <f t="shared" si="3"/>
        <v>117.12482269807465</v>
      </c>
      <c r="I17" s="1">
        <f>(B17-B16)/(Table2[[#This Row],[T, F]]-H16)</f>
        <v>-4.2940630356798106</v>
      </c>
    </row>
    <row r="18" spans="2:9" x14ac:dyDescent="0.25">
      <c r="B18">
        <f t="shared" si="4"/>
        <v>317</v>
      </c>
      <c r="C18">
        <f t="shared" si="5"/>
        <v>0.31034482758620691</v>
      </c>
      <c r="D18" s="1">
        <v>4500</v>
      </c>
      <c r="E18" s="1">
        <f t="shared" si="0"/>
        <v>-0.79850769621777162</v>
      </c>
      <c r="F18" s="1">
        <f t="shared" si="1"/>
        <v>317.41500929574397</v>
      </c>
      <c r="G18" s="2">
        <f t="shared" si="2"/>
        <v>44.265009295743994</v>
      </c>
      <c r="H18" s="2">
        <f t="shared" si="3"/>
        <v>111.6770167323392</v>
      </c>
      <c r="I18" s="1">
        <f>(B18-B17)/(Table2[[#This Row],[T, F]]-H17)</f>
        <v>-4.5890033817724261</v>
      </c>
    </row>
    <row r="19" spans="2:9" x14ac:dyDescent="0.25">
      <c r="B19">
        <f t="shared" si="4"/>
        <v>341</v>
      </c>
      <c r="C19">
        <f t="shared" si="5"/>
        <v>0.33333333333333331</v>
      </c>
      <c r="D19" s="1">
        <v>5000</v>
      </c>
      <c r="E19" s="1">
        <f t="shared" si="0"/>
        <v>-0.69314718055994529</v>
      </c>
      <c r="F19" s="1">
        <f t="shared" si="1"/>
        <v>314.74995420815929</v>
      </c>
      <c r="G19" s="2">
        <f t="shared" si="2"/>
        <v>41.599954208159318</v>
      </c>
      <c r="H19" s="2">
        <f t="shared" si="3"/>
        <v>106.87991757468677</v>
      </c>
      <c r="I19" s="1">
        <f>(B19-B18)/(Table2[[#This Row],[T, F]]-H18)</f>
        <v>-5.0030235380302148</v>
      </c>
    </row>
    <row r="20" spans="2:9" x14ac:dyDescent="0.25">
      <c r="B20">
        <f t="shared" si="4"/>
        <v>363</v>
      </c>
      <c r="C20">
        <f t="shared" si="5"/>
        <v>0.35483870967741937</v>
      </c>
      <c r="D20" s="1">
        <v>5500</v>
      </c>
      <c r="E20" s="1">
        <f t="shared" si="0"/>
        <v>-0.59783700075562041</v>
      </c>
      <c r="F20" s="1">
        <f t="shared" si="1"/>
        <v>312.37273953454087</v>
      </c>
      <c r="G20" s="2">
        <f t="shared" si="2"/>
        <v>39.222739534540892</v>
      </c>
      <c r="H20" s="2">
        <f t="shared" si="3"/>
        <v>102.60093116217361</v>
      </c>
      <c r="I20" s="1">
        <f>(B20-B19)/(Table2[[#This Row],[T, F]]-H19)</f>
        <v>-5.1414045007632572</v>
      </c>
    </row>
    <row r="21" spans="2:9" x14ac:dyDescent="0.25">
      <c r="B21">
        <f t="shared" si="4"/>
        <v>383</v>
      </c>
      <c r="C21">
        <f t="shared" si="5"/>
        <v>0.375</v>
      </c>
      <c r="D21" s="1">
        <v>6000</v>
      </c>
      <c r="E21" s="1">
        <f t="shared" si="0"/>
        <v>-0.51082562376599072</v>
      </c>
      <c r="F21" s="1">
        <f t="shared" si="1"/>
        <v>310.22982798654073</v>
      </c>
      <c r="G21" s="2">
        <f t="shared" si="2"/>
        <v>37.079827986540749</v>
      </c>
      <c r="H21" s="2">
        <f t="shared" si="3"/>
        <v>98.743690375773355</v>
      </c>
      <c r="I21" s="1">
        <f>(B21-B20)/(Table2[[#This Row],[T, F]]-H20)</f>
        <v>-5.185053541514808</v>
      </c>
    </row>
    <row r="22" spans="2:9" x14ac:dyDescent="0.25">
      <c r="B22">
        <f t="shared" si="4"/>
        <v>403</v>
      </c>
      <c r="C22">
        <f t="shared" si="5"/>
        <v>0.39393939393939392</v>
      </c>
      <c r="D22" s="1">
        <v>6500</v>
      </c>
      <c r="E22" s="1">
        <f t="shared" si="0"/>
        <v>-0.43078291609245423</v>
      </c>
      <c r="F22" s="1">
        <f t="shared" si="1"/>
        <v>308.28113628098299</v>
      </c>
      <c r="G22" s="2">
        <f t="shared" si="2"/>
        <v>35.131136280983014</v>
      </c>
      <c r="H22" s="2">
        <f t="shared" si="3"/>
        <v>95.236045305769437</v>
      </c>
      <c r="I22" s="1">
        <f>(B22-B21)/(Table2[[#This Row],[T, F]]-H21)</f>
        <v>-5.7018311718687267</v>
      </c>
    </row>
    <row r="23" spans="2:9" x14ac:dyDescent="0.25">
      <c r="B23">
        <f t="shared" si="4"/>
        <v>421</v>
      </c>
      <c r="C23">
        <f t="shared" si="5"/>
        <v>0.41176470588235292</v>
      </c>
      <c r="D23" s="1">
        <v>7000</v>
      </c>
      <c r="E23" s="1">
        <f t="shared" si="0"/>
        <v>-0.35667494393873245</v>
      </c>
      <c r="F23" s="1">
        <f t="shared" si="1"/>
        <v>306.49590625592936</v>
      </c>
      <c r="G23" s="2">
        <f t="shared" si="2"/>
        <v>33.345906255929378</v>
      </c>
      <c r="H23" s="2">
        <f t="shared" si="3"/>
        <v>92.022631260672881</v>
      </c>
      <c r="I23" s="1">
        <f>(B23-B22)/(Table2[[#This Row],[T, F]]-H22)</f>
        <v>-5.6015190533777419</v>
      </c>
    </row>
    <row r="24" spans="2:9" x14ac:dyDescent="0.25">
      <c r="B24">
        <f t="shared" si="4"/>
        <v>438</v>
      </c>
      <c r="C24">
        <f t="shared" si="5"/>
        <v>0.42857142857142855</v>
      </c>
      <c r="D24" s="1">
        <v>7500</v>
      </c>
      <c r="E24" s="1">
        <f t="shared" si="0"/>
        <v>-0.2876820724517809</v>
      </c>
      <c r="F24" s="1">
        <f t="shared" si="1"/>
        <v>304.85004091847622</v>
      </c>
      <c r="G24" s="2">
        <f t="shared" si="2"/>
        <v>31.700040918476247</v>
      </c>
      <c r="H24" s="2">
        <f t="shared" si="3"/>
        <v>89.060073653257248</v>
      </c>
      <c r="I24" s="1">
        <f>(B24-B23)/(Table2[[#This Row],[T, F]]-H23)</f>
        <v>-5.7382850404147367</v>
      </c>
    </row>
    <row r="25" spans="2:9" x14ac:dyDescent="0.25">
      <c r="B25">
        <f t="shared" si="4"/>
        <v>454</v>
      </c>
      <c r="C25">
        <f t="shared" si="5"/>
        <v>0.44444444444444442</v>
      </c>
      <c r="D25" s="1">
        <v>8000</v>
      </c>
      <c r="E25" s="1">
        <f t="shared" si="0"/>
        <v>-0.22314355131420971</v>
      </c>
      <c r="F25" s="1">
        <f t="shared" si="1"/>
        <v>303.32432453200488</v>
      </c>
      <c r="G25" s="2">
        <f t="shared" si="2"/>
        <v>30.174324532004903</v>
      </c>
      <c r="H25" s="2">
        <f t="shared" si="3"/>
        <v>86.313784157608836</v>
      </c>
      <c r="I25" s="1">
        <f>(B25-B24)/(Table2[[#This Row],[T, F]]-H24)</f>
        <v>-5.8260427479887085</v>
      </c>
    </row>
    <row r="26" spans="2:9" x14ac:dyDescent="0.25">
      <c r="B26">
        <f t="shared" si="4"/>
        <v>470</v>
      </c>
      <c r="C26">
        <f t="shared" si="5"/>
        <v>0.45945945945945948</v>
      </c>
      <c r="D26" s="1">
        <v>8500</v>
      </c>
      <c r="E26" s="1">
        <f t="shared" si="0"/>
        <v>-0.16251892949777494</v>
      </c>
      <c r="F26" s="1">
        <f t="shared" si="1"/>
        <v>301.90319749778632</v>
      </c>
      <c r="G26" s="2">
        <f t="shared" si="2"/>
        <v>28.753197497786346</v>
      </c>
      <c r="H26" s="2">
        <f t="shared" si="3"/>
        <v>83.755755496015425</v>
      </c>
      <c r="I26" s="1">
        <f>(B26-B25)/(Table2[[#This Row],[T, F]]-H25)</f>
        <v>-6.2548165469082369</v>
      </c>
    </row>
    <row r="27" spans="2:9" x14ac:dyDescent="0.25">
      <c r="B27">
        <f t="shared" si="4"/>
        <v>484</v>
      </c>
      <c r="C27">
        <f t="shared" si="5"/>
        <v>0.47368421052631576</v>
      </c>
      <c r="D27" s="1">
        <v>9000</v>
      </c>
      <c r="E27" s="1">
        <f t="shared" si="0"/>
        <v>-0.10536051565782628</v>
      </c>
      <c r="F27" s="1">
        <f t="shared" si="1"/>
        <v>300.57389124204019</v>
      </c>
      <c r="G27" s="2">
        <f t="shared" si="2"/>
        <v>27.423891242040213</v>
      </c>
      <c r="H27" s="2">
        <f t="shared" si="3"/>
        <v>81.363004235672378</v>
      </c>
      <c r="I27" s="1">
        <f>(B27-B26)/(Table2[[#This Row],[T, F]]-H26)</f>
        <v>-5.8510051721769143</v>
      </c>
    </row>
    <row r="28" spans="2:9" x14ac:dyDescent="0.25">
      <c r="B28">
        <f t="shared" si="4"/>
        <v>498</v>
      </c>
      <c r="C28">
        <f t="shared" si="5"/>
        <v>0.48717948717948717</v>
      </c>
      <c r="D28" s="1">
        <v>9500</v>
      </c>
      <c r="E28" s="1">
        <f t="shared" si="0"/>
        <v>-5.1293294387550578E-2</v>
      </c>
      <c r="F28" s="1">
        <f t="shared" si="1"/>
        <v>299.32580355602573</v>
      </c>
      <c r="G28" s="2">
        <f t="shared" si="2"/>
        <v>26.175803556025755</v>
      </c>
      <c r="H28" s="2">
        <f t="shared" si="3"/>
        <v>79.116446400846371</v>
      </c>
      <c r="I28" s="1">
        <f>(B28-B27)/(Table2[[#This Row],[T, F]]-H27)</f>
        <v>-6.2317558813634033</v>
      </c>
    </row>
    <row r="29" spans="2:9" x14ac:dyDescent="0.25">
      <c r="B29">
        <f t="shared" si="4"/>
        <v>511</v>
      </c>
      <c r="C29">
        <f t="shared" si="5"/>
        <v>0.5</v>
      </c>
      <c r="D29" s="1">
        <v>10000</v>
      </c>
      <c r="E29" s="1">
        <f t="shared" si="0"/>
        <v>0</v>
      </c>
      <c r="F29" s="1">
        <f t="shared" si="1"/>
        <v>298.15003864024499</v>
      </c>
      <c r="G29" s="2">
        <f t="shared" si="2"/>
        <v>25.000038640245009</v>
      </c>
      <c r="H29" s="2">
        <f t="shared" si="3"/>
        <v>77.000069552441019</v>
      </c>
      <c r="I29" s="1">
        <f>(B29-B28)/(Table2[[#This Row],[T, F]]-H28)</f>
        <v>-6.1425733369722133</v>
      </c>
    </row>
    <row r="30" spans="2:9" x14ac:dyDescent="0.25">
      <c r="B30">
        <f t="shared" si="4"/>
        <v>535</v>
      </c>
      <c r="C30">
        <f t="shared" si="5"/>
        <v>0.52380952380952384</v>
      </c>
      <c r="D30" s="1">
        <v>11000</v>
      </c>
      <c r="E30" s="1">
        <f t="shared" si="0"/>
        <v>9.5310179804324935E-2</v>
      </c>
      <c r="F30" s="1">
        <f t="shared" si="1"/>
        <v>295.98644074904541</v>
      </c>
      <c r="G30" s="2">
        <f t="shared" si="2"/>
        <v>22.836440749045437</v>
      </c>
      <c r="H30" s="2">
        <f t="shared" si="3"/>
        <v>73.105593348281786</v>
      </c>
      <c r="I30" s="1">
        <f>(B30-B29)/(Table2[[#This Row],[T, F]]-H29)</f>
        <v>-6.1625745650643386</v>
      </c>
    </row>
    <row r="31" spans="2:9" x14ac:dyDescent="0.25">
      <c r="B31">
        <f t="shared" si="4"/>
        <v>558</v>
      </c>
      <c r="C31">
        <f t="shared" si="5"/>
        <v>0.54545454545454541</v>
      </c>
      <c r="D31" s="1">
        <v>12000</v>
      </c>
      <c r="E31" s="1">
        <f t="shared" si="0"/>
        <v>0.18232155679395459</v>
      </c>
      <c r="F31" s="1">
        <f t="shared" si="1"/>
        <v>294.03485131638382</v>
      </c>
      <c r="G31" s="2">
        <f t="shared" si="2"/>
        <v>20.884851316383845</v>
      </c>
      <c r="H31" s="2">
        <f t="shared" si="3"/>
        <v>69.592732369490932</v>
      </c>
      <c r="I31" s="1">
        <f>(B31-B30)/(Table2[[#This Row],[T, F]]-H30)</f>
        <v>-6.5473698329834624</v>
      </c>
    </row>
    <row r="32" spans="2:9" x14ac:dyDescent="0.25">
      <c r="B32">
        <f t="shared" si="4"/>
        <v>578</v>
      </c>
      <c r="C32">
        <f t="shared" si="5"/>
        <v>0.56521739130434778</v>
      </c>
      <c r="D32" s="1">
        <v>13000</v>
      </c>
      <c r="E32" s="1">
        <f t="shared" si="0"/>
        <v>0.26236426446749106</v>
      </c>
      <c r="F32" s="1">
        <f t="shared" si="1"/>
        <v>292.25912059395046</v>
      </c>
      <c r="G32" s="2">
        <f t="shared" si="2"/>
        <v>19.109120593950479</v>
      </c>
      <c r="H32" s="2">
        <f t="shared" si="3"/>
        <v>66.396417069110868</v>
      </c>
      <c r="I32" s="1">
        <f>(B32-B31)/(Table2[[#This Row],[T, F]]-H31)</f>
        <v>-6.2572049752481744</v>
      </c>
    </row>
    <row r="33" spans="2:9" x14ac:dyDescent="0.25">
      <c r="B33">
        <f t="shared" si="4"/>
        <v>613</v>
      </c>
      <c r="C33">
        <f t="shared" si="5"/>
        <v>0.6</v>
      </c>
      <c r="D33" s="1">
        <v>15000</v>
      </c>
      <c r="E33" s="1">
        <f t="shared" si="0"/>
        <v>0.40546510810816438</v>
      </c>
      <c r="F33" s="1">
        <f t="shared" si="1"/>
        <v>289.13019704777275</v>
      </c>
      <c r="G33" s="2">
        <f t="shared" si="2"/>
        <v>15.980197047772776</v>
      </c>
      <c r="H33" s="2">
        <f t="shared" si="3"/>
        <v>60.764354685990995</v>
      </c>
      <c r="I33" s="1">
        <f>(B33-B32)/(Table2[[#This Row],[T, F]]-H32)</f>
        <v>-6.2144198020427108</v>
      </c>
    </row>
    <row r="34" spans="2:9" x14ac:dyDescent="0.25">
      <c r="B34">
        <f t="shared" si="4"/>
        <v>657</v>
      </c>
      <c r="C34">
        <f t="shared" si="5"/>
        <v>0.6428571428571429</v>
      </c>
      <c r="D34" s="1">
        <v>18000</v>
      </c>
      <c r="E34" s="1">
        <f t="shared" si="0"/>
        <v>0.58778666490211906</v>
      </c>
      <c r="F34" s="1">
        <f t="shared" si="1"/>
        <v>285.22642173196414</v>
      </c>
      <c r="G34" s="2">
        <f t="shared" si="2"/>
        <v>12.07642173196416</v>
      </c>
      <c r="H34" s="2">
        <f t="shared" si="3"/>
        <v>53.73755911753549</v>
      </c>
      <c r="I34" s="1">
        <f>(B34-B33)/(Table2[[#This Row],[T, F]]-H33)</f>
        <v>-6.2617447129846182</v>
      </c>
    </row>
    <row r="35" spans="2:9" x14ac:dyDescent="0.25">
      <c r="B35">
        <f t="shared" si="4"/>
        <v>682</v>
      </c>
      <c r="C35">
        <f t="shared" si="5"/>
        <v>0.66666666666666663</v>
      </c>
      <c r="D35" s="1">
        <v>20000</v>
      </c>
      <c r="E35" s="1">
        <f t="shared" si="0"/>
        <v>0.69314718055994529</v>
      </c>
      <c r="F35" s="1">
        <f t="shared" si="1"/>
        <v>283.01156286488896</v>
      </c>
      <c r="G35" s="2">
        <f t="shared" si="2"/>
        <v>9.861562864888981</v>
      </c>
      <c r="H35" s="2">
        <f t="shared" si="3"/>
        <v>49.750813156800163</v>
      </c>
      <c r="I35" s="1">
        <f>(B35-B34)/(Table2[[#This Row],[T, F]]-H34)</f>
        <v>-6.2707782854036997</v>
      </c>
    </row>
    <row r="36" spans="2:9" x14ac:dyDescent="0.25">
      <c r="B36">
        <f t="shared" si="4"/>
        <v>730</v>
      </c>
      <c r="C36">
        <f t="shared" si="5"/>
        <v>0.7142857142857143</v>
      </c>
      <c r="D36" s="1">
        <v>25000</v>
      </c>
      <c r="E36" s="1">
        <f t="shared" si="0"/>
        <v>0.91629073187415511</v>
      </c>
      <c r="F36" s="1">
        <f t="shared" si="1"/>
        <v>278.41675104938201</v>
      </c>
      <c r="G36" s="2">
        <f t="shared" si="2"/>
        <v>5.2667510493820373</v>
      </c>
      <c r="H36" s="2">
        <f t="shared" si="3"/>
        <v>41.480151888887669</v>
      </c>
      <c r="I36" s="1">
        <f>(B36-B35)/(Table2[[#This Row],[T, F]]-H35)</f>
        <v>-5.8036471867400206</v>
      </c>
    </row>
    <row r="37" spans="2:9" x14ac:dyDescent="0.25">
      <c r="B37">
        <f t="shared" si="4"/>
        <v>767</v>
      </c>
      <c r="C37">
        <f t="shared" si="5"/>
        <v>0.75</v>
      </c>
      <c r="D37" s="1">
        <f>D36+5000</f>
        <v>30000</v>
      </c>
      <c r="E37" s="1">
        <f t="shared" si="0"/>
        <v>1.0986122886681098</v>
      </c>
      <c r="F37" s="1">
        <f t="shared" si="1"/>
        <v>274.75623151015259</v>
      </c>
      <c r="G37" s="2">
        <f t="shared" si="2"/>
        <v>1.606231510152611</v>
      </c>
      <c r="H37" s="2">
        <f t="shared" si="3"/>
        <v>34.891216718274698</v>
      </c>
      <c r="I37" s="1">
        <f>(B37-B36)/(Table2[[#This Row],[T, F]]-H36)</f>
        <v>-5.6154748896334761</v>
      </c>
    </row>
    <row r="38" spans="2:9" x14ac:dyDescent="0.25">
      <c r="B38">
        <f t="shared" si="4"/>
        <v>795</v>
      </c>
      <c r="C38">
        <f t="shared" si="5"/>
        <v>0.77777777777777779</v>
      </c>
      <c r="D38" s="1">
        <f>D37+5000</f>
        <v>35000</v>
      </c>
      <c r="E38" s="1">
        <f t="shared" si="0"/>
        <v>1.2527629684953681</v>
      </c>
      <c r="F38" s="1">
        <f t="shared" si="1"/>
        <v>271.72474210963924</v>
      </c>
      <c r="G38" s="2">
        <f t="shared" si="2"/>
        <v>-1.42525789036074</v>
      </c>
      <c r="H38" s="2">
        <f t="shared" si="3"/>
        <v>29.434535797350669</v>
      </c>
      <c r="I38" s="1">
        <f>(B38-B37)/(Table2[[#This Row],[T, F]]-H37)</f>
        <v>-5.1313244086954066</v>
      </c>
    </row>
    <row r="39" spans="2:9" x14ac:dyDescent="0.25">
      <c r="B39">
        <f t="shared" si="4"/>
        <v>818</v>
      </c>
      <c r="C39">
        <f t="shared" si="5"/>
        <v>0.8</v>
      </c>
      <c r="D39" s="1">
        <f>D38+5000</f>
        <v>40000</v>
      </c>
      <c r="E39" s="1">
        <f t="shared" si="0"/>
        <v>1.3862943611198906</v>
      </c>
      <c r="F39" s="1">
        <f t="shared" si="1"/>
        <v>269.14435115054027</v>
      </c>
      <c r="G39" s="2">
        <f t="shared" si="2"/>
        <v>-4.0056488494597033</v>
      </c>
      <c r="H39" s="2">
        <f t="shared" si="3"/>
        <v>24.789832070972533</v>
      </c>
      <c r="I39" s="1">
        <f>(B39-B38)/(Table2[[#This Row],[T, F]]-H38)</f>
        <v>-4.951876665325007</v>
      </c>
    </row>
    <row r="40" spans="2:9" x14ac:dyDescent="0.25">
      <c r="B40">
        <f t="shared" si="4"/>
        <v>837</v>
      </c>
      <c r="C40">
        <f t="shared" si="5"/>
        <v>0.81818181818181823</v>
      </c>
      <c r="D40" s="1">
        <f>D39+5000</f>
        <v>45000</v>
      </c>
      <c r="E40" s="1">
        <f t="shared" si="0"/>
        <v>1.5040773967762742</v>
      </c>
      <c r="F40" s="1">
        <f t="shared" si="1"/>
        <v>266.90254382218956</v>
      </c>
      <c r="G40" s="2">
        <f t="shared" si="2"/>
        <v>-6.2474561778104203</v>
      </c>
      <c r="H40" s="2">
        <f t="shared" si="3"/>
        <v>20.754578879941242</v>
      </c>
      <c r="I40" s="1">
        <f>(B40-B39)/(Table2[[#This Row],[T, F]]-H39)</f>
        <v>-4.7085025649020462</v>
      </c>
    </row>
    <row r="41" spans="2:9" x14ac:dyDescent="0.25">
      <c r="B41">
        <f t="shared" si="4"/>
        <v>852</v>
      </c>
      <c r="C41">
        <f t="shared" si="5"/>
        <v>0.83333333333333337</v>
      </c>
      <c r="D41" s="1">
        <f>D40+5000</f>
        <v>50000</v>
      </c>
      <c r="E41" s="1">
        <f t="shared" si="0"/>
        <v>1.6094379124341003</v>
      </c>
      <c r="F41" s="1">
        <f t="shared" si="1"/>
        <v>264.92379255457132</v>
      </c>
      <c r="G41" s="2">
        <f t="shared" si="2"/>
        <v>-8.2262074454286562</v>
      </c>
      <c r="H41" s="2">
        <f t="shared" si="3"/>
        <v>17.192826598228418</v>
      </c>
      <c r="I41" s="1">
        <f>(B41-B40)/(Table2[[#This Row],[T, F]]-H40)</f>
        <v>-4.2114102311423514</v>
      </c>
    </row>
    <row r="42" spans="2:9" x14ac:dyDescent="0.25">
      <c r="B42">
        <f t="shared" si="4"/>
        <v>876</v>
      </c>
      <c r="C42">
        <f t="shared" si="5"/>
        <v>0.8571428571428571</v>
      </c>
      <c r="D42" s="1">
        <f>D41+10000</f>
        <v>60000</v>
      </c>
      <c r="E42" s="1">
        <f t="shared" si="0"/>
        <v>1.791759469228055</v>
      </c>
      <c r="F42" s="1">
        <f t="shared" si="1"/>
        <v>261.55756485978486</v>
      </c>
      <c r="G42" s="2">
        <f t="shared" si="2"/>
        <v>-11.592435140215116</v>
      </c>
      <c r="H42" s="2">
        <f t="shared" si="3"/>
        <v>11.133616747612791</v>
      </c>
      <c r="I42" s="1">
        <f>(B42-B41)/(Table2[[#This Row],[T, F]]-H41)</f>
        <v>-3.960912493823193</v>
      </c>
    </row>
    <row r="43" spans="2:9" x14ac:dyDescent="0.25">
      <c r="B43">
        <f t="shared" si="4"/>
        <v>895</v>
      </c>
      <c r="C43">
        <f t="shared" si="5"/>
        <v>0.875</v>
      </c>
      <c r="D43" s="1">
        <f>D42+10000</f>
        <v>70000</v>
      </c>
      <c r="E43" s="1">
        <f t="shared" si="0"/>
        <v>1.9459101490553132</v>
      </c>
      <c r="F43" s="1">
        <f t="shared" si="1"/>
        <v>258.76720459312821</v>
      </c>
      <c r="G43" s="2">
        <f t="shared" si="2"/>
        <v>-14.382795406871764</v>
      </c>
      <c r="H43" s="2">
        <f t="shared" si="3"/>
        <v>6.1109682676308239</v>
      </c>
      <c r="I43" s="1">
        <f>(B43-B42)/(Table2[[#This Row],[T, F]]-H42)</f>
        <v>-3.7828647725847251</v>
      </c>
    </row>
    <row r="44" spans="2:9" x14ac:dyDescent="0.25">
      <c r="B44">
        <f t="shared" si="4"/>
        <v>909</v>
      </c>
      <c r="C44">
        <f t="shared" si="5"/>
        <v>0.88888888888888884</v>
      </c>
      <c r="D44" s="1">
        <f>D43+10000</f>
        <v>80000</v>
      </c>
      <c r="E44" s="1">
        <f t="shared" ref="E44:E60" si="6">LN(D44/$F$5)</f>
        <v>2.0794415416798357</v>
      </c>
      <c r="F44" s="1">
        <f t="shared" ref="F44:F60" si="7">1/(   (($F$9*E44+$F$8)*E44+$F$7)*E44+$F$6     )</f>
        <v>256.3902133151243</v>
      </c>
      <c r="G44" s="2">
        <f t="shared" ref="G44:G60" si="8">F44-273.15</f>
        <v>-16.759786684875678</v>
      </c>
      <c r="H44" s="2">
        <f t="shared" ref="H44:H60" si="9">G44*1.8+32</f>
        <v>1.8323839672237803</v>
      </c>
      <c r="I44" s="1">
        <f>(B44-B43)/(Table2[[#This Row],[T, F]]-H43)</f>
        <v>-3.2721103563784188</v>
      </c>
    </row>
    <row r="45" spans="2:9" x14ac:dyDescent="0.25">
      <c r="B45">
        <f t="shared" si="4"/>
        <v>920</v>
      </c>
      <c r="C45">
        <f t="shared" si="5"/>
        <v>0.9</v>
      </c>
      <c r="D45" s="1">
        <f>D44+10000</f>
        <v>90000</v>
      </c>
      <c r="E45" s="1">
        <f t="shared" si="6"/>
        <v>2.1972245773362196</v>
      </c>
      <c r="F45" s="1">
        <f t="shared" si="7"/>
        <v>254.32373764495316</v>
      </c>
      <c r="G45" s="2">
        <f t="shared" si="8"/>
        <v>-18.826262355046822</v>
      </c>
      <c r="H45" s="2">
        <f t="shared" si="9"/>
        <v>-1.8872722390842824</v>
      </c>
      <c r="I45" s="1">
        <f>(B45-B44)/(Table2[[#This Row],[T, F]]-H44)</f>
        <v>-2.9572625505941659</v>
      </c>
    </row>
    <row r="46" spans="2:9" x14ac:dyDescent="0.25">
      <c r="B46">
        <f t="shared" si="4"/>
        <v>930</v>
      </c>
      <c r="C46">
        <f t="shared" si="5"/>
        <v>0.90909090909090906</v>
      </c>
      <c r="D46" s="1">
        <f>D45+10000</f>
        <v>100000</v>
      </c>
      <c r="E46" s="1">
        <f t="shared" si="6"/>
        <v>2.3025850929940459</v>
      </c>
      <c r="F46" s="1">
        <f t="shared" si="7"/>
        <v>252.49867958730732</v>
      </c>
      <c r="G46" s="2">
        <f t="shared" si="8"/>
        <v>-20.651320412692655</v>
      </c>
      <c r="H46" s="2">
        <f t="shared" si="9"/>
        <v>-5.1723767428467795</v>
      </c>
      <c r="I46" s="1">
        <f>(B46-B45)/(Table2[[#This Row],[T, F]]-H45)</f>
        <v>-3.0440431920953492</v>
      </c>
    </row>
    <row r="47" spans="2:9" x14ac:dyDescent="0.25">
      <c r="B47">
        <f t="shared" si="4"/>
        <v>944</v>
      </c>
      <c r="C47">
        <f t="shared" si="5"/>
        <v>0.92307692307692313</v>
      </c>
      <c r="D47" s="1">
        <f>D46+20000</f>
        <v>120000</v>
      </c>
      <c r="E47" s="1">
        <f t="shared" si="6"/>
        <v>2.4849066497880004</v>
      </c>
      <c r="F47" s="1">
        <f t="shared" si="7"/>
        <v>249.39162030858526</v>
      </c>
      <c r="G47" s="2">
        <f t="shared" si="8"/>
        <v>-23.758379691414717</v>
      </c>
      <c r="H47" s="2">
        <f t="shared" si="9"/>
        <v>-10.765083444546491</v>
      </c>
      <c r="I47" s="1">
        <f>(B47-B46)/(Table2[[#This Row],[T, F]]-H46)</f>
        <v>-2.5032601827206817</v>
      </c>
    </row>
    <row r="48" spans="2:9" x14ac:dyDescent="0.25">
      <c r="B48">
        <f t="shared" si="4"/>
        <v>954</v>
      </c>
      <c r="C48">
        <f t="shared" si="5"/>
        <v>0.93333333333333335</v>
      </c>
      <c r="D48" s="1">
        <f>D47+20000</f>
        <v>140000</v>
      </c>
      <c r="E48" s="1">
        <f t="shared" si="6"/>
        <v>2.6390573296152584</v>
      </c>
      <c r="F48" s="1">
        <f t="shared" si="7"/>
        <v>246.81390467952389</v>
      </c>
      <c r="G48" s="2">
        <f t="shared" si="8"/>
        <v>-26.33609532047609</v>
      </c>
      <c r="H48" s="2">
        <f t="shared" si="9"/>
        <v>-15.404971576856965</v>
      </c>
      <c r="I48" s="1">
        <f>(B48-B47)/(Table2[[#This Row],[T, F]]-H47)</f>
        <v>-2.1552243749938018</v>
      </c>
    </row>
    <row r="49" spans="2:9" x14ac:dyDescent="0.25">
      <c r="B49">
        <f t="shared" si="4"/>
        <v>959</v>
      </c>
      <c r="C49">
        <f t="shared" si="5"/>
        <v>0.9375</v>
      </c>
      <c r="D49" s="1">
        <v>150000</v>
      </c>
      <c r="E49" s="1">
        <f t="shared" si="6"/>
        <v>2.7080502011022101</v>
      </c>
      <c r="F49" s="1">
        <f t="shared" si="7"/>
        <v>245.67448543646782</v>
      </c>
      <c r="G49" s="2">
        <f t="shared" si="8"/>
        <v>-27.475514563532158</v>
      </c>
      <c r="H49" s="2">
        <f t="shared" si="9"/>
        <v>-17.455926214357888</v>
      </c>
      <c r="I49" s="1">
        <f>(B49-B48)/(Table2[[#This Row],[T, F]]-H48)</f>
        <v>-2.437889121766474</v>
      </c>
    </row>
    <row r="50" spans="2:9" x14ac:dyDescent="0.25">
      <c r="B50">
        <f t="shared" si="4"/>
        <v>962</v>
      </c>
      <c r="C50">
        <f t="shared" si="5"/>
        <v>0.94117647058823528</v>
      </c>
      <c r="D50" s="1">
        <v>160000</v>
      </c>
      <c r="E50" s="1">
        <f t="shared" si="6"/>
        <v>2.7725887222397811</v>
      </c>
      <c r="F50" s="1">
        <f t="shared" si="7"/>
        <v>244.61649394746198</v>
      </c>
      <c r="G50" s="2">
        <f t="shared" si="8"/>
        <v>-28.533506052538002</v>
      </c>
      <c r="H50" s="2">
        <f t="shared" si="9"/>
        <v>-19.360310894568407</v>
      </c>
      <c r="I50" s="1">
        <f>(B50-B49)/(Table2[[#This Row],[T, F]]-H49)</f>
        <v>-1.575311979336216</v>
      </c>
    </row>
    <row r="51" spans="2:9" x14ac:dyDescent="0.25">
      <c r="B51">
        <f t="shared" si="4"/>
        <v>966</v>
      </c>
      <c r="C51">
        <f t="shared" si="5"/>
        <v>0.94444444444444442</v>
      </c>
      <c r="D51" s="1">
        <v>170000</v>
      </c>
      <c r="E51" s="1">
        <f t="shared" si="6"/>
        <v>2.8332133440562162</v>
      </c>
      <c r="F51" s="1">
        <f t="shared" si="7"/>
        <v>243.6295114367108</v>
      </c>
      <c r="G51" s="2">
        <f t="shared" si="8"/>
        <v>-29.520488563289177</v>
      </c>
      <c r="H51" s="2">
        <f t="shared" si="9"/>
        <v>-21.136879413920518</v>
      </c>
      <c r="I51" s="1">
        <f>(B51-B50)/(Table2[[#This Row],[T, F]]-H50)</f>
        <v>-2.2515315094397503</v>
      </c>
    </row>
    <row r="52" spans="2:9" x14ac:dyDescent="0.25">
      <c r="B52">
        <f t="shared" si="4"/>
        <v>969</v>
      </c>
      <c r="C52">
        <f t="shared" si="5"/>
        <v>0.94736842105263153</v>
      </c>
      <c r="D52" s="1">
        <v>180000</v>
      </c>
      <c r="E52" s="1">
        <f t="shared" si="6"/>
        <v>2.8903717578961645</v>
      </c>
      <c r="F52" s="1">
        <f t="shared" si="7"/>
        <v>242.70497233040174</v>
      </c>
      <c r="G52" s="2">
        <f t="shared" si="8"/>
        <v>-30.445027669598232</v>
      </c>
      <c r="H52" s="2">
        <f t="shared" si="9"/>
        <v>-22.801049805276818</v>
      </c>
      <c r="I52" s="1">
        <f>(B52-B51)/(Table2[[#This Row],[T, F]]-H51)</f>
        <v>-1.8027000213331501</v>
      </c>
    </row>
    <row r="53" spans="2:9" x14ac:dyDescent="0.25">
      <c r="B53">
        <f t="shared" si="4"/>
        <v>971</v>
      </c>
      <c r="C53">
        <f t="shared" si="5"/>
        <v>0.95</v>
      </c>
      <c r="D53" s="1">
        <v>190000</v>
      </c>
      <c r="E53" s="1">
        <f t="shared" si="6"/>
        <v>2.9444389791664403</v>
      </c>
      <c r="F53" s="1">
        <f t="shared" si="7"/>
        <v>241.83575216269401</v>
      </c>
      <c r="G53" s="2">
        <f t="shared" si="8"/>
        <v>-31.31424783730597</v>
      </c>
      <c r="H53" s="2">
        <f t="shared" si="9"/>
        <v>-24.365646107150745</v>
      </c>
      <c r="I53" s="1">
        <f>(B53-B52)/(Table2[[#This Row],[T, F]]-H52)</f>
        <v>-1.2782850103918741</v>
      </c>
    </row>
    <row r="54" spans="2:9" x14ac:dyDescent="0.25">
      <c r="B54">
        <f t="shared" si="4"/>
        <v>974</v>
      </c>
      <c r="C54">
        <f t="shared" si="5"/>
        <v>0.95238095238095233</v>
      </c>
      <c r="D54" s="1">
        <v>200000</v>
      </c>
      <c r="E54" s="1">
        <f t="shared" si="6"/>
        <v>2.9957322735539909</v>
      </c>
      <c r="F54" s="1">
        <f t="shared" si="7"/>
        <v>241.01586357236442</v>
      </c>
      <c r="G54" s="2">
        <f t="shared" si="8"/>
        <v>-32.134136427635553</v>
      </c>
      <c r="H54" s="2">
        <f t="shared" si="9"/>
        <v>-25.841445569743996</v>
      </c>
      <c r="I54" s="1">
        <f>(B54-B53)/(Table2[[#This Row],[T, F]]-H53)</f>
        <v>-2.0327965120196265</v>
      </c>
    </row>
    <row r="55" spans="2:9" x14ac:dyDescent="0.25">
      <c r="B55">
        <f t="shared" si="4"/>
        <v>976</v>
      </c>
      <c r="C55">
        <f t="shared" si="5"/>
        <v>0.95454545454545459</v>
      </c>
      <c r="D55" s="1">
        <v>210000</v>
      </c>
      <c r="E55" s="1">
        <f t="shared" si="6"/>
        <v>3.044522437723423</v>
      </c>
      <c r="F55" s="1">
        <f t="shared" si="7"/>
        <v>240.24022814358145</v>
      </c>
      <c r="G55" s="2">
        <f t="shared" si="8"/>
        <v>-32.90977185641853</v>
      </c>
      <c r="H55" s="2">
        <f t="shared" si="9"/>
        <v>-27.237589341553353</v>
      </c>
      <c r="I55" s="1">
        <f>(B55-B54)/(Table2[[#This Row],[T, F]]-H54)</f>
        <v>-1.4325172237871076</v>
      </c>
    </row>
    <row r="56" spans="2:9" x14ac:dyDescent="0.25">
      <c r="B56">
        <f t="shared" si="4"/>
        <v>978</v>
      </c>
      <c r="C56">
        <f t="shared" si="5"/>
        <v>0.95652173913043481</v>
      </c>
      <c r="D56" s="1">
        <v>220000</v>
      </c>
      <c r="E56" s="1">
        <f t="shared" si="6"/>
        <v>3.0910424533583161</v>
      </c>
      <c r="F56" s="1">
        <f t="shared" si="7"/>
        <v>239.50450251825038</v>
      </c>
      <c r="G56" s="2">
        <f t="shared" si="8"/>
        <v>-33.645497481749601</v>
      </c>
      <c r="H56" s="2">
        <f t="shared" si="9"/>
        <v>-28.561895467149284</v>
      </c>
      <c r="I56" s="1">
        <f>(B56-B55)/(Table2[[#This Row],[T, F]]-H55)</f>
        <v>-1.5102248349867058</v>
      </c>
    </row>
    <row r="57" spans="2:9" x14ac:dyDescent="0.25">
      <c r="B57">
        <f t="shared" si="4"/>
        <v>980</v>
      </c>
      <c r="C57">
        <f t="shared" si="5"/>
        <v>0.95833333333333337</v>
      </c>
      <c r="D57" s="1">
        <v>230000</v>
      </c>
      <c r="E57" s="1">
        <f t="shared" si="6"/>
        <v>3.1354942159291497</v>
      </c>
      <c r="F57" s="1">
        <f t="shared" si="7"/>
        <v>238.80494403025665</v>
      </c>
      <c r="G57" s="2">
        <f t="shared" si="8"/>
        <v>-34.345055969743328</v>
      </c>
      <c r="H57" s="2">
        <f t="shared" si="9"/>
        <v>-29.82110074553799</v>
      </c>
      <c r="I57" s="1">
        <f>(B57-B56)/(Table2[[#This Row],[T, F]]-H56)</f>
        <v>-1.5883033801758077</v>
      </c>
    </row>
    <row r="58" spans="2:9" x14ac:dyDescent="0.25">
      <c r="B58">
        <f t="shared" si="4"/>
        <v>982</v>
      </c>
      <c r="C58">
        <f t="shared" si="5"/>
        <v>0.96</v>
      </c>
      <c r="D58" s="1">
        <v>240000</v>
      </c>
      <c r="E58" s="1">
        <f t="shared" si="6"/>
        <v>3.1780538303479458</v>
      </c>
      <c r="F58" s="1">
        <f t="shared" si="7"/>
        <v>238.13830557811886</v>
      </c>
      <c r="G58" s="2">
        <f t="shared" si="8"/>
        <v>-35.011694421881117</v>
      </c>
      <c r="H58" s="2">
        <f t="shared" si="9"/>
        <v>-31.021049959386012</v>
      </c>
      <c r="I58" s="1">
        <f>(B58-B57)/(Table2[[#This Row],[T, F]]-H57)</f>
        <v>-1.6667372059742083</v>
      </c>
    </row>
    <row r="59" spans="2:9" x14ac:dyDescent="0.25">
      <c r="B59">
        <f t="shared" si="4"/>
        <v>983</v>
      </c>
      <c r="C59">
        <f t="shared" si="5"/>
        <v>0.96153846153846156</v>
      </c>
      <c r="D59" s="1">
        <v>250000</v>
      </c>
      <c r="E59" s="1">
        <f t="shared" si="6"/>
        <v>3.2188758248682006</v>
      </c>
      <c r="F59" s="1">
        <f t="shared" si="7"/>
        <v>237.50175243913426</v>
      </c>
      <c r="G59" s="2">
        <f t="shared" si="8"/>
        <v>-35.648247560865713</v>
      </c>
      <c r="H59" s="2">
        <f t="shared" si="9"/>
        <v>-32.16684560955828</v>
      </c>
      <c r="I59" s="1">
        <f>(B59-B58)/(Table2[[#This Row],[T, F]]-H58)</f>
        <v>-0.87275597515983971</v>
      </c>
    </row>
    <row r="60" spans="2:9" x14ac:dyDescent="0.25">
      <c r="B60">
        <f t="shared" si="4"/>
        <v>985</v>
      </c>
      <c r="C60">
        <f t="shared" si="5"/>
        <v>0.96296296296296291</v>
      </c>
      <c r="D60" s="1">
        <v>260000</v>
      </c>
      <c r="E60" s="1">
        <f t="shared" si="6"/>
        <v>3.2580965380214821</v>
      </c>
      <c r="F60" s="1">
        <f t="shared" si="7"/>
        <v>236.89279576410235</v>
      </c>
      <c r="G60" s="2">
        <f t="shared" si="8"/>
        <v>-36.257204235897632</v>
      </c>
      <c r="H60" s="2">
        <f t="shared" si="9"/>
        <v>-33.26296762461574</v>
      </c>
      <c r="I60" s="1">
        <f>(B60-B59)/(Table2[[#This Row],[T, F]]-H59)</f>
        <v>-1.8246143882943149</v>
      </c>
    </row>
  </sheetData>
  <sortState ref="D8:H53">
    <sortCondition ref="D7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</dc:creator>
  <cp:lastModifiedBy>Pete</cp:lastModifiedBy>
  <dcterms:created xsi:type="dcterms:W3CDTF">2014-01-07T17:14:02Z</dcterms:created>
  <dcterms:modified xsi:type="dcterms:W3CDTF">2014-01-12T20:13:08Z</dcterms:modified>
</cp:coreProperties>
</file>