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cessDes" sheetId="1" r:id="rId4"/>
    <sheet state="visible" name="CapCost" sheetId="2" r:id="rId5"/>
    <sheet state="visible" name="O&amp;MCost" sheetId="3" r:id="rId6"/>
    <sheet state="visible" name="Financial" sheetId="4" r:id="rId7"/>
    <sheet state="visible" name="CaseStudy " sheetId="5" r:id="rId8"/>
    <sheet state="visible" name="Refs " sheetId="6" r:id="rId9"/>
  </sheets>
  <definedNames>
    <definedName localSheetId="3" name="solver_opt">Financial!$O$27</definedName>
    <definedName localSheetId="4" name="solver_opt">#REF!</definedName>
    <definedName localSheetId="3" name="solver_adj">Financial!$C$9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6">
      <text>
        <t xml:space="preserve">Li, Jia:
Ref. 16, CEPCI = 610.</t>
      </text>
    </comment>
    <comment authorId="0" ref="I6">
      <text>
        <t xml:space="preserve">Li, Jia:
set installation factor = 3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
      <text>
        <t xml:space="preserve">Li, Jia:
Assumed</t>
      </text>
    </comment>
    <comment authorId="0" ref="C8">
      <text>
        <t xml:space="preserve">Li, Jia:
 5-year MACRS
year 1 20%
year 2 32%
year 3 19.2%
year 4 11.52%
year 5 11.52%
year 6 5.76%</t>
      </text>
    </comment>
    <comment authorId="0" ref="C9">
      <text>
        <t xml:space="preserve">Li, Jia:
solver to have the break even price.</t>
      </text>
    </comment>
  </commentList>
</comments>
</file>

<file path=xl/sharedStrings.xml><?xml version="1.0" encoding="utf-8"?>
<sst xmlns="http://schemas.openxmlformats.org/spreadsheetml/2006/main" count="491" uniqueCount="409">
  <si>
    <t>Southern California Gas Biogas Project</t>
  </si>
  <si>
    <t>Process Description:</t>
  </si>
  <si>
    <t xml:space="preserve">The food waste and livestock waste are mixed and sent to the an anaerobic digester to generate biogas. The digested paste is sent out as solid waste. After cooling and condensing, the biogas is compressed by a two stage compressor with intercooler. The compressed biogas is then upgraded by an Amine system, where the Amine solution MDEA is applied to remove CO2 and H2S. The upgraded biogas is dried and/or purified by a dryer/adsorber and sent to the SoCalGas natural gas grid.   </t>
  </si>
  <si>
    <t>CW: cooling water</t>
  </si>
  <si>
    <t>Base Case Simulation Settings</t>
  </si>
  <si>
    <t>LPS: low pressure steam</t>
  </si>
  <si>
    <t xml:space="preserve">Stream ID </t>
  </si>
  <si>
    <t>Stream Description</t>
  </si>
  <si>
    <t>Food waste</t>
  </si>
  <si>
    <t>Mass flow</t>
  </si>
  <si>
    <t>tons/year</t>
  </si>
  <si>
    <t>Ref. 4</t>
  </si>
  <si>
    <t>kg/hr (8000 opt. hour/year)</t>
  </si>
  <si>
    <t xml:space="preserve">Green waste </t>
  </si>
  <si>
    <t>Total waste feed</t>
  </si>
  <si>
    <t>Biogas from digester</t>
  </si>
  <si>
    <t>Volumetric flow</t>
  </si>
  <si>
    <t>m3/year</t>
  </si>
  <si>
    <t>Ref. 30. set to 120 m3/kg</t>
  </si>
  <si>
    <t>tonne/year</t>
  </si>
  <si>
    <t>simulation</t>
  </si>
  <si>
    <t>m3/tonne</t>
  </si>
  <si>
    <t>cf/year</t>
  </si>
  <si>
    <t>scfm (8000 hour/year)</t>
  </si>
  <si>
    <t>Conversion rate</t>
  </si>
  <si>
    <t>m3/kg</t>
  </si>
  <si>
    <t>Note: Ref. 6, 7 has 0.1m3/kg, 1.6 scf/lb</t>
  </si>
  <si>
    <t>scf/lb</t>
  </si>
  <si>
    <t>Composition (mole)</t>
  </si>
  <si>
    <t>CH4</t>
  </si>
  <si>
    <t>Ref. 2</t>
  </si>
  <si>
    <t>CO2</t>
  </si>
  <si>
    <t>H2S</t>
  </si>
  <si>
    <t>100 ppm</t>
  </si>
  <si>
    <t>Others</t>
  </si>
  <si>
    <t>&lt;2%</t>
  </si>
  <si>
    <t>7, 10, 12, 19</t>
  </si>
  <si>
    <t>CW cooler outlet temperature</t>
  </si>
  <si>
    <t>C</t>
  </si>
  <si>
    <t>Stream ID</t>
  </si>
  <si>
    <t>After compressing</t>
  </si>
  <si>
    <t>Pressure</t>
  </si>
  <si>
    <t>barg</t>
  </si>
  <si>
    <t>Ref. 1</t>
  </si>
  <si>
    <t>psig</t>
  </si>
  <si>
    <t>Emission reduction:</t>
  </si>
  <si>
    <t>Upgaded biogas to grid</t>
  </si>
  <si>
    <t>Waste mass flow</t>
  </si>
  <si>
    <t>RNG product</t>
  </si>
  <si>
    <t>kmol CH4/year</t>
  </si>
  <si>
    <t>22.4 l/mol</t>
  </si>
  <si>
    <t>kg CH4/year</t>
  </si>
  <si>
    <r>
      <rPr>
        <rFont val="Arial"/>
        <b/>
        <color rgb="FF202124"/>
        <sz val="8.0"/>
      </rPr>
      <t>Methane 0.657 kg</t>
    </r>
    <r>
      <rPr>
        <rFont val="Arial"/>
        <b val="0"/>
        <color rgb="FF202124"/>
        <sz val="8.0"/>
      </rPr>
      <t>/m³</t>
    </r>
  </si>
  <si>
    <t>kg CO2e/year</t>
  </si>
  <si>
    <r>
      <rPr>
        <rFont val="Arial"/>
        <color rgb="FF4D5156"/>
        <sz val="7.0"/>
      </rPr>
      <t>the GWP for </t>
    </r>
    <r>
      <rPr>
        <rFont val="Arial"/>
        <b/>
        <color rgb="FF5F6368"/>
        <sz val="7.0"/>
      </rPr>
      <t>methane</t>
    </r>
    <r>
      <rPr>
        <rFont val="Arial"/>
        <color rgb="FF4D5156"/>
        <sz val="7.0"/>
      </rPr>
      <t> is 25 </t>
    </r>
  </si>
  <si>
    <t>Heat of combustion</t>
  </si>
  <si>
    <t>MMBtu/hr</t>
  </si>
  <si>
    <t>1020 btu/scf</t>
  </si>
  <si>
    <t>Replaced fossil NG</t>
  </si>
  <si>
    <t>MMBtu/year (8000 hour/year)</t>
  </si>
  <si>
    <t>CO2 emission</t>
  </si>
  <si>
    <t>kmol CO2/year</t>
  </si>
  <si>
    <t>dge/year (139,000btu/dge)</t>
  </si>
  <si>
    <t xml:space="preserve">kg CO2e/ton waste </t>
  </si>
  <si>
    <t>kg CO2e/ton waste</t>
  </si>
  <si>
    <t>&gt;98%</t>
  </si>
  <si>
    <t>&lt;1%</t>
  </si>
  <si>
    <t>n/a</t>
  </si>
  <si>
    <t>&lt;0.5%</t>
  </si>
  <si>
    <t>Removed CO2 &amp; H2S</t>
  </si>
  <si>
    <t>kg/hr</t>
  </si>
  <si>
    <t>19.253 scf/kg CO2</t>
  </si>
  <si>
    <t>Capital Cost Estimation</t>
  </si>
  <si>
    <t>CEPCI = 610</t>
  </si>
  <si>
    <t>Equipment cost:</t>
  </si>
  <si>
    <t>ID</t>
  </si>
  <si>
    <t>Description</t>
  </si>
  <si>
    <t>Simulation basis</t>
  </si>
  <si>
    <t>Simulation results</t>
  </si>
  <si>
    <t>Sizing basis</t>
  </si>
  <si>
    <t>Sizing results</t>
  </si>
  <si>
    <t>Costing basis</t>
  </si>
  <si>
    <t>f.o.b. cost (equipment)</t>
  </si>
  <si>
    <t>Bare module cost (installed)</t>
  </si>
  <si>
    <t>Notes</t>
  </si>
  <si>
    <t>M-101</t>
  </si>
  <si>
    <t>R-101</t>
  </si>
  <si>
    <t>15 days</t>
  </si>
  <si>
    <t>Ref. 24</t>
  </si>
  <si>
    <t xml:space="preserve">Ref. 20 f.o.b. cost 33MM$. Ref. 22 MM$5.6~8.7 installed cost. </t>
  </si>
  <si>
    <t>C-101</t>
  </si>
  <si>
    <t>1st-stage biogas compressor</t>
  </si>
  <si>
    <t>1 bara - 4 bara</t>
  </si>
  <si>
    <t>26 kW for 403 cum/hr</t>
  </si>
  <si>
    <t>Ref. 16, 26 kW Reciprocating, SS304</t>
  </si>
  <si>
    <t>Reciprocating type selected according to the flow</t>
  </si>
  <si>
    <t>C-102</t>
  </si>
  <si>
    <t>2nd-stage biogas compressor</t>
  </si>
  <si>
    <t>4 bara - 16 bara</t>
  </si>
  <si>
    <t>E-101</t>
  </si>
  <si>
    <t>as part of the compressing</t>
  </si>
  <si>
    <t>E-102</t>
  </si>
  <si>
    <t>V-101</t>
  </si>
  <si>
    <t>Amine system</t>
  </si>
  <si>
    <t>Amine system to remove 247 kg/hr CO2</t>
  </si>
  <si>
    <t>Ref. 17 Table D.5. scale down at 0.67 factor</t>
  </si>
  <si>
    <t>Amine system as a whole</t>
  </si>
  <si>
    <t>T-101</t>
  </si>
  <si>
    <t>T-102</t>
  </si>
  <si>
    <t>E-103</t>
  </si>
  <si>
    <t>E-104</t>
  </si>
  <si>
    <t>E-105</t>
  </si>
  <si>
    <t>E-106</t>
  </si>
  <si>
    <t>P-101</t>
  </si>
  <si>
    <t>D-101</t>
  </si>
  <si>
    <t>Disscant for water removal, active carbone for siloxanes removal.</t>
  </si>
  <si>
    <t>Assumed</t>
  </si>
  <si>
    <t>Including packings</t>
  </si>
  <si>
    <t>Flare system</t>
  </si>
  <si>
    <t>Ref. 19, assumed</t>
  </si>
  <si>
    <t>Injection point</t>
  </si>
  <si>
    <t>Ref. 8 with 50% subsides already</t>
  </si>
  <si>
    <t>Injection point Ref. 8</t>
  </si>
  <si>
    <t xml:space="preserve">Total </t>
  </si>
  <si>
    <t>Fixed capital investment (FCI) without land</t>
  </si>
  <si>
    <t>18% more for contingency and fee</t>
  </si>
  <si>
    <t>Operation and Maintenance (O&amp;M) Cost Estimation</t>
  </si>
  <si>
    <t>RM = raw materials, WT = waste treatment, UT = utilities, OL = operating labor, FCI = fixed capital investment (total module or grass roots)</t>
  </si>
  <si>
    <t>Ref. 18</t>
  </si>
  <si>
    <t>Raw Materials</t>
  </si>
  <si>
    <t>$/year</t>
  </si>
  <si>
    <t>Tipping fee is $20/tonne</t>
  </si>
  <si>
    <t>Livestock waste</t>
  </si>
  <si>
    <t>Waste collection fee</t>
  </si>
  <si>
    <t>Waste Treatment</t>
  </si>
  <si>
    <t>Solid waste (digested paste)</t>
  </si>
  <si>
    <t xml:space="preserve">Ref. 27 shows the solid waste could be sold to the farmers. </t>
  </si>
  <si>
    <t>Liquid waste (water)</t>
  </si>
  <si>
    <t>assume</t>
  </si>
  <si>
    <t>Gas waste (CO2, H2S)</t>
  </si>
  <si>
    <t>to flare</t>
  </si>
  <si>
    <t xml:space="preserve">Utility </t>
  </si>
  <si>
    <t>Electricity for compressors</t>
  </si>
  <si>
    <t>52 kW for compressor, 60 kW for total. $0.13/kWh</t>
  </si>
  <si>
    <t>Steam for reboiler</t>
  </si>
  <si>
    <t>0.75 GJ/hr from Ref. 17. Assume $18/GJ steam.</t>
  </si>
  <si>
    <t>CW for coolers</t>
  </si>
  <si>
    <t>0.35 GJ/hr from Ref. 17. Assume $0.5/GJ Cooling water</t>
  </si>
  <si>
    <t>Operating Labor</t>
  </si>
  <si>
    <t xml:space="preserve"># of Operator </t>
  </si>
  <si>
    <t>Labor cost</t>
  </si>
  <si>
    <t>FCI</t>
  </si>
  <si>
    <t>from the CapCost estimation</t>
  </si>
  <si>
    <t>$</t>
  </si>
  <si>
    <t>Cost of Manufacturing (without depreciation)</t>
  </si>
  <si>
    <t>COMd =</t>
  </si>
  <si>
    <t>COM factor</t>
  </si>
  <si>
    <t>Financial Analysis (Ref. 18)</t>
  </si>
  <si>
    <t>Un-depreciation Land Cost</t>
  </si>
  <si>
    <t>Discounted Profitability Criteria</t>
  </si>
  <si>
    <t>Fixed Capital Investment (no land)</t>
  </si>
  <si>
    <t>End of year, k</t>
  </si>
  <si>
    <t>Investment</t>
  </si>
  <si>
    <t>dk (depreciation)</t>
  </si>
  <si>
    <t>FCIL-sum(dk)</t>
  </si>
  <si>
    <t>Revenue</t>
  </si>
  <si>
    <t>COMd</t>
  </si>
  <si>
    <t>(R-COMd-dk)(1-t)+dk</t>
  </si>
  <si>
    <t>Cash flow</t>
  </si>
  <si>
    <t>Sum(CF)</t>
  </si>
  <si>
    <t>Disc CF</t>
  </si>
  <si>
    <t>Sum(Disc CF)</t>
  </si>
  <si>
    <t>1st year FCI</t>
  </si>
  <si>
    <t>2nd year FCI</t>
  </si>
  <si>
    <t>Working Capital</t>
  </si>
  <si>
    <t>Depreciation Method</t>
  </si>
  <si>
    <t>5-year MACRS</t>
  </si>
  <si>
    <t>Bio Natural gas Sale Price $/MMBtu</t>
  </si>
  <si>
    <t>$2.95/MMBtu</t>
  </si>
  <si>
    <t>Bio Natural gas Sale Revenue $/yr</t>
  </si>
  <si>
    <t>Waste tipping fee (in revenue) $/yr</t>
  </si>
  <si>
    <t>$80/ton</t>
  </si>
  <si>
    <t>Cost of Manufacture $/yr</t>
  </si>
  <si>
    <t>Tax Rate</t>
  </si>
  <si>
    <t xml:space="preserve">Salvage Value </t>
  </si>
  <si>
    <t>Interst Rate</t>
  </si>
  <si>
    <t>Other Information</t>
  </si>
  <si>
    <t>2 year construction, 20 year operation</t>
  </si>
  <si>
    <t>LCFS credit/MMBtu (carbon intensity of 50)</t>
  </si>
  <si>
    <t>RINs credit/MMBtu (D3 at $2.30)</t>
  </si>
  <si>
    <t>Commodity price/MMBtu of Natural Gas</t>
  </si>
  <si>
    <t>Total price (credits+commodity price)/MMBtu</t>
  </si>
  <si>
    <t xml:space="preserve">Total price (LCFS credits + RINs + commodity price) = $41.77/MMBtu. The breakeven price should be lower than this number to have profit. </t>
  </si>
  <si>
    <t>Operation year = 20</t>
  </si>
  <si>
    <t>FCI ($)</t>
  </si>
  <si>
    <t>O&amp;M (no tipping, $/yr)</t>
  </si>
  <si>
    <t>Tipping fee ($/ton waste)</t>
  </si>
  <si>
    <t>Interest rate</t>
  </si>
  <si>
    <t>Breakeven price $/MMBtu</t>
  </si>
  <si>
    <t>Payback year (after startup)</t>
  </si>
  <si>
    <t>Case 1</t>
  </si>
  <si>
    <t>Case 2</t>
  </si>
  <si>
    <t>Case 3</t>
  </si>
  <si>
    <t>Case 4</t>
  </si>
  <si>
    <t>Case 5</t>
  </si>
  <si>
    <t>Case 6</t>
  </si>
  <si>
    <t>Case 7</t>
  </si>
  <si>
    <t>Case 8</t>
  </si>
  <si>
    <t>Case 9</t>
  </si>
  <si>
    <t>Case 10</t>
  </si>
  <si>
    <t>Case 11</t>
  </si>
  <si>
    <t>Case 12</t>
  </si>
  <si>
    <t>Case 13</t>
  </si>
  <si>
    <t>Case 14</t>
  </si>
  <si>
    <t>Case 15</t>
  </si>
  <si>
    <t>Case 16</t>
  </si>
  <si>
    <t>Case 5-1 ($3M fund)</t>
  </si>
  <si>
    <t>Case 5-2 ($6M fund)</t>
  </si>
  <si>
    <t>Case 5-3 ($9M fund)</t>
  </si>
  <si>
    <t>Case 5-4 ($12M fund)</t>
  </si>
  <si>
    <t>Case 5-5 ($15M fund)</t>
  </si>
  <si>
    <r>
      <rPr>
        <rFont val="Calibri"/>
        <color theme="1"/>
        <sz val="11.0"/>
      </rPr>
      <t xml:space="preserve">Pressure of NG grid. </t>
    </r>
    <r>
      <rPr>
        <rFont val="Calibri"/>
        <color rgb="FFFF0000"/>
        <sz val="11.0"/>
      </rPr>
      <t xml:space="preserve">Assume to be 15 barg. Need to be confirmed with CCP NG grid interconnection. </t>
    </r>
  </si>
  <si>
    <t>http://gasprocessingnews.com/features/202004/natural-gas-pipeline-systems-and-operations.aspx</t>
  </si>
  <si>
    <t>Biogas Cleaning and Upgrading Technologies</t>
  </si>
  <si>
    <t>https://ohioline.osu.edu/factsheet/AEX-653.1-14</t>
  </si>
  <si>
    <t>Ref. 3</t>
  </si>
  <si>
    <t>Single-Stage Biogas Upgrading to Biomethane</t>
  </si>
  <si>
    <t>http://www.ces.fau.edu/research/janke/biogas-to-biomethane-2020.php</t>
  </si>
  <si>
    <t>CPP work, total waste 29480 tons/year. biogas 3.226MMm3/year</t>
  </si>
  <si>
    <t>https://docs.google.com/spreadsheets/d/1tFNFBGsmi8ibV8whMBNi5Im8o_MP_ovY1NFXWoQRIFs/edit#gid=1568644564</t>
  </si>
  <si>
    <t>higher than 0.1 m3/kg</t>
  </si>
  <si>
    <t>lb/year</t>
  </si>
  <si>
    <t>lb/min</t>
  </si>
  <si>
    <t>ft3/lb</t>
  </si>
  <si>
    <t>Ref. 5</t>
  </si>
  <si>
    <t>Sizing of the Biogas Plant</t>
  </si>
  <si>
    <t>https://energypedia.info/wiki/Sizing_of_the_Biogas_Plant</t>
  </si>
  <si>
    <t>Ref. 6</t>
  </si>
  <si>
    <t>Biogas production from anaerobic digestion of food waste and relevant air quality implications.pdf</t>
  </si>
  <si>
    <t>https://www.tandfonline.com/doi/pdf/10.1080/10962247.2017.1316326#:~:text=Yields%20from%20anaerobic%20digestion%20can,ton%20of%20raw%20food%20waste.</t>
  </si>
  <si>
    <t>Methane production 6-8.5 ft3/lb total solid applied, which is 4 times more than Ref. 4</t>
  </si>
  <si>
    <t xml:space="preserve">after 15 days of anaerobic digestion. </t>
  </si>
  <si>
    <t>"Yields from anaerobic digestion can be as high as 3,200 standard cubic feet (scf), 90.6 m3 , methane per ton of raw food waste. "</t>
  </si>
  <si>
    <t>Ref. 7</t>
  </si>
  <si>
    <t>Current Anaerobic Digestion Technologies Used for Treatment of Municipal Organic Solid Waste</t>
  </si>
  <si>
    <t>https://www.cityofpaloalto.org/civicax/filebank/documents/15798</t>
  </si>
  <si>
    <t>Ref. 8</t>
  </si>
  <si>
    <t>Washington state univ. cost estimation sheet</t>
  </si>
  <si>
    <t>ADBCv2-48.xlsm</t>
  </si>
  <si>
    <t>911,500 m3 CH4/year</t>
  </si>
  <si>
    <t>Our CPP case is 1,378,000 m3/year, about 1.5 more than the example. Initial capital cost estimation is 1.5^0.6=1.28</t>
  </si>
  <si>
    <t>Ref. 9</t>
  </si>
  <si>
    <t>https://csf.uw.edu/application/uw-anaerobic-digester-food-waste-renewable-energy-public-health-phase-2</t>
  </si>
  <si>
    <t>200,000$ investment for 40 t/y food waste. 220lb/day</t>
  </si>
  <si>
    <t>Ref. 10</t>
  </si>
  <si>
    <t>https://impactbioenergy.com/</t>
  </si>
  <si>
    <t xml:space="preserve">Vendor for UW 40t/y system. </t>
  </si>
  <si>
    <t>Ref. 11</t>
  </si>
  <si>
    <t>https://docs.google.com/spreadsheets/d/1adqXNLshpdtSrrYYCb_EhcowQmGzlTCYBdhn5kmkBbY/edit#gid=0</t>
  </si>
  <si>
    <t xml:space="preserve">USD read. The capacity is 8100 ton/year. Generate 2.3 MMkWh/year. Itemlized capital cost from 8.3MM$ to 14 MM$ to 23MM$. O&amp;M $700,000/y to 1MM$/y. Revenue $660,000/y to 1.3MM$/y. </t>
  </si>
  <si>
    <t xml:space="preserve">Revenue includes tipping fee $30/ton, electricity sale, and CO2 credit (1923 MTCO2E, $20/MTCO2). </t>
  </si>
  <si>
    <t>Ref. 12</t>
  </si>
  <si>
    <t>https://docs.google.com/spreadsheets/d/1tFNFBGsmi8ibV8whMBNi5Im8o_MP_ovY1NFXWoQRIFs/edit#gid=2056716090</t>
  </si>
  <si>
    <t xml:space="preserve">CPP Master sheet. 30,000 ton/year food waste. 3.2MMm3/year biogas. In waste functions. </t>
  </si>
  <si>
    <r>
      <rPr>
        <rFont val="Calibri"/>
        <color theme="1"/>
        <sz val="11.0"/>
      </rPr>
      <t xml:space="preserve">24,000 ton/year food waste in financial analysis. 13.5 MM$ FCI. 1.15 MM$/y O&amp;M. (both by proportional equation). </t>
    </r>
    <r>
      <rPr>
        <rFont val="Calibri"/>
        <color rgb="FFFF0000"/>
        <sz val="11.0"/>
      </rPr>
      <t>Capacity? Estimate model?</t>
    </r>
  </si>
  <si>
    <r>
      <rPr>
        <rFont val="Calibri"/>
        <color theme="1"/>
        <sz val="11.0"/>
      </rPr>
      <t xml:space="preserve">Revenue includes tipping fee $20/ton, D5 RIN credit $0.48/dge, LCFS credit $1.81/dge (diesel gallon equivalent). </t>
    </r>
    <r>
      <rPr>
        <rFont val="Calibri"/>
        <color rgb="FFFF0000"/>
        <sz val="11.0"/>
      </rPr>
      <t xml:space="preserve">Can we use it as our credit? Gas vs. liquid. No CO2 credit? </t>
    </r>
  </si>
  <si>
    <t>139,000 btu/dge. Total credit 0.48+1.81 = 2.29$/dge = $16.5/MMBtu.</t>
  </si>
  <si>
    <t>Ref. 13</t>
  </si>
  <si>
    <t>https://www.socalgas.com/clean-energy/renewable-gas/additional-information-and-resources</t>
  </si>
  <si>
    <t xml:space="preserve">from Kelly W. </t>
  </si>
  <si>
    <t>Ref. 14</t>
  </si>
  <si>
    <t>SCAQMD_PR1118.1_WorkgroupMtg_10-24-17_SoCalGas.pdf</t>
  </si>
  <si>
    <t>83k tons/year waste - 1MM dge/year</t>
  </si>
  <si>
    <t>10 million gallons/year of liquids (fertilizer) and 35,000 tons/year of solids</t>
  </si>
  <si>
    <t>(soil product)</t>
  </si>
  <si>
    <t>▪ Equipment Vendors: Eisenman (anaerobic digestion) and Greenlane Biogas (biogas upgrading)</t>
  </si>
  <si>
    <r>
      <rPr>
        <rFont val="Calibri"/>
        <color theme="1"/>
        <sz val="11.0"/>
      </rPr>
      <t xml:space="preserve">▪ Cost: Over $100 million at full buildout. </t>
    </r>
    <r>
      <rPr>
        <rFont val="Calibri"/>
        <color rgb="FFFF0000"/>
        <sz val="11.0"/>
      </rPr>
      <t>This investment is for four plants or one plant?</t>
    </r>
  </si>
  <si>
    <r>
      <rPr>
        <rFont val="Calibri"/>
        <color theme="1"/>
        <sz val="11.0"/>
      </rPr>
      <t xml:space="preserve">$47/MMBtu for WWTP biogas. $77/MMBtu for diary biogas, when combining LCFS and RIN. </t>
    </r>
    <r>
      <rPr>
        <rFont val="Calibri"/>
        <color rgb="FFFF0000"/>
        <sz val="11.0"/>
      </rPr>
      <t xml:space="preserve">Don't know why diary biogas could be more expensive. </t>
    </r>
  </si>
  <si>
    <t>1-1.5million scf/day. 700-1000 scf/min is a good scale</t>
  </si>
  <si>
    <r>
      <rPr>
        <rFont val="Calibri"/>
        <color theme="1"/>
        <sz val="11.0"/>
      </rPr>
      <t xml:space="preserve">Pipeline interconnection cost is 1/30 (1000ft) 1/3 (10000ft). Breakdown includes interconnection subsidy of 50%, maximum of $3.0 million per project. </t>
    </r>
    <r>
      <rPr>
        <rFont val="Calibri"/>
        <color rgb="FFFF0000"/>
        <sz val="11.0"/>
      </rPr>
      <t xml:space="preserve">Need to know the pipeline length. </t>
    </r>
  </si>
  <si>
    <t>Ref. 15</t>
  </si>
  <si>
    <t>https://www.socalgas.com/sites/default/files/2020-01/Black-Veatch_Biogas_UpgradingTechnology_Study_2019.pdf</t>
  </si>
  <si>
    <t>from Kelly W. Black-Veatch</t>
  </si>
  <si>
    <t>Note that these costs are solely for biogas cleaning and injection into the utility pipeline, and do not include any costs for biogas production.</t>
  </si>
  <si>
    <t>Ref. 16</t>
  </si>
  <si>
    <t>W.D. Seider, J.D. Seader, D.R. Lewin, Product &amp; Process Design Principles, 2nd ed., Wiley (2004)</t>
  </si>
  <si>
    <t>CWB costing sheet</t>
  </si>
  <si>
    <t>Ref. 17</t>
  </si>
  <si>
    <t>https://llnl.primo.exlibrisgroup.com/discovery/delivery/01LLNL_INST:01LLNL_INST/1246163530006316</t>
  </si>
  <si>
    <t>Aminecost2.pdf</t>
  </si>
  <si>
    <t>Feed flue gas 914,400 cum/hr, CO2 9.7mol%, 88751 cum/hr, 144tonne/hr. Capital cost. Reboiler duty 380-440GJ/hr. CW ~200 GJ/hr</t>
  </si>
  <si>
    <t>2011 thousand US$</t>
  </si>
  <si>
    <t>Equipment cost</t>
  </si>
  <si>
    <t>Installation cost</t>
  </si>
  <si>
    <t>Installed cost</t>
  </si>
  <si>
    <t>Absorber column</t>
  </si>
  <si>
    <t>CEPCI ratio=</t>
  </si>
  <si>
    <t>Stripper column</t>
  </si>
  <si>
    <t>new capacity CO2 ratio =</t>
  </si>
  <si>
    <t>HXs</t>
  </si>
  <si>
    <t>factor =</t>
  </si>
  <si>
    <t>Pressure vessels</t>
  </si>
  <si>
    <t>Fans</t>
  </si>
  <si>
    <t>Total Equipment cost</t>
  </si>
  <si>
    <t>CO2 compressors</t>
  </si>
  <si>
    <t>Total installed cost</t>
  </si>
  <si>
    <t>pumps</t>
  </si>
  <si>
    <t>let-down turbine</t>
  </si>
  <si>
    <t>Total (no compressor)</t>
  </si>
  <si>
    <t>Tanks</t>
  </si>
  <si>
    <t>Utility system</t>
  </si>
  <si>
    <t>Pipelines</t>
  </si>
  <si>
    <t>Turton et al, Analysis, Synthesis, and Design of Chemical Processes (4th or 5th Edition), Prentice Hall.</t>
  </si>
  <si>
    <t>Ref. 19</t>
  </si>
  <si>
    <t>https://www3.epa.gov/ttncatc1/cica/files/fflare.pdf</t>
  </si>
  <si>
    <t>Flare system cost</t>
  </si>
  <si>
    <t>Ref. 20</t>
  </si>
  <si>
    <t>Impact Bioenergy Digester Sizing Matrix jan 10 2021 (002).pdf</t>
  </si>
  <si>
    <t>ton/year</t>
  </si>
  <si>
    <t>MMBtu/year</t>
  </si>
  <si>
    <t>Ref. 21</t>
  </si>
  <si>
    <t>https://www.sciencedirect.com/science/article/abs/pii/S0960148112005782</t>
  </si>
  <si>
    <t>DigesterCostanderson2013.pdf</t>
  </si>
  <si>
    <t>Ref. 22</t>
  </si>
  <si>
    <t>https://www.nrel.gov/analysis/assets/docs/nrel-crest-anaerobic-digestion.xlsx</t>
  </si>
  <si>
    <t>nrel-crest-anaerobic-digestion.xlsx</t>
  </si>
  <si>
    <t>2010 created example:</t>
  </si>
  <si>
    <t>The capacity is 42700MMBtu/hr, 60% of our case. But the waste is only 10,000 ton/year, 33% of our case. The waste could produce more heat?</t>
  </si>
  <si>
    <t xml:space="preserve">The total installed cost is $3,750,000. Not clear about the process scope. Assume it is only for anaerobic digester, no upgrade, no interconnection. </t>
  </si>
  <si>
    <t>Using six/tenth rule, our case (only digester) installed cost would be (100/60)^0.6*3750000 = $5,095,000. or (100/33)^0.67*3750000=$7,882,000</t>
  </si>
  <si>
    <t>After correction with CEPCI (2010=551, our case assumed 610), the digester installed cost is from $5,640,000 ~ $8,726,000.</t>
  </si>
  <si>
    <t xml:space="preserve">The operating cost is $351,000/year. Since our case has higher capacity and larger scope (upgradeing, interconnection, compressing), 2~6 times more is reasonable. </t>
  </si>
  <si>
    <t>Ref. 23</t>
  </si>
  <si>
    <t>https://archive.epa.gov/region9/organics/web/html/index-2.html</t>
  </si>
  <si>
    <t>epa-food-waste-biogas-economic-model.xls</t>
  </si>
  <si>
    <t xml:space="preserve">The digester cost needs to be user inputed. But there are some information: default digester is 90ft Diameter and 20 ft height. </t>
  </si>
  <si>
    <t xml:space="preserve">The food waste to CH4 conversion is 6.65 ft³ CH4/lb TS (Total solid), which is much higher than our case 1.94 scf biogas/lb (1.16 scf CH4/lb). </t>
  </si>
  <si>
    <t>Q: it seems the sheet use food waste as 100% total solid, but it also shows 30% solid in food waste?</t>
  </si>
  <si>
    <t xml:space="preserve">The total digester volume is calculated to be 924,000 ft3. need 7.2 digester as the default size. </t>
  </si>
  <si>
    <t>https://www.nrel.gov/docs/fy13osti/57082.pdf</t>
  </si>
  <si>
    <t>FeasibilityReportSample.pdf. 2013 report CEPCI = 567.</t>
  </si>
  <si>
    <t xml:space="preserve">Average installed and operating costs are estimated at $561/ton capacity and $48/ton processed, respectively. </t>
  </si>
  <si>
    <t xml:space="preserve">For 30,000 tons/year, the anaerobic digestion plant is $16,800,000 installed cost and $1,440,000/year. </t>
  </si>
  <si>
    <t xml:space="preserve">average biogas production of 3,434 cubic feet/ton, ~1.717 scf/lb. </t>
  </si>
  <si>
    <t xml:space="preserve">Table 14 seems from Ref. 23. but the scf/lb is stiall questionable. </t>
  </si>
  <si>
    <t>ton/day</t>
  </si>
  <si>
    <t>ft3/yr</t>
  </si>
  <si>
    <t>ft3 biogas/lb</t>
  </si>
  <si>
    <t>Ref. 25</t>
  </si>
  <si>
    <t>https://ohioline.osu.edu/factsheet/fabe-6611</t>
  </si>
  <si>
    <t>Ref. 26</t>
  </si>
  <si>
    <t>2015-05-13-ZWE-Quals-English (3).pdf</t>
  </si>
  <si>
    <t>Zero Waste Energy</t>
  </si>
  <si>
    <t xml:space="preserve">Scenario A: Capacity feed 12,500 TPY, 8 digesters, 49'x12'x8.4' each. 25,140,000 cf CH4. Capacity is 41~58% of our case. </t>
  </si>
  <si>
    <t>The costs below do not include freight, permit costs, utilities/interconnection costs, applicable taxes, and any site development or preparation work.</t>
  </si>
  <si>
    <t xml:space="preserve">Scenario B: Capacity feed 25,000 ton/yr, 5 digesters, 105'x18'x8.4' each. 50,280,000 cf CH4. Capacity is 83~116% of our case. </t>
  </si>
  <si>
    <t>Digester f.o.b.</t>
  </si>
  <si>
    <t>Digester installed</t>
  </si>
  <si>
    <t>Compression + upgrading installed</t>
  </si>
  <si>
    <t xml:space="preserve">Others </t>
  </si>
  <si>
    <t xml:space="preserve">Interconnection </t>
  </si>
  <si>
    <t>FCI set to</t>
  </si>
  <si>
    <t>O&amp;M</t>
  </si>
  <si>
    <t xml:space="preserve">The equipment related could be much less. </t>
  </si>
  <si>
    <t>The solid waste could be much less</t>
  </si>
  <si>
    <t>O&amp;M set to</t>
  </si>
  <si>
    <t xml:space="preserve">Scenario C: Capacity feed 40,000 ton/yr, 9 digesters, 95'x18'x8.6' each. 72,964,000 cf CH4. Capacity is 133~168% of our case. </t>
  </si>
  <si>
    <t xml:space="preserve">Ref. 27 </t>
  </si>
  <si>
    <t>Hitachi meeting and presentation with sales manager Gratz, Thomas &lt;Thomas.Gratz@hz-inova.com&gt;</t>
  </si>
  <si>
    <t>CALPOLY Pomona Presentation 3-25-2021.pdf</t>
  </si>
  <si>
    <t>5-15% of food, rest are green waste.</t>
  </si>
  <si>
    <t>https://www.youtube.com/watch?v=fEq_O7BIiHY</t>
  </si>
  <si>
    <t>$80/ton tipping fee, not in O&amp;M.</t>
  </si>
  <si>
    <t>https://www.youtube.com/watch?v=5k77n4GWsSM</t>
  </si>
  <si>
    <t xml:space="preserve">flare system. Compost of the solid waste. </t>
  </si>
  <si>
    <t>soft cost 3 million engineering permiting</t>
  </si>
  <si>
    <t>https://www.youtube.com/watch?v=cwzBqABb6eo</t>
  </si>
  <si>
    <t>6.5% interest rate in financial analysis</t>
  </si>
  <si>
    <t>San Luis Obispo (SLO) plant: 36,000 tons/yr, food 15%? + green waste, Biogas to CHP. 2 acres. Owned and operated by Hitachi. FCI MM$25, O&amp;M MM$1.2-1.8/yr. start up 2018.</t>
  </si>
  <si>
    <t xml:space="preserve">Escondido (near San Diago) plant: 93,000 tons/yr, green waste, biogas to NG 144,000 MMBtu/hr. (waste is three time more, but NG is two times more, due to less CH4 from green waste?). In commission. Use membrane to upgrade. </t>
  </si>
  <si>
    <t xml:space="preserve">Thomas said the upgrading capital cost is similar to CHP system. Interconnection + odorization not in scope. Our case FCI ~MM$30 for inflation, similar O&amp;M as SLO. 20-yr operation. </t>
  </si>
  <si>
    <r>
      <rPr>
        <rFont val="Calibri"/>
        <color theme="1"/>
        <sz val="11.0"/>
      </rPr>
      <t xml:space="preserve">Thomas said Hitachi could finance the project. Cal recycle.org has MM$3 one time grand. RIN $20-25/MMBtu. LCFS 100-200 (unit?). </t>
    </r>
    <r>
      <rPr>
        <rFont val="Calibri"/>
        <color rgb="FFFF0000"/>
        <sz val="11.0"/>
      </rPr>
      <t>How Hitachi make money?</t>
    </r>
  </si>
  <si>
    <r>
      <rPr>
        <rFont val="Calibri"/>
        <color theme="1"/>
        <sz val="11.0"/>
      </rPr>
      <t xml:space="preserve">Thomas said SoCalGas has another plant in CA. </t>
    </r>
    <r>
      <rPr>
        <rFont val="Calibri"/>
        <color rgb="FFFF0000"/>
        <sz val="11.0"/>
      </rPr>
      <t>Ask Kelly for the vendor?</t>
    </r>
  </si>
  <si>
    <t xml:space="preserve">Double check the food waste amount. It seems the SLO covers more collections.  </t>
  </si>
  <si>
    <t xml:space="preserve">Check if the location has two acres. </t>
  </si>
  <si>
    <t>Ref. 28</t>
  </si>
  <si>
    <t>Kelly's email: Approximate value of credits = $41.77</t>
  </si>
  <si>
    <t>https://native.eco/2019/01/renewable-natural-gas-opportunities-for-corporate-climate-communities/</t>
  </si>
  <si>
    <t>Assumptions: a carbon intensity of 50 (this is a big driver that affects the LCFS price)</t>
  </si>
  <si>
    <t>RNG price</t>
  </si>
  <si>
    <t>Environmental attributes</t>
  </si>
  <si>
    <t>LCFS $8.90</t>
  </si>
  <si>
    <t>RINs $29.87 (D3 at $2.30)</t>
  </si>
  <si>
    <t>($/MMBTU)</t>
  </si>
  <si>
    <t>($/mtCO2e)</t>
  </si>
  <si>
    <t>Commodity price of Natural Gas $3</t>
  </si>
  <si>
    <t>Ref. 29</t>
  </si>
  <si>
    <t>https://americanbiogascouncil.org/resources/rin-calculator/#gf_3</t>
  </si>
  <si>
    <t>77,000 BTU/RIN, as defined by the EPA</t>
  </si>
  <si>
    <t xml:space="preserve">LCFS </t>
  </si>
  <si>
    <t>Baseline carbon intensity (g CO2e/MJ)</t>
  </si>
  <si>
    <t>CA gasoline is 95.86, CA conventional natural gas is 67.70 and CA diesel is 94.71.</t>
  </si>
  <si>
    <t>Biogas facility carbon intensity (g CO2e/MJ)</t>
  </si>
  <si>
    <t>Generally landfill carbon intensities are +30 to +60, wastewater plants are +5 to +40, food waste high solids digesters are -20 to 0, and dairy digesters are -150 to -300</t>
  </si>
  <si>
    <t>Value of LCFS credit ($/MT)</t>
  </si>
  <si>
    <t>Use data from the CA Air Resources Board here: https://www.arb.ca.gov/fuels/lcfs/credit/lrtweeklycreditreports.htm. Sign up for daily price alerts here: https://www.ecoengineers.us/rin-signup/</t>
  </si>
  <si>
    <t>Ref. 30</t>
  </si>
  <si>
    <t>https://www.epa.gov/sites/production/files/documents/Why-Anaerobic-Digestion.pdf</t>
  </si>
  <si>
    <t xml:space="preserve">Note: </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</si>
</sst>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General_)"/>
    <numFmt numFmtId="165" formatCode="0.0000"/>
    <numFmt numFmtId="166" formatCode="_(* #,##0_);_(* \(#,##0\);_(* &quot;-&quot;??_);_(@_)"/>
    <numFmt numFmtId="167" formatCode="_(* #,##0.000_);_(* \(#,##0.000\);_(* &quot;-&quot;??_);_(@_)"/>
    <numFmt numFmtId="168" formatCode="_(* #,##0.00_);_(* \(#,##0.00\);_(* &quot;-&quot;??_);_(@_)"/>
    <numFmt numFmtId="169" formatCode="_(* #,##0_);_(* \(#,##0\);_(* &quot;-&quot;_);_(@_)"/>
    <numFmt numFmtId="170" formatCode="_(&quot;$&quot;* #,##0_);_(&quot;$&quot;* \(#,##0\);_(&quot;$&quot;* &quot;-&quot;??_);_(@_)"/>
    <numFmt numFmtId="171" formatCode="&quot;$&quot;#,##0"/>
    <numFmt numFmtId="172" formatCode="&quot;$&quot;#,##0.00"/>
    <numFmt numFmtId="173" formatCode="0.0%"/>
    <numFmt numFmtId="174" formatCode="&quot;$&quot;#,##0_);[Red]\(&quot;$&quot;#,##0\)"/>
    <numFmt numFmtId="175" formatCode="&quot;$&quot;#,##0.00_);[Red]\(&quot;$&quot;#,##0.00\)"/>
  </numFmts>
  <fonts count="18">
    <font>
      <sz val="11.0"/>
      <color theme="1"/>
      <name val="Calibri"/>
      <scheme val="minor"/>
    </font>
    <font>
      <b/>
      <sz val="14.0"/>
      <color rgb="FF0000FF"/>
      <name val="Arial Black"/>
    </font>
    <font>
      <b/>
      <sz val="10.0"/>
      <color theme="1"/>
      <name val="Arial"/>
    </font>
    <font>
      <sz val="10.0"/>
      <color theme="1"/>
      <name val="Arial"/>
    </font>
    <font/>
    <font>
      <sz val="11.0"/>
      <color theme="1"/>
      <name val="Calibri"/>
    </font>
    <font>
      <sz val="11.0"/>
      <color rgb="FF0070C0"/>
      <name val="Calibri"/>
    </font>
    <font>
      <sz val="11.0"/>
      <color theme="1"/>
      <name val="Arial"/>
    </font>
    <font>
      <b/>
      <sz val="8.0"/>
      <color rgb="FF202124"/>
      <name val="Arial"/>
    </font>
    <font>
      <sz val="7.0"/>
      <color rgb="FF4D5156"/>
      <name val="Arial"/>
    </font>
    <font>
      <sz val="11.0"/>
      <color rgb="FFC00000"/>
      <name val="Calibri"/>
    </font>
    <font>
      <sz val="7.0"/>
      <color rgb="FF202124"/>
      <name val="Arial"/>
    </font>
    <font>
      <b/>
      <sz val="11.0"/>
      <color theme="1"/>
      <name val="Calibri"/>
    </font>
    <font>
      <sz val="11.0"/>
      <color rgb="FFA5A5A5"/>
      <name val="Calibri"/>
    </font>
    <font>
      <sz val="11.0"/>
      <color rgb="FF002060"/>
      <name val="Calibri"/>
    </font>
    <font>
      <u/>
      <sz val="11.0"/>
      <color theme="10"/>
      <name val="Arial"/>
    </font>
    <font>
      <u/>
      <sz val="11.0"/>
      <color theme="10"/>
      <name val="Calibri"/>
    </font>
    <font>
      <sz val="11.0"/>
      <color rgb="FFFF0000"/>
      <name val="Calibri"/>
    </font>
  </fonts>
  <fills count="9">
    <fill>
      <patternFill patternType="none"/>
    </fill>
    <fill>
      <patternFill patternType="lightGray"/>
    </fill>
    <fill>
      <patternFill patternType="solid">
        <fgColor rgb="FFCCFFCC"/>
        <bgColor rgb="FFCCFFCC"/>
      </patternFill>
    </fill>
    <fill>
      <patternFill patternType="solid">
        <fgColor rgb="FFBFBFBF"/>
        <bgColor rgb="FFBFBFBF"/>
      </patternFill>
    </fill>
    <fill>
      <patternFill patternType="solid">
        <fgColor rgb="FFD8D8D8"/>
        <bgColor rgb="FFD8D8D8"/>
      </patternFill>
    </fill>
    <fill>
      <patternFill patternType="solid">
        <fgColor rgb="FFADB9CA"/>
        <bgColor rgb="FFADB9CA"/>
      </patternFill>
    </fill>
    <fill>
      <patternFill patternType="solid">
        <fgColor rgb="FFFFFF00"/>
        <bgColor rgb="FFFFFF00"/>
      </patternFill>
    </fill>
    <fill>
      <patternFill patternType="solid">
        <fgColor rgb="FFE2EFD9"/>
        <bgColor rgb="FFE2EFD9"/>
      </patternFill>
    </fill>
    <fill>
      <patternFill patternType="solid">
        <fgColor rgb="FFD0E0E3"/>
        <bgColor rgb="FFD0E0E3"/>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164" xfId="0" applyAlignment="1" applyFont="1" applyNumberFormat="1">
      <alignment horizontal="left" readingOrder="0"/>
    </xf>
    <xf borderId="0" fillId="0" fontId="2" numFmtId="0" xfId="0" applyFont="1"/>
    <xf borderId="1" fillId="2" fontId="3" numFmtId="0" xfId="0" applyAlignment="1" applyBorder="1" applyFill="1" applyFont="1">
      <alignment shrinkToFit="0" vertical="center" wrapText="1"/>
    </xf>
    <xf borderId="2" fillId="0" fontId="4" numFmtId="0" xfId="0" applyBorder="1" applyFont="1"/>
    <xf borderId="3" fillId="0" fontId="4" numFmtId="0" xfId="0" applyBorder="1" applyFont="1"/>
    <xf borderId="0" fillId="0" fontId="5" numFmtId="0" xfId="0" applyFont="1"/>
    <xf borderId="0" fillId="0" fontId="6" numFmtId="0" xfId="0" applyFont="1"/>
    <xf borderId="0" fillId="0" fontId="5" numFmtId="1" xfId="0" applyFont="1" applyNumberFormat="1"/>
    <xf borderId="0" fillId="0" fontId="7" numFmtId="0" xfId="0" applyFont="1"/>
    <xf borderId="0" fillId="0" fontId="5" numFmtId="11" xfId="0" applyFont="1" applyNumberFormat="1"/>
    <xf borderId="0" fillId="0" fontId="5" numFmtId="165" xfId="0" applyFont="1" applyNumberFormat="1"/>
    <xf borderId="0" fillId="0" fontId="6" numFmtId="9" xfId="0" applyFont="1" applyNumberFormat="1"/>
    <xf borderId="0" fillId="0" fontId="6" numFmtId="0" xfId="0" applyAlignment="1" applyFont="1">
      <alignment horizontal="right"/>
    </xf>
    <xf borderId="0" fillId="0" fontId="5" numFmtId="166" xfId="0" applyFont="1" applyNumberFormat="1"/>
    <xf borderId="0" fillId="0" fontId="8" numFmtId="0" xfId="0" applyFont="1"/>
    <xf borderId="0" fillId="0" fontId="9" numFmtId="0" xfId="0" applyFont="1"/>
    <xf borderId="0" fillId="0" fontId="5" numFmtId="167" xfId="0" applyFont="1" applyNumberFormat="1"/>
    <xf borderId="0" fillId="0" fontId="5" numFmtId="168" xfId="0" applyFont="1" applyNumberFormat="1"/>
    <xf borderId="0" fillId="0" fontId="6" numFmtId="9" xfId="0" applyAlignment="1" applyFont="1" applyNumberFormat="1">
      <alignment horizontal="right"/>
    </xf>
    <xf borderId="0" fillId="0" fontId="10" numFmtId="1" xfId="0" applyFont="1" applyNumberFormat="1"/>
    <xf borderId="0" fillId="0" fontId="11" numFmtId="0" xfId="0" applyFont="1"/>
    <xf borderId="4" fillId="3" fontId="12" numFmtId="0" xfId="0" applyAlignment="1" applyBorder="1" applyFill="1" applyFont="1">
      <alignment shrinkToFit="0" vertical="center" wrapText="1"/>
    </xf>
    <xf borderId="5" fillId="4" fontId="5" numFmtId="0" xfId="0" applyBorder="1" applyFill="1" applyFont="1"/>
    <xf borderId="5" fillId="4" fontId="5" numFmtId="169" xfId="0" applyBorder="1" applyFont="1" applyNumberFormat="1"/>
    <xf borderId="0" fillId="0" fontId="10" numFmtId="170" xfId="0" applyFont="1" applyNumberFormat="1"/>
    <xf borderId="0" fillId="0" fontId="5" numFmtId="170" xfId="0" applyFont="1" applyNumberFormat="1"/>
    <xf borderId="0" fillId="0" fontId="13" numFmtId="0" xfId="0" applyFont="1"/>
    <xf borderId="5" fillId="4" fontId="10" numFmtId="170" xfId="0" applyBorder="1" applyFont="1" applyNumberFormat="1"/>
    <xf borderId="5" fillId="4" fontId="5" numFmtId="170" xfId="0" applyBorder="1" applyFont="1" applyNumberFormat="1"/>
    <xf borderId="5" fillId="4" fontId="6" numFmtId="169" xfId="0" applyBorder="1" applyFont="1" applyNumberFormat="1"/>
    <xf borderId="0" fillId="0" fontId="5" numFmtId="0" xfId="0" applyAlignment="1" applyFont="1">
      <alignment horizontal="left"/>
    </xf>
    <xf borderId="0" fillId="0" fontId="12" numFmtId="166" xfId="0" applyFont="1" applyNumberFormat="1"/>
    <xf borderId="1" fillId="2" fontId="5" numFmtId="0" xfId="0" applyBorder="1" applyFont="1"/>
    <xf borderId="0" fillId="0" fontId="6" numFmtId="166" xfId="0" applyFont="1" applyNumberFormat="1"/>
    <xf borderId="0" fillId="0" fontId="12" numFmtId="0" xfId="0" applyFont="1"/>
    <xf borderId="0" fillId="0" fontId="14" numFmtId="166" xfId="0" applyFont="1" applyNumberFormat="1"/>
    <xf borderId="4" fillId="0" fontId="5" numFmtId="0" xfId="0" applyBorder="1" applyFont="1"/>
    <xf borderId="4" fillId="0" fontId="6" numFmtId="171" xfId="0" applyAlignment="1" applyBorder="1" applyFont="1" applyNumberFormat="1">
      <alignment horizontal="right" vertical="center"/>
    </xf>
    <xf borderId="4" fillId="0" fontId="5" numFmtId="171" xfId="0" applyAlignment="1" applyBorder="1" applyFont="1" applyNumberFormat="1">
      <alignment horizontal="right" vertical="center"/>
    </xf>
    <xf borderId="4" fillId="4" fontId="12" numFmtId="0" xfId="0" applyAlignment="1" applyBorder="1" applyFont="1">
      <alignment horizontal="right"/>
    </xf>
    <xf borderId="4" fillId="4" fontId="12" numFmtId="0" xfId="0" applyBorder="1" applyFont="1"/>
    <xf borderId="4" fillId="0" fontId="12" numFmtId="0" xfId="0" applyBorder="1" applyFont="1"/>
    <xf borderId="4" fillId="5" fontId="5" numFmtId="171" xfId="0" applyBorder="1" applyFill="1" applyFont="1" applyNumberFormat="1"/>
    <xf borderId="4" fillId="0" fontId="5" numFmtId="0" xfId="0" applyAlignment="1" applyBorder="1" applyFont="1">
      <alignment horizontal="right" vertical="center"/>
    </xf>
    <xf borderId="4" fillId="6" fontId="10" numFmtId="172" xfId="0" applyAlignment="1" applyBorder="1" applyFill="1" applyFont="1" applyNumberFormat="1">
      <alignment horizontal="right" vertical="center"/>
    </xf>
    <xf borderId="4" fillId="0" fontId="6" numFmtId="9" xfId="0" applyAlignment="1" applyBorder="1" applyFont="1" applyNumberFormat="1">
      <alignment horizontal="right" vertical="center"/>
    </xf>
    <xf borderId="4" fillId="0" fontId="6" numFmtId="173" xfId="0" applyAlignment="1" applyBorder="1" applyFont="1" applyNumberFormat="1">
      <alignment horizontal="right" vertical="center"/>
    </xf>
    <xf borderId="4" fillId="0" fontId="5" numFmtId="0" xfId="0" applyAlignment="1" applyBorder="1" applyFont="1">
      <alignment vertical="center"/>
    </xf>
    <xf borderId="4" fillId="0" fontId="5" numFmtId="0" xfId="0" applyAlignment="1" applyBorder="1" applyFont="1">
      <alignment horizontal="right" shrinkToFit="0" vertical="center" wrapText="1"/>
    </xf>
    <xf borderId="4" fillId="0" fontId="5" numFmtId="172" xfId="0" applyAlignment="1" applyBorder="1" applyFont="1" applyNumberFormat="1">
      <alignment horizontal="right" vertical="center"/>
    </xf>
    <xf borderId="4" fillId="0" fontId="5" numFmtId="172" xfId="0" applyBorder="1" applyFont="1" applyNumberFormat="1"/>
    <xf borderId="0" fillId="0" fontId="5" numFmtId="0" xfId="0" applyAlignment="1" applyFont="1">
      <alignment horizontal="left" vertical="center"/>
    </xf>
    <xf borderId="4" fillId="0" fontId="7" numFmtId="0" xfId="0" applyAlignment="1" applyBorder="1" applyFont="1">
      <alignment vertical="center"/>
    </xf>
    <xf borderId="4" fillId="0" fontId="7" numFmtId="0" xfId="0" applyBorder="1" applyFont="1"/>
    <xf borderId="4" fillId="0" fontId="7" numFmtId="166" xfId="0" applyBorder="1" applyFont="1" applyNumberFormat="1"/>
    <xf borderId="4" fillId="0" fontId="7" numFmtId="9" xfId="0" applyBorder="1" applyFont="1" applyNumberFormat="1"/>
    <xf borderId="4" fillId="6" fontId="7" numFmtId="0" xfId="0" applyBorder="1" applyFont="1"/>
    <xf borderId="4" fillId="0" fontId="7" numFmtId="10" xfId="0" applyBorder="1" applyFont="1" applyNumberFormat="1"/>
    <xf borderId="4" fillId="7" fontId="7" numFmtId="0" xfId="0" applyBorder="1" applyFill="1" applyFont="1"/>
    <xf borderId="4" fillId="8" fontId="7" numFmtId="0" xfId="0" applyBorder="1" applyFill="1" applyFont="1"/>
    <xf borderId="0" fillId="0" fontId="15" numFmtId="0" xfId="0" applyFont="1"/>
    <xf borderId="0" fillId="0" fontId="16" numFmtId="0" xfId="0" applyFont="1"/>
    <xf borderId="0" fillId="0" fontId="6" numFmtId="11" xfId="0" applyFont="1" applyNumberFormat="1"/>
    <xf borderId="0" fillId="0" fontId="5" numFmtId="174" xfId="0" applyFont="1" applyNumberFormat="1"/>
    <xf borderId="5" fillId="4" fontId="5" numFmtId="174" xfId="0" applyBorder="1" applyFont="1" applyNumberFormat="1"/>
    <xf borderId="0" fillId="0" fontId="5" numFmtId="3" xfId="0" applyFont="1" applyNumberFormat="1"/>
    <xf borderId="0" fillId="0" fontId="17" numFmtId="0" xfId="0" applyFont="1"/>
    <xf borderId="0" fillId="0" fontId="5" numFmtId="175" xfId="0" applyFont="1" applyNumberFormat="1"/>
    <xf borderId="0" fillId="0" fontId="6" numFmtId="17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Discounted Cash Flow Diagram</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Financial!$E$5:$E$27</c:f>
            </c:numRef>
          </c:xVal>
          <c:yVal>
            <c:numRef>
              <c:f>Financial!$O$5:$O$27</c:f>
              <c:numCache/>
            </c:numRef>
          </c:yVal>
        </c:ser>
        <c:dLbls>
          <c:showLegendKey val="0"/>
          <c:showVal val="0"/>
          <c:showCatName val="0"/>
          <c:showSerName val="0"/>
          <c:showPercent val="0"/>
          <c:showBubbleSize val="0"/>
        </c:dLbls>
        <c:axId val="2090768973"/>
        <c:axId val="1846200564"/>
      </c:scatterChart>
      <c:valAx>
        <c:axId val="2090768973"/>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Year</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846200564"/>
      </c:valAx>
      <c:valAx>
        <c:axId val="18462005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90768973"/>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0" Type="http://schemas.openxmlformats.org/officeDocument/2006/relationships/image" Target="../media/image19.png"/><Relationship Id="rId22" Type="http://schemas.openxmlformats.org/officeDocument/2006/relationships/image" Target="../media/image24.png"/><Relationship Id="rId21" Type="http://schemas.openxmlformats.org/officeDocument/2006/relationships/image" Target="../media/image18.png"/><Relationship Id="rId24" Type="http://schemas.openxmlformats.org/officeDocument/2006/relationships/image" Target="../media/image29.png"/><Relationship Id="rId23" Type="http://schemas.openxmlformats.org/officeDocument/2006/relationships/image" Target="../media/image30.png"/><Relationship Id="rId1" Type="http://schemas.openxmlformats.org/officeDocument/2006/relationships/image" Target="../media/image10.png"/><Relationship Id="rId2" Type="http://schemas.openxmlformats.org/officeDocument/2006/relationships/image" Target="../media/image27.png"/><Relationship Id="rId3" Type="http://schemas.openxmlformats.org/officeDocument/2006/relationships/image" Target="../media/image17.png"/><Relationship Id="rId4" Type="http://schemas.openxmlformats.org/officeDocument/2006/relationships/image" Target="../media/image8.jpg"/><Relationship Id="rId9" Type="http://schemas.openxmlformats.org/officeDocument/2006/relationships/image" Target="../media/image32.png"/><Relationship Id="rId26" Type="http://schemas.openxmlformats.org/officeDocument/2006/relationships/image" Target="../media/image26.png"/><Relationship Id="rId25" Type="http://schemas.openxmlformats.org/officeDocument/2006/relationships/image" Target="../media/image31.png"/><Relationship Id="rId27" Type="http://schemas.openxmlformats.org/officeDocument/2006/relationships/image" Target="../media/image28.png"/><Relationship Id="rId5" Type="http://schemas.openxmlformats.org/officeDocument/2006/relationships/image" Target="../media/image12.jpg"/><Relationship Id="rId6" Type="http://schemas.openxmlformats.org/officeDocument/2006/relationships/image" Target="../media/image15.png"/><Relationship Id="rId7" Type="http://schemas.openxmlformats.org/officeDocument/2006/relationships/image" Target="../media/image21.png"/><Relationship Id="rId8" Type="http://schemas.openxmlformats.org/officeDocument/2006/relationships/image" Target="../media/image13.png"/><Relationship Id="rId11" Type="http://schemas.openxmlformats.org/officeDocument/2006/relationships/image" Target="../media/image7.png"/><Relationship Id="rId10" Type="http://schemas.openxmlformats.org/officeDocument/2006/relationships/image" Target="../media/image22.png"/><Relationship Id="rId13" Type="http://schemas.openxmlformats.org/officeDocument/2006/relationships/image" Target="../media/image16.png"/><Relationship Id="rId12" Type="http://schemas.openxmlformats.org/officeDocument/2006/relationships/image" Target="../media/image23.png"/><Relationship Id="rId15" Type="http://schemas.openxmlformats.org/officeDocument/2006/relationships/image" Target="../media/image6.png"/><Relationship Id="rId14" Type="http://schemas.openxmlformats.org/officeDocument/2006/relationships/image" Target="../media/image11.png"/><Relationship Id="rId17" Type="http://schemas.openxmlformats.org/officeDocument/2006/relationships/image" Target="../media/image20.png"/><Relationship Id="rId16" Type="http://schemas.openxmlformats.org/officeDocument/2006/relationships/image" Target="../media/image25.png"/><Relationship Id="rId19" Type="http://schemas.openxmlformats.org/officeDocument/2006/relationships/image" Target="../media/image9.png"/><Relationship Id="rId18"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9525</xdr:colOff>
      <xdr:row>14</xdr:row>
      <xdr:rowOff>85725</xdr:rowOff>
    </xdr:from>
    <xdr:ext cx="14144625" cy="57435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22</xdr:col>
      <xdr:colOff>571500</xdr:colOff>
      <xdr:row>1</xdr:row>
      <xdr:rowOff>57150</xdr:rowOff>
    </xdr:from>
    <xdr:ext cx="6953250" cy="249555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762000</xdr:colOff>
      <xdr:row>5</xdr:row>
      <xdr:rowOff>200025</xdr:rowOff>
    </xdr:from>
    <xdr:ext cx="6543675" cy="41052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0</xdr:colOff>
      <xdr:row>3</xdr:row>
      <xdr:rowOff>0</xdr:rowOff>
    </xdr:from>
    <xdr:ext cx="5486400" cy="31432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200025</xdr:colOff>
      <xdr:row>3</xdr:row>
      <xdr:rowOff>104775</xdr:rowOff>
    </xdr:from>
    <xdr:ext cx="4895850" cy="3810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314325</xdr:colOff>
      <xdr:row>31</xdr:row>
      <xdr:rowOff>38100</xdr:rowOff>
    </xdr:from>
    <xdr:ext cx="4391025" cy="29813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239</xdr:row>
      <xdr:rowOff>-38100</xdr:rowOff>
    </xdr:from>
    <xdr:ext cx="5029200" cy="733425"/>
    <xdr:sp>
      <xdr:nvSpPr>
        <xdr:cNvPr id="3" name="Shape 3"/>
        <xdr:cNvSpPr/>
      </xdr:nvSpPr>
      <xdr:spPr>
        <a:xfrm>
          <a:off x="2850450" y="3432338"/>
          <a:ext cx="4991100" cy="695325"/>
        </a:xfrm>
        <a:prstGeom prst="roundRect">
          <a:avLst>
            <a:gd fmla="val 16667" name="adj"/>
          </a:avLst>
        </a:prstGeom>
        <a:noFill/>
        <a:ln cap="flat" cmpd="sng" w="38100">
          <a:solidFill>
            <a:srgbClr val="C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xdr:col>
      <xdr:colOff>9525</xdr:colOff>
      <xdr:row>3</xdr:row>
      <xdr:rowOff>19050</xdr:rowOff>
    </xdr:from>
    <xdr:ext cx="4953000" cy="318135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9525</xdr:colOff>
      <xdr:row>22</xdr:row>
      <xdr:rowOff>9525</xdr:rowOff>
    </xdr:from>
    <xdr:ext cx="5000625" cy="2838450"/>
    <xdr:pic>
      <xdr:nvPicPr>
        <xdr:cNvPr id="0" name="image27.png"/>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419100</xdr:colOff>
      <xdr:row>22</xdr:row>
      <xdr:rowOff>19050</xdr:rowOff>
    </xdr:from>
    <xdr:ext cx="5153025" cy="1876425"/>
    <xdr:pic>
      <xdr:nvPicPr>
        <xdr:cNvPr id="0" name="image17.png"/>
        <xdr:cNvPicPr preferRelativeResize="0"/>
      </xdr:nvPicPr>
      <xdr:blipFill>
        <a:blip cstate="print" r:embed="rId3"/>
        <a:stretch>
          <a:fillRect/>
        </a:stretch>
      </xdr:blipFill>
      <xdr:spPr>
        <a:prstGeom prst="rect">
          <a:avLst/>
        </a:prstGeom>
        <a:noFill/>
      </xdr:spPr>
    </xdr:pic>
    <xdr:clientData fLocksWithSheet="0"/>
  </xdr:oneCellAnchor>
  <xdr:oneCellAnchor>
    <xdr:from>
      <xdr:col>18</xdr:col>
      <xdr:colOff>457200</xdr:colOff>
      <xdr:row>22</xdr:row>
      <xdr:rowOff>76200</xdr:rowOff>
    </xdr:from>
    <xdr:ext cx="2695575" cy="2362200"/>
    <xdr:pic>
      <xdr:nvPicPr>
        <xdr:cNvPr descr="https://ohioline.osu.edu/sites/ohioline/files/imce/Food_Agricultural_and_Biological_Engineering/AEX_653_1_14_amine_absorption.jpg" id="0" name="image8.jpg"/>
        <xdr:cNvPicPr preferRelativeResize="0"/>
      </xdr:nvPicPr>
      <xdr:blipFill>
        <a:blip cstate="print" r:embed="rId4"/>
        <a:stretch>
          <a:fillRect/>
        </a:stretch>
      </xdr:blipFill>
      <xdr:spPr>
        <a:prstGeom prst="rect">
          <a:avLst/>
        </a:prstGeom>
        <a:noFill/>
      </xdr:spPr>
    </xdr:pic>
    <xdr:clientData fLocksWithSheet="0"/>
  </xdr:oneCellAnchor>
  <xdr:oneCellAnchor>
    <xdr:from>
      <xdr:col>23</xdr:col>
      <xdr:colOff>266700</xdr:colOff>
      <xdr:row>22</xdr:row>
      <xdr:rowOff>76200</xdr:rowOff>
    </xdr:from>
    <xdr:ext cx="3171825" cy="2276475"/>
    <xdr:pic>
      <xdr:nvPicPr>
        <xdr:cNvPr descr="https://ohioline.osu.edu/sites/ohioline/files/imce/Food_Agricultural_and_Biological_Engineering/AEX_653_1_14_water_scrubbing.jpg" id="0" name="image12.jpg"/>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114300</xdr:colOff>
      <xdr:row>35</xdr:row>
      <xdr:rowOff>19050</xdr:rowOff>
    </xdr:from>
    <xdr:ext cx="3943350" cy="2676525"/>
    <xdr:pic>
      <xdr:nvPicPr>
        <xdr:cNvPr descr="Current multi-stage biogas upgrading technologies (top) versus the proposed single-stage process (bottom)" id="0" name="image15.png"/>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190500</xdr:colOff>
      <xdr:row>58</xdr:row>
      <xdr:rowOff>28575</xdr:rowOff>
    </xdr:from>
    <xdr:ext cx="3171825" cy="3600450"/>
    <xdr:pic>
      <xdr:nvPicPr>
        <xdr:cNvPr id="0" name="image21.png"/>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47625</xdr:colOff>
      <xdr:row>63</xdr:row>
      <xdr:rowOff>171450</xdr:rowOff>
    </xdr:from>
    <xdr:ext cx="1895475" cy="2781300"/>
    <xdr:pic>
      <xdr:nvPicPr>
        <xdr:cNvPr id="0" name="image13.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581025</xdr:colOff>
      <xdr:row>114</xdr:row>
      <xdr:rowOff>171450</xdr:rowOff>
    </xdr:from>
    <xdr:ext cx="5267325" cy="2305050"/>
    <xdr:pic>
      <xdr:nvPicPr>
        <xdr:cNvPr id="0" name="image32.png"/>
        <xdr:cNvPicPr preferRelativeResize="0"/>
      </xdr:nvPicPr>
      <xdr:blipFill>
        <a:blip cstate="print" r:embed="rId9"/>
        <a:stretch>
          <a:fillRect/>
        </a:stretch>
      </xdr:blipFill>
      <xdr:spPr>
        <a:prstGeom prst="rect">
          <a:avLst/>
        </a:prstGeom>
        <a:noFill/>
      </xdr:spPr>
    </xdr:pic>
    <xdr:clientData fLocksWithSheet="0"/>
  </xdr:oneCellAnchor>
  <xdr:oneCellAnchor>
    <xdr:from>
      <xdr:col>18</xdr:col>
      <xdr:colOff>504825</xdr:colOff>
      <xdr:row>100</xdr:row>
      <xdr:rowOff>95250</xdr:rowOff>
    </xdr:from>
    <xdr:ext cx="7248525" cy="4562475"/>
    <xdr:pic>
      <xdr:nvPicPr>
        <xdr:cNvPr id="0" name="image22.png"/>
        <xdr:cNvPicPr preferRelativeResize="0"/>
      </xdr:nvPicPr>
      <xdr:blipFill>
        <a:blip cstate="print" r:embed="rId10"/>
        <a:stretch>
          <a:fillRect/>
        </a:stretch>
      </xdr:blipFill>
      <xdr:spPr>
        <a:prstGeom prst="rect">
          <a:avLst/>
        </a:prstGeom>
        <a:noFill/>
      </xdr:spPr>
    </xdr:pic>
    <xdr:clientData fLocksWithSheet="0"/>
  </xdr:oneCellAnchor>
  <xdr:oneCellAnchor>
    <xdr:from>
      <xdr:col>32</xdr:col>
      <xdr:colOff>0</xdr:colOff>
      <xdr:row>100</xdr:row>
      <xdr:rowOff>0</xdr:rowOff>
    </xdr:from>
    <xdr:ext cx="6076950" cy="4733925"/>
    <xdr:pic>
      <xdr:nvPicPr>
        <xdr:cNvPr id="0" name="image7.png"/>
        <xdr:cNvPicPr preferRelativeResize="0"/>
      </xdr:nvPicPr>
      <xdr:blipFill>
        <a:blip cstate="print" r:embed="rId11"/>
        <a:stretch>
          <a:fillRect/>
        </a:stretch>
      </xdr:blipFill>
      <xdr:spPr>
        <a:prstGeom prst="rect">
          <a:avLst/>
        </a:prstGeom>
        <a:noFill/>
      </xdr:spPr>
    </xdr:pic>
    <xdr:clientData fLocksWithSheet="0"/>
  </xdr:oneCellAnchor>
  <xdr:oneCellAnchor>
    <xdr:from>
      <xdr:col>43</xdr:col>
      <xdr:colOff>0</xdr:colOff>
      <xdr:row>100</xdr:row>
      <xdr:rowOff>0</xdr:rowOff>
    </xdr:from>
    <xdr:ext cx="6153150" cy="4752975"/>
    <xdr:pic>
      <xdr:nvPicPr>
        <xdr:cNvPr id="0" name="image23.pn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590550</xdr:colOff>
      <xdr:row>151</xdr:row>
      <xdr:rowOff>95250</xdr:rowOff>
    </xdr:from>
    <xdr:ext cx="5286375" cy="1466850"/>
    <xdr:pic>
      <xdr:nvPicPr>
        <xdr:cNvPr id="0" name="image16.png"/>
        <xdr:cNvPicPr preferRelativeResize="0"/>
      </xdr:nvPicPr>
      <xdr:blipFill>
        <a:blip cstate="print" r:embed="rId13"/>
        <a:stretch>
          <a:fillRect/>
        </a:stretch>
      </xdr:blipFill>
      <xdr:spPr>
        <a:prstGeom prst="rect">
          <a:avLst/>
        </a:prstGeom>
        <a:noFill/>
      </xdr:spPr>
    </xdr:pic>
    <xdr:clientData fLocksWithSheet="0"/>
  </xdr:oneCellAnchor>
  <xdr:oneCellAnchor>
    <xdr:from>
      <xdr:col>11</xdr:col>
      <xdr:colOff>0</xdr:colOff>
      <xdr:row>157</xdr:row>
      <xdr:rowOff>0</xdr:rowOff>
    </xdr:from>
    <xdr:ext cx="2228850" cy="3162300"/>
    <xdr:pic>
      <xdr:nvPicPr>
        <xdr:cNvPr id="0" name="image11.png"/>
        <xdr:cNvPicPr preferRelativeResize="0"/>
      </xdr:nvPicPr>
      <xdr:blipFill>
        <a:blip cstate="print" r:embed="rId14"/>
        <a:stretch>
          <a:fillRect/>
        </a:stretch>
      </xdr:blipFill>
      <xdr:spPr>
        <a:prstGeom prst="rect">
          <a:avLst/>
        </a:prstGeom>
        <a:noFill/>
      </xdr:spPr>
    </xdr:pic>
    <xdr:clientData fLocksWithSheet="0"/>
  </xdr:oneCellAnchor>
  <xdr:oneCellAnchor>
    <xdr:from>
      <xdr:col>8</xdr:col>
      <xdr:colOff>28575</xdr:colOff>
      <xdr:row>158</xdr:row>
      <xdr:rowOff>95250</xdr:rowOff>
    </xdr:from>
    <xdr:ext cx="1714500" cy="2867025"/>
    <xdr:pic>
      <xdr:nvPicPr>
        <xdr:cNvPr id="0" name="image6.png"/>
        <xdr:cNvPicPr preferRelativeResize="0"/>
      </xdr:nvPicPr>
      <xdr:blipFill>
        <a:blip cstate="print" r:embed="rId15"/>
        <a:stretch>
          <a:fillRect/>
        </a:stretch>
      </xdr:blipFill>
      <xdr:spPr>
        <a:prstGeom prst="rect">
          <a:avLst/>
        </a:prstGeom>
        <a:noFill/>
      </xdr:spPr>
    </xdr:pic>
    <xdr:clientData fLocksWithSheet="0"/>
  </xdr:oneCellAnchor>
  <xdr:oneCellAnchor>
    <xdr:from>
      <xdr:col>16</xdr:col>
      <xdr:colOff>57150</xdr:colOff>
      <xdr:row>165</xdr:row>
      <xdr:rowOff>142875</xdr:rowOff>
    </xdr:from>
    <xdr:ext cx="4171950" cy="1952625"/>
    <xdr:pic>
      <xdr:nvPicPr>
        <xdr:cNvPr id="0" name="image25.png"/>
        <xdr:cNvPicPr preferRelativeResize="0"/>
      </xdr:nvPicPr>
      <xdr:blipFill>
        <a:blip cstate="print" r:embed="rId16"/>
        <a:stretch>
          <a:fillRect/>
        </a:stretch>
      </xdr:blipFill>
      <xdr:spPr>
        <a:prstGeom prst="rect">
          <a:avLst/>
        </a:prstGeom>
        <a:noFill/>
      </xdr:spPr>
    </xdr:pic>
    <xdr:clientData fLocksWithSheet="0"/>
  </xdr:oneCellAnchor>
  <xdr:oneCellAnchor>
    <xdr:from>
      <xdr:col>16</xdr:col>
      <xdr:colOff>66675</xdr:colOff>
      <xdr:row>175</xdr:row>
      <xdr:rowOff>142875</xdr:rowOff>
    </xdr:from>
    <xdr:ext cx="4219575" cy="2028825"/>
    <xdr:pic>
      <xdr:nvPicPr>
        <xdr:cNvPr id="0" name="image20.png"/>
        <xdr:cNvPicPr preferRelativeResize="0"/>
      </xdr:nvPicPr>
      <xdr:blipFill>
        <a:blip cstate="print" r:embed="rId17"/>
        <a:stretch>
          <a:fillRect/>
        </a:stretch>
      </xdr:blipFill>
      <xdr:spPr>
        <a:prstGeom prst="rect">
          <a:avLst/>
        </a:prstGeom>
        <a:noFill/>
      </xdr:spPr>
    </xdr:pic>
    <xdr:clientData fLocksWithSheet="0"/>
  </xdr:oneCellAnchor>
  <xdr:oneCellAnchor>
    <xdr:from>
      <xdr:col>13</xdr:col>
      <xdr:colOff>76200</xdr:colOff>
      <xdr:row>188</xdr:row>
      <xdr:rowOff>85725</xdr:rowOff>
    </xdr:from>
    <xdr:ext cx="6267450" cy="3514725"/>
    <xdr:pic>
      <xdr:nvPicPr>
        <xdr:cNvPr id="0" name="image14.png"/>
        <xdr:cNvPicPr preferRelativeResize="0"/>
      </xdr:nvPicPr>
      <xdr:blipFill>
        <a:blip cstate="print" r:embed="rId18"/>
        <a:stretch>
          <a:fillRect/>
        </a:stretch>
      </xdr:blipFill>
      <xdr:spPr>
        <a:prstGeom prst="rect">
          <a:avLst/>
        </a:prstGeom>
        <a:noFill/>
      </xdr:spPr>
    </xdr:pic>
    <xdr:clientData fLocksWithSheet="0"/>
  </xdr:oneCellAnchor>
  <xdr:oneCellAnchor>
    <xdr:from>
      <xdr:col>7</xdr:col>
      <xdr:colOff>723900</xdr:colOff>
      <xdr:row>194</xdr:row>
      <xdr:rowOff>85725</xdr:rowOff>
    </xdr:from>
    <xdr:ext cx="2676525" cy="2343150"/>
    <xdr:pic>
      <xdr:nvPicPr>
        <xdr:cNvPr id="0" name="image9.png"/>
        <xdr:cNvPicPr preferRelativeResize="0"/>
      </xdr:nvPicPr>
      <xdr:blipFill>
        <a:blip cstate="print" r:embed="rId19"/>
        <a:stretch>
          <a:fillRect/>
        </a:stretch>
      </xdr:blipFill>
      <xdr:spPr>
        <a:prstGeom prst="rect">
          <a:avLst/>
        </a:prstGeom>
        <a:noFill/>
      </xdr:spPr>
    </xdr:pic>
    <xdr:clientData fLocksWithSheet="0"/>
  </xdr:oneCellAnchor>
  <xdr:oneCellAnchor>
    <xdr:from>
      <xdr:col>8</xdr:col>
      <xdr:colOff>0</xdr:colOff>
      <xdr:row>206</xdr:row>
      <xdr:rowOff>95250</xdr:rowOff>
    </xdr:from>
    <xdr:ext cx="4791075" cy="3162300"/>
    <xdr:pic>
      <xdr:nvPicPr>
        <xdr:cNvPr id="0" name="image19.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19050</xdr:colOff>
      <xdr:row>218</xdr:row>
      <xdr:rowOff>19050</xdr:rowOff>
    </xdr:from>
    <xdr:ext cx="4914900" cy="5619750"/>
    <xdr:pic>
      <xdr:nvPicPr>
        <xdr:cNvPr id="0" name="image18.png"/>
        <xdr:cNvPicPr preferRelativeResize="0"/>
      </xdr:nvPicPr>
      <xdr:blipFill>
        <a:blip cstate="print" r:embed="rId21"/>
        <a:stretch>
          <a:fillRect/>
        </a:stretch>
      </xdr:blipFill>
      <xdr:spPr>
        <a:prstGeom prst="rect">
          <a:avLst/>
        </a:prstGeom>
        <a:noFill/>
      </xdr:spPr>
    </xdr:pic>
    <xdr:clientData fLocksWithSheet="0"/>
  </xdr:oneCellAnchor>
  <xdr:oneCellAnchor>
    <xdr:from>
      <xdr:col>0</xdr:col>
      <xdr:colOff>600075</xdr:colOff>
      <xdr:row>246</xdr:row>
      <xdr:rowOff>19050</xdr:rowOff>
    </xdr:from>
    <xdr:ext cx="4905375" cy="1114425"/>
    <xdr:pic>
      <xdr:nvPicPr>
        <xdr:cNvPr id="0" name="image24.png"/>
        <xdr:cNvPicPr preferRelativeResize="0"/>
      </xdr:nvPicPr>
      <xdr:blipFill>
        <a:blip cstate="print" r:embed="rId22"/>
        <a:stretch>
          <a:fillRect/>
        </a:stretch>
      </xdr:blipFill>
      <xdr:spPr>
        <a:prstGeom prst="rect">
          <a:avLst/>
        </a:prstGeom>
        <a:noFill/>
      </xdr:spPr>
    </xdr:pic>
    <xdr:clientData fLocksWithSheet="0"/>
  </xdr:oneCellAnchor>
  <xdr:oneCellAnchor>
    <xdr:from>
      <xdr:col>0</xdr:col>
      <xdr:colOff>590550</xdr:colOff>
      <xdr:row>257</xdr:row>
      <xdr:rowOff>19050</xdr:rowOff>
    </xdr:from>
    <xdr:ext cx="5867400" cy="5153025"/>
    <xdr:pic>
      <xdr:nvPicPr>
        <xdr:cNvPr id="0" name="image30.png"/>
        <xdr:cNvPicPr preferRelativeResize="0"/>
      </xdr:nvPicPr>
      <xdr:blipFill>
        <a:blip cstate="print" r:embed="rId23"/>
        <a:stretch>
          <a:fillRect/>
        </a:stretch>
      </xdr:blipFill>
      <xdr:spPr>
        <a:prstGeom prst="rect">
          <a:avLst/>
        </a:prstGeom>
        <a:noFill/>
      </xdr:spPr>
    </xdr:pic>
    <xdr:clientData fLocksWithSheet="0"/>
  </xdr:oneCellAnchor>
  <xdr:oneCellAnchor>
    <xdr:from>
      <xdr:col>0</xdr:col>
      <xdr:colOff>590550</xdr:colOff>
      <xdr:row>286</xdr:row>
      <xdr:rowOff>9525</xdr:rowOff>
    </xdr:from>
    <xdr:ext cx="5867400" cy="5143500"/>
    <xdr:pic>
      <xdr:nvPicPr>
        <xdr:cNvPr id="0" name="image29.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315</xdr:row>
      <xdr:rowOff>0</xdr:rowOff>
    </xdr:from>
    <xdr:ext cx="5838825" cy="4695825"/>
    <xdr:pic>
      <xdr:nvPicPr>
        <xdr:cNvPr id="0" name="image31.png"/>
        <xdr:cNvPicPr preferRelativeResize="0"/>
      </xdr:nvPicPr>
      <xdr:blipFill>
        <a:blip cstate="print" r:embed="rId25"/>
        <a:stretch>
          <a:fillRect/>
        </a:stretch>
      </xdr:blipFill>
      <xdr:spPr>
        <a:prstGeom prst="rect">
          <a:avLst/>
        </a:prstGeom>
        <a:noFill/>
      </xdr:spPr>
    </xdr:pic>
    <xdr:clientData fLocksWithSheet="0"/>
  </xdr:oneCellAnchor>
  <xdr:oneCellAnchor>
    <xdr:from>
      <xdr:col>13</xdr:col>
      <xdr:colOff>209550</xdr:colOff>
      <xdr:row>353</xdr:row>
      <xdr:rowOff>95250</xdr:rowOff>
    </xdr:from>
    <xdr:ext cx="6419850" cy="4305300"/>
    <xdr:pic>
      <xdr:nvPicPr>
        <xdr:cNvPr id="0" name="image26.png"/>
        <xdr:cNvPicPr preferRelativeResize="0"/>
      </xdr:nvPicPr>
      <xdr:blipFill>
        <a:blip cstate="print" r:embed="rId26"/>
        <a:stretch>
          <a:fillRect/>
        </a:stretch>
      </xdr:blipFill>
      <xdr:spPr>
        <a:prstGeom prst="rect">
          <a:avLst/>
        </a:prstGeom>
        <a:noFill/>
      </xdr:spPr>
    </xdr:pic>
    <xdr:clientData fLocksWithSheet="0"/>
  </xdr:oneCellAnchor>
  <xdr:oneCellAnchor>
    <xdr:from>
      <xdr:col>0</xdr:col>
      <xdr:colOff>571500</xdr:colOff>
      <xdr:row>376</xdr:row>
      <xdr:rowOff>38100</xdr:rowOff>
    </xdr:from>
    <xdr:ext cx="2581275" cy="1600200"/>
    <xdr:pic>
      <xdr:nvPicPr>
        <xdr:cNvPr id="0" name="image28.png"/>
        <xdr:cNvPicPr preferRelativeResize="0"/>
      </xdr:nvPicPr>
      <xdr:blipFill>
        <a:blip cstate="print" r:embed="rId2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gasprocessingnews.com/features/202004/natural-gas-pipeline-systems-and-operations.aspx" TargetMode="External"/><Relationship Id="rId2" Type="http://schemas.openxmlformats.org/officeDocument/2006/relationships/hyperlink" Target="https://ohioline.osu.edu/factsheet/AEX-653.1-14" TargetMode="External"/><Relationship Id="rId3" Type="http://schemas.openxmlformats.org/officeDocument/2006/relationships/hyperlink" Target="http://www.ces.fau.edu/research/janke/biogas-to-biomethane-2020.php" TargetMode="External"/><Relationship Id="rId4" Type="http://schemas.openxmlformats.org/officeDocument/2006/relationships/hyperlink" Target="https://csf.uw.edu/application/uw-anaerobic-digester-food-waste-renewable-energy-public-health-phase-2" TargetMode="External"/><Relationship Id="rId5" Type="http://schemas.openxmlformats.org/officeDocument/2006/relationships/hyperlink" Target="https://impactbioenergy.com/" TargetMode="External"/><Relationship Id="rId6" Type="http://schemas.openxmlformats.org/officeDocument/2006/relationships/hyperlink" Target="https://www.nrel.gov/docs/fy13osti/57082.pdf" TargetMode="External"/><Relationship Id="rId7" Type="http://schemas.openxmlformats.org/officeDocument/2006/relationships/hyperlink" Target="https://americanbiogascouncil.org/resources/rin-calculator/" TargetMode="External"/><Relationship Id="rId8"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pageSetUpPr/>
  </sheetPr>
  <sheetViews>
    <sheetView workbookViewId="0"/>
  </sheetViews>
  <sheetFormatPr customHeight="1" defaultColWidth="14.43" defaultRowHeight="15.0"/>
  <cols>
    <col customWidth="1" min="1" max="2" width="23.43"/>
    <col customWidth="1" min="3" max="3" width="26.29"/>
    <col customWidth="1" min="4" max="4" width="12.0"/>
    <col customWidth="1" min="5" max="5" width="27.57"/>
    <col customWidth="1" min="6" max="6" width="13.57"/>
    <col customWidth="1" min="7" max="21" width="8.71"/>
  </cols>
  <sheetData>
    <row r="2">
      <c r="A2" s="1" t="s">
        <v>0</v>
      </c>
    </row>
    <row r="5">
      <c r="A5" s="2" t="s">
        <v>1</v>
      </c>
    </row>
    <row r="6" ht="85.5" customHeight="1">
      <c r="A6" s="3" t="s">
        <v>2</v>
      </c>
      <c r="B6" s="4"/>
      <c r="C6" s="5"/>
    </row>
    <row r="7">
      <c r="U7" s="6" t="s">
        <v>3</v>
      </c>
    </row>
    <row r="8">
      <c r="A8" s="2" t="s">
        <v>4</v>
      </c>
      <c r="U8" s="6" t="s">
        <v>5</v>
      </c>
    </row>
    <row r="10">
      <c r="A10" s="6" t="s">
        <v>6</v>
      </c>
      <c r="B10" s="6">
        <v>1.0</v>
      </c>
    </row>
    <row r="11">
      <c r="A11" s="6" t="s">
        <v>7</v>
      </c>
      <c r="B11" s="6" t="s">
        <v>8</v>
      </c>
    </row>
    <row r="12">
      <c r="A12" s="6" t="s">
        <v>9</v>
      </c>
      <c r="B12" s="7">
        <v>18035.0</v>
      </c>
      <c r="C12" s="6" t="s">
        <v>10</v>
      </c>
      <c r="D12" s="6" t="s">
        <v>11</v>
      </c>
    </row>
    <row r="13">
      <c r="B13" s="8">
        <f>B12*907.185/8000</f>
        <v>2045.135184</v>
      </c>
      <c r="C13" s="6" t="s">
        <v>12</v>
      </c>
    </row>
    <row r="15">
      <c r="A15" s="6" t="s">
        <v>6</v>
      </c>
      <c r="B15" s="6">
        <v>2.0</v>
      </c>
    </row>
    <row r="16">
      <c r="A16" s="6" t="s">
        <v>7</v>
      </c>
      <c r="B16" s="6" t="s">
        <v>13</v>
      </c>
    </row>
    <row r="17">
      <c r="A17" s="6" t="s">
        <v>9</v>
      </c>
      <c r="B17" s="7">
        <v>11750.0</v>
      </c>
      <c r="C17" s="6" t="s">
        <v>10</v>
      </c>
      <c r="D17" s="6" t="s">
        <v>11</v>
      </c>
    </row>
    <row r="18">
      <c r="B18" s="8">
        <f>B17*907.185/8000</f>
        <v>1332.427969</v>
      </c>
      <c r="C18" s="6" t="s">
        <v>12</v>
      </c>
    </row>
    <row r="20">
      <c r="A20" s="6" t="s">
        <v>6</v>
      </c>
      <c r="B20" s="6">
        <v>5.0</v>
      </c>
    </row>
    <row r="21" ht="15.75" customHeight="1">
      <c r="A21" s="6" t="s">
        <v>7</v>
      </c>
      <c r="B21" s="6" t="s">
        <v>14</v>
      </c>
    </row>
    <row r="22" ht="15.75" customHeight="1">
      <c r="A22" s="6" t="s">
        <v>9</v>
      </c>
      <c r="B22" s="6">
        <f>B12+B17</f>
        <v>29785</v>
      </c>
      <c r="C22" s="6" t="s">
        <v>10</v>
      </c>
      <c r="D22" s="9"/>
    </row>
    <row r="23" ht="15.75" customHeight="1">
      <c r="B23" s="8">
        <f>B22*907.185/8000</f>
        <v>3377.563153</v>
      </c>
      <c r="C23" s="6" t="s">
        <v>12</v>
      </c>
    </row>
    <row r="24" ht="15.75" customHeight="1"/>
    <row r="25" ht="15.75" customHeight="1">
      <c r="A25" s="6" t="s">
        <v>6</v>
      </c>
      <c r="B25" s="6">
        <v>6.0</v>
      </c>
    </row>
    <row r="26" ht="15.75" customHeight="1">
      <c r="A26" s="6" t="s">
        <v>7</v>
      </c>
      <c r="B26" s="6" t="s">
        <v>15</v>
      </c>
    </row>
    <row r="27" ht="15.75" customHeight="1">
      <c r="A27" s="6" t="s">
        <v>16</v>
      </c>
      <c r="B27" s="10">
        <f>3230000</f>
        <v>3230000</v>
      </c>
      <c r="C27" s="6" t="s">
        <v>17</v>
      </c>
      <c r="D27" s="6" t="s">
        <v>18</v>
      </c>
    </row>
    <row r="28" ht="15.75" customHeight="1">
      <c r="B28" s="10">
        <f>B27/E28</f>
        <v>3535</v>
      </c>
      <c r="C28" s="6" t="s">
        <v>19</v>
      </c>
      <c r="D28" s="6" t="s">
        <v>20</v>
      </c>
      <c r="E28" s="6">
        <f>3230000/3535</f>
        <v>913.7199434</v>
      </c>
      <c r="F28" s="6" t="s">
        <v>21</v>
      </c>
    </row>
    <row r="29" ht="15.75" customHeight="1">
      <c r="B29" s="8">
        <f>B27*35.315</f>
        <v>114067450</v>
      </c>
      <c r="C29" s="6" t="s">
        <v>22</v>
      </c>
    </row>
    <row r="30" ht="15.75" customHeight="1">
      <c r="B30" s="8">
        <f>B29/8000/60</f>
        <v>237.6405208</v>
      </c>
      <c r="C30" s="6" t="s">
        <v>23</v>
      </c>
    </row>
    <row r="31" ht="15.75" customHeight="1">
      <c r="A31" s="6" t="s">
        <v>24</v>
      </c>
      <c r="B31" s="11">
        <f>B27/8000/B23</f>
        <v>0.1195388455</v>
      </c>
      <c r="C31" s="6" t="s">
        <v>25</v>
      </c>
      <c r="D31" s="6" t="s">
        <v>26</v>
      </c>
    </row>
    <row r="32" ht="15.75" customHeight="1">
      <c r="B32" s="11">
        <f>B31/0.0623</f>
        <v>1.918761565</v>
      </c>
      <c r="C32" s="6" t="s">
        <v>27</v>
      </c>
    </row>
    <row r="33" ht="15.75" customHeight="1">
      <c r="A33" s="6" t="s">
        <v>28</v>
      </c>
      <c r="I33" s="10"/>
    </row>
    <row r="34" ht="15.75" customHeight="1">
      <c r="A34" s="6" t="s">
        <v>29</v>
      </c>
      <c r="B34" s="12">
        <v>0.6</v>
      </c>
      <c r="D34" s="6" t="s">
        <v>30</v>
      </c>
    </row>
    <row r="35" ht="15.75" customHeight="1">
      <c r="A35" s="6" t="s">
        <v>31</v>
      </c>
      <c r="B35" s="12">
        <v>0.38</v>
      </c>
    </row>
    <row r="36" ht="15.75" customHeight="1">
      <c r="A36" s="6" t="s">
        <v>32</v>
      </c>
      <c r="B36" s="13" t="s">
        <v>33</v>
      </c>
    </row>
    <row r="37" ht="15.75" customHeight="1">
      <c r="A37" s="6" t="s">
        <v>34</v>
      </c>
      <c r="B37" s="13" t="s">
        <v>35</v>
      </c>
    </row>
    <row r="38" ht="15.75" customHeight="1"/>
    <row r="39" ht="15.75" customHeight="1">
      <c r="A39" s="6" t="s">
        <v>6</v>
      </c>
      <c r="B39" s="6" t="s">
        <v>36</v>
      </c>
    </row>
    <row r="40" ht="15.75" customHeight="1">
      <c r="A40" s="6" t="s">
        <v>37</v>
      </c>
      <c r="B40" s="7">
        <v>40.0</v>
      </c>
      <c r="C40" s="6" t="s">
        <v>38</v>
      </c>
    </row>
    <row r="41" ht="15.75" customHeight="1"/>
    <row r="42" ht="15.75" customHeight="1">
      <c r="A42" s="6" t="s">
        <v>39</v>
      </c>
      <c r="B42" s="6">
        <v>11.0</v>
      </c>
    </row>
    <row r="43" ht="15.75" customHeight="1">
      <c r="A43" s="6" t="s">
        <v>7</v>
      </c>
      <c r="B43" s="6" t="s">
        <v>40</v>
      </c>
    </row>
    <row r="44" ht="15.75" customHeight="1">
      <c r="A44" s="6" t="s">
        <v>41</v>
      </c>
      <c r="B44" s="7">
        <v>15.0</v>
      </c>
      <c r="C44" s="6" t="s">
        <v>42</v>
      </c>
      <c r="D44" s="6" t="s">
        <v>43</v>
      </c>
    </row>
    <row r="45" ht="15.75" customHeight="1">
      <c r="B45" s="6">
        <f>B44*14.5</f>
        <v>217.5</v>
      </c>
      <c r="C45" s="6" t="s">
        <v>44</v>
      </c>
    </row>
    <row r="46" ht="15.75" customHeight="1"/>
    <row r="47" ht="15.75" customHeight="1">
      <c r="A47" s="6" t="s">
        <v>39</v>
      </c>
      <c r="B47" s="6">
        <v>16.0</v>
      </c>
      <c r="E47" s="6" t="s">
        <v>45</v>
      </c>
    </row>
    <row r="48" ht="15.75" customHeight="1">
      <c r="A48" s="6" t="s">
        <v>7</v>
      </c>
      <c r="B48" s="6" t="s">
        <v>46</v>
      </c>
      <c r="E48" s="6" t="s">
        <v>47</v>
      </c>
      <c r="F48" s="14">
        <f>B22</f>
        <v>29785</v>
      </c>
      <c r="G48" s="6" t="s">
        <v>10</v>
      </c>
    </row>
    <row r="49" ht="15.75" customHeight="1">
      <c r="A49" s="6" t="s">
        <v>41</v>
      </c>
      <c r="B49" s="7">
        <v>14.5</v>
      </c>
      <c r="C49" s="6" t="s">
        <v>42</v>
      </c>
      <c r="E49" s="6" t="s">
        <v>48</v>
      </c>
      <c r="F49" s="14">
        <f t="shared" ref="F49:F50" si="1">B51</f>
        <v>1938000</v>
      </c>
      <c r="G49" s="6" t="s">
        <v>17</v>
      </c>
    </row>
    <row r="50" ht="15.75" customHeight="1">
      <c r="B50" s="6">
        <f>B49*14.5</f>
        <v>210.25</v>
      </c>
      <c r="C50" s="6" t="s">
        <v>44</v>
      </c>
      <c r="F50" s="14">
        <f t="shared" si="1"/>
        <v>68440470</v>
      </c>
      <c r="G50" s="6" t="s">
        <v>22</v>
      </c>
    </row>
    <row r="51" ht="15.75" customHeight="1">
      <c r="A51" s="6" t="s">
        <v>16</v>
      </c>
      <c r="B51" s="8">
        <f>B27*B34</f>
        <v>1938000</v>
      </c>
      <c r="C51" s="6" t="s">
        <v>17</v>
      </c>
      <c r="F51" s="14">
        <f>F49/22.4</f>
        <v>86517.85714</v>
      </c>
      <c r="G51" s="6" t="s">
        <v>49</v>
      </c>
      <c r="I51" s="6" t="s">
        <v>50</v>
      </c>
    </row>
    <row r="52" ht="15.75" customHeight="1">
      <c r="B52" s="8">
        <f>B51*35.315</f>
        <v>68440470</v>
      </c>
      <c r="C52" s="6" t="s">
        <v>22</v>
      </c>
      <c r="F52" s="14">
        <f>0.657*F49</f>
        <v>1273266</v>
      </c>
      <c r="G52" s="6" t="s">
        <v>51</v>
      </c>
      <c r="I52" s="15" t="s">
        <v>52</v>
      </c>
    </row>
    <row r="53" ht="15.75" customHeight="1">
      <c r="B53" s="8">
        <f>B52/8000/60</f>
        <v>142.5843125</v>
      </c>
      <c r="C53" s="6" t="s">
        <v>23</v>
      </c>
      <c r="F53" s="14">
        <f>F52*25</f>
        <v>31831650</v>
      </c>
      <c r="G53" s="6" t="s">
        <v>53</v>
      </c>
      <c r="I53" s="16" t="s">
        <v>54</v>
      </c>
    </row>
    <row r="54" ht="15.75" customHeight="1">
      <c r="A54" s="6" t="s">
        <v>55</v>
      </c>
      <c r="B54" s="17">
        <f>B53*1020*60/1000000</f>
        <v>8.726159925</v>
      </c>
      <c r="C54" s="6" t="s">
        <v>56</v>
      </c>
      <c r="D54" s="6" t="s">
        <v>57</v>
      </c>
      <c r="E54" s="6" t="s">
        <v>58</v>
      </c>
      <c r="F54" s="14">
        <f>F51</f>
        <v>86517.85714</v>
      </c>
      <c r="G54" s="6" t="s">
        <v>49</v>
      </c>
      <c r="H54" s="10"/>
      <c r="J54" s="10"/>
    </row>
    <row r="55" ht="15.75" customHeight="1">
      <c r="B55" s="8">
        <f>B54*8000</f>
        <v>69809.2794</v>
      </c>
      <c r="C55" s="6" t="s">
        <v>59</v>
      </c>
      <c r="E55" s="6" t="s">
        <v>60</v>
      </c>
      <c r="F55" s="14">
        <f>-F54</f>
        <v>-86517.85714</v>
      </c>
      <c r="G55" s="6" t="s">
        <v>61</v>
      </c>
    </row>
    <row r="56" ht="15.75" customHeight="1">
      <c r="B56" s="8">
        <f>B55/0.139</f>
        <v>502225.0317</v>
      </c>
      <c r="C56" s="6" t="s">
        <v>62</v>
      </c>
      <c r="F56" s="14">
        <f>F55*44</f>
        <v>-3806785.714</v>
      </c>
      <c r="G56" s="6" t="s">
        <v>53</v>
      </c>
    </row>
    <row r="57" ht="15.75" customHeight="1">
      <c r="A57" s="6" t="s">
        <v>28</v>
      </c>
      <c r="E57" s="6" t="s">
        <v>63</v>
      </c>
      <c r="F57" s="18">
        <f>F56/F48</f>
        <v>-127.8088204</v>
      </c>
      <c r="G57" s="6" t="s">
        <v>64</v>
      </c>
    </row>
    <row r="58" ht="15.75" customHeight="1">
      <c r="A58" s="6" t="s">
        <v>29</v>
      </c>
      <c r="B58" s="19" t="s">
        <v>65</v>
      </c>
    </row>
    <row r="59" ht="15.75" customHeight="1">
      <c r="A59" s="6" t="s">
        <v>31</v>
      </c>
      <c r="B59" s="19" t="s">
        <v>66</v>
      </c>
    </row>
    <row r="60" ht="15.75" customHeight="1">
      <c r="A60" s="6" t="s">
        <v>32</v>
      </c>
      <c r="B60" s="13" t="s">
        <v>67</v>
      </c>
    </row>
    <row r="61" ht="15.75" customHeight="1">
      <c r="A61" s="6" t="s">
        <v>34</v>
      </c>
      <c r="B61" s="13" t="s">
        <v>68</v>
      </c>
    </row>
    <row r="62" ht="15.75" customHeight="1"/>
    <row r="63" ht="15.75" customHeight="1">
      <c r="A63" s="6" t="s">
        <v>39</v>
      </c>
      <c r="B63" s="6">
        <v>21.0</v>
      </c>
    </row>
    <row r="64" ht="15.75" customHeight="1">
      <c r="A64" s="6" t="s">
        <v>7</v>
      </c>
      <c r="B64" s="6" t="s">
        <v>69</v>
      </c>
    </row>
    <row r="65" ht="15.75" customHeight="1">
      <c r="A65" s="6" t="s">
        <v>16</v>
      </c>
      <c r="B65" s="8">
        <f>B27*B35</f>
        <v>1227400</v>
      </c>
      <c r="C65" s="6" t="s">
        <v>17</v>
      </c>
    </row>
    <row r="66" ht="15.75" customHeight="1">
      <c r="B66" s="8">
        <f>B65*35.315</f>
        <v>43345631</v>
      </c>
      <c r="C66" s="6" t="s">
        <v>22</v>
      </c>
      <c r="D66" s="6">
        <f>B66/30000</f>
        <v>1444.854367</v>
      </c>
    </row>
    <row r="67" ht="15.75" customHeight="1">
      <c r="B67" s="8">
        <f>B66/8000/60</f>
        <v>90.30339792</v>
      </c>
      <c r="C67" s="6" t="s">
        <v>23</v>
      </c>
    </row>
    <row r="68" ht="15.75" customHeight="1">
      <c r="A68" s="6" t="s">
        <v>9</v>
      </c>
      <c r="B68" s="20">
        <f>B67/19.253*60</f>
        <v>281.4212785</v>
      </c>
      <c r="C68" s="6" t="s">
        <v>70</v>
      </c>
      <c r="D68" s="21" t="s">
        <v>71</v>
      </c>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6:C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6A5AF"/>
    <pageSetUpPr/>
  </sheetPr>
  <sheetViews>
    <sheetView workbookViewId="0"/>
  </sheetViews>
  <sheetFormatPr customHeight="1" defaultColWidth="14.43" defaultRowHeight="15.0"/>
  <cols>
    <col customWidth="1" min="1" max="1" width="14.43"/>
    <col customWidth="1" min="2" max="2" width="32.57"/>
    <col customWidth="1" min="3" max="3" width="14.43"/>
    <col customWidth="1" min="4" max="4" width="18.57"/>
    <col customWidth="1" min="5" max="6" width="14.43"/>
    <col customWidth="1" min="7" max="7" width="41.0"/>
    <col customWidth="1" min="8" max="9" width="14.43"/>
    <col customWidth="1" min="10" max="10" width="53.43"/>
  </cols>
  <sheetData>
    <row r="1" ht="23.25" customHeight="1">
      <c r="A1" s="2" t="s">
        <v>72</v>
      </c>
      <c r="C1" s="6" t="s">
        <v>73</v>
      </c>
    </row>
    <row r="2" ht="23.25" customHeight="1">
      <c r="A2" s="2" t="s">
        <v>74</v>
      </c>
    </row>
    <row r="3">
      <c r="A3" s="22" t="s">
        <v>75</v>
      </c>
      <c r="B3" s="22" t="s">
        <v>76</v>
      </c>
      <c r="C3" s="22" t="s">
        <v>77</v>
      </c>
      <c r="D3" s="22" t="s">
        <v>78</v>
      </c>
      <c r="E3" s="22" t="s">
        <v>79</v>
      </c>
      <c r="F3" s="22" t="s">
        <v>80</v>
      </c>
      <c r="G3" s="22" t="s">
        <v>81</v>
      </c>
      <c r="H3" s="22" t="s">
        <v>82</v>
      </c>
      <c r="I3" s="22" t="s">
        <v>83</v>
      </c>
      <c r="J3" s="22" t="s">
        <v>84</v>
      </c>
    </row>
    <row r="4">
      <c r="A4" s="6" t="s">
        <v>85</v>
      </c>
      <c r="B4" s="23"/>
      <c r="C4" s="23"/>
      <c r="D4" s="23"/>
      <c r="E4" s="23"/>
      <c r="F4" s="23"/>
      <c r="G4" s="23"/>
      <c r="H4" s="23"/>
      <c r="I4" s="24"/>
    </row>
    <row r="5">
      <c r="A5" s="6" t="s">
        <v>86</v>
      </c>
      <c r="E5" s="6" t="s">
        <v>87</v>
      </c>
      <c r="G5" s="6" t="s">
        <v>88</v>
      </c>
      <c r="I5" s="25">
        <v>1.5344E7</v>
      </c>
      <c r="J5" s="6" t="s">
        <v>89</v>
      </c>
    </row>
    <row r="6">
      <c r="A6" s="6" t="s">
        <v>90</v>
      </c>
      <c r="B6" s="6" t="s">
        <v>91</v>
      </c>
      <c r="C6" s="6" t="s">
        <v>92</v>
      </c>
      <c r="D6" s="6" t="s">
        <v>93</v>
      </c>
      <c r="G6" s="6" t="s">
        <v>94</v>
      </c>
      <c r="H6" s="25">
        <v>107000.0</v>
      </c>
      <c r="I6" s="26">
        <f t="shared" ref="I6:I7" si="1">H6*3</f>
        <v>321000</v>
      </c>
      <c r="J6" s="6" t="s">
        <v>95</v>
      </c>
    </row>
    <row r="7">
      <c r="A7" s="6" t="s">
        <v>96</v>
      </c>
      <c r="B7" s="6" t="s">
        <v>97</v>
      </c>
      <c r="C7" s="6" t="s">
        <v>98</v>
      </c>
      <c r="D7" s="6" t="s">
        <v>93</v>
      </c>
      <c r="G7" s="6" t="s">
        <v>94</v>
      </c>
      <c r="H7" s="25">
        <v>107000.0</v>
      </c>
      <c r="I7" s="26">
        <f t="shared" si="1"/>
        <v>321000</v>
      </c>
    </row>
    <row r="8">
      <c r="A8" s="27" t="s">
        <v>99</v>
      </c>
      <c r="B8" s="23"/>
      <c r="C8" s="23"/>
      <c r="D8" s="23"/>
      <c r="E8" s="23"/>
      <c r="F8" s="23"/>
      <c r="G8" s="23"/>
      <c r="H8" s="28"/>
      <c r="I8" s="29"/>
      <c r="J8" s="6" t="s">
        <v>100</v>
      </c>
    </row>
    <row r="9">
      <c r="A9" s="27" t="s">
        <v>101</v>
      </c>
      <c r="B9" s="23"/>
      <c r="C9" s="23"/>
      <c r="D9" s="23"/>
      <c r="E9" s="23"/>
      <c r="F9" s="23"/>
      <c r="G9" s="23"/>
      <c r="H9" s="28"/>
      <c r="I9" s="29"/>
      <c r="J9" s="6" t="s">
        <v>100</v>
      </c>
    </row>
    <row r="10">
      <c r="A10" s="27" t="s">
        <v>102</v>
      </c>
      <c r="B10" s="23"/>
      <c r="C10" s="23"/>
      <c r="D10" s="23"/>
      <c r="E10" s="23"/>
      <c r="F10" s="23"/>
      <c r="G10" s="23"/>
      <c r="H10" s="28"/>
      <c r="I10" s="29"/>
      <c r="J10" s="6" t="s">
        <v>100</v>
      </c>
    </row>
    <row r="11">
      <c r="A11" s="6" t="s">
        <v>103</v>
      </c>
      <c r="B11" s="6" t="s">
        <v>104</v>
      </c>
      <c r="G11" s="6" t="s">
        <v>105</v>
      </c>
      <c r="H11" s="25">
        <f>'Refs '!H140</f>
        <v>290580.6074</v>
      </c>
      <c r="I11" s="25">
        <f>'Refs '!H141</f>
        <v>979767.8876</v>
      </c>
      <c r="J11" s="6" t="s">
        <v>106</v>
      </c>
    </row>
    <row r="12">
      <c r="A12" s="27" t="s">
        <v>107</v>
      </c>
      <c r="B12" s="23"/>
      <c r="C12" s="23"/>
      <c r="D12" s="23"/>
      <c r="E12" s="23"/>
      <c r="F12" s="23"/>
      <c r="G12" s="23"/>
      <c r="H12" s="23"/>
      <c r="I12" s="23"/>
    </row>
    <row r="13">
      <c r="A13" s="27" t="s">
        <v>108</v>
      </c>
      <c r="B13" s="23"/>
      <c r="C13" s="23"/>
      <c r="D13" s="23"/>
      <c r="E13" s="23"/>
      <c r="F13" s="23"/>
      <c r="G13" s="23"/>
      <c r="H13" s="23"/>
      <c r="I13" s="30"/>
    </row>
    <row r="14">
      <c r="A14" s="27" t="s">
        <v>109</v>
      </c>
      <c r="B14" s="23"/>
      <c r="C14" s="23"/>
      <c r="D14" s="23"/>
      <c r="E14" s="23"/>
      <c r="F14" s="23"/>
      <c r="G14" s="23"/>
      <c r="H14" s="23"/>
      <c r="I14" s="30"/>
    </row>
    <row r="15">
      <c r="A15" s="27" t="s">
        <v>110</v>
      </c>
      <c r="B15" s="23"/>
      <c r="C15" s="23"/>
      <c r="D15" s="23"/>
      <c r="E15" s="23"/>
      <c r="F15" s="23"/>
      <c r="G15" s="23"/>
      <c r="H15" s="23"/>
      <c r="I15" s="30"/>
    </row>
    <row r="16">
      <c r="A16" s="27" t="s">
        <v>111</v>
      </c>
      <c r="B16" s="23"/>
      <c r="C16" s="23"/>
      <c r="D16" s="23"/>
      <c r="E16" s="23"/>
      <c r="F16" s="23"/>
      <c r="G16" s="23"/>
      <c r="H16" s="23"/>
      <c r="I16" s="30"/>
    </row>
    <row r="17">
      <c r="A17" s="27" t="s">
        <v>112</v>
      </c>
      <c r="B17" s="23"/>
      <c r="C17" s="23"/>
      <c r="D17" s="23"/>
      <c r="E17" s="23"/>
      <c r="F17" s="23"/>
      <c r="G17" s="23"/>
      <c r="H17" s="23"/>
      <c r="I17" s="30"/>
    </row>
    <row r="18">
      <c r="A18" s="27" t="s">
        <v>113</v>
      </c>
      <c r="B18" s="23"/>
      <c r="C18" s="23"/>
      <c r="D18" s="23"/>
      <c r="E18" s="23"/>
      <c r="F18" s="23"/>
      <c r="G18" s="23"/>
      <c r="H18" s="23"/>
      <c r="I18" s="30"/>
    </row>
    <row r="19">
      <c r="A19" s="6" t="s">
        <v>114</v>
      </c>
      <c r="B19" s="6" t="s">
        <v>115</v>
      </c>
      <c r="G19" s="6" t="s">
        <v>116</v>
      </c>
      <c r="I19" s="25">
        <v>100000.0</v>
      </c>
      <c r="J19" s="6" t="s">
        <v>117</v>
      </c>
    </row>
    <row r="20">
      <c r="A20" s="6" t="s">
        <v>118</v>
      </c>
      <c r="G20" s="6" t="s">
        <v>119</v>
      </c>
      <c r="I20" s="25">
        <v>200000.0</v>
      </c>
    </row>
    <row r="21" ht="15.75" customHeight="1">
      <c r="A21" s="6" t="s">
        <v>120</v>
      </c>
      <c r="G21" s="6" t="s">
        <v>121</v>
      </c>
      <c r="I21" s="25">
        <v>1000000.0</v>
      </c>
      <c r="J21" s="6" t="s">
        <v>122</v>
      </c>
    </row>
    <row r="22" ht="15.75" customHeight="1">
      <c r="A22" s="6" t="s">
        <v>123</v>
      </c>
      <c r="I22" s="26">
        <f>SUM(I4:I21)</f>
        <v>18265767.89</v>
      </c>
    </row>
    <row r="23" ht="15.75" customHeight="1"/>
    <row r="24" ht="15.75" customHeight="1">
      <c r="B24" s="31" t="s">
        <v>124</v>
      </c>
    </row>
    <row r="25" ht="15.75" customHeight="1">
      <c r="B25" s="32">
        <v>1.5E7</v>
      </c>
      <c r="C25" s="6" t="s">
        <v>125</v>
      </c>
    </row>
    <row r="26" ht="15.75" customHeight="1">
      <c r="B26" s="26">
        <f>I22*1.18</f>
        <v>21553606.11</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pageSetUpPr/>
  </sheetPr>
  <sheetViews>
    <sheetView workbookViewId="0"/>
  </sheetViews>
  <sheetFormatPr customHeight="1" defaultColWidth="14.43" defaultRowHeight="15.0"/>
  <cols>
    <col customWidth="1" min="1" max="1" width="8.71"/>
    <col customWidth="1" min="2" max="2" width="34.71"/>
    <col customWidth="1" min="3" max="3" width="12.57"/>
    <col customWidth="1" min="4" max="4" width="8.71"/>
    <col customWidth="1" min="5" max="5" width="12.57"/>
    <col customWidth="1" min="6" max="11" width="8.71"/>
  </cols>
  <sheetData>
    <row r="1" ht="19.5" customHeight="1">
      <c r="A1" s="2" t="s">
        <v>126</v>
      </c>
    </row>
    <row r="3">
      <c r="B3" s="33" t="s">
        <v>127</v>
      </c>
      <c r="C3" s="4"/>
      <c r="D3" s="4"/>
      <c r="E3" s="4"/>
      <c r="F3" s="4"/>
      <c r="G3" s="4"/>
      <c r="H3" s="4"/>
      <c r="I3" s="4"/>
      <c r="J3" s="4"/>
      <c r="K3" s="5"/>
    </row>
    <row r="5">
      <c r="A5" s="6" t="s">
        <v>128</v>
      </c>
    </row>
    <row r="7">
      <c r="A7" s="2" t="s">
        <v>129</v>
      </c>
    </row>
    <row r="8">
      <c r="B8" s="6" t="s">
        <v>8</v>
      </c>
      <c r="C8" s="14">
        <f>-ProcessDes!B22*80</f>
        <v>-2382800</v>
      </c>
      <c r="D8" s="6" t="s">
        <v>130</v>
      </c>
      <c r="E8" s="6" t="s">
        <v>131</v>
      </c>
    </row>
    <row r="9">
      <c r="B9" s="6" t="s">
        <v>132</v>
      </c>
      <c r="C9" s="34">
        <v>0.0</v>
      </c>
      <c r="D9" s="6" t="s">
        <v>130</v>
      </c>
    </row>
    <row r="10">
      <c r="B10" s="6" t="s">
        <v>133</v>
      </c>
      <c r="C10" s="34">
        <v>100000.0</v>
      </c>
      <c r="D10" s="6" t="s">
        <v>130</v>
      </c>
    </row>
    <row r="11">
      <c r="C11" s="7"/>
    </row>
    <row r="12">
      <c r="A12" s="35" t="s">
        <v>134</v>
      </c>
      <c r="C12" s="7"/>
    </row>
    <row r="13">
      <c r="B13" s="6" t="s">
        <v>135</v>
      </c>
      <c r="C13" s="14">
        <v>0.0</v>
      </c>
      <c r="D13" s="6" t="s">
        <v>130</v>
      </c>
      <c r="E13" s="6" t="s">
        <v>136</v>
      </c>
    </row>
    <row r="14">
      <c r="B14" s="6" t="s">
        <v>137</v>
      </c>
      <c r="C14" s="34">
        <v>5000.0</v>
      </c>
      <c r="D14" s="6" t="s">
        <v>130</v>
      </c>
      <c r="E14" s="6" t="s">
        <v>138</v>
      </c>
    </row>
    <row r="15">
      <c r="B15" s="6" t="s">
        <v>139</v>
      </c>
      <c r="C15" s="34">
        <v>0.0</v>
      </c>
      <c r="D15" s="6" t="s">
        <v>130</v>
      </c>
      <c r="E15" s="6" t="s">
        <v>140</v>
      </c>
    </row>
    <row r="16">
      <c r="C16" s="7"/>
    </row>
    <row r="17">
      <c r="A17" s="35" t="s">
        <v>141</v>
      </c>
      <c r="C17" s="7"/>
    </row>
    <row r="18">
      <c r="B18" s="6" t="s">
        <v>142</v>
      </c>
      <c r="C18" s="36">
        <f>0.13*60*8000</f>
        <v>62400</v>
      </c>
      <c r="D18" s="6" t="s">
        <v>130</v>
      </c>
      <c r="E18" s="6" t="s">
        <v>143</v>
      </c>
    </row>
    <row r="19">
      <c r="B19" s="6" t="s">
        <v>144</v>
      </c>
      <c r="C19" s="36">
        <f>18*0.75*8000</f>
        <v>108000</v>
      </c>
      <c r="D19" s="6" t="s">
        <v>130</v>
      </c>
      <c r="E19" s="6" t="s">
        <v>145</v>
      </c>
    </row>
    <row r="20">
      <c r="B20" s="6" t="s">
        <v>146</v>
      </c>
      <c r="C20" s="36">
        <f>0.35*0.5*8000</f>
        <v>1400</v>
      </c>
      <c r="D20" s="6" t="s">
        <v>130</v>
      </c>
      <c r="E20" s="6" t="s">
        <v>147</v>
      </c>
    </row>
    <row r="21" ht="15.75" customHeight="1">
      <c r="C21" s="7"/>
    </row>
    <row r="22" ht="15.75" customHeight="1">
      <c r="A22" s="35" t="s">
        <v>148</v>
      </c>
      <c r="C22" s="7"/>
    </row>
    <row r="23" ht="15.75" customHeight="1">
      <c r="B23" s="6" t="s">
        <v>149</v>
      </c>
      <c r="C23" s="34">
        <v>5.0</v>
      </c>
    </row>
    <row r="24" ht="15.75" customHeight="1">
      <c r="B24" s="6" t="s">
        <v>150</v>
      </c>
      <c r="C24" s="14">
        <f>C23*70000</f>
        <v>350000</v>
      </c>
      <c r="D24" s="6" t="s">
        <v>130</v>
      </c>
    </row>
    <row r="25" ht="15.75" customHeight="1"/>
    <row r="26" ht="15.75" customHeight="1">
      <c r="A26" s="35" t="s">
        <v>151</v>
      </c>
    </row>
    <row r="27" ht="15.75" customHeight="1">
      <c r="B27" s="6" t="s">
        <v>152</v>
      </c>
      <c r="C27" s="14">
        <f>CapCost!B25</f>
        <v>15000000</v>
      </c>
      <c r="D27" s="6" t="s">
        <v>153</v>
      </c>
      <c r="E27" s="14">
        <f>0.18*C27</f>
        <v>2700000</v>
      </c>
    </row>
    <row r="28" ht="15.75" customHeight="1"/>
    <row r="29" ht="15.75" customHeight="1">
      <c r="A29" s="35" t="s">
        <v>154</v>
      </c>
    </row>
    <row r="30" ht="15.75" customHeight="1">
      <c r="B30" s="6" t="s">
        <v>155</v>
      </c>
      <c r="C30" s="32">
        <v>1200000.0</v>
      </c>
      <c r="D30" s="6" t="s">
        <v>130</v>
      </c>
      <c r="E30" s="6" t="s">
        <v>156</v>
      </c>
      <c r="F30" s="7">
        <v>1.0</v>
      </c>
    </row>
    <row r="31" ht="15.75" customHeight="1">
      <c r="C31" s="14">
        <f>(0.18*C27+2.73*C24+1.23*SUM(C8:C10,C13:C15,C18:C20))*F30</f>
        <v>1065120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K3"/>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C1130"/>
    <pageSetUpPr/>
  </sheetPr>
  <sheetViews>
    <sheetView workbookViewId="0"/>
  </sheetViews>
  <sheetFormatPr customHeight="1" defaultColWidth="14.43" defaultRowHeight="15.0"/>
  <cols>
    <col customWidth="1" min="1" max="1" width="8.71"/>
    <col customWidth="1" min="2" max="2" width="39.71"/>
    <col customWidth="1" min="3" max="3" width="21.14"/>
    <col customWidth="1" min="4" max="4" width="13.86"/>
    <col customWidth="1" min="5" max="10" width="11.86"/>
    <col customWidth="1" min="11" max="11" width="18.71"/>
    <col customWidth="1" min="12" max="15" width="11.86"/>
  </cols>
  <sheetData>
    <row r="1" ht="21.0" customHeight="1">
      <c r="A1" s="2" t="s">
        <v>157</v>
      </c>
    </row>
    <row r="3">
      <c r="B3" s="37" t="s">
        <v>158</v>
      </c>
      <c r="C3" s="38">
        <v>100000.0</v>
      </c>
      <c r="E3" s="35" t="s">
        <v>159</v>
      </c>
    </row>
    <row r="4">
      <c r="B4" s="37" t="s">
        <v>160</v>
      </c>
      <c r="C4" s="39">
        <f>CapCost!B25</f>
        <v>15000000</v>
      </c>
      <c r="E4" s="40" t="s">
        <v>161</v>
      </c>
      <c r="F4" s="41" t="s">
        <v>162</v>
      </c>
      <c r="G4" s="41" t="s">
        <v>163</v>
      </c>
      <c r="H4" s="41" t="s">
        <v>164</v>
      </c>
      <c r="I4" s="41" t="s">
        <v>165</v>
      </c>
      <c r="J4" s="41" t="s">
        <v>166</v>
      </c>
      <c r="K4" s="41" t="s">
        <v>167</v>
      </c>
      <c r="L4" s="41" t="s">
        <v>168</v>
      </c>
      <c r="M4" s="41" t="s">
        <v>169</v>
      </c>
      <c r="N4" s="41" t="s">
        <v>170</v>
      </c>
      <c r="O4" s="41" t="s">
        <v>171</v>
      </c>
    </row>
    <row r="5">
      <c r="B5" s="37" t="s">
        <v>172</v>
      </c>
      <c r="C5" s="39">
        <f>60%*C4</f>
        <v>9000000</v>
      </c>
      <c r="E5" s="42">
        <v>0.0</v>
      </c>
      <c r="F5" s="43">
        <f>-C3</f>
        <v>-100000</v>
      </c>
      <c r="G5" s="37"/>
      <c r="H5" s="43">
        <f t="shared" ref="H5:H7" si="1">$C$4</f>
        <v>15000000</v>
      </c>
      <c r="I5" s="37"/>
      <c r="J5" s="37"/>
      <c r="K5" s="37"/>
      <c r="L5" s="43">
        <f t="shared" ref="L5:L27" si="2">F5+K5</f>
        <v>-100000</v>
      </c>
      <c r="M5" s="43">
        <f>L5</f>
        <v>-100000</v>
      </c>
      <c r="N5" s="43">
        <f t="shared" ref="N5:N27" si="3">L5/(1+$C$15)^E5</f>
        <v>-100000</v>
      </c>
      <c r="O5" s="43">
        <f>N5</f>
        <v>-100000</v>
      </c>
    </row>
    <row r="6">
      <c r="B6" s="37" t="s">
        <v>173</v>
      </c>
      <c r="C6" s="39">
        <f>40%*C4</f>
        <v>6000000</v>
      </c>
      <c r="E6" s="42">
        <v>1.0</v>
      </c>
      <c r="F6" s="43">
        <f t="shared" ref="F6:F7" si="4">-C5</f>
        <v>-9000000</v>
      </c>
      <c r="G6" s="37"/>
      <c r="H6" s="43">
        <f t="shared" si="1"/>
        <v>15000000</v>
      </c>
      <c r="I6" s="37"/>
      <c r="J6" s="37"/>
      <c r="K6" s="37"/>
      <c r="L6" s="43">
        <f t="shared" si="2"/>
        <v>-9000000</v>
      </c>
      <c r="M6" s="43">
        <f t="shared" ref="M6:M27" si="5">M5+L6</f>
        <v>-9100000</v>
      </c>
      <c r="N6" s="43">
        <f t="shared" si="3"/>
        <v>-8450704.225</v>
      </c>
      <c r="O6" s="43">
        <f t="shared" ref="O6:O27" si="6">O5+N6</f>
        <v>-8550704.225</v>
      </c>
    </row>
    <row r="7">
      <c r="B7" s="37" t="s">
        <v>174</v>
      </c>
      <c r="C7" s="38">
        <v>0.0</v>
      </c>
      <c r="E7" s="42">
        <v>2.0</v>
      </c>
      <c r="F7" s="43">
        <f t="shared" si="4"/>
        <v>-6000000</v>
      </c>
      <c r="G7" s="37"/>
      <c r="H7" s="43">
        <f t="shared" si="1"/>
        <v>15000000</v>
      </c>
      <c r="I7" s="37"/>
      <c r="J7" s="37"/>
      <c r="K7" s="37"/>
      <c r="L7" s="43">
        <f t="shared" si="2"/>
        <v>-6000000</v>
      </c>
      <c r="M7" s="43">
        <f t="shared" si="5"/>
        <v>-15100000</v>
      </c>
      <c r="N7" s="43">
        <f t="shared" si="3"/>
        <v>-5289955.697</v>
      </c>
      <c r="O7" s="43">
        <f t="shared" si="6"/>
        <v>-13840659.92</v>
      </c>
    </row>
    <row r="8">
      <c r="B8" s="37" t="s">
        <v>175</v>
      </c>
      <c r="C8" s="44" t="s">
        <v>176</v>
      </c>
      <c r="E8" s="42">
        <v>3.0</v>
      </c>
      <c r="F8" s="37"/>
      <c r="G8" s="43">
        <f>C4*20%</f>
        <v>3000000</v>
      </c>
      <c r="H8" s="43">
        <f>$C$4-G8</f>
        <v>12000000</v>
      </c>
      <c r="I8" s="43">
        <f t="shared" ref="I8:I27" si="7">$C$10+$C$11</f>
        <v>2878479.488</v>
      </c>
      <c r="J8" s="43">
        <f t="shared" ref="J8:J27" si="8">$C$12</f>
        <v>1200000</v>
      </c>
      <c r="K8" s="43">
        <f t="shared" ref="K8:K27" si="9">IF((I8-J8-G8)&lt;0, (I8-J8), (I8-J8-G8)*(1-$C$13)+G8)</f>
        <v>1678479.488</v>
      </c>
      <c r="L8" s="43">
        <f t="shared" si="2"/>
        <v>1678479.488</v>
      </c>
      <c r="M8" s="43">
        <f t="shared" si="5"/>
        <v>-13421520.51</v>
      </c>
      <c r="N8" s="43">
        <f t="shared" si="3"/>
        <v>1389527.72</v>
      </c>
      <c r="O8" s="43">
        <f t="shared" si="6"/>
        <v>-12451132.2</v>
      </c>
    </row>
    <row r="9">
      <c r="B9" s="37" t="s">
        <v>177</v>
      </c>
      <c r="C9" s="45">
        <v>7.10048137425547</v>
      </c>
      <c r="D9" s="6" t="s">
        <v>178</v>
      </c>
      <c r="E9" s="42">
        <v>4.0</v>
      </c>
      <c r="F9" s="37"/>
      <c r="G9" s="43">
        <f>C4*32%</f>
        <v>4800000</v>
      </c>
      <c r="H9" s="43">
        <f t="shared" ref="H9:H27" si="10">H8-G9</f>
        <v>7200000</v>
      </c>
      <c r="I9" s="43">
        <f t="shared" si="7"/>
        <v>2878479.488</v>
      </c>
      <c r="J9" s="43">
        <f t="shared" si="8"/>
        <v>1200000</v>
      </c>
      <c r="K9" s="43">
        <f t="shared" si="9"/>
        <v>1678479.488</v>
      </c>
      <c r="L9" s="43">
        <f t="shared" si="2"/>
        <v>1678479.488</v>
      </c>
      <c r="M9" s="43">
        <f t="shared" si="5"/>
        <v>-11743041.02</v>
      </c>
      <c r="N9" s="43">
        <f t="shared" si="3"/>
        <v>1304720.864</v>
      </c>
      <c r="O9" s="43">
        <f t="shared" si="6"/>
        <v>-11146411.34</v>
      </c>
    </row>
    <row r="10">
      <c r="B10" s="37" t="s">
        <v>179</v>
      </c>
      <c r="C10" s="39">
        <f>C9*ProcessDes!B55</f>
        <v>495679.4881</v>
      </c>
      <c r="E10" s="42">
        <v>5.0</v>
      </c>
      <c r="F10" s="37"/>
      <c r="G10" s="43">
        <f>C4*19.2%</f>
        <v>2880000</v>
      </c>
      <c r="H10" s="43">
        <f t="shared" si="10"/>
        <v>4320000</v>
      </c>
      <c r="I10" s="43">
        <f t="shared" si="7"/>
        <v>2878479.488</v>
      </c>
      <c r="J10" s="43">
        <f t="shared" si="8"/>
        <v>1200000</v>
      </c>
      <c r="K10" s="43">
        <f t="shared" si="9"/>
        <v>1678479.488</v>
      </c>
      <c r="L10" s="43">
        <f t="shared" si="2"/>
        <v>1678479.488</v>
      </c>
      <c r="M10" s="43">
        <f t="shared" si="5"/>
        <v>-10064561.54</v>
      </c>
      <c r="N10" s="43">
        <f t="shared" si="3"/>
        <v>1225090.013</v>
      </c>
      <c r="O10" s="43">
        <f t="shared" si="6"/>
        <v>-9921321.326</v>
      </c>
    </row>
    <row r="11">
      <c r="B11" s="37" t="s">
        <v>180</v>
      </c>
      <c r="C11" s="39">
        <f>80*ProcessDes!B22</f>
        <v>2382800</v>
      </c>
      <c r="D11" s="6" t="s">
        <v>181</v>
      </c>
      <c r="E11" s="42">
        <v>6.0</v>
      </c>
      <c r="F11" s="37"/>
      <c r="G11" s="43">
        <f>C4*11.52%</f>
        <v>1728000</v>
      </c>
      <c r="H11" s="43">
        <f t="shared" si="10"/>
        <v>2592000</v>
      </c>
      <c r="I11" s="43">
        <f t="shared" si="7"/>
        <v>2878479.488</v>
      </c>
      <c r="J11" s="43">
        <f t="shared" si="8"/>
        <v>1200000</v>
      </c>
      <c r="K11" s="43">
        <f t="shared" si="9"/>
        <v>1678479.488</v>
      </c>
      <c r="L11" s="43">
        <f t="shared" si="2"/>
        <v>1678479.488</v>
      </c>
      <c r="M11" s="43">
        <f t="shared" si="5"/>
        <v>-8386082.047</v>
      </c>
      <c r="N11" s="43">
        <f t="shared" si="3"/>
        <v>1150319.261</v>
      </c>
      <c r="O11" s="43">
        <f t="shared" si="6"/>
        <v>-8771002.065</v>
      </c>
    </row>
    <row r="12">
      <c r="B12" s="37" t="s">
        <v>182</v>
      </c>
      <c r="C12" s="39">
        <f>'O&amp;MCost'!C30</f>
        <v>1200000</v>
      </c>
      <c r="E12" s="42">
        <v>7.0</v>
      </c>
      <c r="F12" s="37"/>
      <c r="G12" s="43">
        <f>C4*11.52%</f>
        <v>1728000</v>
      </c>
      <c r="H12" s="43">
        <f t="shared" si="10"/>
        <v>864000</v>
      </c>
      <c r="I12" s="43">
        <f t="shared" si="7"/>
        <v>2878479.488</v>
      </c>
      <c r="J12" s="43">
        <f t="shared" si="8"/>
        <v>1200000</v>
      </c>
      <c r="K12" s="43">
        <f t="shared" si="9"/>
        <v>1678479.488</v>
      </c>
      <c r="L12" s="43">
        <f t="shared" si="2"/>
        <v>1678479.488</v>
      </c>
      <c r="M12" s="43">
        <f t="shared" si="5"/>
        <v>-6707602.559</v>
      </c>
      <c r="N12" s="43">
        <f t="shared" si="3"/>
        <v>1080111.982</v>
      </c>
      <c r="O12" s="43">
        <f t="shared" si="6"/>
        <v>-7690890.083</v>
      </c>
    </row>
    <row r="13">
      <c r="B13" s="37" t="s">
        <v>183</v>
      </c>
      <c r="C13" s="46">
        <v>0.26</v>
      </c>
      <c r="E13" s="42">
        <v>8.0</v>
      </c>
      <c r="F13" s="37"/>
      <c r="G13" s="43">
        <f>C4*5.76%</f>
        <v>864000</v>
      </c>
      <c r="H13" s="43">
        <f t="shared" si="10"/>
        <v>0</v>
      </c>
      <c r="I13" s="43">
        <f t="shared" si="7"/>
        <v>2878479.488</v>
      </c>
      <c r="J13" s="43">
        <f t="shared" si="8"/>
        <v>1200000</v>
      </c>
      <c r="K13" s="43">
        <f t="shared" si="9"/>
        <v>1466714.821</v>
      </c>
      <c r="L13" s="43">
        <f t="shared" si="2"/>
        <v>1466714.821</v>
      </c>
      <c r="M13" s="43">
        <f t="shared" si="5"/>
        <v>-5240887.738</v>
      </c>
      <c r="N13" s="43">
        <f t="shared" si="3"/>
        <v>886234.8384</v>
      </c>
      <c r="O13" s="43">
        <f t="shared" si="6"/>
        <v>-6804655.244</v>
      </c>
    </row>
    <row r="14">
      <c r="B14" s="37" t="s">
        <v>184</v>
      </c>
      <c r="C14" s="39">
        <f>7%*C4</f>
        <v>1050000</v>
      </c>
      <c r="E14" s="42">
        <v>9.0</v>
      </c>
      <c r="F14" s="37"/>
      <c r="G14" s="37"/>
      <c r="H14" s="43">
        <f t="shared" si="10"/>
        <v>0</v>
      </c>
      <c r="I14" s="43">
        <f t="shared" si="7"/>
        <v>2878479.488</v>
      </c>
      <c r="J14" s="43">
        <f t="shared" si="8"/>
        <v>1200000</v>
      </c>
      <c r="K14" s="43">
        <f t="shared" si="9"/>
        <v>1242074.821</v>
      </c>
      <c r="L14" s="43">
        <f t="shared" si="2"/>
        <v>1242074.821</v>
      </c>
      <c r="M14" s="43">
        <f t="shared" si="5"/>
        <v>-3998812.917</v>
      </c>
      <c r="N14" s="43">
        <f t="shared" si="3"/>
        <v>704695.159</v>
      </c>
      <c r="O14" s="43">
        <f t="shared" si="6"/>
        <v>-6099960.085</v>
      </c>
    </row>
    <row r="15">
      <c r="B15" s="37" t="s">
        <v>185</v>
      </c>
      <c r="C15" s="47">
        <v>0.065</v>
      </c>
      <c r="E15" s="42">
        <v>10.0</v>
      </c>
      <c r="F15" s="37"/>
      <c r="G15" s="37"/>
      <c r="H15" s="43">
        <f t="shared" si="10"/>
        <v>0</v>
      </c>
      <c r="I15" s="43">
        <f t="shared" si="7"/>
        <v>2878479.488</v>
      </c>
      <c r="J15" s="43">
        <f t="shared" si="8"/>
        <v>1200000</v>
      </c>
      <c r="K15" s="43">
        <f t="shared" si="9"/>
        <v>1242074.821</v>
      </c>
      <c r="L15" s="43">
        <f t="shared" si="2"/>
        <v>1242074.821</v>
      </c>
      <c r="M15" s="43">
        <f t="shared" si="5"/>
        <v>-2756738.096</v>
      </c>
      <c r="N15" s="43">
        <f t="shared" si="3"/>
        <v>661685.5953</v>
      </c>
      <c r="O15" s="43">
        <f t="shared" si="6"/>
        <v>-5438274.49</v>
      </c>
    </row>
    <row r="16">
      <c r="B16" s="48" t="s">
        <v>186</v>
      </c>
      <c r="C16" s="49" t="s">
        <v>187</v>
      </c>
      <c r="E16" s="42">
        <v>11.0</v>
      </c>
      <c r="F16" s="37"/>
      <c r="G16" s="37"/>
      <c r="H16" s="43">
        <f t="shared" si="10"/>
        <v>0</v>
      </c>
      <c r="I16" s="43">
        <f t="shared" si="7"/>
        <v>2878479.488</v>
      </c>
      <c r="J16" s="43">
        <f t="shared" si="8"/>
        <v>1200000</v>
      </c>
      <c r="K16" s="43">
        <f t="shared" si="9"/>
        <v>1242074.821</v>
      </c>
      <c r="L16" s="43">
        <f t="shared" si="2"/>
        <v>1242074.821</v>
      </c>
      <c r="M16" s="43">
        <f t="shared" si="5"/>
        <v>-1514663.274</v>
      </c>
      <c r="N16" s="43">
        <f t="shared" si="3"/>
        <v>621301.0285</v>
      </c>
      <c r="O16" s="43">
        <f t="shared" si="6"/>
        <v>-4816973.461</v>
      </c>
    </row>
    <row r="17">
      <c r="B17" s="37" t="s">
        <v>188</v>
      </c>
      <c r="C17" s="50">
        <v>8.9</v>
      </c>
      <c r="E17" s="42">
        <v>12.0</v>
      </c>
      <c r="F17" s="37"/>
      <c r="G17" s="37"/>
      <c r="H17" s="43">
        <f t="shared" si="10"/>
        <v>0</v>
      </c>
      <c r="I17" s="43">
        <f t="shared" si="7"/>
        <v>2878479.488</v>
      </c>
      <c r="J17" s="43">
        <f t="shared" si="8"/>
        <v>1200000</v>
      </c>
      <c r="K17" s="43">
        <f t="shared" si="9"/>
        <v>1242074.821</v>
      </c>
      <c r="L17" s="43">
        <f t="shared" si="2"/>
        <v>1242074.821</v>
      </c>
      <c r="M17" s="43">
        <f t="shared" si="5"/>
        <v>-272588.4533</v>
      </c>
      <c r="N17" s="43">
        <f t="shared" si="3"/>
        <v>583381.2474</v>
      </c>
      <c r="O17" s="43">
        <f t="shared" si="6"/>
        <v>-4233592.214</v>
      </c>
    </row>
    <row r="18">
      <c r="B18" s="37" t="s">
        <v>189</v>
      </c>
      <c r="C18" s="50">
        <v>29.87</v>
      </c>
      <c r="E18" s="42">
        <v>13.0</v>
      </c>
      <c r="F18" s="37"/>
      <c r="G18" s="37"/>
      <c r="H18" s="43">
        <f t="shared" si="10"/>
        <v>0</v>
      </c>
      <c r="I18" s="43">
        <f t="shared" si="7"/>
        <v>2878479.488</v>
      </c>
      <c r="J18" s="43">
        <f t="shared" si="8"/>
        <v>1200000</v>
      </c>
      <c r="K18" s="43">
        <f t="shared" si="9"/>
        <v>1242074.821</v>
      </c>
      <c r="L18" s="43">
        <f t="shared" si="2"/>
        <v>1242074.821</v>
      </c>
      <c r="M18" s="43">
        <f t="shared" si="5"/>
        <v>969486.3679</v>
      </c>
      <c r="N18" s="43">
        <f t="shared" si="3"/>
        <v>547775.8192</v>
      </c>
      <c r="O18" s="43">
        <f t="shared" si="6"/>
        <v>-3685816.395</v>
      </c>
    </row>
    <row r="19">
      <c r="B19" s="37" t="s">
        <v>190</v>
      </c>
      <c r="C19" s="50">
        <v>3.0</v>
      </c>
      <c r="E19" s="42">
        <v>14.0</v>
      </c>
      <c r="F19" s="37"/>
      <c r="G19" s="37"/>
      <c r="H19" s="43">
        <f t="shared" si="10"/>
        <v>0</v>
      </c>
      <c r="I19" s="43">
        <f t="shared" si="7"/>
        <v>2878479.488</v>
      </c>
      <c r="J19" s="43">
        <f t="shared" si="8"/>
        <v>1200000</v>
      </c>
      <c r="K19" s="43">
        <f t="shared" si="9"/>
        <v>1242074.821</v>
      </c>
      <c r="L19" s="43">
        <f t="shared" si="2"/>
        <v>1242074.821</v>
      </c>
      <c r="M19" s="43">
        <f t="shared" si="5"/>
        <v>2211561.189</v>
      </c>
      <c r="N19" s="43">
        <f t="shared" si="3"/>
        <v>514343.4922</v>
      </c>
      <c r="O19" s="43">
        <f t="shared" si="6"/>
        <v>-3171472.903</v>
      </c>
    </row>
    <row r="20">
      <c r="B20" s="37" t="s">
        <v>191</v>
      </c>
      <c r="C20" s="51">
        <f>SUM(C17:C19)</f>
        <v>41.77</v>
      </c>
      <c r="E20" s="42">
        <v>15.0</v>
      </c>
      <c r="F20" s="37"/>
      <c r="G20" s="37"/>
      <c r="H20" s="43">
        <f t="shared" si="10"/>
        <v>0</v>
      </c>
      <c r="I20" s="43">
        <f t="shared" si="7"/>
        <v>2878479.488</v>
      </c>
      <c r="J20" s="43">
        <f t="shared" si="8"/>
        <v>1200000</v>
      </c>
      <c r="K20" s="43">
        <f t="shared" si="9"/>
        <v>1242074.821</v>
      </c>
      <c r="L20" s="43">
        <f t="shared" si="2"/>
        <v>1242074.821</v>
      </c>
      <c r="M20" s="43">
        <f t="shared" si="5"/>
        <v>3453636.01</v>
      </c>
      <c r="N20" s="43">
        <f t="shared" si="3"/>
        <v>482951.6358</v>
      </c>
      <c r="O20" s="43">
        <f t="shared" si="6"/>
        <v>-2688521.267</v>
      </c>
    </row>
    <row r="21" ht="15.75" customHeight="1">
      <c r="B21" s="52"/>
      <c r="E21" s="42">
        <v>16.0</v>
      </c>
      <c r="F21" s="37"/>
      <c r="G21" s="37"/>
      <c r="H21" s="43">
        <f t="shared" si="10"/>
        <v>0</v>
      </c>
      <c r="I21" s="43">
        <f t="shared" si="7"/>
        <v>2878479.488</v>
      </c>
      <c r="J21" s="43">
        <f t="shared" si="8"/>
        <v>1200000</v>
      </c>
      <c r="K21" s="43">
        <f t="shared" si="9"/>
        <v>1242074.821</v>
      </c>
      <c r="L21" s="43">
        <f t="shared" si="2"/>
        <v>1242074.821</v>
      </c>
      <c r="M21" s="43">
        <f t="shared" si="5"/>
        <v>4695710.832</v>
      </c>
      <c r="N21" s="43">
        <f t="shared" si="3"/>
        <v>453475.7144</v>
      </c>
      <c r="O21" s="43">
        <f t="shared" si="6"/>
        <v>-2235045.552</v>
      </c>
    </row>
    <row r="22" ht="15.75" customHeight="1">
      <c r="B22" s="52"/>
      <c r="E22" s="42">
        <v>17.0</v>
      </c>
      <c r="F22" s="37"/>
      <c r="G22" s="37"/>
      <c r="H22" s="43">
        <f t="shared" si="10"/>
        <v>0</v>
      </c>
      <c r="I22" s="43">
        <f t="shared" si="7"/>
        <v>2878479.488</v>
      </c>
      <c r="J22" s="43">
        <f t="shared" si="8"/>
        <v>1200000</v>
      </c>
      <c r="K22" s="43">
        <f t="shared" si="9"/>
        <v>1242074.821</v>
      </c>
      <c r="L22" s="43">
        <f t="shared" si="2"/>
        <v>1242074.821</v>
      </c>
      <c r="M22" s="43">
        <f t="shared" si="5"/>
        <v>5937785.653</v>
      </c>
      <c r="N22" s="43">
        <f t="shared" si="3"/>
        <v>425798.7929</v>
      </c>
      <c r="O22" s="43">
        <f t="shared" si="6"/>
        <v>-1809246.76</v>
      </c>
    </row>
    <row r="23" ht="15.75" customHeight="1">
      <c r="B23" s="52"/>
      <c r="E23" s="42">
        <v>18.0</v>
      </c>
      <c r="F23" s="37"/>
      <c r="G23" s="37"/>
      <c r="H23" s="43">
        <f t="shared" si="10"/>
        <v>0</v>
      </c>
      <c r="I23" s="43">
        <f t="shared" si="7"/>
        <v>2878479.488</v>
      </c>
      <c r="J23" s="43">
        <f t="shared" si="8"/>
        <v>1200000</v>
      </c>
      <c r="K23" s="43">
        <f t="shared" si="9"/>
        <v>1242074.821</v>
      </c>
      <c r="L23" s="43">
        <f t="shared" si="2"/>
        <v>1242074.821</v>
      </c>
      <c r="M23" s="43">
        <f t="shared" si="5"/>
        <v>7179860.474</v>
      </c>
      <c r="N23" s="43">
        <f t="shared" si="3"/>
        <v>399811.0731</v>
      </c>
      <c r="O23" s="43">
        <f t="shared" si="6"/>
        <v>-1409435.686</v>
      </c>
    </row>
    <row r="24" ht="15.75" customHeight="1">
      <c r="B24" s="52"/>
      <c r="E24" s="42">
        <v>19.0</v>
      </c>
      <c r="F24" s="37"/>
      <c r="G24" s="37"/>
      <c r="H24" s="43">
        <f t="shared" si="10"/>
        <v>0</v>
      </c>
      <c r="I24" s="43">
        <f t="shared" si="7"/>
        <v>2878479.488</v>
      </c>
      <c r="J24" s="43">
        <f t="shared" si="8"/>
        <v>1200000</v>
      </c>
      <c r="K24" s="43">
        <f t="shared" si="9"/>
        <v>1242074.821</v>
      </c>
      <c r="L24" s="43">
        <f t="shared" si="2"/>
        <v>1242074.821</v>
      </c>
      <c r="M24" s="43">
        <f t="shared" si="5"/>
        <v>8421935.295</v>
      </c>
      <c r="N24" s="43">
        <f t="shared" si="3"/>
        <v>375409.4583</v>
      </c>
      <c r="O24" s="43">
        <f t="shared" si="6"/>
        <v>-1034026.228</v>
      </c>
    </row>
    <row r="25" ht="15.75" customHeight="1">
      <c r="B25" s="52"/>
      <c r="E25" s="42">
        <v>20.0</v>
      </c>
      <c r="F25" s="37"/>
      <c r="G25" s="37"/>
      <c r="H25" s="43">
        <f t="shared" si="10"/>
        <v>0</v>
      </c>
      <c r="I25" s="43">
        <f t="shared" si="7"/>
        <v>2878479.488</v>
      </c>
      <c r="J25" s="43">
        <f t="shared" si="8"/>
        <v>1200000</v>
      </c>
      <c r="K25" s="43">
        <f t="shared" si="9"/>
        <v>1242074.821</v>
      </c>
      <c r="L25" s="43">
        <f t="shared" si="2"/>
        <v>1242074.821</v>
      </c>
      <c r="M25" s="43">
        <f t="shared" si="5"/>
        <v>9664010.116</v>
      </c>
      <c r="N25" s="43">
        <f t="shared" si="3"/>
        <v>352497.144</v>
      </c>
      <c r="O25" s="43">
        <f t="shared" si="6"/>
        <v>-681529.0842</v>
      </c>
    </row>
    <row r="26" ht="15.75" customHeight="1">
      <c r="E26" s="42">
        <v>21.0</v>
      </c>
      <c r="F26" s="37"/>
      <c r="G26" s="37"/>
      <c r="H26" s="43">
        <f t="shared" si="10"/>
        <v>0</v>
      </c>
      <c r="I26" s="43">
        <f t="shared" si="7"/>
        <v>2878479.488</v>
      </c>
      <c r="J26" s="43">
        <f t="shared" si="8"/>
        <v>1200000</v>
      </c>
      <c r="K26" s="43">
        <f t="shared" si="9"/>
        <v>1242074.821</v>
      </c>
      <c r="L26" s="43">
        <f t="shared" si="2"/>
        <v>1242074.821</v>
      </c>
      <c r="M26" s="43">
        <f t="shared" si="5"/>
        <v>10906084.94</v>
      </c>
      <c r="N26" s="43">
        <f t="shared" si="3"/>
        <v>330983.2338</v>
      </c>
      <c r="O26" s="43">
        <f t="shared" si="6"/>
        <v>-350545.8504</v>
      </c>
    </row>
    <row r="27" ht="15.75" customHeight="1">
      <c r="E27" s="42">
        <v>22.0</v>
      </c>
      <c r="F27" s="43">
        <f>C3+C7</f>
        <v>100000</v>
      </c>
      <c r="G27" s="37"/>
      <c r="H27" s="43">
        <f t="shared" si="10"/>
        <v>0</v>
      </c>
      <c r="I27" s="43">
        <f t="shared" si="7"/>
        <v>2878479.488</v>
      </c>
      <c r="J27" s="43">
        <f t="shared" si="8"/>
        <v>1200000</v>
      </c>
      <c r="K27" s="43">
        <f t="shared" si="9"/>
        <v>1242074.821</v>
      </c>
      <c r="L27" s="43">
        <f t="shared" si="2"/>
        <v>1342074.821</v>
      </c>
      <c r="M27" s="43">
        <f t="shared" si="5"/>
        <v>12248159.76</v>
      </c>
      <c r="N27" s="43">
        <f t="shared" si="3"/>
        <v>335803.6076</v>
      </c>
      <c r="O27" s="43">
        <f t="shared" si="6"/>
        <v>-14742.24278</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00"/>
    <pageSetUpPr/>
  </sheetPr>
  <sheetViews>
    <sheetView workbookViewId="0"/>
  </sheetViews>
  <sheetFormatPr customHeight="1" defaultColWidth="14.43" defaultRowHeight="15.0"/>
  <cols>
    <col customWidth="1" min="1" max="3" width="21.29"/>
    <col customWidth="1" min="4" max="4" width="22.14"/>
    <col customWidth="1" min="5" max="5" width="17.57"/>
    <col customWidth="1" min="6" max="6" width="27.14"/>
    <col customWidth="1" min="7" max="7" width="26.43"/>
  </cols>
  <sheetData>
    <row r="1" ht="21.75" customHeight="1">
      <c r="A1" s="53" t="s">
        <v>192</v>
      </c>
      <c r="B1" s="37"/>
      <c r="C1" s="37"/>
      <c r="D1" s="37"/>
      <c r="E1" s="37"/>
      <c r="F1" s="37"/>
      <c r="G1" s="37"/>
    </row>
    <row r="2">
      <c r="A2" s="54" t="s">
        <v>193</v>
      </c>
      <c r="B2" s="54" t="s">
        <v>194</v>
      </c>
      <c r="C2" s="54" t="s">
        <v>195</v>
      </c>
      <c r="D2" s="54" t="s">
        <v>196</v>
      </c>
      <c r="E2" s="54" t="s">
        <v>197</v>
      </c>
      <c r="F2" s="54" t="s">
        <v>198</v>
      </c>
      <c r="G2" s="54" t="s">
        <v>199</v>
      </c>
    </row>
    <row r="3">
      <c r="A3" s="54" t="s">
        <v>200</v>
      </c>
      <c r="B3" s="55">
        <v>3.0E7</v>
      </c>
      <c r="C3" s="55">
        <v>1200000.0</v>
      </c>
      <c r="D3" s="54">
        <v>80.0</v>
      </c>
      <c r="E3" s="56">
        <v>0.1</v>
      </c>
      <c r="F3" s="54">
        <v>46.32</v>
      </c>
      <c r="G3" s="37"/>
    </row>
    <row r="4">
      <c r="A4" s="54" t="s">
        <v>201</v>
      </c>
      <c r="B4" s="55">
        <v>3.0E7</v>
      </c>
      <c r="C4" s="55">
        <v>1800000.0</v>
      </c>
      <c r="D4" s="54">
        <v>80.0</v>
      </c>
      <c r="E4" s="56">
        <v>0.1</v>
      </c>
      <c r="F4" s="54">
        <v>54.92</v>
      </c>
      <c r="G4" s="37"/>
    </row>
    <row r="5">
      <c r="A5" s="54" t="s">
        <v>202</v>
      </c>
      <c r="B5" s="55">
        <v>3.0E7</v>
      </c>
      <c r="C5" s="55">
        <v>1200000.0</v>
      </c>
      <c r="D5" s="54">
        <v>40.0</v>
      </c>
      <c r="E5" s="56">
        <v>0.1</v>
      </c>
      <c r="F5" s="54">
        <v>63.23</v>
      </c>
      <c r="G5" s="37"/>
    </row>
    <row r="6">
      <c r="A6" s="54" t="s">
        <v>203</v>
      </c>
      <c r="B6" s="55">
        <v>3.0E7</v>
      </c>
      <c r="C6" s="55">
        <v>1800000.0</v>
      </c>
      <c r="D6" s="54">
        <v>40.0</v>
      </c>
      <c r="E6" s="56">
        <v>0.1</v>
      </c>
      <c r="F6" s="54">
        <v>71.84</v>
      </c>
      <c r="G6" s="37"/>
    </row>
    <row r="7">
      <c r="A7" s="57" t="s">
        <v>204</v>
      </c>
      <c r="B7" s="55">
        <v>3.0E7</v>
      </c>
      <c r="C7" s="55">
        <v>1200000.0</v>
      </c>
      <c r="D7" s="54">
        <v>80.0</v>
      </c>
      <c r="E7" s="58">
        <v>0.065</v>
      </c>
      <c r="F7" s="59">
        <v>31.45</v>
      </c>
      <c r="G7" s="54">
        <v>13.8</v>
      </c>
    </row>
    <row r="8">
      <c r="A8" s="54" t="s">
        <v>205</v>
      </c>
      <c r="B8" s="55">
        <v>3.0E7</v>
      </c>
      <c r="C8" s="55">
        <v>1800000.0</v>
      </c>
      <c r="D8" s="54">
        <v>80.0</v>
      </c>
      <c r="E8" s="58">
        <v>0.065</v>
      </c>
      <c r="F8" s="59">
        <v>40.06</v>
      </c>
      <c r="G8" s="37"/>
    </row>
    <row r="9">
      <c r="A9" s="54" t="s">
        <v>206</v>
      </c>
      <c r="B9" s="55">
        <v>3.0E7</v>
      </c>
      <c r="C9" s="55">
        <v>1200000.0</v>
      </c>
      <c r="D9" s="54">
        <v>40.0</v>
      </c>
      <c r="E9" s="58">
        <v>0.065</v>
      </c>
      <c r="F9" s="54">
        <v>48.37</v>
      </c>
      <c r="G9" s="37"/>
    </row>
    <row r="10">
      <c r="A10" s="54" t="s">
        <v>207</v>
      </c>
      <c r="B10" s="55">
        <v>3.0E7</v>
      </c>
      <c r="C10" s="55">
        <v>1800000.0</v>
      </c>
      <c r="D10" s="54">
        <v>40.0</v>
      </c>
      <c r="E10" s="58">
        <v>0.065</v>
      </c>
      <c r="F10" s="54">
        <v>56.97</v>
      </c>
      <c r="G10" s="37"/>
    </row>
    <row r="11">
      <c r="A11" s="54" t="s">
        <v>208</v>
      </c>
      <c r="B11" s="55">
        <v>2.5E7</v>
      </c>
      <c r="C11" s="55">
        <v>1200000.0</v>
      </c>
      <c r="D11" s="54">
        <v>80.0</v>
      </c>
      <c r="E11" s="56">
        <v>0.1</v>
      </c>
      <c r="F11" s="59">
        <v>35.87</v>
      </c>
      <c r="G11" s="37"/>
    </row>
    <row r="12">
      <c r="A12" s="54" t="s">
        <v>209</v>
      </c>
      <c r="B12" s="55">
        <v>2.5E7</v>
      </c>
      <c r="C12" s="55">
        <v>1800000.0</v>
      </c>
      <c r="D12" s="54">
        <v>80.0</v>
      </c>
      <c r="E12" s="56">
        <v>0.1</v>
      </c>
      <c r="F12" s="54">
        <v>44.47</v>
      </c>
      <c r="G12" s="37"/>
    </row>
    <row r="13">
      <c r="A13" s="54" t="s">
        <v>210</v>
      </c>
      <c r="B13" s="55">
        <v>2.5E7</v>
      </c>
      <c r="C13" s="55">
        <v>1200000.0</v>
      </c>
      <c r="D13" s="54">
        <v>40.0</v>
      </c>
      <c r="E13" s="56">
        <v>0.1</v>
      </c>
      <c r="F13" s="54">
        <v>52.78</v>
      </c>
      <c r="G13" s="37"/>
    </row>
    <row r="14">
      <c r="A14" s="54" t="s">
        <v>211</v>
      </c>
      <c r="B14" s="55">
        <v>2.5E7</v>
      </c>
      <c r="C14" s="55">
        <v>1800000.0</v>
      </c>
      <c r="D14" s="54">
        <v>40.0</v>
      </c>
      <c r="E14" s="56">
        <v>0.1</v>
      </c>
      <c r="F14" s="54">
        <v>61.38</v>
      </c>
      <c r="G14" s="37"/>
    </row>
    <row r="15">
      <c r="A15" s="54" t="s">
        <v>212</v>
      </c>
      <c r="B15" s="55">
        <v>2.5E7</v>
      </c>
      <c r="C15" s="55">
        <v>1200000.0</v>
      </c>
      <c r="D15" s="54">
        <v>80.0</v>
      </c>
      <c r="E15" s="58">
        <v>0.065</v>
      </c>
      <c r="F15" s="59">
        <v>23.46</v>
      </c>
      <c r="G15" s="37"/>
    </row>
    <row r="16">
      <c r="A16" s="54" t="s">
        <v>213</v>
      </c>
      <c r="B16" s="55">
        <v>2.5E7</v>
      </c>
      <c r="C16" s="55">
        <v>1800000.0</v>
      </c>
      <c r="D16" s="54">
        <v>80.0</v>
      </c>
      <c r="E16" s="58">
        <v>0.065</v>
      </c>
      <c r="F16" s="59">
        <v>32.07</v>
      </c>
      <c r="G16" s="37"/>
    </row>
    <row r="17">
      <c r="A17" s="54" t="s">
        <v>214</v>
      </c>
      <c r="B17" s="55">
        <v>2.5E7</v>
      </c>
      <c r="C17" s="55">
        <v>1200000.0</v>
      </c>
      <c r="D17" s="54">
        <v>40.0</v>
      </c>
      <c r="E17" s="58">
        <v>0.065</v>
      </c>
      <c r="F17" s="59">
        <v>40.38</v>
      </c>
      <c r="G17" s="37"/>
    </row>
    <row r="18">
      <c r="A18" s="54" t="s">
        <v>215</v>
      </c>
      <c r="B18" s="55">
        <v>2.5E7</v>
      </c>
      <c r="C18" s="55">
        <v>1800000.0</v>
      </c>
      <c r="D18" s="54">
        <v>40.0</v>
      </c>
      <c r="E18" s="58">
        <v>0.065</v>
      </c>
      <c r="F18" s="54">
        <v>48.98</v>
      </c>
      <c r="G18" s="37"/>
    </row>
    <row r="19">
      <c r="A19" s="60" t="s">
        <v>204</v>
      </c>
      <c r="B19" s="60" t="s">
        <v>194</v>
      </c>
      <c r="C19" s="60" t="s">
        <v>195</v>
      </c>
      <c r="D19" s="60" t="s">
        <v>196</v>
      </c>
      <c r="E19" s="60" t="s">
        <v>197</v>
      </c>
      <c r="F19" s="60" t="s">
        <v>198</v>
      </c>
      <c r="G19" s="60" t="s">
        <v>199</v>
      </c>
    </row>
    <row r="20">
      <c r="A20" s="54" t="s">
        <v>216</v>
      </c>
      <c r="B20" s="55">
        <v>2.7E7</v>
      </c>
      <c r="C20" s="55">
        <v>1200000.0</v>
      </c>
      <c r="D20" s="54">
        <v>80.0</v>
      </c>
      <c r="E20" s="58">
        <v>0.065</v>
      </c>
      <c r="F20" s="59">
        <v>26.66</v>
      </c>
      <c r="G20" s="54">
        <v>11.5</v>
      </c>
    </row>
    <row r="21" ht="15.75" customHeight="1">
      <c r="A21" s="54" t="s">
        <v>217</v>
      </c>
      <c r="B21" s="55">
        <v>2.4E7</v>
      </c>
      <c r="C21" s="55">
        <v>1200000.0</v>
      </c>
      <c r="D21" s="54">
        <v>80.0</v>
      </c>
      <c r="E21" s="58">
        <v>0.065</v>
      </c>
      <c r="F21" s="59">
        <v>21.87</v>
      </c>
      <c r="G21" s="54">
        <v>9.6</v>
      </c>
    </row>
    <row r="22" ht="15.75" customHeight="1">
      <c r="A22" s="54" t="s">
        <v>218</v>
      </c>
      <c r="B22" s="55">
        <v>2.1E7</v>
      </c>
      <c r="C22" s="55">
        <v>1200000.0</v>
      </c>
      <c r="D22" s="54">
        <v>80.0</v>
      </c>
      <c r="E22" s="58">
        <v>0.065</v>
      </c>
      <c r="F22" s="59">
        <v>17.07</v>
      </c>
      <c r="G22" s="54">
        <v>7.9</v>
      </c>
    </row>
    <row r="23" ht="15.75" customHeight="1">
      <c r="A23" s="54" t="s">
        <v>219</v>
      </c>
      <c r="B23" s="55">
        <v>1.8E7</v>
      </c>
      <c r="C23" s="55">
        <v>1200000.0</v>
      </c>
      <c r="D23" s="54">
        <v>80.0</v>
      </c>
      <c r="E23" s="58">
        <v>0.065</v>
      </c>
      <c r="F23" s="59">
        <v>12.28</v>
      </c>
      <c r="G23" s="54">
        <v>6.4</v>
      </c>
    </row>
    <row r="24" ht="15.75" customHeight="1">
      <c r="A24" s="54" t="s">
        <v>220</v>
      </c>
      <c r="B24" s="55">
        <v>1.5E7</v>
      </c>
      <c r="C24" s="55">
        <v>1200000.0</v>
      </c>
      <c r="D24" s="54">
        <v>80.0</v>
      </c>
      <c r="E24" s="58">
        <v>0.065</v>
      </c>
      <c r="F24" s="59">
        <v>7.49</v>
      </c>
      <c r="G24" s="54">
        <v>5.1</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5F06"/>
    <pageSetUpPr/>
  </sheetPr>
  <sheetViews>
    <sheetView workbookViewId="0"/>
  </sheetViews>
  <sheetFormatPr customHeight="1" defaultColWidth="14.43" defaultRowHeight="15.0"/>
  <cols>
    <col customWidth="1" min="1" max="1" width="8.71"/>
    <col customWidth="1" min="2" max="3" width="13.57"/>
    <col customWidth="1" min="4" max="4" width="8.71"/>
    <col customWidth="1" min="5" max="5" width="9.86"/>
    <col customWidth="1" min="6" max="7" width="8.71"/>
    <col customWidth="1" min="8" max="8" width="11.43"/>
    <col customWidth="1" min="9" max="11" width="8.71"/>
    <col customWidth="1" min="12" max="12" width="12.29"/>
    <col customWidth="1" min="13" max="13" width="11.0"/>
    <col customWidth="1" min="14" max="14" width="8.71"/>
    <col customWidth="1" min="15" max="15" width="10.0"/>
    <col customWidth="1" min="16" max="16" width="12.57"/>
  </cols>
  <sheetData>
    <row r="2">
      <c r="A2" s="6" t="s">
        <v>43</v>
      </c>
      <c r="B2" s="6" t="s">
        <v>221</v>
      </c>
    </row>
    <row r="3">
      <c r="B3" s="61" t="s">
        <v>222</v>
      </c>
    </row>
    <row r="21" ht="15.75" customHeight="1">
      <c r="A21" s="6" t="s">
        <v>30</v>
      </c>
      <c r="B21" s="6" t="s">
        <v>223</v>
      </c>
    </row>
    <row r="22" ht="15.75" customHeight="1">
      <c r="B22" s="61" t="s">
        <v>224</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c r="A38" s="6" t="s">
        <v>225</v>
      </c>
      <c r="B38" s="6" t="s">
        <v>226</v>
      </c>
    </row>
    <row r="39" ht="15.75" customHeight="1">
      <c r="B39" s="61" t="s">
        <v>227</v>
      </c>
    </row>
    <row r="40" ht="15.75" customHeight="1"/>
    <row r="41" ht="15.75" customHeight="1"/>
    <row r="42" ht="15.75" customHeight="1"/>
    <row r="43" ht="15.75" customHeight="1"/>
    <row r="44" ht="15.75" customHeight="1"/>
    <row r="45" ht="15.75" customHeight="1"/>
    <row r="46" ht="15.75" customHeight="1"/>
    <row r="47" ht="15.75" customHeight="1"/>
    <row r="48" ht="15.75" customHeight="1">
      <c r="A48" s="6" t="s">
        <v>11</v>
      </c>
      <c r="B48" s="6" t="s">
        <v>228</v>
      </c>
    </row>
    <row r="49" ht="15.75" customHeight="1">
      <c r="B49" s="62" t="s">
        <v>229</v>
      </c>
    </row>
    <row r="50" ht="15.75" customHeight="1">
      <c r="B50" s="63">
        <v>3226000.0</v>
      </c>
      <c r="C50" s="6" t="s">
        <v>17</v>
      </c>
      <c r="F50" s="7">
        <v>29480.0</v>
      </c>
      <c r="G50" s="6" t="s">
        <v>10</v>
      </c>
      <c r="I50" s="10">
        <f>B50/(F50*0.907185)/1000</f>
        <v>0.1206260268</v>
      </c>
      <c r="J50" s="6" t="s">
        <v>25</v>
      </c>
      <c r="K50" s="6" t="s">
        <v>230</v>
      </c>
    </row>
    <row r="51" ht="15.75" customHeight="1">
      <c r="B51" s="8">
        <f>B50*35.315</f>
        <v>113926190</v>
      </c>
      <c r="C51" s="6" t="s">
        <v>22</v>
      </c>
      <c r="F51" s="6">
        <f>F50*2000</f>
        <v>58960000</v>
      </c>
      <c r="G51" s="6" t="s">
        <v>231</v>
      </c>
    </row>
    <row r="52" ht="15.75" customHeight="1">
      <c r="B52" s="8">
        <f>B51/8000/60</f>
        <v>237.3462292</v>
      </c>
      <c r="C52" s="6" t="s">
        <v>23</v>
      </c>
      <c r="F52" s="6">
        <f>F51/8000/60</f>
        <v>122.8333333</v>
      </c>
      <c r="G52" s="6" t="s">
        <v>232</v>
      </c>
      <c r="I52" s="6">
        <f>B52/F52</f>
        <v>1.932262381</v>
      </c>
      <c r="J52" s="6" t="s">
        <v>233</v>
      </c>
    </row>
    <row r="53" ht="15.75" customHeight="1"/>
    <row r="54" ht="15.75" customHeight="1">
      <c r="A54" s="6" t="s">
        <v>234</v>
      </c>
      <c r="B54" s="6" t="s">
        <v>235</v>
      </c>
    </row>
    <row r="55" ht="15.75" customHeight="1">
      <c r="B55" s="6" t="s">
        <v>236</v>
      </c>
    </row>
    <row r="56" ht="15.75" customHeight="1"/>
    <row r="57" ht="15.75" customHeight="1">
      <c r="A57" s="6" t="s">
        <v>237</v>
      </c>
      <c r="B57" s="6" t="s">
        <v>238</v>
      </c>
    </row>
    <row r="58" ht="15.75" customHeight="1">
      <c r="B58" s="6" t="s">
        <v>239</v>
      </c>
    </row>
    <row r="59" ht="15.75" customHeight="1">
      <c r="B59" s="6" t="s">
        <v>240</v>
      </c>
    </row>
    <row r="60" ht="15.75" customHeight="1">
      <c r="B60" s="6" t="s">
        <v>241</v>
      </c>
    </row>
    <row r="61" ht="15.75" customHeight="1">
      <c r="B61" s="6" t="s">
        <v>242</v>
      </c>
    </row>
    <row r="62" ht="15.75" customHeight="1">
      <c r="B62" s="6">
        <f>3200/2000</f>
        <v>1.6</v>
      </c>
      <c r="C62" s="6" t="s">
        <v>233</v>
      </c>
    </row>
    <row r="63" ht="15.75" customHeight="1">
      <c r="B63" s="11">
        <f>90.6/0.907185/1000</f>
        <v>0.09986937615</v>
      </c>
      <c r="C63" s="6" t="s">
        <v>25</v>
      </c>
    </row>
    <row r="64" ht="15.75" customHeight="1"/>
    <row r="65" ht="15.75" customHeight="1"/>
    <row r="66" ht="15.75" customHeight="1"/>
    <row r="67" ht="15.75" customHeight="1">
      <c r="A67" s="6" t="s">
        <v>243</v>
      </c>
      <c r="B67" s="6" t="s">
        <v>244</v>
      </c>
    </row>
    <row r="68" ht="15.75" customHeight="1">
      <c r="B68" s="6" t="s">
        <v>245</v>
      </c>
    </row>
    <row r="69" ht="15.75" customHeight="1"/>
    <row r="70" ht="15.75" customHeight="1"/>
    <row r="71" ht="15.75" customHeight="1"/>
    <row r="72" ht="15.75" customHeight="1"/>
    <row r="73" ht="15.75" customHeight="1"/>
    <row r="74" ht="15.75" customHeight="1"/>
    <row r="75" ht="15.75" customHeight="1"/>
    <row r="76" ht="15.75" customHeight="1"/>
    <row r="77" ht="15.75" customHeight="1">
      <c r="A77" s="6" t="s">
        <v>246</v>
      </c>
      <c r="B77" s="6" t="s">
        <v>247</v>
      </c>
    </row>
    <row r="78" ht="15.75" customHeight="1">
      <c r="B78" s="6" t="s">
        <v>248</v>
      </c>
    </row>
    <row r="79" ht="15.75" customHeight="1">
      <c r="B79" s="6" t="s">
        <v>249</v>
      </c>
    </row>
    <row r="80" ht="15.75" customHeight="1">
      <c r="B80" s="6" t="s">
        <v>250</v>
      </c>
    </row>
    <row r="81" ht="15.75" customHeight="1"/>
    <row r="82" ht="15.75" customHeight="1"/>
    <row r="83" ht="15.75" customHeight="1">
      <c r="A83" s="6" t="s">
        <v>251</v>
      </c>
      <c r="B83" s="61" t="s">
        <v>252</v>
      </c>
    </row>
    <row r="84" ht="15.75" customHeight="1">
      <c r="B84" s="6" t="s">
        <v>253</v>
      </c>
    </row>
    <row r="85" ht="15.75" customHeight="1"/>
    <row r="86" ht="15.75" customHeight="1">
      <c r="A86" s="6" t="s">
        <v>254</v>
      </c>
      <c r="B86" s="61" t="s">
        <v>255</v>
      </c>
    </row>
    <row r="87" ht="15.75" customHeight="1">
      <c r="B87" s="6" t="s">
        <v>256</v>
      </c>
    </row>
    <row r="88" ht="15.75" customHeight="1"/>
    <row r="89" ht="15.75" customHeight="1">
      <c r="A89" s="6" t="s">
        <v>257</v>
      </c>
      <c r="B89" s="6" t="s">
        <v>258</v>
      </c>
    </row>
    <row r="90" ht="15.75" customHeight="1">
      <c r="B90" s="6" t="s">
        <v>259</v>
      </c>
    </row>
    <row r="91" ht="15.75" customHeight="1">
      <c r="B91" s="6" t="s">
        <v>260</v>
      </c>
    </row>
    <row r="92" ht="15.75" customHeight="1"/>
    <row r="93" ht="15.75" customHeight="1">
      <c r="A93" s="6" t="s">
        <v>261</v>
      </c>
      <c r="B93" s="6" t="s">
        <v>262</v>
      </c>
    </row>
    <row r="94" ht="15.75" customHeight="1">
      <c r="B94" s="6" t="s">
        <v>263</v>
      </c>
    </row>
    <row r="95" ht="15.75" customHeight="1">
      <c r="B95" s="6" t="s">
        <v>264</v>
      </c>
    </row>
    <row r="96" ht="15.75" customHeight="1">
      <c r="B96" s="6" t="s">
        <v>265</v>
      </c>
    </row>
    <row r="97" ht="15.75" customHeight="1">
      <c r="B97" s="6" t="s">
        <v>266</v>
      </c>
    </row>
    <row r="98" ht="15.75" customHeight="1"/>
    <row r="99" ht="15.75" customHeight="1">
      <c r="A99" s="6" t="s">
        <v>267</v>
      </c>
      <c r="B99" s="6" t="s">
        <v>268</v>
      </c>
    </row>
    <row r="100" ht="15.75" customHeight="1">
      <c r="B100" s="6" t="s">
        <v>269</v>
      </c>
    </row>
    <row r="101" ht="15.75" customHeight="1"/>
    <row r="102" ht="15.75" customHeight="1">
      <c r="A102" s="6" t="s">
        <v>270</v>
      </c>
      <c r="B102" s="6" t="s">
        <v>271</v>
      </c>
    </row>
    <row r="103" ht="15.75" customHeight="1">
      <c r="B103" s="6" t="s">
        <v>269</v>
      </c>
    </row>
    <row r="104" ht="15.75" customHeight="1">
      <c r="B104" s="6" t="s">
        <v>272</v>
      </c>
    </row>
    <row r="105" ht="15.75" customHeight="1">
      <c r="B105" s="6" t="s">
        <v>273</v>
      </c>
    </row>
    <row r="106" ht="15.75" customHeight="1">
      <c r="B106" s="6" t="s">
        <v>274</v>
      </c>
    </row>
    <row r="107" ht="15.75" customHeight="1">
      <c r="B107" s="6" t="s">
        <v>275</v>
      </c>
    </row>
    <row r="108" ht="15.75" customHeight="1">
      <c r="B108" s="6" t="s">
        <v>276</v>
      </c>
    </row>
    <row r="109" ht="15.75" customHeight="1">
      <c r="B109" s="6" t="s">
        <v>277</v>
      </c>
    </row>
    <row r="110" ht="15.75" customHeight="1">
      <c r="B110" s="6" t="s">
        <v>278</v>
      </c>
    </row>
    <row r="111" ht="15.75" customHeight="1">
      <c r="B111" s="6" t="s">
        <v>279</v>
      </c>
    </row>
    <row r="112" ht="15.75" customHeight="1"/>
    <row r="113" ht="15.75" customHeight="1">
      <c r="A113" s="6" t="s">
        <v>280</v>
      </c>
      <c r="B113" s="6" t="s">
        <v>281</v>
      </c>
    </row>
    <row r="114" ht="15.75" customHeight="1">
      <c r="B114" s="6" t="s">
        <v>282</v>
      </c>
    </row>
    <row r="115" ht="15.75" customHeight="1">
      <c r="B115" s="6" t="s">
        <v>283</v>
      </c>
    </row>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c r="A129" s="6" t="s">
        <v>284</v>
      </c>
      <c r="B129" s="6" t="s">
        <v>285</v>
      </c>
    </row>
    <row r="130" ht="15.75" customHeight="1">
      <c r="B130" s="6" t="s">
        <v>286</v>
      </c>
    </row>
    <row r="131" ht="15.75" customHeight="1"/>
    <row r="132" ht="15.75" customHeight="1">
      <c r="A132" s="6" t="s">
        <v>287</v>
      </c>
      <c r="B132" s="6" t="s">
        <v>288</v>
      </c>
    </row>
    <row r="133" ht="15.75" customHeight="1">
      <c r="B133" s="6" t="s">
        <v>289</v>
      </c>
    </row>
    <row r="134" ht="15.75" customHeight="1">
      <c r="B134" s="6" t="s">
        <v>290</v>
      </c>
    </row>
    <row r="135" ht="15.75" customHeight="1">
      <c r="B135" s="6" t="s">
        <v>291</v>
      </c>
      <c r="C135" s="6" t="s">
        <v>292</v>
      </c>
      <c r="D135" s="6" t="s">
        <v>293</v>
      </c>
      <c r="E135" s="6" t="s">
        <v>294</v>
      </c>
    </row>
    <row r="136" ht="15.75" customHeight="1">
      <c r="B136" s="6" t="s">
        <v>295</v>
      </c>
      <c r="C136" s="64">
        <v>4220.0</v>
      </c>
      <c r="D136" s="64">
        <v>9290.0</v>
      </c>
      <c r="E136" s="64">
        <v>13510.0</v>
      </c>
      <c r="G136" s="6" t="s">
        <v>296</v>
      </c>
      <c r="H136" s="6">
        <f>610/585</f>
        <v>1.042735043</v>
      </c>
    </row>
    <row r="137" ht="15.75" customHeight="1">
      <c r="B137" s="6" t="s">
        <v>297</v>
      </c>
      <c r="C137" s="64">
        <v>1080.0</v>
      </c>
      <c r="D137" s="64">
        <v>2380.0</v>
      </c>
      <c r="E137" s="64">
        <v>3460.0</v>
      </c>
      <c r="G137" s="6" t="s">
        <v>298</v>
      </c>
      <c r="H137" s="6">
        <f>247/144000</f>
        <v>0.001715277778</v>
      </c>
      <c r="I137" s="6">
        <f>440*H137</f>
        <v>0.7547222222</v>
      </c>
      <c r="J137" s="6">
        <f>200*H137</f>
        <v>0.3430555556</v>
      </c>
    </row>
    <row r="138" ht="15.75" customHeight="1">
      <c r="B138" s="6" t="s">
        <v>299</v>
      </c>
      <c r="C138" s="64">
        <v>8200.0</v>
      </c>
      <c r="D138" s="64">
        <v>12600.0</v>
      </c>
      <c r="E138" s="64">
        <v>20800.0</v>
      </c>
      <c r="G138" s="6" t="s">
        <v>300</v>
      </c>
      <c r="H138" s="6">
        <v>0.67</v>
      </c>
    </row>
    <row r="139" ht="15.75" customHeight="1">
      <c r="B139" s="6" t="s">
        <v>301</v>
      </c>
      <c r="C139" s="64">
        <v>2550.0</v>
      </c>
      <c r="D139" s="64">
        <v>3570.0</v>
      </c>
      <c r="E139" s="64">
        <v>6120.0</v>
      </c>
    </row>
    <row r="140" ht="15.75" customHeight="1">
      <c r="B140" s="6" t="s">
        <v>302</v>
      </c>
      <c r="C140" s="6">
        <v>175.0</v>
      </c>
      <c r="D140" s="64">
        <v>245.0</v>
      </c>
      <c r="E140" s="64">
        <v>420.0</v>
      </c>
      <c r="G140" s="6" t="s">
        <v>303</v>
      </c>
      <c r="H140" s="64">
        <f>C144*1000*H137^H138*H136</f>
        <v>290580.6074</v>
      </c>
    </row>
    <row r="141" ht="15.75" customHeight="1">
      <c r="B141" s="6" t="s">
        <v>304</v>
      </c>
      <c r="C141" s="64">
        <v>6260.0</v>
      </c>
      <c r="D141" s="64">
        <v>9350.0</v>
      </c>
      <c r="E141" s="64">
        <v>15610.0</v>
      </c>
      <c r="G141" s="6" t="s">
        <v>305</v>
      </c>
      <c r="H141" s="64">
        <f>(E144+E145+E146+E147)*1000*H137^H138*H136</f>
        <v>979767.8876</v>
      </c>
    </row>
    <row r="142" ht="15.75" customHeight="1">
      <c r="B142" s="6" t="s">
        <v>306</v>
      </c>
      <c r="C142" s="64">
        <v>1660.0</v>
      </c>
      <c r="D142" s="64">
        <v>3920.0</v>
      </c>
      <c r="E142" s="64">
        <v>5580.0</v>
      </c>
    </row>
    <row r="143" ht="15.75" customHeight="1">
      <c r="B143" s="6" t="s">
        <v>307</v>
      </c>
      <c r="C143" s="64">
        <v>1980.0</v>
      </c>
      <c r="D143" s="64">
        <v>1320.0</v>
      </c>
      <c r="E143" s="64">
        <v>3300.0</v>
      </c>
    </row>
    <row r="144" ht="15.75" customHeight="1">
      <c r="B144" s="23" t="s">
        <v>308</v>
      </c>
      <c r="C144" s="65">
        <f t="shared" ref="C144:E144" si="1">SUM(C136:C143)-C141</f>
        <v>19865</v>
      </c>
      <c r="D144" s="65">
        <f t="shared" si="1"/>
        <v>33325</v>
      </c>
      <c r="E144" s="65">
        <f t="shared" si="1"/>
        <v>53190</v>
      </c>
    </row>
    <row r="145" ht="15.75" customHeight="1">
      <c r="B145" s="6" t="s">
        <v>309</v>
      </c>
      <c r="E145" s="64">
        <v>1790.0</v>
      </c>
    </row>
    <row r="146" ht="15.75" customHeight="1">
      <c r="B146" s="6" t="s">
        <v>310</v>
      </c>
      <c r="E146" s="64">
        <v>5600.0</v>
      </c>
    </row>
    <row r="147" ht="15.75" customHeight="1">
      <c r="B147" s="6" t="s">
        <v>311</v>
      </c>
      <c r="E147" s="64">
        <v>6400.0</v>
      </c>
    </row>
    <row r="148" ht="15.75" customHeight="1"/>
    <row r="149" ht="15.75" customHeight="1">
      <c r="A149" s="6" t="s">
        <v>128</v>
      </c>
      <c r="B149" s="6" t="s">
        <v>312</v>
      </c>
    </row>
    <row r="150" ht="15.75" customHeight="1"/>
    <row r="151" ht="15.75" customHeight="1">
      <c r="A151" s="6" t="s">
        <v>313</v>
      </c>
      <c r="B151" s="6" t="s">
        <v>314</v>
      </c>
      <c r="H151" s="6" t="s">
        <v>315</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c r="A161" s="6" t="s">
        <v>316</v>
      </c>
      <c r="B161" s="6" t="s">
        <v>317</v>
      </c>
    </row>
    <row r="162" ht="15.75" customHeight="1"/>
    <row r="163" ht="15.75" customHeight="1">
      <c r="C163" s="66">
        <v>30000.0</v>
      </c>
      <c r="D163" s="6" t="s">
        <v>318</v>
      </c>
    </row>
    <row r="164" ht="15.75" customHeight="1">
      <c r="C164" s="66">
        <v>70000.0</v>
      </c>
      <c r="D164" s="6" t="s">
        <v>319</v>
      </c>
    </row>
    <row r="165" ht="15.75" customHeight="1">
      <c r="C165" s="14">
        <f>C163*1100</f>
        <v>33000000</v>
      </c>
    </row>
    <row r="166" ht="15.75" customHeight="1"/>
    <row r="167" ht="15.75" customHeight="1">
      <c r="A167" s="6" t="s">
        <v>320</v>
      </c>
      <c r="B167" s="6" t="s">
        <v>321</v>
      </c>
    </row>
    <row r="168" ht="15.75" customHeight="1">
      <c r="B168" s="6" t="s">
        <v>322</v>
      </c>
    </row>
    <row r="169" ht="15.75" customHeight="1"/>
    <row r="170" ht="15.75" customHeight="1"/>
    <row r="171" ht="15.75" customHeight="1">
      <c r="A171" s="6" t="s">
        <v>323</v>
      </c>
      <c r="B171" s="6" t="s">
        <v>324</v>
      </c>
    </row>
    <row r="172" ht="15.75" customHeight="1">
      <c r="B172" s="6" t="s">
        <v>325</v>
      </c>
    </row>
    <row r="173" ht="15.75" customHeight="1">
      <c r="B173" s="6" t="s">
        <v>326</v>
      </c>
    </row>
    <row r="174" ht="15.75" customHeight="1">
      <c r="B174" s="6" t="s">
        <v>327</v>
      </c>
    </row>
    <row r="175" ht="15.75" customHeight="1">
      <c r="B175" s="6" t="s">
        <v>328</v>
      </c>
      <c r="O175" s="14">
        <f>(100/60)^0.6*3750000</f>
        <v>5094956.935</v>
      </c>
    </row>
    <row r="176" ht="15.75" customHeight="1">
      <c r="B176" s="6" t="s">
        <v>329</v>
      </c>
      <c r="O176" s="14">
        <f>(100/33)^0.67*3750000</f>
        <v>7881827.541</v>
      </c>
    </row>
    <row r="177" ht="15.75" customHeight="1">
      <c r="B177" s="31" t="s">
        <v>330</v>
      </c>
      <c r="C177" s="31"/>
      <c r="O177" s="14">
        <f t="shared" ref="O177:O178" si="2">O175*610/551</f>
        <v>5640514.937</v>
      </c>
      <c r="P177" s="14">
        <f t="shared" ref="P177:P178" si="3">O177/1.18</f>
        <v>4780097.404</v>
      </c>
    </row>
    <row r="178" ht="15.75" customHeight="1">
      <c r="B178" s="31" t="s">
        <v>331</v>
      </c>
      <c r="C178" s="31"/>
      <c r="O178" s="14">
        <f t="shared" si="2"/>
        <v>8725798.185</v>
      </c>
      <c r="P178" s="14">
        <f t="shared" si="3"/>
        <v>7394744.225</v>
      </c>
    </row>
    <row r="179" ht="15.75" customHeight="1">
      <c r="B179" s="31"/>
      <c r="C179" s="31"/>
      <c r="P179" s="14">
        <f>AVERAGE(P177:P178)</f>
        <v>6087420.814</v>
      </c>
    </row>
    <row r="180" ht="15.75" customHeight="1"/>
    <row r="181" ht="15.75" customHeight="1">
      <c r="A181" s="6" t="s">
        <v>332</v>
      </c>
      <c r="B181" s="6" t="s">
        <v>333</v>
      </c>
    </row>
    <row r="182" ht="15.75" customHeight="1">
      <c r="B182" s="6" t="s">
        <v>334</v>
      </c>
    </row>
    <row r="183" ht="15.75" customHeight="1">
      <c r="B183" s="6" t="s">
        <v>326</v>
      </c>
    </row>
    <row r="184" ht="15.75" customHeight="1">
      <c r="B184" s="6" t="s">
        <v>335</v>
      </c>
    </row>
    <row r="185" ht="15.75" customHeight="1">
      <c r="B185" s="6" t="s">
        <v>336</v>
      </c>
    </row>
    <row r="186" ht="15.75" customHeight="1">
      <c r="B186" s="67" t="s">
        <v>337</v>
      </c>
    </row>
    <row r="187" ht="15.75" customHeight="1">
      <c r="B187" s="6" t="s">
        <v>338</v>
      </c>
    </row>
    <row r="188" ht="15.75" customHeight="1"/>
    <row r="189" ht="15.75" customHeight="1"/>
    <row r="190" ht="15.75" customHeight="1">
      <c r="A190" s="6" t="s">
        <v>88</v>
      </c>
      <c r="B190" s="61" t="s">
        <v>339</v>
      </c>
    </row>
    <row r="191" ht="15.75" customHeight="1">
      <c r="B191" s="6" t="s">
        <v>340</v>
      </c>
    </row>
    <row r="192" ht="15.75" customHeight="1">
      <c r="B192" s="31" t="s">
        <v>341</v>
      </c>
      <c r="L192" s="14">
        <f>30000*561*610/567</f>
        <v>18106349.21</v>
      </c>
      <c r="M192" s="14">
        <f>L192/(1+0.18)</f>
        <v>15344363.73</v>
      </c>
    </row>
    <row r="193" ht="15.75" customHeight="1">
      <c r="B193" s="6" t="s">
        <v>342</v>
      </c>
      <c r="L193" s="14">
        <f>30000*48*610/567</f>
        <v>1549206.349</v>
      </c>
    </row>
    <row r="194" ht="15.75" customHeight="1">
      <c r="B194" s="6" t="s">
        <v>343</v>
      </c>
      <c r="L194" s="6">
        <f>3434/2000</f>
        <v>1.717</v>
      </c>
    </row>
    <row r="195" ht="15.75" customHeight="1">
      <c r="B195" s="67" t="s">
        <v>344</v>
      </c>
    </row>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c r="D209" s="6">
        <v>8.1</v>
      </c>
      <c r="E209" s="6">
        <v>17.2</v>
      </c>
      <c r="F209" s="6" t="s">
        <v>345</v>
      </c>
    </row>
    <row r="210" ht="15.75" customHeight="1">
      <c r="D210" s="6">
        <f t="shared" ref="D210:E210" si="4">D209*365</f>
        <v>2956.5</v>
      </c>
      <c r="E210" s="6">
        <f t="shared" si="4"/>
        <v>6278</v>
      </c>
      <c r="F210" s="6" t="s">
        <v>318</v>
      </c>
    </row>
    <row r="211" ht="15.75" customHeight="1">
      <c r="D211" s="6">
        <v>4.9428257E7</v>
      </c>
      <c r="E211" s="6">
        <v>1.05611709E8</v>
      </c>
      <c r="F211" s="6" t="s">
        <v>346</v>
      </c>
    </row>
    <row r="212" ht="15.75" customHeight="1">
      <c r="D212" s="6">
        <f t="shared" ref="D212:E212" si="5">D211/D210/2000</f>
        <v>8.359251987</v>
      </c>
      <c r="E212" s="6">
        <f t="shared" si="5"/>
        <v>8.411254301</v>
      </c>
      <c r="F212" s="6" t="s">
        <v>347</v>
      </c>
    </row>
    <row r="213" ht="15.75" customHeight="1"/>
    <row r="214" ht="15.75" customHeight="1"/>
    <row r="215" ht="15.75" customHeight="1"/>
    <row r="216" ht="15.75" customHeight="1"/>
    <row r="217" ht="15.75" customHeight="1"/>
    <row r="218" ht="15.75" customHeight="1">
      <c r="A218" s="6" t="s">
        <v>348</v>
      </c>
      <c r="B218" s="6" t="s">
        <v>349</v>
      </c>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c r="A254" s="6" t="s">
        <v>350</v>
      </c>
      <c r="B254" s="6" t="s">
        <v>351</v>
      </c>
      <c r="E254" s="6" t="s">
        <v>352</v>
      </c>
    </row>
    <row r="255" ht="15.75" customHeight="1">
      <c r="B255" s="6" t="s">
        <v>353</v>
      </c>
    </row>
    <row r="256" ht="15.75" customHeight="1">
      <c r="B256" s="6">
        <f>12500/30000</f>
        <v>0.4166666667</v>
      </c>
      <c r="C256" s="6">
        <f>25140000/ProcessDes!B66</f>
        <v>0.5799892497</v>
      </c>
    </row>
    <row r="257" ht="15.75" customHeight="1">
      <c r="B257" s="6" t="s">
        <v>354</v>
      </c>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c r="B284" s="6" t="s">
        <v>355</v>
      </c>
    </row>
    <row r="285" ht="15.75" customHeight="1">
      <c r="B285" s="6">
        <f>25000/30000</f>
        <v>0.8333333333</v>
      </c>
      <c r="C285" s="6">
        <f>50280000/43290000</f>
        <v>1.161469161</v>
      </c>
    </row>
    <row r="286" ht="15.75" customHeight="1">
      <c r="B286" s="6" t="s">
        <v>354</v>
      </c>
    </row>
    <row r="287" ht="15.75" customHeight="1"/>
    <row r="288" ht="15.75" customHeight="1"/>
    <row r="289" ht="15.75" customHeight="1"/>
    <row r="290" ht="15.75" customHeight="1"/>
    <row r="291" ht="15.75" customHeight="1"/>
    <row r="292" ht="15.75" customHeight="1">
      <c r="L292" s="6" t="s">
        <v>356</v>
      </c>
    </row>
    <row r="293" ht="15.75" customHeight="1">
      <c r="L293" s="6">
        <v>2550000.0</v>
      </c>
    </row>
    <row r="294" ht="15.75" customHeight="1">
      <c r="L294" s="6" t="s">
        <v>357</v>
      </c>
    </row>
    <row r="295" ht="15.75" customHeight="1">
      <c r="L295" s="6">
        <v>6000000.0</v>
      </c>
    </row>
    <row r="296" ht="15.75" customHeight="1">
      <c r="L296" s="6" t="s">
        <v>358</v>
      </c>
    </row>
    <row r="297" ht="15.75" customHeight="1">
      <c r="L297" s="6">
        <v>3000000.0</v>
      </c>
    </row>
    <row r="298" ht="15.75" customHeight="1">
      <c r="L298" s="6" t="s">
        <v>359</v>
      </c>
    </row>
    <row r="299" ht="15.75" customHeight="1">
      <c r="L299" s="6">
        <v>2600000.0</v>
      </c>
    </row>
    <row r="300" ht="15.75" customHeight="1">
      <c r="L300" s="6" t="s">
        <v>360</v>
      </c>
    </row>
    <row r="301" ht="15.75" customHeight="1">
      <c r="L301" s="6">
        <v>1000000.0</v>
      </c>
    </row>
    <row r="302" ht="15.75" customHeight="1">
      <c r="L302" s="6" t="s">
        <v>361</v>
      </c>
    </row>
    <row r="303" ht="15.75" customHeight="1">
      <c r="L303" s="6">
        <v>1.3E7</v>
      </c>
    </row>
    <row r="304" ht="15.75" customHeight="1"/>
    <row r="305" ht="15.75" customHeight="1">
      <c r="L305" s="6" t="s">
        <v>362</v>
      </c>
    </row>
    <row r="306" ht="15.75" customHeight="1">
      <c r="L306" s="6" t="s">
        <v>363</v>
      </c>
    </row>
    <row r="307" ht="15.75" customHeight="1">
      <c r="L307" s="6" t="s">
        <v>364</v>
      </c>
    </row>
    <row r="308" ht="15.75" customHeight="1">
      <c r="L308" s="6" t="s">
        <v>365</v>
      </c>
    </row>
    <row r="309" ht="15.75" customHeight="1">
      <c r="L309" s="6">
        <v>700000.0</v>
      </c>
    </row>
    <row r="310" ht="15.75" customHeight="1"/>
    <row r="311" ht="15.75" customHeight="1"/>
    <row r="312" ht="15.75" customHeight="1"/>
    <row r="313" ht="15.75" customHeight="1">
      <c r="B313" s="6" t="s">
        <v>366</v>
      </c>
    </row>
    <row r="314" ht="15.75" customHeight="1">
      <c r="B314" s="6">
        <f>40000/30000</f>
        <v>1.333333333</v>
      </c>
      <c r="C314" s="6">
        <f>72964000/43290000</f>
        <v>1.685470085</v>
      </c>
    </row>
    <row r="315" ht="15.75" customHeight="1">
      <c r="B315" s="6" t="s">
        <v>354</v>
      </c>
    </row>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c r="A340" s="6" t="s">
        <v>367</v>
      </c>
      <c r="B340" s="6" t="s">
        <v>368</v>
      </c>
    </row>
    <row r="341" ht="15.75" customHeight="1">
      <c r="B341" s="6" t="s">
        <v>369</v>
      </c>
      <c r="L341" s="6" t="s">
        <v>370</v>
      </c>
    </row>
    <row r="342" ht="15.75" customHeight="1">
      <c r="B342" s="6" t="s">
        <v>371</v>
      </c>
      <c r="L342" s="6" t="s">
        <v>372</v>
      </c>
    </row>
    <row r="343" ht="15.75" customHeight="1">
      <c r="B343" s="6" t="s">
        <v>373</v>
      </c>
      <c r="F343" s="6" t="s">
        <v>374</v>
      </c>
      <c r="L343" s="6" t="s">
        <v>375</v>
      </c>
    </row>
    <row r="344" ht="15.75" customHeight="1">
      <c r="B344" s="6" t="s">
        <v>376</v>
      </c>
      <c r="L344" s="6" t="s">
        <v>377</v>
      </c>
    </row>
    <row r="345" ht="15.75" customHeight="1">
      <c r="B345" s="6" t="s">
        <v>378</v>
      </c>
    </row>
    <row r="346" ht="15.75" customHeight="1">
      <c r="B346" s="6" t="s">
        <v>379</v>
      </c>
    </row>
    <row r="347" ht="15.75" customHeight="1">
      <c r="B347" s="6" t="s">
        <v>380</v>
      </c>
    </row>
    <row r="348" ht="15.75" customHeight="1">
      <c r="B348" s="6" t="s">
        <v>381</v>
      </c>
    </row>
    <row r="349" ht="15.75" customHeight="1">
      <c r="B349" s="6" t="s">
        <v>382</v>
      </c>
    </row>
    <row r="350" ht="15.75" customHeight="1">
      <c r="B350" s="67" t="s">
        <v>383</v>
      </c>
    </row>
    <row r="351" ht="15.75" customHeight="1">
      <c r="B351" s="67" t="s">
        <v>384</v>
      </c>
    </row>
    <row r="352" ht="15.75" customHeight="1"/>
    <row r="353" ht="15.75" customHeight="1">
      <c r="A353" s="6" t="s">
        <v>385</v>
      </c>
      <c r="B353" s="52" t="s">
        <v>386</v>
      </c>
      <c r="J353" s="6" t="s">
        <v>387</v>
      </c>
    </row>
    <row r="354" ht="15.75" customHeight="1">
      <c r="B354" s="52" t="s">
        <v>388</v>
      </c>
      <c r="J354" s="6" t="s">
        <v>389</v>
      </c>
      <c r="K354" s="6" t="s">
        <v>390</v>
      </c>
      <c r="L354" s="6" t="s">
        <v>390</v>
      </c>
    </row>
    <row r="355" ht="15.75" customHeight="1">
      <c r="B355" s="52" t="s">
        <v>391</v>
      </c>
    </row>
    <row r="356" ht="15.75" customHeight="1">
      <c r="B356" s="52" t="s">
        <v>392</v>
      </c>
      <c r="J356" s="6" t="s">
        <v>393</v>
      </c>
      <c r="K356" s="6" t="s">
        <v>393</v>
      </c>
      <c r="L356" s="6" t="s">
        <v>394</v>
      </c>
    </row>
    <row r="357" ht="15.75" customHeight="1">
      <c r="B357" s="52" t="s">
        <v>395</v>
      </c>
      <c r="J357" s="68">
        <v>7.5</v>
      </c>
      <c r="K357" s="68">
        <v>4.2</v>
      </c>
      <c r="L357" s="64">
        <v>79.0</v>
      </c>
      <c r="M357" s="6">
        <f t="shared" ref="M357:M359" si="6">L357/K357</f>
        <v>18.80952381</v>
      </c>
    </row>
    <row r="358" ht="15.75" customHeight="1">
      <c r="J358" s="68">
        <v>13.73</v>
      </c>
      <c r="K358" s="68">
        <v>10.43</v>
      </c>
      <c r="L358" s="64">
        <v>197.0</v>
      </c>
      <c r="M358" s="6">
        <f t="shared" si="6"/>
        <v>18.88782359</v>
      </c>
    </row>
    <row r="359" ht="15.75" customHeight="1">
      <c r="A359" s="6" t="s">
        <v>396</v>
      </c>
      <c r="B359" s="61" t="s">
        <v>397</v>
      </c>
      <c r="J359" s="64">
        <v>20.0</v>
      </c>
      <c r="K359" s="68">
        <v>16.7</v>
      </c>
      <c r="L359" s="64">
        <v>315.0</v>
      </c>
      <c r="M359" s="6">
        <f t="shared" si="6"/>
        <v>18.86227545</v>
      </c>
    </row>
    <row r="360" ht="15.75" customHeight="1">
      <c r="B360" s="6" t="s">
        <v>398</v>
      </c>
    </row>
    <row r="361" ht="15.75" customHeight="1">
      <c r="B361" s="6">
        <f>1000000/77000</f>
        <v>12.98701299</v>
      </c>
    </row>
    <row r="362" ht="15.75" customHeight="1">
      <c r="B362" s="6">
        <f>B361*2.3</f>
        <v>29.87012987</v>
      </c>
    </row>
    <row r="363" ht="15.75" customHeight="1">
      <c r="B363" s="6" t="s">
        <v>399</v>
      </c>
    </row>
    <row r="364" ht="15.75" customHeight="1">
      <c r="A364" s="6">
        <v>1.0</v>
      </c>
      <c r="B364" s="6" t="s">
        <v>400</v>
      </c>
    </row>
    <row r="365" ht="15.75" customHeight="1">
      <c r="B365" s="6" t="s">
        <v>401</v>
      </c>
    </row>
    <row r="366" ht="15.75" customHeight="1">
      <c r="A366" s="6">
        <v>2.0</v>
      </c>
      <c r="B366" s="6" t="s">
        <v>402</v>
      </c>
    </row>
    <row r="367" ht="15.75" customHeight="1">
      <c r="B367" s="6" t="s">
        <v>403</v>
      </c>
    </row>
    <row r="368" ht="15.75" customHeight="1">
      <c r="A368" s="6">
        <v>3.0</v>
      </c>
      <c r="B368" s="6" t="s">
        <v>404</v>
      </c>
    </row>
    <row r="369" ht="15.75" customHeight="1">
      <c r="B369" s="6" t="s">
        <v>405</v>
      </c>
    </row>
    <row r="370" ht="15.75" customHeight="1">
      <c r="B370" s="6">
        <v>95.86</v>
      </c>
      <c r="C370" s="7">
        <v>95.86</v>
      </c>
      <c r="D370" s="6">
        <v>67.7</v>
      </c>
      <c r="E370" s="6">
        <v>67.7</v>
      </c>
    </row>
    <row r="371" ht="15.75" customHeight="1">
      <c r="B371" s="6">
        <v>50.0</v>
      </c>
      <c r="C371" s="7">
        <v>50.0</v>
      </c>
      <c r="D371" s="6">
        <v>50.0</v>
      </c>
      <c r="E371" s="6">
        <v>21.0</v>
      </c>
    </row>
    <row r="372" ht="15.75" customHeight="1">
      <c r="B372" s="6">
        <v>180.0</v>
      </c>
      <c r="C372" s="7">
        <v>184.0</v>
      </c>
      <c r="D372" s="6">
        <v>180.0</v>
      </c>
      <c r="E372" s="6">
        <v>180.0</v>
      </c>
    </row>
    <row r="373" ht="15.75" customHeight="1">
      <c r="B373" s="68">
        <v>8.74</v>
      </c>
      <c r="C373" s="69">
        <v>8.9</v>
      </c>
      <c r="D373" s="68">
        <v>3.36</v>
      </c>
      <c r="E373" s="68">
        <v>8.9</v>
      </c>
    </row>
    <row r="374" ht="15.75" customHeight="1"/>
    <row r="375" ht="15.75" customHeight="1"/>
    <row r="376" ht="15.75" customHeight="1">
      <c r="A376" s="6" t="s">
        <v>406</v>
      </c>
      <c r="B376" s="6" t="s">
        <v>407</v>
      </c>
    </row>
    <row r="377" ht="15.75" customHeight="1"/>
    <row r="378" ht="15.75" customHeight="1">
      <c r="F378" s="6" t="s">
        <v>408</v>
      </c>
    </row>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sheetData>
  <hyperlinks>
    <hyperlink r:id="rId1" ref="B3"/>
    <hyperlink r:id="rId2" ref="B22"/>
    <hyperlink r:id="rId3" ref="B39"/>
    <hyperlink r:id="rId4" ref="B83"/>
    <hyperlink r:id="rId5" ref="B86"/>
    <hyperlink r:id="rId6" ref="B190"/>
    <hyperlink r:id="rId7" location="gf_3" ref="B359"/>
  </hyperlinks>
  <printOptions/>
  <pageMargins bottom="0.75" footer="0.0" header="0.0" left="0.7" right="0.7" top="0.75"/>
  <pageSetup orientation="portrait"/>
  <drawing r:id="rId8"/>
</worksheet>
</file>