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matth\Documents\Programming&amp;Coding\VS Code Projects\2varLLSfit&amp;plot\"/>
    </mc:Choice>
  </mc:AlternateContent>
  <xr:revisionPtr revIDLastSave="0" documentId="13_ncr:1_{DE0C6F5A-57F7-4BC3-85EB-C2AEA09EB4BE}" xr6:coauthVersionLast="47" xr6:coauthVersionMax="47" xr10:uidLastSave="{00000000-0000-0000-0000-000000000000}"/>
  <bookViews>
    <workbookView xWindow="768" yWindow="768" windowWidth="15336" windowHeight="8616" firstSheet="1" activeTab="2" xr2:uid="{00000000-000D-0000-FFFF-FFFF00000000}"/>
  </bookViews>
  <sheets>
    <sheet name="Sheet1" sheetId="1" r:id="rId1"/>
    <sheet name="Sheet2" sheetId="2" r:id="rId2"/>
    <sheet name="Sheet3" sheetId="7" r:id="rId3"/>
    <sheet name="section 3" sheetId="5" r:id="rId4"/>
    <sheet name="section 4" sheetId="6" r:id="rId5"/>
    <sheet name="spherometer" sheetId="4" r:id="rId6"/>
    <sheet name="take home test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H3" i="5"/>
  <c r="H4" i="5"/>
  <c r="H5" i="5"/>
  <c r="H6" i="5"/>
  <c r="H7" i="5"/>
  <c r="H8" i="5"/>
  <c r="H9" i="5"/>
  <c r="H10" i="5"/>
  <c r="H11" i="5"/>
  <c r="W9" i="1"/>
  <c r="O16" i="6"/>
  <c r="M11" i="6"/>
  <c r="O13" i="6"/>
  <c r="J2" i="5"/>
  <c r="H2" i="5"/>
  <c r="H2" i="6"/>
  <c r="B13" i="1"/>
  <c r="R30" i="4"/>
  <c r="R26" i="4"/>
  <c r="O26" i="4"/>
  <c r="O27" i="4"/>
  <c r="T26" i="4"/>
  <c r="O30" i="4"/>
  <c r="I34" i="4"/>
  <c r="R14" i="4"/>
  <c r="L13" i="4"/>
  <c r="K13" i="4"/>
  <c r="T13" i="1"/>
  <c r="S13" i="1"/>
  <c r="H13" i="6"/>
  <c r="H3" i="6"/>
  <c r="H4" i="6"/>
  <c r="H5" i="6"/>
  <c r="H6" i="6"/>
  <c r="H7" i="6"/>
  <c r="H8" i="6"/>
  <c r="H9" i="6"/>
  <c r="H10" i="6"/>
  <c r="G3" i="6"/>
  <c r="G4" i="6"/>
  <c r="G5" i="6"/>
  <c r="G6" i="6"/>
  <c r="G7" i="6"/>
  <c r="G8" i="6"/>
  <c r="G9" i="6"/>
  <c r="G10" i="6"/>
  <c r="G11" i="6"/>
  <c r="G2" i="6"/>
  <c r="F3" i="6"/>
  <c r="F4" i="6"/>
  <c r="F5" i="6"/>
  <c r="F6" i="6"/>
  <c r="F7" i="6"/>
  <c r="F8" i="6"/>
  <c r="F9" i="6"/>
  <c r="F10" i="6"/>
  <c r="F11" i="6"/>
  <c r="H11" i="6" s="1"/>
  <c r="F2" i="6"/>
  <c r="W2" i="1"/>
  <c r="L14" i="1"/>
  <c r="L13" i="1"/>
  <c r="Q38" i="4"/>
  <c r="I32" i="4"/>
  <c r="I31" i="4"/>
  <c r="I30" i="4"/>
  <c r="I29" i="4"/>
  <c r="I28" i="4"/>
  <c r="I26" i="4"/>
  <c r="I25" i="4"/>
  <c r="I24" i="4"/>
  <c r="I23" i="4"/>
  <c r="H34" i="4" s="1"/>
  <c r="G23" i="4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N30" i="4"/>
  <c r="C9" i="4"/>
  <c r="B9" i="4"/>
  <c r="P12" i="4"/>
  <c r="O12" i="4"/>
  <c r="T11" i="4"/>
  <c r="T10" i="4"/>
  <c r="T9" i="4"/>
  <c r="T8" i="4"/>
  <c r="T7" i="4"/>
  <c r="T6" i="4"/>
  <c r="T5" i="4"/>
  <c r="T4" i="4"/>
  <c r="T3" i="4"/>
  <c r="T2" i="4"/>
  <c r="S11" i="4"/>
  <c r="S10" i="4"/>
  <c r="S9" i="4"/>
  <c r="S8" i="4"/>
  <c r="S7" i="4"/>
  <c r="S6" i="4"/>
  <c r="S5" i="4"/>
  <c r="S4" i="4"/>
  <c r="S3" i="4"/>
  <c r="S2" i="4"/>
  <c r="R11" i="4"/>
  <c r="R10" i="4"/>
  <c r="R9" i="4"/>
  <c r="R8" i="4"/>
  <c r="R7" i="4"/>
  <c r="R6" i="4"/>
  <c r="R5" i="4"/>
  <c r="R4" i="4"/>
  <c r="R3" i="4"/>
  <c r="R2" i="4"/>
  <c r="N11" i="4"/>
  <c r="N10" i="4"/>
  <c r="N9" i="4"/>
  <c r="N8" i="4"/>
  <c r="N7" i="4"/>
  <c r="N6" i="4"/>
  <c r="N5" i="4"/>
  <c r="N4" i="4"/>
  <c r="N3" i="4"/>
  <c r="N2" i="4"/>
  <c r="M11" i="4"/>
  <c r="M10" i="4"/>
  <c r="M9" i="4"/>
  <c r="M8" i="4"/>
  <c r="M7" i="4"/>
  <c r="M6" i="4"/>
  <c r="M5" i="4"/>
  <c r="M3" i="4"/>
  <c r="M2" i="4"/>
  <c r="M4" i="4"/>
  <c r="L12" i="4"/>
  <c r="K12" i="4"/>
  <c r="H17" i="4" s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  <c r="D3" i="1"/>
  <c r="D4" i="1"/>
  <c r="D5" i="1"/>
  <c r="D6" i="1"/>
  <c r="D7" i="1"/>
  <c r="D8" i="1"/>
  <c r="D9" i="1"/>
  <c r="D10" i="1"/>
  <c r="D11" i="1"/>
  <c r="D2" i="1"/>
  <c r="D13" i="1" s="1"/>
  <c r="C3" i="1"/>
  <c r="C4" i="1"/>
  <c r="C5" i="1"/>
  <c r="C6" i="1"/>
  <c r="C7" i="1"/>
  <c r="C8" i="1"/>
  <c r="C9" i="1"/>
  <c r="C10" i="1"/>
  <c r="C11" i="1"/>
  <c r="C2" i="1"/>
  <c r="C13" i="1" s="1"/>
  <c r="K2" i="5" l="1"/>
  <c r="K12" i="5" s="1"/>
  <c r="I11" i="6"/>
  <c r="J20" i="4"/>
  <c r="H23" i="4"/>
  <c r="G34" i="4"/>
  <c r="J17" i="4"/>
  <c r="R12" i="4"/>
  <c r="R13" i="4" s="1"/>
  <c r="T12" i="4"/>
  <c r="T13" i="4" s="1"/>
  <c r="O17" i="4"/>
  <c r="D8" i="4"/>
  <c r="S12" i="4"/>
  <c r="S13" i="4" s="1"/>
  <c r="H20" i="4"/>
  <c r="I10" i="6" l="1"/>
  <c r="I9" i="6"/>
  <c r="I8" i="6"/>
  <c r="I7" i="6"/>
  <c r="I6" i="6"/>
  <c r="I5" i="6"/>
  <c r="I4" i="6"/>
  <c r="I3" i="6"/>
  <c r="I2" i="6"/>
  <c r="I13" i="6" s="1"/>
  <c r="G17" i="4"/>
  <c r="I17" i="4"/>
  <c r="N20" i="4"/>
  <c r="L20" i="4"/>
  <c r="U13" i="4"/>
  <c r="L17" i="4" s="1"/>
  <c r="I20" i="4" l="1"/>
  <c r="G20" i="4"/>
  <c r="O20" i="4"/>
  <c r="N26" i="4"/>
  <c r="L26" i="4"/>
  <c r="M20" i="4"/>
  <c r="Q26" i="4" l="1"/>
  <c r="M26" i="4"/>
  <c r="Q30" i="4" l="1"/>
  <c r="R33" i="4" s="1"/>
</calcChain>
</file>

<file path=xl/sharedStrings.xml><?xml version="1.0" encoding="utf-8"?>
<sst xmlns="http://schemas.openxmlformats.org/spreadsheetml/2006/main" count="159" uniqueCount="131">
  <si>
    <t>Lens Location (cm)</t>
  </si>
  <si>
    <t>Screen Location (cm)</t>
  </si>
  <si>
    <t>f (Focal Length) (cm)</t>
  </si>
  <si>
    <t>objdist(p)</t>
  </si>
  <si>
    <t>imagedist(i)approx</t>
  </si>
  <si>
    <t>:PART 1(autocollimation)</t>
  </si>
  <si>
    <t>Objloc</t>
  </si>
  <si>
    <t>Lensloc</t>
  </si>
  <si>
    <t>Screenloc</t>
  </si>
  <si>
    <t>imagedist(i)</t>
  </si>
  <si>
    <t>:partA (real/real)</t>
  </si>
  <si>
    <t>Lenspos</t>
  </si>
  <si>
    <t>Wpinpos(obj)</t>
  </si>
  <si>
    <t>Bpinpos(img)</t>
  </si>
  <si>
    <t>imagedist(p)</t>
  </si>
  <si>
    <t>:B (realobj/virtualimg)</t>
  </si>
  <si>
    <t>error (m):</t>
  </si>
  <si>
    <t>primary lens</t>
  </si>
  <si>
    <t xml:space="preserve"> (virtualobj/realimg) :C</t>
  </si>
  <si>
    <t>:Part2</t>
  </si>
  <si>
    <t>:Part3 (divlens)</t>
  </si>
  <si>
    <t>:A</t>
  </si>
  <si>
    <t>:B</t>
  </si>
  <si>
    <t>:Part4</t>
  </si>
  <si>
    <t>:Part5(spherometer)</t>
  </si>
  <si>
    <t>sheet 3</t>
  </si>
  <si>
    <t>image loc</t>
  </si>
  <si>
    <t>obj  loc</t>
  </si>
  <si>
    <t>i</t>
  </si>
  <si>
    <t>p</t>
  </si>
  <si>
    <t>??</t>
  </si>
  <si>
    <t xml:space="preserve">mount width: </t>
  </si>
  <si>
    <t>lens loc</t>
  </si>
  <si>
    <t>aux lens: 16.11</t>
  </si>
  <si>
    <t>f auxiliary:</t>
  </si>
  <si>
    <t>the scale went to first decimal (10nths of centimeter), we guess second decimal place</t>
  </si>
  <si>
    <t>Trial</t>
  </si>
  <si>
    <t>Loc (convergent) (cm)</t>
  </si>
  <si>
    <t>Loc (divergent) (cm)</t>
  </si>
  <si>
    <t>Loc (net) (cm)</t>
  </si>
  <si>
    <t>d (cm)</t>
  </si>
  <si>
    <t>loc (ro)</t>
  </si>
  <si>
    <t>I imglocation</t>
  </si>
  <si>
    <t>first object</t>
  </si>
  <si>
    <t>fn</t>
  </si>
  <si>
    <t>f2</t>
  </si>
  <si>
    <t>f1 strong convg lens</t>
  </si>
  <si>
    <t>4A</t>
  </si>
  <si>
    <t>trial</t>
  </si>
  <si>
    <t>loc (lens) (cm)</t>
  </si>
  <si>
    <t>loc (w pin) (cm)</t>
  </si>
  <si>
    <t>loc (b pin) (cm)</t>
  </si>
  <si>
    <t>o</t>
  </si>
  <si>
    <t>f</t>
  </si>
  <si>
    <t>err f part</t>
  </si>
  <si>
    <t>4B</t>
  </si>
  <si>
    <t>virtualobject loc</t>
  </si>
  <si>
    <t>div lens loc</t>
  </si>
  <si>
    <t>real image loc</t>
  </si>
  <si>
    <t>outlier --&gt;</t>
  </si>
  <si>
    <t>avg</t>
  </si>
  <si>
    <t>conv lens loc</t>
  </si>
  <si>
    <t>f strong convg??</t>
  </si>
  <si>
    <t>0 reading</t>
  </si>
  <si>
    <t>reading 1</t>
  </si>
  <si>
    <t>reading 2</t>
  </si>
  <si>
    <t>h1</t>
  </si>
  <si>
    <t>h2</t>
  </si>
  <si>
    <t>h1 unc. part</t>
  </si>
  <si>
    <t>h2 unc. part</t>
  </si>
  <si>
    <t>L1</t>
  </si>
  <si>
    <t>L2</t>
  </si>
  <si>
    <t>L3</t>
  </si>
  <si>
    <t>L1 err part</t>
  </si>
  <si>
    <t>L2 err part</t>
  </si>
  <si>
    <t>L3 err part</t>
  </si>
  <si>
    <t>h avg:</t>
  </si>
  <si>
    <t>r1</t>
  </si>
  <si>
    <t>r2</t>
  </si>
  <si>
    <t>L</t>
  </si>
  <si>
    <t>r=((L^2)/6h)+(h/2)</t>
  </si>
  <si>
    <t>1/f=(n-1)((1/r1)-(1/r2))</t>
  </si>
  <si>
    <t>n-1=(1/f)((r2r1)/(r2-r1))</t>
  </si>
  <si>
    <t>n</t>
  </si>
  <si>
    <t>average</t>
  </si>
  <si>
    <t>uncertainty</t>
  </si>
  <si>
    <t>L^2/6h1</t>
  </si>
  <si>
    <t>h1/2</t>
  </si>
  <si>
    <t>L^2/6h2</t>
  </si>
  <si>
    <t>h2/2</t>
  </si>
  <si>
    <t>err L^2</t>
  </si>
  <si>
    <t>L unc.</t>
  </si>
  <si>
    <t>--&gt;</t>
  </si>
  <si>
    <t>2.522(1)</t>
  </si>
  <si>
    <t>err L^2/6h1</t>
  </si>
  <si>
    <t>err h1/2</t>
  </si>
  <si>
    <t>err L^2/6h2</t>
  </si>
  <si>
    <t>err h2/2</t>
  </si>
  <si>
    <t>err r1</t>
  </si>
  <si>
    <t>err r2</t>
  </si>
  <si>
    <t>r1 w/ err</t>
  </si>
  <si>
    <t>r2 w/ err</t>
  </si>
  <si>
    <t>1.936(44)</t>
  </si>
  <si>
    <t>2.299(59)</t>
  </si>
  <si>
    <t>r1r2</t>
  </si>
  <si>
    <t>err r1r2</t>
  </si>
  <si>
    <t>r2-r1</t>
  </si>
  <si>
    <t>err r2-r1</t>
  </si>
  <si>
    <t>r1r2/(r2-r1)</t>
  </si>
  <si>
    <t>err r1r2/(r2-r1)</t>
  </si>
  <si>
    <t>1/f</t>
  </si>
  <si>
    <t>err 1/f</t>
  </si>
  <si>
    <t>err n</t>
  </si>
  <si>
    <t>final result for n</t>
  </si>
  <si>
    <t>z</t>
  </si>
  <si>
    <t>err f</t>
  </si>
  <si>
    <t>1.564(73)</t>
  </si>
  <si>
    <t>accepted n for crown glass: 1.52(2)</t>
  </si>
  <si>
    <t>probability of agreement:</t>
  </si>
  <si>
    <t>we love to see it</t>
  </si>
  <si>
    <t>Vol(cm3)</t>
  </si>
  <si>
    <t>mass(g)</t>
  </si>
  <si>
    <t>deltaV</t>
  </si>
  <si>
    <t>deltam</t>
  </si>
  <si>
    <t>TAKE HOME TEST!!!</t>
  </si>
  <si>
    <t>1/i</t>
  </si>
  <si>
    <t>1/p</t>
  </si>
  <si>
    <t>di</t>
  </si>
  <si>
    <t>dp</t>
  </si>
  <si>
    <t>1/p (1/cm)</t>
  </si>
  <si>
    <t>1/i (1/cm)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</si>
</sst>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00"/>
  </numFmts>
  <fonts count="3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1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"/>
  <sheetViews>
    <sheetView topLeftCell="P1" workbookViewId="0">
      <selection activeCell="X4" sqref="X4:Y4"/>
    </sheetView>
  </sheetViews>
  <sheetFormatPr defaultRowHeight="14.4" x14ac:dyDescent="0.3"/>
  <cols>
    <col min="1" max="1" width="17.109375" bestFit="1" customWidth="1"/>
    <col min="2" max="2" width="19" style="2" bestFit="1" customWidth="1"/>
    <col min="3" max="5" width="19" style="2" customWidth="1"/>
    <col min="6" max="6" width="36.5546875" bestFit="1" customWidth="1"/>
    <col min="7" max="8" width="9.109375" style="2"/>
    <col min="9" max="9" width="9.44140625" style="2" bestFit="1" customWidth="1"/>
    <col min="10" max="12" width="22" style="2" customWidth="1"/>
    <col min="13" max="13" width="14.88671875" bestFit="1" customWidth="1"/>
    <col min="14" max="14" width="9.109375" style="2"/>
    <col min="15" max="15" width="12.44140625" style="2" bestFit="1" customWidth="1"/>
    <col min="16" max="16" width="12.33203125" style="2" bestFit="1" customWidth="1"/>
    <col min="17" max="19" width="19.33203125" style="2" customWidth="1"/>
    <col min="20" max="20" width="19.33203125" bestFit="1" customWidth="1"/>
    <col min="21" max="21" width="13.6640625" bestFit="1" customWidth="1"/>
    <col min="22" max="22" width="11.44140625" style="2" bestFit="1" customWidth="1"/>
    <col min="23" max="23" width="18.5546875" customWidth="1"/>
    <col min="24" max="24" width="8" customWidth="1"/>
    <col min="25" max="25" width="18.5546875" customWidth="1"/>
    <col min="26" max="26" width="12" customWidth="1"/>
    <col min="27" max="27" width="21.88671875" bestFit="1" customWidth="1"/>
    <col min="31" max="31" width="18.44140625" bestFit="1" customWidth="1"/>
    <col min="32" max="32" width="13.6640625" bestFit="1" customWidth="1"/>
    <col min="39" max="39" width="18.33203125" bestFit="1" customWidth="1"/>
  </cols>
  <sheetData>
    <row r="1" spans="1:39" x14ac:dyDescent="0.3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2" t="s">
        <v>6</v>
      </c>
      <c r="H1" s="2" t="s">
        <v>7</v>
      </c>
      <c r="I1" s="2" t="s">
        <v>8</v>
      </c>
      <c r="J1" s="3" t="s">
        <v>3</v>
      </c>
      <c r="K1" s="3" t="s">
        <v>9</v>
      </c>
      <c r="L1" s="3" t="s">
        <v>2</v>
      </c>
      <c r="M1" t="s">
        <v>10</v>
      </c>
      <c r="N1" s="2" t="s">
        <v>11</v>
      </c>
      <c r="O1" s="2" t="s">
        <v>12</v>
      </c>
      <c r="P1" s="2" t="s">
        <v>13</v>
      </c>
      <c r="Q1" s="2" t="s">
        <v>3</v>
      </c>
      <c r="R1" s="2" t="s">
        <v>14</v>
      </c>
      <c r="S1" s="2" t="s">
        <v>2</v>
      </c>
      <c r="T1" t="s">
        <v>15</v>
      </c>
      <c r="U1" t="s">
        <v>16</v>
      </c>
      <c r="V1" s="2" t="s">
        <v>17</v>
      </c>
      <c r="W1" s="2" t="s">
        <v>2</v>
      </c>
      <c r="X1" s="2"/>
      <c r="Y1" s="2"/>
      <c r="Z1" s="2" t="s">
        <v>9</v>
      </c>
      <c r="AA1" t="s">
        <v>18</v>
      </c>
      <c r="AB1" t="s">
        <v>19</v>
      </c>
      <c r="AE1" s="2" t="s">
        <v>2</v>
      </c>
      <c r="AF1" s="1" t="s">
        <v>20</v>
      </c>
      <c r="AI1" t="s">
        <v>21</v>
      </c>
      <c r="AK1" t="s">
        <v>22</v>
      </c>
      <c r="AL1" s="1" t="s">
        <v>23</v>
      </c>
      <c r="AM1" t="s">
        <v>24</v>
      </c>
    </row>
    <row r="2" spans="1:39" ht="14.25" customHeight="1" x14ac:dyDescent="0.3">
      <c r="A2" s="2">
        <v>43.05</v>
      </c>
      <c r="B2" s="2">
        <v>21.26</v>
      </c>
      <c r="C2" s="2">
        <f>A2-B2</f>
        <v>21.789999999999996</v>
      </c>
      <c r="D2" s="2">
        <f>A2-B2</f>
        <v>21.789999999999996</v>
      </c>
      <c r="E2" s="1">
        <v>100000</v>
      </c>
      <c r="G2" s="2">
        <v>20.6</v>
      </c>
      <c r="H2" s="2">
        <v>64.61</v>
      </c>
      <c r="I2" s="2">
        <v>108.85</v>
      </c>
      <c r="J2" s="3">
        <v>44.01</v>
      </c>
      <c r="K2" s="3">
        <v>44.239999999999995</v>
      </c>
      <c r="L2" s="3">
        <v>22.062350141643059</v>
      </c>
      <c r="N2" s="2">
        <v>30.06</v>
      </c>
      <c r="O2" s="2">
        <v>42.17</v>
      </c>
      <c r="P2" s="2">
        <v>-58.98</v>
      </c>
      <c r="Q2" s="2">
        <v>12.110000000000003</v>
      </c>
      <c r="R2" s="2">
        <v>-28.919999999999998</v>
      </c>
      <c r="S2" s="2">
        <v>20.834098750743614</v>
      </c>
      <c r="U2">
        <v>5.0000000000000001E-4</v>
      </c>
      <c r="V2" s="2">
        <v>26</v>
      </c>
      <c r="W2">
        <f>1/((1/X4)+(1/Y4))</f>
        <v>21.682832861189812</v>
      </c>
      <c r="Z2">
        <v>33.159999999999997</v>
      </c>
      <c r="AA2">
        <v>36.69</v>
      </c>
      <c r="AM2" t="s">
        <v>25</v>
      </c>
    </row>
    <row r="3" spans="1:39" ht="14.25" customHeight="1" x14ac:dyDescent="0.3">
      <c r="A3" s="2">
        <v>43</v>
      </c>
      <c r="B3" s="2">
        <v>21.3</v>
      </c>
      <c r="C3" s="2">
        <f t="shared" ref="C3:C11" si="0">A3-B3</f>
        <v>21.7</v>
      </c>
      <c r="D3" s="2">
        <f t="shared" ref="D3:D11" si="1">A3-B3</f>
        <v>21.7</v>
      </c>
      <c r="E3" s="1">
        <v>100000</v>
      </c>
      <c r="G3" s="2">
        <v>20.55</v>
      </c>
      <c r="H3" s="2">
        <v>58</v>
      </c>
      <c r="I3" s="2">
        <v>111.34</v>
      </c>
      <c r="J3" s="3">
        <v>37.450000000000003</v>
      </c>
      <c r="K3" s="3">
        <v>53.34</v>
      </c>
      <c r="L3" s="3">
        <v>22.00223592906708</v>
      </c>
      <c r="N3" s="2">
        <v>20.8</v>
      </c>
      <c r="O3" s="2">
        <v>30.4</v>
      </c>
      <c r="P3" s="2">
        <v>-35.42</v>
      </c>
      <c r="Q3" s="2">
        <v>9.5999999999999979</v>
      </c>
      <c r="R3" s="2">
        <v>-14.620000000000001</v>
      </c>
      <c r="S3" s="2">
        <v>27.958565737051778</v>
      </c>
      <c r="V3" s="2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30</v>
      </c>
    </row>
    <row r="4" spans="1:39" x14ac:dyDescent="0.3">
      <c r="A4">
        <v>43.16</v>
      </c>
      <c r="B4" s="2">
        <v>21.21</v>
      </c>
      <c r="C4" s="2">
        <f t="shared" si="0"/>
        <v>21.949999999999996</v>
      </c>
      <c r="D4" s="2">
        <f t="shared" si="1"/>
        <v>21.949999999999996</v>
      </c>
      <c r="E4" s="1">
        <v>100000</v>
      </c>
      <c r="G4" s="2">
        <v>20.6</v>
      </c>
      <c r="H4" s="2">
        <v>66.040000000000006</v>
      </c>
      <c r="I4" s="2">
        <v>109</v>
      </c>
      <c r="J4" s="3">
        <v>45.440000000000005</v>
      </c>
      <c r="K4" s="3">
        <v>42.959999999999994</v>
      </c>
      <c r="L4" s="3">
        <v>22.082606334841628</v>
      </c>
      <c r="N4" s="2">
        <v>20.82</v>
      </c>
      <c r="O4" s="2">
        <v>32.21</v>
      </c>
      <c r="P4" s="2">
        <v>-47.23</v>
      </c>
      <c r="Q4" s="2">
        <v>11.39</v>
      </c>
      <c r="R4" s="2">
        <v>-26.409999999999997</v>
      </c>
      <c r="S4" s="2">
        <v>20.02729027962717</v>
      </c>
      <c r="V4">
        <v>33.159999999999997</v>
      </c>
      <c r="W4">
        <v>36.69</v>
      </c>
      <c r="X4">
        <v>7.16</v>
      </c>
      <c r="Y4">
        <v>-10.69</v>
      </c>
    </row>
    <row r="5" spans="1:39" x14ac:dyDescent="0.3">
      <c r="A5">
        <v>43.01</v>
      </c>
      <c r="B5" s="2">
        <v>21.22</v>
      </c>
      <c r="C5" s="2">
        <f t="shared" si="0"/>
        <v>21.79</v>
      </c>
      <c r="D5" s="2">
        <f t="shared" si="1"/>
        <v>21.79</v>
      </c>
      <c r="E5" s="1">
        <v>100000</v>
      </c>
      <c r="G5" s="2">
        <v>20.55</v>
      </c>
      <c r="H5" s="2">
        <v>76.98</v>
      </c>
      <c r="I5" s="2">
        <v>113.31</v>
      </c>
      <c r="J5" s="3">
        <v>56.430000000000007</v>
      </c>
      <c r="K5" s="3">
        <v>36.33</v>
      </c>
      <c r="L5" s="3">
        <v>22.10114165588616</v>
      </c>
      <c r="N5" s="2">
        <v>20.81</v>
      </c>
      <c r="O5" s="2">
        <v>37.549999999999997</v>
      </c>
      <c r="P5" s="2">
        <v>-82.59</v>
      </c>
      <c r="Q5" s="2">
        <v>16.739999999999998</v>
      </c>
      <c r="R5" s="2">
        <v>-61.78</v>
      </c>
      <c r="S5" s="2">
        <v>22.961749555950263</v>
      </c>
      <c r="U5" t="s">
        <v>31</v>
      </c>
      <c r="V5" s="2" t="s">
        <v>32</v>
      </c>
    </row>
    <row r="6" spans="1:39" x14ac:dyDescent="0.3">
      <c r="A6">
        <v>43.05</v>
      </c>
      <c r="B6" s="2">
        <v>21.29</v>
      </c>
      <c r="C6" s="2">
        <f t="shared" si="0"/>
        <v>21.759999999999998</v>
      </c>
      <c r="D6" s="2">
        <f t="shared" si="1"/>
        <v>21.759999999999998</v>
      </c>
      <c r="E6" s="1">
        <v>100000</v>
      </c>
      <c r="G6" s="2">
        <v>20.62</v>
      </c>
      <c r="H6" s="2">
        <v>61.61</v>
      </c>
      <c r="I6" s="2">
        <v>109.06</v>
      </c>
      <c r="J6" s="3">
        <v>40.989999999999995</v>
      </c>
      <c r="K6" s="3">
        <v>47.45</v>
      </c>
      <c r="L6" s="3">
        <v>21.992034147444596</v>
      </c>
      <c r="N6" s="2">
        <v>28.09</v>
      </c>
      <c r="O6" s="2">
        <v>40.46</v>
      </c>
      <c r="P6" s="2">
        <v>-56.81</v>
      </c>
      <c r="Q6" s="2">
        <v>12.370000000000001</v>
      </c>
      <c r="R6" s="2">
        <v>-28.720000000000002</v>
      </c>
      <c r="S6" s="2">
        <v>21.728831804281342</v>
      </c>
      <c r="V6" s="2">
        <v>26</v>
      </c>
    </row>
    <row r="7" spans="1:39" x14ac:dyDescent="0.3">
      <c r="A7">
        <v>43.04</v>
      </c>
      <c r="B7" s="2">
        <v>21.26</v>
      </c>
      <c r="C7" s="2">
        <f t="shared" si="0"/>
        <v>21.779999999999998</v>
      </c>
      <c r="D7" s="2">
        <f t="shared" si="1"/>
        <v>21.779999999999998</v>
      </c>
      <c r="E7" s="1">
        <v>100000</v>
      </c>
      <c r="G7" s="2">
        <v>20.63</v>
      </c>
      <c r="H7" s="2">
        <v>69.12</v>
      </c>
      <c r="I7" s="2">
        <v>109.17</v>
      </c>
      <c r="J7" s="3">
        <v>48.490000000000009</v>
      </c>
      <c r="K7" s="3">
        <v>40.049999999999997</v>
      </c>
      <c r="L7" s="3">
        <v>21.933866049243282</v>
      </c>
      <c r="N7" s="2">
        <v>31.7</v>
      </c>
      <c r="O7" s="2">
        <v>41.5</v>
      </c>
      <c r="P7" s="2">
        <v>-50.74</v>
      </c>
      <c r="Q7" s="2">
        <v>9.8000000000000007</v>
      </c>
      <c r="R7" s="2">
        <v>-19.040000000000003</v>
      </c>
      <c r="S7" s="2">
        <v>20.193939393939395</v>
      </c>
    </row>
    <row r="8" spans="1:39" x14ac:dyDescent="0.3">
      <c r="A8">
        <v>42.99</v>
      </c>
      <c r="B8" s="2">
        <v>21.29</v>
      </c>
      <c r="C8" s="2">
        <f t="shared" si="0"/>
        <v>21.700000000000003</v>
      </c>
      <c r="D8" s="2">
        <f t="shared" si="1"/>
        <v>21.700000000000003</v>
      </c>
      <c r="E8" s="1">
        <v>100000</v>
      </c>
      <c r="G8" s="2">
        <v>20.6</v>
      </c>
      <c r="H8" s="2">
        <v>80.010000000000005</v>
      </c>
      <c r="I8" s="2">
        <v>115.35</v>
      </c>
      <c r="J8" s="3">
        <v>59.410000000000004</v>
      </c>
      <c r="K8" s="3">
        <v>35.339999999999989</v>
      </c>
      <c r="L8" s="3">
        <v>22.158832717678095</v>
      </c>
      <c r="N8" s="2">
        <v>31.71</v>
      </c>
      <c r="O8" s="2">
        <v>40.32</v>
      </c>
      <c r="P8" s="2">
        <v>-45.8</v>
      </c>
      <c r="Q8" s="2">
        <v>8.61</v>
      </c>
      <c r="R8" s="2">
        <v>-14.089999999999996</v>
      </c>
      <c r="S8" s="2">
        <v>22.137755474452561</v>
      </c>
      <c r="U8" t="s">
        <v>33</v>
      </c>
      <c r="W8" t="s">
        <v>34</v>
      </c>
    </row>
    <row r="9" spans="1:39" x14ac:dyDescent="0.3">
      <c r="A9">
        <v>43.01</v>
      </c>
      <c r="B9" s="2">
        <v>21.29</v>
      </c>
      <c r="C9" s="2">
        <f t="shared" si="0"/>
        <v>21.72</v>
      </c>
      <c r="D9" s="2">
        <f t="shared" si="1"/>
        <v>21.72</v>
      </c>
      <c r="E9" s="1">
        <v>100000</v>
      </c>
      <c r="G9" s="2">
        <v>20.61</v>
      </c>
      <c r="H9" s="2">
        <v>74.819999999999993</v>
      </c>
      <c r="I9" s="2">
        <v>112.13</v>
      </c>
      <c r="J9" s="3">
        <v>54.209999999999994</v>
      </c>
      <c r="K9" s="3">
        <v>37.31</v>
      </c>
      <c r="L9" s="3">
        <v>22.099815340909089</v>
      </c>
      <c r="N9" s="2">
        <v>14.62</v>
      </c>
      <c r="O9" s="2">
        <v>28</v>
      </c>
      <c r="P9" s="2">
        <v>-49.89</v>
      </c>
      <c r="Q9" s="2">
        <v>13.38</v>
      </c>
      <c r="R9" s="2">
        <v>-35.270000000000003</v>
      </c>
      <c r="S9" s="2">
        <v>21.558364550022844</v>
      </c>
      <c r="W9">
        <f>(1/(36.69-16.11)+1/(16.11-11.6))^-1</f>
        <v>3.6993144679155034</v>
      </c>
    </row>
    <row r="10" spans="1:39" x14ac:dyDescent="0.3">
      <c r="A10">
        <v>43.04</v>
      </c>
      <c r="B10" s="2">
        <v>21.31</v>
      </c>
      <c r="C10" s="2">
        <f t="shared" si="0"/>
        <v>21.73</v>
      </c>
      <c r="D10" s="2">
        <f t="shared" si="1"/>
        <v>21.73</v>
      </c>
      <c r="E10" s="1">
        <v>100000</v>
      </c>
      <c r="G10" s="2">
        <v>20.61</v>
      </c>
      <c r="H10" s="2">
        <v>57.11</v>
      </c>
      <c r="I10" s="2">
        <v>112.28</v>
      </c>
      <c r="J10" s="3">
        <v>36.5</v>
      </c>
      <c r="K10" s="3">
        <v>55.17</v>
      </c>
      <c r="L10" s="3">
        <v>21.966892113014072</v>
      </c>
      <c r="N10" s="2">
        <v>20.010000000000002</v>
      </c>
      <c r="O10" s="2">
        <v>32.01</v>
      </c>
      <c r="P10" s="2">
        <v>-42</v>
      </c>
      <c r="Q10" s="2">
        <v>11.999999999999996</v>
      </c>
      <c r="R10" s="2">
        <v>-21.99</v>
      </c>
      <c r="S10" s="2">
        <v>26.414414414414402</v>
      </c>
    </row>
    <row r="11" spans="1:39" x14ac:dyDescent="0.3">
      <c r="A11">
        <v>43.02</v>
      </c>
      <c r="B11" s="2">
        <v>21.3</v>
      </c>
      <c r="C11" s="2">
        <f t="shared" si="0"/>
        <v>21.720000000000002</v>
      </c>
      <c r="D11" s="2">
        <f t="shared" si="1"/>
        <v>21.720000000000002</v>
      </c>
      <c r="E11" s="1">
        <v>100000</v>
      </c>
      <c r="G11" s="2">
        <v>20.64</v>
      </c>
      <c r="H11" s="2">
        <v>82</v>
      </c>
      <c r="I11" s="2">
        <v>116.7</v>
      </c>
      <c r="J11" s="3">
        <v>61.36</v>
      </c>
      <c r="K11" s="3">
        <v>34.700000000000003</v>
      </c>
      <c r="L11" s="3">
        <v>22.165230064542992</v>
      </c>
      <c r="N11" s="2">
        <v>32.18</v>
      </c>
      <c r="O11" s="2">
        <v>46.29</v>
      </c>
      <c r="P11" s="2">
        <v>-66.31</v>
      </c>
      <c r="Q11" s="2">
        <v>14.11</v>
      </c>
      <c r="R11" s="2">
        <v>-34.130000000000003</v>
      </c>
      <c r="S11" s="2">
        <v>24.054660339660337</v>
      </c>
    </row>
    <row r="13" spans="1:39" ht="17.25" customHeight="1" x14ac:dyDescent="0.3">
      <c r="B13" s="2">
        <f>AVERAGE(B2:B11)</f>
        <v>21.273000000000003</v>
      </c>
      <c r="C13" s="2">
        <f>AVERAGE(C2:C11)</f>
        <v>21.763999999999996</v>
      </c>
      <c r="D13" s="3">
        <f>STDEV(D2:D11)</f>
        <v>7.4117024584997165E-2</v>
      </c>
      <c r="E13" s="3"/>
      <c r="F13" s="5"/>
      <c r="J13" s="3" t="s">
        <v>2</v>
      </c>
      <c r="L13" s="2">
        <f>AVERAGE(L2:L11)</f>
        <v>22.056500449427002</v>
      </c>
      <c r="Q13" s="2" t="s">
        <v>2</v>
      </c>
      <c r="S13" s="2">
        <f>AVERAGE(S2:S11)</f>
        <v>22.78696703001437</v>
      </c>
      <c r="T13">
        <f>STDEV(S2:S11)</f>
        <v>2.6403976011584107</v>
      </c>
    </row>
    <row r="14" spans="1:39" ht="57.6" x14ac:dyDescent="0.3">
      <c r="D14" s="3" t="s">
        <v>35</v>
      </c>
      <c r="F14" s="5"/>
      <c r="J14" s="3">
        <v>22.062350141643059</v>
      </c>
      <c r="L14" s="2">
        <f>STDEV(L2:L11)</f>
        <v>7.9615861026917034E-2</v>
      </c>
      <c r="Q14" s="2">
        <v>20.834098750743614</v>
      </c>
    </row>
    <row r="15" spans="1:39" x14ac:dyDescent="0.3">
      <c r="F15" s="5"/>
      <c r="J15" s="3">
        <v>22.00223592906708</v>
      </c>
      <c r="Q15" s="2">
        <v>27.958565737051778</v>
      </c>
    </row>
    <row r="16" spans="1:39" x14ac:dyDescent="0.3">
      <c r="J16" s="3">
        <v>22.082606334841628</v>
      </c>
      <c r="Q16" s="2">
        <v>20.02729027962717</v>
      </c>
    </row>
    <row r="17" spans="10:17" x14ac:dyDescent="0.3">
      <c r="J17" s="3">
        <v>22.10114165588616</v>
      </c>
      <c r="Q17" s="2">
        <v>22.961749555950263</v>
      </c>
    </row>
    <row r="18" spans="10:17" x14ac:dyDescent="0.3">
      <c r="J18" s="3">
        <v>21.992034147444596</v>
      </c>
      <c r="Q18" s="2">
        <v>21.728831804281342</v>
      </c>
    </row>
    <row r="19" spans="10:17" x14ac:dyDescent="0.3">
      <c r="J19" s="3">
        <v>21.933866049243282</v>
      </c>
      <c r="Q19" s="2">
        <v>20.193939393939395</v>
      </c>
    </row>
    <row r="20" spans="10:17" x14ac:dyDescent="0.3">
      <c r="J20" s="3">
        <v>22.158832717678095</v>
      </c>
      <c r="Q20" s="2">
        <v>22.137755474452561</v>
      </c>
    </row>
    <row r="21" spans="10:17" x14ac:dyDescent="0.3">
      <c r="J21" s="3">
        <v>22.099815340909089</v>
      </c>
      <c r="Q21" s="2">
        <v>21.558364550022844</v>
      </c>
    </row>
    <row r="22" spans="10:17" x14ac:dyDescent="0.3">
      <c r="J22" s="3">
        <v>21.966892113014072</v>
      </c>
      <c r="Q22" s="2">
        <v>26.414414414414402</v>
      </c>
    </row>
    <row r="23" spans="10:17" x14ac:dyDescent="0.3">
      <c r="J23" s="3">
        <v>22.165230064542992</v>
      </c>
      <c r="Q23" s="2">
        <v>24.054660339660337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624E-331F-4DA1-9A54-5A26E501B9A0}">
  <dimension ref="A1:F22"/>
  <sheetViews>
    <sheetView workbookViewId="0">
      <selection activeCell="I8" sqref="I8"/>
    </sheetView>
  </sheetViews>
  <sheetFormatPr defaultRowHeight="14.4" x14ac:dyDescent="0.3"/>
  <cols>
    <col min="1" max="1" width="9.109375" style="2"/>
    <col min="2" max="2" width="11" style="2" bestFit="1" customWidth="1"/>
    <col min="3" max="3" width="11" style="8" bestFit="1" customWidth="1"/>
    <col min="4" max="4" width="11.5546875" style="11" bestFit="1" customWidth="1"/>
  </cols>
  <sheetData>
    <row r="1" spans="1:6" x14ac:dyDescent="0.3">
      <c r="A1" s="6" t="s">
        <v>125</v>
      </c>
      <c r="B1" s="6" t="s">
        <v>126</v>
      </c>
      <c r="C1" s="7" t="s">
        <v>127</v>
      </c>
      <c r="D1" s="10" t="s">
        <v>128</v>
      </c>
      <c r="E1" s="6" t="s">
        <v>3</v>
      </c>
      <c r="F1" s="6" t="s">
        <v>9</v>
      </c>
    </row>
    <row r="2" spans="1:6" x14ac:dyDescent="0.3">
      <c r="A2" s="6">
        <v>2.2603978300180832E-2</v>
      </c>
      <c r="B2" s="6">
        <v>2.2722108611679163E-2</v>
      </c>
      <c r="C2" s="7">
        <v>2.5546991749752297E-5</v>
      </c>
      <c r="D2" s="10">
        <v>2.5814710988047225E-5</v>
      </c>
      <c r="E2" s="6">
        <v>44.01</v>
      </c>
      <c r="F2" s="6">
        <v>44.24</v>
      </c>
    </row>
    <row r="3" spans="1:6" x14ac:dyDescent="0.3">
      <c r="A3" s="6">
        <v>1.8747656542932131E-2</v>
      </c>
      <c r="B3" s="6">
        <v>2.6702269692923896E-2</v>
      </c>
      <c r="C3" s="7">
        <v>1.75737312925873E-5</v>
      </c>
      <c r="D3" s="10">
        <v>3.5650560337682103E-5</v>
      </c>
      <c r="E3" s="6">
        <v>37.450000000000003</v>
      </c>
      <c r="F3" s="6">
        <v>53.34</v>
      </c>
    </row>
    <row r="4" spans="1:6" x14ac:dyDescent="0.3">
      <c r="A4" s="6">
        <v>2.3277467411545624E-2</v>
      </c>
      <c r="B4" s="6">
        <v>2.2007042253521129E-2</v>
      </c>
      <c r="C4" s="7">
        <v>2.7092024454778427E-5</v>
      </c>
      <c r="D4" s="10">
        <v>2.4215495437413216E-5</v>
      </c>
      <c r="E4" s="6">
        <v>45.44</v>
      </c>
      <c r="F4" s="6">
        <v>42.96</v>
      </c>
    </row>
    <row r="5" spans="1:6" x14ac:dyDescent="0.3">
      <c r="A5" s="6">
        <v>2.7525461051472612E-2</v>
      </c>
      <c r="B5" s="6">
        <v>1.7721070352649301E-2</v>
      </c>
      <c r="C5" s="7">
        <v>3.788255030480679E-5</v>
      </c>
      <c r="D5" s="10">
        <v>1.5701816722177299E-5</v>
      </c>
      <c r="E5" s="6">
        <v>56.43</v>
      </c>
      <c r="F5" s="6">
        <v>36.33</v>
      </c>
    </row>
    <row r="6" spans="1:6" x14ac:dyDescent="0.3">
      <c r="A6" s="6">
        <v>2.107481559536354E-2</v>
      </c>
      <c r="B6" s="6">
        <v>2.439619419370578E-2</v>
      </c>
      <c r="C6" s="7">
        <v>2.2207392618928914E-5</v>
      </c>
      <c r="D6" s="10">
        <v>2.9758714556850185E-5</v>
      </c>
      <c r="E6" s="6">
        <v>40.99</v>
      </c>
      <c r="F6" s="6">
        <v>47.45</v>
      </c>
    </row>
    <row r="7" spans="1:6" x14ac:dyDescent="0.3">
      <c r="A7" s="6">
        <v>2.4968789013732836E-2</v>
      </c>
      <c r="B7" s="6">
        <v>2.0622808826562176E-2</v>
      </c>
      <c r="C7" s="7">
        <v>3.1172021240615284E-5</v>
      </c>
      <c r="D7" s="10">
        <v>2.126501219484654E-5</v>
      </c>
      <c r="E7" s="6">
        <v>48.49</v>
      </c>
      <c r="F7" s="6">
        <v>40.049999999999997</v>
      </c>
    </row>
    <row r="8" spans="1:6" x14ac:dyDescent="0.3">
      <c r="A8" s="6">
        <v>2.8296547821165814E-2</v>
      </c>
      <c r="B8" s="6">
        <v>1.6832183134152502E-2</v>
      </c>
      <c r="C8" s="7">
        <v>4.0034730929776194E-5</v>
      </c>
      <c r="D8" s="10">
        <v>1.4166119453082399E-5</v>
      </c>
      <c r="E8" s="6">
        <v>59.41</v>
      </c>
      <c r="F8" s="6">
        <v>35.340000000000003</v>
      </c>
    </row>
    <row r="9" spans="1:6" x14ac:dyDescent="0.3">
      <c r="A9" s="6">
        <v>2.6802465826856071E-2</v>
      </c>
      <c r="B9" s="6">
        <v>1.8446781036709093E-2</v>
      </c>
      <c r="C9" s="7">
        <v>3.5918608719989376E-5</v>
      </c>
      <c r="D9" s="10">
        <v>1.7014186530814513E-5</v>
      </c>
      <c r="E9" s="6">
        <v>54.21</v>
      </c>
      <c r="F9" s="6">
        <v>37.31</v>
      </c>
    </row>
    <row r="10" spans="1:6" x14ac:dyDescent="0.3">
      <c r="A10" s="6">
        <v>1.8125793003443899E-2</v>
      </c>
      <c r="B10" s="6">
        <v>2.7397260273972601E-2</v>
      </c>
      <c r="C10" s="7">
        <v>1.6427218600184792E-5</v>
      </c>
      <c r="D10" s="10">
        <v>3.7530493525989866E-5</v>
      </c>
      <c r="E10" s="6">
        <v>36.5</v>
      </c>
      <c r="F10" s="6">
        <v>55.17</v>
      </c>
    </row>
    <row r="11" spans="1:6" x14ac:dyDescent="0.3">
      <c r="A11" s="6">
        <v>2.8818443804034581E-2</v>
      </c>
      <c r="B11" s="6">
        <v>1.6297262059973925E-2</v>
      </c>
      <c r="C11" s="7">
        <v>4.1525135164314955E-5</v>
      </c>
      <c r="D11" s="10">
        <v>1.3280037532573276E-5</v>
      </c>
      <c r="E11" s="6">
        <v>61.36</v>
      </c>
      <c r="F11" s="6">
        <v>34.700000000000003</v>
      </c>
    </row>
    <row r="12" spans="1:6" x14ac:dyDescent="0.3">
      <c r="A12" s="6">
        <v>-3.4578146611341627E-2</v>
      </c>
      <c r="B12" s="6">
        <v>8.2576383154417843E-2</v>
      </c>
      <c r="C12" s="7">
        <v>5.978241115377182E-5</v>
      </c>
      <c r="D12" s="10">
        <v>3.4094295274326119E-4</v>
      </c>
      <c r="E12" s="6">
        <v>12.11</v>
      </c>
      <c r="F12" s="6">
        <v>-28.92</v>
      </c>
    </row>
    <row r="13" spans="1:6" x14ac:dyDescent="0.3">
      <c r="A13" s="6">
        <v>-6.8399452804377564E-2</v>
      </c>
      <c r="B13" s="6">
        <v>0.10416666666666667</v>
      </c>
      <c r="C13" s="7">
        <v>2.3392425719691369E-4</v>
      </c>
      <c r="D13" s="10">
        <v>5.4253472222222235E-4</v>
      </c>
      <c r="E13" s="6">
        <v>9.6</v>
      </c>
      <c r="F13" s="6">
        <v>-14.62</v>
      </c>
    </row>
    <row r="14" spans="1:6" x14ac:dyDescent="0.3">
      <c r="A14" s="6">
        <v>-3.7864445285876562E-2</v>
      </c>
      <c r="B14" s="6">
        <v>8.7796312554872691E-2</v>
      </c>
      <c r="C14" s="7">
        <v>7.1685810840356991E-5</v>
      </c>
      <c r="D14" s="10">
        <v>3.8540962491164486E-4</v>
      </c>
      <c r="E14" s="6">
        <v>11.39</v>
      </c>
      <c r="F14" s="6">
        <v>-26.41</v>
      </c>
    </row>
    <row r="15" spans="1:6" x14ac:dyDescent="0.3">
      <c r="A15" s="6">
        <v>-1.6186468112657816E-2</v>
      </c>
      <c r="B15" s="6">
        <v>5.9737156511350066E-2</v>
      </c>
      <c r="C15" s="7">
        <v>1.3100087498104414E-5</v>
      </c>
      <c r="D15" s="10">
        <v>1.7842639340307669E-4</v>
      </c>
      <c r="E15" s="6">
        <v>16.739999999999998</v>
      </c>
      <c r="F15" s="6">
        <v>-61.78</v>
      </c>
    </row>
    <row r="16" spans="1:6" x14ac:dyDescent="0.3">
      <c r="A16" s="6">
        <v>-3.4818941504178275E-2</v>
      </c>
      <c r="B16" s="6">
        <v>8.084074373484236E-2</v>
      </c>
      <c r="C16" s="7">
        <v>6.0617934373569428E-5</v>
      </c>
      <c r="D16" s="10">
        <v>3.2676129238012273E-4</v>
      </c>
      <c r="E16" s="6">
        <v>12.37</v>
      </c>
      <c r="F16" s="6">
        <v>-28.72</v>
      </c>
    </row>
    <row r="17" spans="1:6" x14ac:dyDescent="0.3">
      <c r="A17" s="6">
        <v>-5.2521008403361345E-2</v>
      </c>
      <c r="B17" s="6">
        <v>0.1020408163265306</v>
      </c>
      <c r="C17" s="7">
        <v>1.3792281618529766E-4</v>
      </c>
      <c r="D17" s="10">
        <v>5.2061640982923772E-4</v>
      </c>
      <c r="E17" s="6">
        <v>9.8000000000000007</v>
      </c>
      <c r="F17" s="6">
        <v>-19.04</v>
      </c>
    </row>
    <row r="18" spans="1:6" x14ac:dyDescent="0.3">
      <c r="A18" s="6">
        <v>-7.0972320794889993E-2</v>
      </c>
      <c r="B18" s="6">
        <v>0.11614401858304298</v>
      </c>
      <c r="C18" s="7">
        <v>2.5185351595063873E-4</v>
      </c>
      <c r="D18" s="10">
        <v>6.7447165263091172E-4</v>
      </c>
      <c r="E18" s="6">
        <v>8.61</v>
      </c>
      <c r="F18" s="6">
        <v>-14.09</v>
      </c>
    </row>
    <row r="19" spans="1:6" x14ac:dyDescent="0.3">
      <c r="A19" s="6">
        <v>-2.8352707683583781E-2</v>
      </c>
      <c r="B19" s="6">
        <v>7.4738415545590423E-2</v>
      </c>
      <c r="C19" s="7">
        <v>4.0193801649537543E-5</v>
      </c>
      <c r="D19" s="10">
        <v>2.7929153791326762E-4</v>
      </c>
      <c r="E19" s="6">
        <v>13.38</v>
      </c>
      <c r="F19" s="6">
        <v>-35.270000000000003</v>
      </c>
    </row>
    <row r="20" spans="1:6" x14ac:dyDescent="0.3">
      <c r="A20" s="6">
        <v>-4.547521600727604E-2</v>
      </c>
      <c r="B20" s="6">
        <v>8.3333333333333329E-2</v>
      </c>
      <c r="C20" s="7">
        <v>1.0339976354542074E-4</v>
      </c>
      <c r="D20" s="10">
        <v>3.4722222222222218E-4</v>
      </c>
      <c r="E20" s="6">
        <v>12</v>
      </c>
      <c r="F20" s="6">
        <v>-21.99</v>
      </c>
    </row>
    <row r="21" spans="1:6" x14ac:dyDescent="0.3">
      <c r="A21" s="6">
        <v>-2.9299736302373276E-2</v>
      </c>
      <c r="B21" s="6">
        <v>7.087172218284904E-2</v>
      </c>
      <c r="C21" s="7">
        <v>4.2923727369430524E-5</v>
      </c>
      <c r="D21" s="10">
        <v>2.5114005025814683E-4</v>
      </c>
      <c r="E21" s="6">
        <v>14.11</v>
      </c>
      <c r="F21" s="6">
        <v>-34.130000000000003</v>
      </c>
    </row>
    <row r="22" spans="1:6" x14ac:dyDescent="0.3">
      <c r="A22" s="6">
        <v>-9.3545369504209552E-2</v>
      </c>
      <c r="B22" s="6">
        <v>0.13966480446927373</v>
      </c>
      <c r="C22" s="7">
        <v>4.3753680778395494E-4</v>
      </c>
      <c r="D22" s="10">
        <v>9.7531288037202332E-4</v>
      </c>
      <c r="E22" s="6">
        <v>7.16</v>
      </c>
      <c r="F22" s="6">
        <v>-10.69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54C8-768D-4054-BF61-A15B46BEA4C0}">
  <dimension ref="A1:H16"/>
  <sheetViews>
    <sheetView tabSelected="1" workbookViewId="0"/>
  </sheetViews>
  <sheetFormatPr defaultRowHeight="14.4" x14ac:dyDescent="0.3"/>
  <sheetData>
    <row r="1" spans="1:8" x14ac:dyDescent="0.3">
      <c r="A1" s="6" t="s">
        <v>130</v>
      </c>
      <c r="B1" s="6" t="s">
        <v>129</v>
      </c>
      <c r="C1" s="6" t="s">
        <v>127</v>
      </c>
      <c r="D1" s="6" t="s">
        <v>128</v>
      </c>
      <c r="E1" s="6"/>
      <c r="H1" s="9"/>
    </row>
    <row r="2" spans="1:8" x14ac:dyDescent="0.3">
      <c r="A2" s="6">
        <v>0.22883295200000001</v>
      </c>
      <c r="B2" s="6">
        <v>-0.25706940900000003</v>
      </c>
      <c r="C2" s="6">
        <v>2.618226E-3</v>
      </c>
      <c r="D2" s="6">
        <v>3.3042340000000001E-3</v>
      </c>
      <c r="E2" s="9"/>
      <c r="H2" s="6"/>
    </row>
    <row r="3" spans="1:8" x14ac:dyDescent="0.3">
      <c r="A3" s="6">
        <v>0.23696682499999999</v>
      </c>
      <c r="B3" s="6">
        <v>-0.25706940900000003</v>
      </c>
      <c r="C3" s="6">
        <v>2.8076640000000001E-3</v>
      </c>
      <c r="D3" s="6">
        <v>3.3042340000000001E-3</v>
      </c>
      <c r="E3" s="9"/>
      <c r="H3" s="9"/>
    </row>
    <row r="4" spans="1:8" x14ac:dyDescent="0.3">
      <c r="A4" s="6">
        <v>-4.2034467999999998E-2</v>
      </c>
      <c r="B4" s="6">
        <v>1.7889088000000001E-2</v>
      </c>
      <c r="C4" s="9">
        <v>8.8344799999999995E-5</v>
      </c>
      <c r="D4" s="9">
        <v>1.6001000000000001E-5</v>
      </c>
      <c r="E4" s="9"/>
      <c r="H4" s="9"/>
    </row>
    <row r="5" spans="1:8" x14ac:dyDescent="0.3">
      <c r="A5" s="6">
        <v>-4.6948357000000003E-2</v>
      </c>
      <c r="B5" s="6">
        <v>1.9794141000000001E-2</v>
      </c>
      <c r="C5" s="6">
        <v>1.10207E-4</v>
      </c>
      <c r="D5" s="9">
        <v>1.9590400000000001E-5</v>
      </c>
      <c r="E5" s="9"/>
      <c r="H5" s="9"/>
    </row>
    <row r="6" spans="1:8" x14ac:dyDescent="0.3">
      <c r="A6" s="6">
        <v>-3.5460993000000003E-2</v>
      </c>
      <c r="B6" s="6">
        <v>1.1466575E-2</v>
      </c>
      <c r="C6" s="9">
        <v>6.2874100000000002E-5</v>
      </c>
      <c r="D6" s="9">
        <v>6.57412E-6</v>
      </c>
      <c r="E6" s="9"/>
      <c r="H6" s="9"/>
    </row>
    <row r="7" spans="1:8" x14ac:dyDescent="0.3">
      <c r="A7" s="6">
        <v>-4.2176297000000001E-2</v>
      </c>
      <c r="B7" s="6">
        <v>1.5489467E-2</v>
      </c>
      <c r="C7" s="9">
        <v>8.8942000000000003E-5</v>
      </c>
      <c r="D7" s="9">
        <v>1.19962E-5</v>
      </c>
      <c r="E7" s="9"/>
      <c r="G7" s="6"/>
      <c r="H7" s="6"/>
    </row>
    <row r="8" spans="1:8" x14ac:dyDescent="0.3">
      <c r="A8" s="6">
        <v>-4.2936883000000002E-2</v>
      </c>
      <c r="B8" s="6">
        <v>1.8552875999999999E-2</v>
      </c>
      <c r="C8" s="9">
        <v>9.2178799999999999E-5</v>
      </c>
      <c r="D8" s="9">
        <v>1.7210500000000001E-5</v>
      </c>
      <c r="E8" s="9"/>
      <c r="G8" s="6"/>
      <c r="H8" s="6"/>
    </row>
    <row r="9" spans="1:8" x14ac:dyDescent="0.3">
      <c r="A9" s="6">
        <v>-4.2176297000000001E-2</v>
      </c>
      <c r="B9" s="6">
        <v>1.7298045000000001E-2</v>
      </c>
      <c r="C9" s="9">
        <v>8.8942000000000003E-5</v>
      </c>
      <c r="D9" s="9">
        <v>1.49611E-5</v>
      </c>
      <c r="E9" s="9"/>
      <c r="G9" s="6"/>
      <c r="H9" s="6"/>
    </row>
    <row r="10" spans="1:8" x14ac:dyDescent="0.3">
      <c r="A10" s="6">
        <v>-4.6620046999999998E-2</v>
      </c>
      <c r="B10" s="6">
        <v>2.0218357999999999E-2</v>
      </c>
      <c r="C10" s="6">
        <v>1.08671E-4</v>
      </c>
      <c r="D10" s="9">
        <v>2.0439099999999999E-5</v>
      </c>
      <c r="E10" s="9"/>
      <c r="G10" s="6"/>
      <c r="H10" s="6"/>
    </row>
    <row r="11" spans="1:8" x14ac:dyDescent="0.3">
      <c r="A11" s="6">
        <v>-5.0226016999999998E-2</v>
      </c>
      <c r="B11" s="6">
        <v>2.4265954999999999E-2</v>
      </c>
      <c r="C11" s="6">
        <v>1.2613300000000001E-4</v>
      </c>
      <c r="D11" s="9">
        <v>2.94418E-5</v>
      </c>
      <c r="E11" s="9"/>
      <c r="G11" s="6"/>
    </row>
    <row r="12" spans="1:8" x14ac:dyDescent="0.3">
      <c r="A12" s="6">
        <v>-5.5279160000000001E-2</v>
      </c>
      <c r="B12" s="6">
        <v>2.9377203000000001E-2</v>
      </c>
      <c r="C12" s="6">
        <v>1.5278899999999999E-4</v>
      </c>
      <c r="D12" s="9">
        <v>4.3151000000000001E-5</v>
      </c>
      <c r="E12" s="6"/>
      <c r="G12" s="6"/>
    </row>
    <row r="13" spans="1:8" x14ac:dyDescent="0.3">
      <c r="A13" s="6">
        <v>-7.8740157000000005E-2</v>
      </c>
      <c r="B13" s="6">
        <v>3.7023325000000003E-2</v>
      </c>
      <c r="C13" s="6">
        <v>3.1000100000000002E-4</v>
      </c>
      <c r="D13" s="9">
        <v>6.8536300000000003E-5</v>
      </c>
      <c r="E13" s="6"/>
      <c r="G13" s="6"/>
    </row>
    <row r="14" spans="1:8" x14ac:dyDescent="0.3">
      <c r="G14" s="6"/>
    </row>
    <row r="15" spans="1:8" x14ac:dyDescent="0.3">
      <c r="G15" s="6"/>
    </row>
    <row r="16" spans="1:8" x14ac:dyDescent="0.3">
      <c r="G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3B73-1CE3-46E3-9821-56CC86A6A607}">
  <dimension ref="A1:L12"/>
  <sheetViews>
    <sheetView workbookViewId="0">
      <selection activeCell="G2" sqref="G2"/>
    </sheetView>
  </sheetViews>
  <sheetFormatPr defaultRowHeight="14.4" x14ac:dyDescent="0.3"/>
  <cols>
    <col min="2" max="2" width="19.5546875" bestFit="1" customWidth="1"/>
    <col min="3" max="3" width="18" bestFit="1" customWidth="1"/>
    <col min="4" max="4" width="12.88671875" bestFit="1" customWidth="1"/>
    <col min="7" max="7" width="13.109375" customWidth="1"/>
    <col min="8" max="8" width="11.33203125" customWidth="1"/>
    <col min="9" max="9" width="10" bestFit="1" customWidth="1"/>
    <col min="10" max="10" width="19.33203125" bestFit="1" customWidth="1"/>
    <col min="11" max="11" width="25.6640625" bestFit="1" customWidth="1"/>
    <col min="12" max="12" width="24.109375" style="2" bestFit="1" customWidth="1"/>
  </cols>
  <sheetData>
    <row r="1" spans="1:12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s="5" t="s">
        <v>42</v>
      </c>
      <c r="H1" t="s">
        <v>29</v>
      </c>
      <c r="I1" t="s">
        <v>43</v>
      </c>
      <c r="J1" t="s">
        <v>44</v>
      </c>
      <c r="K1" t="s">
        <v>45</v>
      </c>
      <c r="L1" s="2" t="s">
        <v>46</v>
      </c>
    </row>
    <row r="2" spans="1:12" x14ac:dyDescent="0.3">
      <c r="A2">
        <v>1</v>
      </c>
      <c r="B2">
        <v>38.549999999999997</v>
      </c>
      <c r="C2">
        <v>43.12</v>
      </c>
      <c r="D2">
        <f>(B2+C2)/2</f>
        <v>40.834999999999994</v>
      </c>
      <c r="E2">
        <f>C2-B2</f>
        <v>4.57</v>
      </c>
      <c r="F2">
        <v>11.6</v>
      </c>
      <c r="G2">
        <v>60</v>
      </c>
      <c r="H2">
        <f>54.2-D2</f>
        <v>13.365000000000009</v>
      </c>
      <c r="I2">
        <v>11.6</v>
      </c>
      <c r="J2">
        <f>1/((1/H2)+(1/(G2-D2)))</f>
        <v>7.8739694128496804</v>
      </c>
      <c r="K2">
        <f>(1-(5/L2))/((1/J2)-(1/L2))</f>
        <v>-18.018867244279587</v>
      </c>
      <c r="L2" s="2">
        <v>7</v>
      </c>
    </row>
    <row r="3" spans="1:12" x14ac:dyDescent="0.3">
      <c r="A3">
        <v>2</v>
      </c>
      <c r="B3">
        <v>39.24</v>
      </c>
      <c r="C3">
        <v>43.7</v>
      </c>
      <c r="D3">
        <f t="shared" ref="D3:D11" si="0">(B3+C3)/2</f>
        <v>41.47</v>
      </c>
      <c r="E3">
        <f t="shared" ref="E3:E11" si="1">C3-B3</f>
        <v>4.4600000000000009</v>
      </c>
      <c r="F3">
        <v>11.6</v>
      </c>
      <c r="G3">
        <v>60</v>
      </c>
      <c r="H3">
        <f t="shared" ref="H3:H11" si="2">54.2-D3</f>
        <v>12.730000000000004</v>
      </c>
      <c r="I3">
        <v>11.6</v>
      </c>
      <c r="J3">
        <f t="shared" ref="J3:J11" si="3">1/((1/H3)+(1/(G3-D3)))</f>
        <v>7.5459660908509294</v>
      </c>
      <c r="K3">
        <f t="shared" ref="K3:K11" si="4">(1-(5/L3))/((1/J3)-(1/L3))</f>
        <v>-27.642618167329687</v>
      </c>
      <c r="L3" s="2">
        <v>7</v>
      </c>
    </row>
    <row r="4" spans="1:12" x14ac:dyDescent="0.3">
      <c r="A4">
        <v>3</v>
      </c>
      <c r="B4">
        <v>39.22</v>
      </c>
      <c r="C4">
        <v>44.91</v>
      </c>
      <c r="D4">
        <f t="shared" si="0"/>
        <v>42.064999999999998</v>
      </c>
      <c r="E4">
        <f t="shared" si="1"/>
        <v>5.6899999999999977</v>
      </c>
      <c r="F4">
        <v>11.6</v>
      </c>
      <c r="G4">
        <v>60</v>
      </c>
      <c r="H4">
        <f t="shared" si="2"/>
        <v>12.135000000000005</v>
      </c>
      <c r="I4">
        <v>11.6</v>
      </c>
      <c r="J4">
        <f t="shared" si="3"/>
        <v>7.2378192550715026</v>
      </c>
      <c r="K4">
        <f t="shared" si="4"/>
        <v>-60.868235861687417</v>
      </c>
      <c r="L4" s="2">
        <v>7</v>
      </c>
    </row>
    <row r="5" spans="1:12" x14ac:dyDescent="0.3">
      <c r="A5">
        <v>4</v>
      </c>
      <c r="B5">
        <v>38.9</v>
      </c>
      <c r="C5">
        <v>43.81</v>
      </c>
      <c r="D5">
        <f t="shared" si="0"/>
        <v>41.355000000000004</v>
      </c>
      <c r="E5">
        <f t="shared" si="1"/>
        <v>4.9100000000000037</v>
      </c>
      <c r="F5">
        <v>11.6</v>
      </c>
      <c r="G5">
        <v>60</v>
      </c>
      <c r="H5">
        <f t="shared" si="2"/>
        <v>12.844999999999999</v>
      </c>
      <c r="I5">
        <v>11.6</v>
      </c>
      <c r="J5">
        <f t="shared" si="3"/>
        <v>7.6054310892346777</v>
      </c>
      <c r="K5">
        <f t="shared" si="4"/>
        <v>-25.124018982403662</v>
      </c>
      <c r="L5" s="2">
        <v>7</v>
      </c>
    </row>
    <row r="6" spans="1:12" x14ac:dyDescent="0.3">
      <c r="A6">
        <v>5</v>
      </c>
      <c r="B6">
        <v>39.549999999999997</v>
      </c>
      <c r="C6">
        <v>43.96</v>
      </c>
      <c r="D6">
        <f t="shared" si="0"/>
        <v>41.754999999999995</v>
      </c>
      <c r="E6">
        <f t="shared" si="1"/>
        <v>4.4100000000000037</v>
      </c>
      <c r="F6">
        <v>11.6</v>
      </c>
      <c r="G6">
        <v>60</v>
      </c>
      <c r="H6">
        <f t="shared" si="2"/>
        <v>12.445000000000007</v>
      </c>
      <c r="I6">
        <v>11.6</v>
      </c>
      <c r="J6">
        <f t="shared" si="3"/>
        <v>7.3984693711306644</v>
      </c>
      <c r="K6">
        <f t="shared" si="4"/>
        <v>-37.134444487602003</v>
      </c>
      <c r="L6" s="2">
        <v>7</v>
      </c>
    </row>
    <row r="7" spans="1:12" x14ac:dyDescent="0.3">
      <c r="A7">
        <v>6</v>
      </c>
      <c r="B7">
        <v>39.61</v>
      </c>
      <c r="C7">
        <v>47.04</v>
      </c>
      <c r="D7">
        <f t="shared" si="0"/>
        <v>43.325000000000003</v>
      </c>
      <c r="E7">
        <f t="shared" si="1"/>
        <v>7.43</v>
      </c>
      <c r="F7">
        <v>11.6</v>
      </c>
      <c r="G7">
        <v>60</v>
      </c>
      <c r="H7">
        <f t="shared" si="2"/>
        <v>10.875</v>
      </c>
      <c r="I7">
        <v>11.6</v>
      </c>
      <c r="J7">
        <f t="shared" si="3"/>
        <v>6.5822368421052628</v>
      </c>
      <c r="K7">
        <f>(1-(5/L7))/((1/J7)-(1/L7))</f>
        <v>31.511811023621974</v>
      </c>
      <c r="L7" s="2">
        <v>7</v>
      </c>
    </row>
    <row r="8" spans="1:12" x14ac:dyDescent="0.3">
      <c r="A8">
        <v>7</v>
      </c>
      <c r="B8">
        <v>39.479999999999997</v>
      </c>
      <c r="C8">
        <v>44.58</v>
      </c>
      <c r="D8">
        <f t="shared" si="0"/>
        <v>42.03</v>
      </c>
      <c r="E8">
        <f t="shared" si="1"/>
        <v>5.1000000000000014</v>
      </c>
      <c r="F8">
        <v>11.6</v>
      </c>
      <c r="G8">
        <v>60</v>
      </c>
      <c r="H8">
        <f t="shared" si="2"/>
        <v>12.170000000000002</v>
      </c>
      <c r="I8">
        <v>11.6</v>
      </c>
      <c r="J8">
        <f t="shared" si="3"/>
        <v>7.2559688122096881</v>
      </c>
      <c r="K8">
        <f t="shared" si="4"/>
        <v>-56.694163242556606</v>
      </c>
      <c r="L8" s="2">
        <v>7</v>
      </c>
    </row>
    <row r="9" spans="1:12" x14ac:dyDescent="0.3">
      <c r="A9">
        <v>8</v>
      </c>
      <c r="B9">
        <v>38.99</v>
      </c>
      <c r="C9">
        <v>44.78</v>
      </c>
      <c r="D9">
        <f t="shared" si="0"/>
        <v>41.885000000000005</v>
      </c>
      <c r="E9">
        <f t="shared" si="1"/>
        <v>5.7899999999999991</v>
      </c>
      <c r="F9">
        <v>11.6</v>
      </c>
      <c r="G9">
        <v>60</v>
      </c>
      <c r="H9">
        <f t="shared" si="2"/>
        <v>12.314999999999998</v>
      </c>
      <c r="I9">
        <v>11.6</v>
      </c>
      <c r="J9">
        <f t="shared" si="3"/>
        <v>7.3311279986855071</v>
      </c>
      <c r="K9">
        <f t="shared" si="4"/>
        <v>-44.27972281285912</v>
      </c>
      <c r="L9" s="2">
        <v>7</v>
      </c>
    </row>
    <row r="10" spans="1:12" x14ac:dyDescent="0.3">
      <c r="A10">
        <v>9</v>
      </c>
      <c r="B10">
        <v>39.21</v>
      </c>
      <c r="C10">
        <v>44.12</v>
      </c>
      <c r="D10">
        <f t="shared" si="0"/>
        <v>41.664999999999999</v>
      </c>
      <c r="E10">
        <f t="shared" si="1"/>
        <v>4.9099999999999966</v>
      </c>
      <c r="F10">
        <v>11.6</v>
      </c>
      <c r="G10">
        <v>60</v>
      </c>
      <c r="H10">
        <f t="shared" si="2"/>
        <v>12.535000000000004</v>
      </c>
      <c r="I10">
        <v>11.6</v>
      </c>
      <c r="J10">
        <f t="shared" si="3"/>
        <v>7.4450672173631371</v>
      </c>
      <c r="K10">
        <f t="shared" si="4"/>
        <v>-33.455922732177321</v>
      </c>
      <c r="L10" s="2">
        <v>7</v>
      </c>
    </row>
    <row r="11" spans="1:12" x14ac:dyDescent="0.3">
      <c r="A11">
        <v>10</v>
      </c>
      <c r="B11">
        <v>39.409999999999997</v>
      </c>
      <c r="C11">
        <v>43.85</v>
      </c>
      <c r="D11">
        <f t="shared" si="0"/>
        <v>41.629999999999995</v>
      </c>
      <c r="E11">
        <f t="shared" si="1"/>
        <v>4.4400000000000048</v>
      </c>
      <c r="F11">
        <v>11.6</v>
      </c>
      <c r="G11">
        <v>60</v>
      </c>
      <c r="H11">
        <f t="shared" si="2"/>
        <v>12.570000000000007</v>
      </c>
      <c r="I11">
        <v>11.6</v>
      </c>
      <c r="J11">
        <f t="shared" si="3"/>
        <v>7.4631835811247598</v>
      </c>
      <c r="K11">
        <f t="shared" si="4"/>
        <v>-32.225596438465018</v>
      </c>
      <c r="L11" s="2">
        <v>7</v>
      </c>
    </row>
    <row r="12" spans="1:12" x14ac:dyDescent="0.3">
      <c r="K12">
        <f>AVERAGE(K2:K6, K8:K11)</f>
        <v>-37.271509996595604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9C59-C03A-4338-8350-6A1373DBA18C}">
  <dimension ref="A1:P16"/>
  <sheetViews>
    <sheetView topLeftCell="H1" workbookViewId="0">
      <selection activeCell="L12" sqref="L12"/>
    </sheetView>
  </sheetViews>
  <sheetFormatPr defaultRowHeight="14.4" x14ac:dyDescent="0.3"/>
  <cols>
    <col min="3" max="3" width="13.109375" bestFit="1" customWidth="1"/>
    <col min="4" max="4" width="14.109375" bestFit="1" customWidth="1"/>
    <col min="5" max="5" width="13.6640625" bestFit="1" customWidth="1"/>
    <col min="13" max="13" width="15.44140625" bestFit="1" customWidth="1"/>
    <col min="15" max="15" width="10.33203125" style="2" bestFit="1" customWidth="1"/>
    <col min="16" max="16" width="12.6640625" bestFit="1" customWidth="1"/>
  </cols>
  <sheetData>
    <row r="1" spans="1:1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28</v>
      </c>
      <c r="H1" t="s">
        <v>53</v>
      </c>
      <c r="I1" t="s">
        <v>54</v>
      </c>
      <c r="L1" t="s">
        <v>55</v>
      </c>
      <c r="M1" t="s">
        <v>56</v>
      </c>
      <c r="N1" t="s">
        <v>48</v>
      </c>
      <c r="O1" s="2" t="s">
        <v>57</v>
      </c>
      <c r="P1" t="s">
        <v>58</v>
      </c>
    </row>
    <row r="2" spans="1:16" x14ac:dyDescent="0.3">
      <c r="B2">
        <v>1</v>
      </c>
      <c r="C2">
        <v>9.99</v>
      </c>
      <c r="D2">
        <v>65.89</v>
      </c>
      <c r="E2">
        <v>33.78</v>
      </c>
      <c r="F2">
        <f t="shared" ref="F2:F11" si="0">D2-C2</f>
        <v>55.9</v>
      </c>
      <c r="G2">
        <f t="shared" ref="G2:G11" si="1">C2-E2</f>
        <v>-23.79</v>
      </c>
      <c r="H2">
        <f t="shared" ref="H2:H11" si="2">1/((1/F2)+(1/G2))</f>
        <v>-41.415789473684207</v>
      </c>
      <c r="I2">
        <f>(H2-H13)^2</f>
        <v>4.5232595560877016</v>
      </c>
      <c r="M2">
        <v>25.95</v>
      </c>
      <c r="N2">
        <v>1</v>
      </c>
      <c r="O2" s="2">
        <v>22.03</v>
      </c>
      <c r="P2">
        <v>26.4</v>
      </c>
    </row>
    <row r="3" spans="1:16" x14ac:dyDescent="0.3">
      <c r="B3">
        <v>2</v>
      </c>
      <c r="C3">
        <v>10</v>
      </c>
      <c r="D3">
        <v>60.52</v>
      </c>
      <c r="E3">
        <v>31.3</v>
      </c>
      <c r="F3">
        <f t="shared" si="0"/>
        <v>50.52</v>
      </c>
      <c r="G3">
        <f t="shared" si="1"/>
        <v>-21.3</v>
      </c>
      <c r="H3">
        <f t="shared" si="2"/>
        <v>-36.826694045174541</v>
      </c>
      <c r="I3">
        <f>(H3-H13)^2</f>
        <v>6.0629204085368116</v>
      </c>
      <c r="M3">
        <v>25.88</v>
      </c>
      <c r="N3">
        <v>2</v>
      </c>
      <c r="O3" s="2">
        <v>22.03</v>
      </c>
      <c r="P3">
        <v>26.25</v>
      </c>
    </row>
    <row r="4" spans="1:16" x14ac:dyDescent="0.3">
      <c r="B4">
        <v>3</v>
      </c>
      <c r="C4">
        <v>10</v>
      </c>
      <c r="D4">
        <v>97.21</v>
      </c>
      <c r="E4">
        <v>38.200000000000003</v>
      </c>
      <c r="F4">
        <f t="shared" si="0"/>
        <v>87.21</v>
      </c>
      <c r="G4">
        <f t="shared" si="1"/>
        <v>-28.200000000000003</v>
      </c>
      <c r="H4">
        <f t="shared" si="2"/>
        <v>-41.6763599389934</v>
      </c>
      <c r="I4">
        <f>(H4-H13)^2</f>
        <v>5.6995167656075836</v>
      </c>
      <c r="M4">
        <v>26.01</v>
      </c>
    </row>
    <row r="5" spans="1:16" x14ac:dyDescent="0.3">
      <c r="B5">
        <v>4</v>
      </c>
      <c r="C5">
        <v>10</v>
      </c>
      <c r="D5">
        <v>74.56</v>
      </c>
      <c r="E5">
        <v>33.71</v>
      </c>
      <c r="F5">
        <f t="shared" si="0"/>
        <v>64.56</v>
      </c>
      <c r="G5">
        <f t="shared" si="1"/>
        <v>-23.71</v>
      </c>
      <c r="H5">
        <f t="shared" si="2"/>
        <v>-37.471667074663408</v>
      </c>
      <c r="I5">
        <f>(H5-H13)^2</f>
        <v>3.3026766671738055</v>
      </c>
      <c r="M5">
        <v>25.72</v>
      </c>
    </row>
    <row r="6" spans="1:16" x14ac:dyDescent="0.3">
      <c r="B6">
        <v>5</v>
      </c>
      <c r="C6">
        <v>9.92</v>
      </c>
      <c r="D6">
        <v>63.82</v>
      </c>
      <c r="E6">
        <v>33.21</v>
      </c>
      <c r="F6">
        <f t="shared" si="0"/>
        <v>53.9</v>
      </c>
      <c r="G6">
        <f t="shared" si="1"/>
        <v>-23.29</v>
      </c>
      <c r="H6">
        <f t="shared" si="2"/>
        <v>-41.010486769029733</v>
      </c>
      <c r="I6">
        <f>(H6-H13)^2</f>
        <v>2.9635378145527018</v>
      </c>
      <c r="M6">
        <v>26</v>
      </c>
    </row>
    <row r="7" spans="1:16" x14ac:dyDescent="0.3">
      <c r="B7">
        <v>6</v>
      </c>
      <c r="C7">
        <v>9.99</v>
      </c>
      <c r="D7">
        <v>67.8</v>
      </c>
      <c r="E7">
        <v>33.700000000000003</v>
      </c>
      <c r="F7">
        <f t="shared" si="0"/>
        <v>57.809999999999995</v>
      </c>
      <c r="G7">
        <f t="shared" si="1"/>
        <v>-23.71</v>
      </c>
      <c r="H7">
        <f t="shared" si="2"/>
        <v>-40.195750733137842</v>
      </c>
      <c r="I7">
        <f>(H7-H13)^2</f>
        <v>0.82220801577030511</v>
      </c>
      <c r="M7">
        <v>26.02</v>
      </c>
    </row>
    <row r="8" spans="1:16" x14ac:dyDescent="0.3">
      <c r="B8">
        <v>7</v>
      </c>
      <c r="C8">
        <v>10</v>
      </c>
      <c r="D8">
        <v>59.46</v>
      </c>
      <c r="E8">
        <v>31.45</v>
      </c>
      <c r="F8">
        <f t="shared" si="0"/>
        <v>49.46</v>
      </c>
      <c r="G8">
        <f t="shared" si="1"/>
        <v>-21.45</v>
      </c>
      <c r="H8">
        <f t="shared" si="2"/>
        <v>-37.876365583720094</v>
      </c>
      <c r="I8">
        <f>(H8-H13)^2</f>
        <v>1.9955186644132521</v>
      </c>
      <c r="M8">
        <v>25.83</v>
      </c>
    </row>
    <row r="9" spans="1:16" x14ac:dyDescent="0.3">
      <c r="B9">
        <v>8</v>
      </c>
      <c r="C9">
        <v>9.99</v>
      </c>
      <c r="D9">
        <v>51.2</v>
      </c>
      <c r="E9">
        <v>29.9</v>
      </c>
      <c r="F9">
        <f t="shared" si="0"/>
        <v>41.21</v>
      </c>
      <c r="G9">
        <f t="shared" si="1"/>
        <v>-19.909999999999997</v>
      </c>
      <c r="H9">
        <f t="shared" si="2"/>
        <v>-38.520708920187786</v>
      </c>
      <c r="I9">
        <f>(H9-H13)^2</f>
        <v>0.59026175824240779</v>
      </c>
      <c r="M9">
        <v>25.94</v>
      </c>
    </row>
    <row r="10" spans="1:16" x14ac:dyDescent="0.3">
      <c r="B10">
        <v>9</v>
      </c>
      <c r="C10">
        <v>10.01</v>
      </c>
      <c r="D10">
        <v>44.05</v>
      </c>
      <c r="E10">
        <v>28.1</v>
      </c>
      <c r="F10">
        <f t="shared" si="0"/>
        <v>34.04</v>
      </c>
      <c r="G10">
        <f t="shared" si="1"/>
        <v>-18.090000000000003</v>
      </c>
      <c r="H10">
        <f t="shared" si="2"/>
        <v>-38.607122257053305</v>
      </c>
      <c r="I10">
        <f>(H10-H13)^2</f>
        <v>0.46494889133671047</v>
      </c>
    </row>
    <row r="11" spans="1:16" x14ac:dyDescent="0.3">
      <c r="A11" t="s">
        <v>59</v>
      </c>
      <c r="B11">
        <v>10</v>
      </c>
      <c r="C11">
        <v>10</v>
      </c>
      <c r="D11">
        <v>37.01</v>
      </c>
      <c r="E11">
        <v>22.7</v>
      </c>
      <c r="F11">
        <f t="shared" si="0"/>
        <v>27.009999999999998</v>
      </c>
      <c r="G11">
        <f t="shared" si="1"/>
        <v>-12.7</v>
      </c>
      <c r="H11">
        <f t="shared" si="2"/>
        <v>-23.971139063591895</v>
      </c>
      <c r="I11">
        <f>(H11-H13)^2</f>
        <v>234.6366757532542</v>
      </c>
      <c r="L11" t="s">
        <v>60</v>
      </c>
      <c r="M11">
        <f>AVERAGE(M2:M9)</f>
        <v>25.918750000000003</v>
      </c>
    </row>
    <row r="12" spans="1:16" x14ac:dyDescent="0.3">
      <c r="O12" t="s">
        <v>61</v>
      </c>
    </row>
    <row r="13" spans="1:16" x14ac:dyDescent="0.3">
      <c r="H13">
        <f>AVERAGE(H2:H10)</f>
        <v>-39.2889938661827</v>
      </c>
      <c r="I13">
        <f>SQRT((1/8)*SUM(I2:I10))</f>
        <v>1.8174449283857708</v>
      </c>
      <c r="N13">
        <v>11.1</v>
      </c>
      <c r="O13">
        <f>5.01+11.1</f>
        <v>16.11</v>
      </c>
    </row>
    <row r="14" spans="1:16" x14ac:dyDescent="0.3">
      <c r="O14"/>
    </row>
    <row r="15" spans="1:16" x14ac:dyDescent="0.3">
      <c r="O15" t="s">
        <v>62</v>
      </c>
    </row>
    <row r="16" spans="1:16" x14ac:dyDescent="0.3">
      <c r="O16">
        <f>1/((1/5.01)+(1/(25.91-16.11)))</f>
        <v>3.3151924375422013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3C5-F2C7-4F7E-BBF4-ECF635425F00}">
  <dimension ref="B1:U39"/>
  <sheetViews>
    <sheetView topLeftCell="R19" workbookViewId="0">
      <selection activeCell="R19" sqref="R19"/>
    </sheetView>
  </sheetViews>
  <sheetFormatPr defaultRowHeight="14.4" x14ac:dyDescent="0.3"/>
  <cols>
    <col min="2" max="2" width="20" bestFit="1" customWidth="1"/>
    <col min="3" max="3" width="20.6640625" bestFit="1" customWidth="1"/>
    <col min="4" max="4" width="13.33203125" customWidth="1"/>
    <col min="7" max="7" width="10.6640625" bestFit="1" customWidth="1"/>
    <col min="9" max="9" width="16.44140625" bestFit="1" customWidth="1"/>
    <col min="10" max="10" width="10.5546875" bestFit="1" customWidth="1"/>
    <col min="11" max="11" width="12" customWidth="1"/>
    <col min="12" max="12" width="24.33203125" bestFit="1" customWidth="1"/>
    <col min="13" max="13" width="15.44140625" bestFit="1" customWidth="1"/>
    <col min="14" max="14" width="11" bestFit="1" customWidth="1"/>
    <col min="15" max="15" width="20.6640625" customWidth="1"/>
    <col min="17" max="17" width="30.6640625" bestFit="1" customWidth="1"/>
    <col min="18" max="18" width="19.109375" customWidth="1"/>
    <col min="19" max="21" width="10.44140625" bestFit="1" customWidth="1"/>
  </cols>
  <sheetData>
    <row r="1" spans="2:21" x14ac:dyDescent="0.3">
      <c r="B1" t="s">
        <v>63</v>
      </c>
      <c r="C1" t="s">
        <v>64</v>
      </c>
      <c r="D1" t="s">
        <v>65</v>
      </c>
      <c r="J1" t="s">
        <v>48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2:21" x14ac:dyDescent="0.3">
      <c r="B2">
        <v>27</v>
      </c>
      <c r="C2">
        <v>27.66</v>
      </c>
      <c r="D2">
        <v>27.52</v>
      </c>
      <c r="J2">
        <v>1</v>
      </c>
      <c r="K2">
        <v>0.66</v>
      </c>
      <c r="L2">
        <v>0.52</v>
      </c>
      <c r="M2">
        <f t="shared" ref="M2:M3" si="0">(K2-0.66)^2</f>
        <v>0</v>
      </c>
      <c r="N2">
        <f>(L2-0.52)^2</f>
        <v>0</v>
      </c>
      <c r="O2">
        <v>2.5920000000000001</v>
      </c>
      <c r="P2">
        <v>2.46</v>
      </c>
      <c r="Q2">
        <v>2.512</v>
      </c>
      <c r="R2">
        <f>(O2-2.593)^2</f>
        <v>9.9999999999977973E-7</v>
      </c>
      <c r="S2">
        <f>(P2-2.461)^2</f>
        <v>9.9999999999977973E-7</v>
      </c>
      <c r="T2">
        <f>(Q2-2.512)^2</f>
        <v>0</v>
      </c>
    </row>
    <row r="3" spans="2:21" x14ac:dyDescent="0.3">
      <c r="B3" t="s">
        <v>76</v>
      </c>
      <c r="C3">
        <v>0.66</v>
      </c>
      <c r="D3">
        <v>0.52</v>
      </c>
      <c r="J3">
        <v>2</v>
      </c>
      <c r="K3">
        <v>0.65</v>
      </c>
      <c r="L3">
        <v>0.51</v>
      </c>
      <c r="M3">
        <f t="shared" si="0"/>
        <v>1.0000000000000018E-4</v>
      </c>
      <c r="N3">
        <f t="shared" ref="N3:N11" si="1">(L3-0.52)^2</f>
        <v>1.0000000000000018E-4</v>
      </c>
      <c r="O3">
        <v>2.5939999999999999</v>
      </c>
      <c r="P3">
        <v>2.4649999999999999</v>
      </c>
      <c r="Q3">
        <v>2.5110000000000001</v>
      </c>
      <c r="R3">
        <f t="shared" ref="R3:R11" si="2">(O3-2.593)^2</f>
        <v>9.9999999999977973E-7</v>
      </c>
      <c r="S3">
        <f t="shared" ref="S3:S11" si="3">(P3-2.461)^2</f>
        <v>1.600000000000003E-5</v>
      </c>
      <c r="T3">
        <f t="shared" ref="T3:T11" si="4">(Q3-2.512)^2</f>
        <v>9.9999999999977973E-7</v>
      </c>
    </row>
    <row r="4" spans="2:21" x14ac:dyDescent="0.3">
      <c r="C4" t="s">
        <v>77</v>
      </c>
      <c r="D4" t="s">
        <v>78</v>
      </c>
      <c r="E4" t="s">
        <v>70</v>
      </c>
      <c r="F4" t="s">
        <v>71</v>
      </c>
      <c r="G4" t="s">
        <v>72</v>
      </c>
      <c r="H4" t="s">
        <v>79</v>
      </c>
      <c r="J4">
        <v>3</v>
      </c>
      <c r="K4">
        <v>0.66</v>
      </c>
      <c r="L4">
        <v>0.52</v>
      </c>
      <c r="M4">
        <f>(K4-0.66)^2</f>
        <v>0</v>
      </c>
      <c r="N4">
        <f t="shared" si="1"/>
        <v>0</v>
      </c>
      <c r="O4">
        <v>2.5920000000000001</v>
      </c>
      <c r="P4">
        <v>2.4630000000000001</v>
      </c>
      <c r="Q4">
        <v>2.5070000000000001</v>
      </c>
      <c r="R4">
        <f t="shared" si="2"/>
        <v>9.9999999999977973E-7</v>
      </c>
      <c r="S4">
        <f t="shared" si="3"/>
        <v>4.0000000000008951E-6</v>
      </c>
      <c r="T4">
        <f t="shared" si="4"/>
        <v>2.4999999999998934E-5</v>
      </c>
    </row>
    <row r="5" spans="2:21" x14ac:dyDescent="0.3">
      <c r="B5" t="s">
        <v>80</v>
      </c>
      <c r="C5">
        <v>1.9359999999999999</v>
      </c>
      <c r="D5">
        <v>2.2989999999999999</v>
      </c>
      <c r="E5">
        <v>2.593</v>
      </c>
      <c r="F5">
        <v>2.4609999999999999</v>
      </c>
      <c r="G5">
        <v>2.512</v>
      </c>
      <c r="H5">
        <v>2.5219999999999998</v>
      </c>
      <c r="J5">
        <v>4</v>
      </c>
      <c r="K5">
        <v>0.66</v>
      </c>
      <c r="L5">
        <v>0.51</v>
      </c>
      <c r="M5">
        <f t="shared" ref="M5:M11" si="5">(K5-0.66)^2</f>
        <v>0</v>
      </c>
      <c r="N5">
        <f t="shared" si="1"/>
        <v>1.0000000000000018E-4</v>
      </c>
      <c r="O5">
        <v>2.5979999999999999</v>
      </c>
      <c r="P5">
        <v>2.4649999999999999</v>
      </c>
      <c r="Q5">
        <v>2.5139999999999998</v>
      </c>
      <c r="R5">
        <f t="shared" si="2"/>
        <v>2.4999999999998934E-5</v>
      </c>
      <c r="S5">
        <f t="shared" si="3"/>
        <v>1.600000000000003E-5</v>
      </c>
      <c r="T5">
        <f t="shared" si="4"/>
        <v>3.9999999999991189E-6</v>
      </c>
    </row>
    <row r="6" spans="2:21" x14ac:dyDescent="0.3">
      <c r="J6">
        <v>5</v>
      </c>
      <c r="K6">
        <v>0.66</v>
      </c>
      <c r="L6">
        <v>0.53</v>
      </c>
      <c r="M6">
        <f t="shared" si="5"/>
        <v>0</v>
      </c>
      <c r="N6">
        <f t="shared" si="1"/>
        <v>1.0000000000000018E-4</v>
      </c>
      <c r="O6">
        <v>2.589</v>
      </c>
      <c r="P6">
        <v>2.4569999999999999</v>
      </c>
      <c r="Q6">
        <v>2.512</v>
      </c>
      <c r="R6">
        <f t="shared" si="2"/>
        <v>1.600000000000003E-5</v>
      </c>
      <c r="S6">
        <f t="shared" si="3"/>
        <v>1.600000000000003E-5</v>
      </c>
      <c r="T6">
        <f t="shared" si="4"/>
        <v>0</v>
      </c>
    </row>
    <row r="7" spans="2:21" x14ac:dyDescent="0.3">
      <c r="B7" t="s">
        <v>81</v>
      </c>
      <c r="C7" t="s">
        <v>82</v>
      </c>
      <c r="D7" t="s">
        <v>83</v>
      </c>
      <c r="J7">
        <v>6</v>
      </c>
      <c r="K7">
        <v>0.67</v>
      </c>
      <c r="L7">
        <v>0.52</v>
      </c>
      <c r="M7">
        <f t="shared" si="5"/>
        <v>1.0000000000000018E-4</v>
      </c>
      <c r="N7">
        <f t="shared" si="1"/>
        <v>0</v>
      </c>
      <c r="O7">
        <v>2.597</v>
      </c>
      <c r="P7">
        <v>2.4590000000000001</v>
      </c>
      <c r="Q7">
        <v>2.5129999999999999</v>
      </c>
      <c r="R7">
        <f t="shared" si="2"/>
        <v>1.600000000000003E-5</v>
      </c>
      <c r="S7">
        <f t="shared" si="3"/>
        <v>3.9999999999991189E-6</v>
      </c>
      <c r="T7">
        <f t="shared" si="4"/>
        <v>9.9999999999977973E-7</v>
      </c>
    </row>
    <row r="8" spans="2:21" x14ac:dyDescent="0.3">
      <c r="D8">
        <f>(1/21.72)*((C9*B9)/(C9-B9))+1</f>
        <v>1.5653590597454325</v>
      </c>
      <c r="J8">
        <v>7</v>
      </c>
      <c r="K8">
        <v>0.66</v>
      </c>
      <c r="L8">
        <v>0.52</v>
      </c>
      <c r="M8">
        <f t="shared" si="5"/>
        <v>0</v>
      </c>
      <c r="N8">
        <f t="shared" si="1"/>
        <v>0</v>
      </c>
      <c r="O8">
        <v>2.5880000000000001</v>
      </c>
      <c r="P8">
        <v>2.4620000000000002</v>
      </c>
      <c r="Q8">
        <v>2.5139999999999998</v>
      </c>
      <c r="R8">
        <f t="shared" si="2"/>
        <v>2.4999999999998934E-5</v>
      </c>
      <c r="S8">
        <f t="shared" si="3"/>
        <v>1.0000000000006678E-6</v>
      </c>
      <c r="T8">
        <f t="shared" si="4"/>
        <v>3.9999999999991189E-6</v>
      </c>
    </row>
    <row r="9" spans="2:21" x14ac:dyDescent="0.3">
      <c r="B9">
        <f>((2.522^2)/(6*0.66))+C3/2</f>
        <v>1.936182828282828</v>
      </c>
      <c r="C9">
        <f>((2.522^2)/(6*0.52))+D3/2</f>
        <v>2.2986166666666659</v>
      </c>
      <c r="J9">
        <v>8</v>
      </c>
      <c r="K9">
        <v>0.67</v>
      </c>
      <c r="L9">
        <v>0.52</v>
      </c>
      <c r="M9">
        <f t="shared" si="5"/>
        <v>1.0000000000000018E-4</v>
      </c>
      <c r="N9">
        <f t="shared" si="1"/>
        <v>0</v>
      </c>
      <c r="O9">
        <v>2.5950000000000002</v>
      </c>
      <c r="P9">
        <v>2.4609999999999999</v>
      </c>
      <c r="Q9">
        <v>2.5099999999999998</v>
      </c>
      <c r="R9">
        <f t="shared" si="2"/>
        <v>4.0000000000008951E-6</v>
      </c>
      <c r="S9">
        <f t="shared" si="3"/>
        <v>0</v>
      </c>
      <c r="T9">
        <f t="shared" si="4"/>
        <v>4.0000000000008951E-6</v>
      </c>
    </row>
    <row r="10" spans="2:21" x14ac:dyDescent="0.3">
      <c r="J10">
        <v>9</v>
      </c>
      <c r="K10">
        <v>0.66</v>
      </c>
      <c r="L10">
        <v>0.53</v>
      </c>
      <c r="M10">
        <f t="shared" si="5"/>
        <v>0</v>
      </c>
      <c r="N10">
        <f t="shared" si="1"/>
        <v>1.0000000000000018E-4</v>
      </c>
      <c r="O10">
        <v>2.5920000000000001</v>
      </c>
      <c r="P10">
        <v>2.4590000000000001</v>
      </c>
      <c r="Q10">
        <v>2.512</v>
      </c>
      <c r="R10">
        <f t="shared" si="2"/>
        <v>9.9999999999977973E-7</v>
      </c>
      <c r="S10">
        <f t="shared" si="3"/>
        <v>3.9999999999991189E-6</v>
      </c>
      <c r="T10">
        <f t="shared" si="4"/>
        <v>0</v>
      </c>
    </row>
    <row r="11" spans="2:21" x14ac:dyDescent="0.3">
      <c r="J11">
        <v>10</v>
      </c>
      <c r="K11">
        <v>0.65</v>
      </c>
      <c r="L11">
        <v>0.52</v>
      </c>
      <c r="M11">
        <f t="shared" si="5"/>
        <v>1.0000000000000018E-4</v>
      </c>
      <c r="N11">
        <f t="shared" si="1"/>
        <v>0</v>
      </c>
      <c r="O11">
        <v>2.593</v>
      </c>
      <c r="P11">
        <v>2.4590000000000001</v>
      </c>
      <c r="Q11">
        <v>2.512</v>
      </c>
      <c r="R11">
        <f t="shared" si="2"/>
        <v>0</v>
      </c>
      <c r="S11">
        <f t="shared" si="3"/>
        <v>3.9999999999991189E-6</v>
      </c>
      <c r="T11">
        <f t="shared" si="4"/>
        <v>0</v>
      </c>
    </row>
    <row r="12" spans="2:21" x14ac:dyDescent="0.3">
      <c r="J12" t="s">
        <v>84</v>
      </c>
      <c r="K12">
        <f>AVERAGE(K2:K11)</f>
        <v>0.66</v>
      </c>
      <c r="L12">
        <f>AVERAGE(L2:L11)</f>
        <v>0.52000000000000013</v>
      </c>
      <c r="O12">
        <f>AVERAGE(O2:O11)</f>
        <v>2.593</v>
      </c>
      <c r="P12">
        <f>AVERAGE(P2:P11)</f>
        <v>2.4609999999999994</v>
      </c>
      <c r="Q12">
        <v>2.512</v>
      </c>
      <c r="R12">
        <f>SQRT((1/9)*SUM(R2:R11))</f>
        <v>3.162277660168343E-3</v>
      </c>
      <c r="S12">
        <f t="shared" ref="S12:T12" si="6">SQRT((1/9)*SUM(S2:S11))</f>
        <v>2.7080128015452955E-3</v>
      </c>
      <c r="T12">
        <f t="shared" si="6"/>
        <v>2.0816659994660693E-3</v>
      </c>
    </row>
    <row r="13" spans="2:21" ht="22.5" customHeight="1" x14ac:dyDescent="0.3">
      <c r="J13" t="s">
        <v>85</v>
      </c>
      <c r="K13" s="5">
        <f>(1/3)*SQRT(SUM(M2:M11))</f>
        <v>6.6666666666666723E-3</v>
      </c>
      <c r="L13">
        <f>(1/3)*SQRT(SUM(N2:N11))</f>
        <v>6.6666666666666723E-3</v>
      </c>
      <c r="R13">
        <f>R12/(SQRT(10))</f>
        <v>9.9999999999998853E-4</v>
      </c>
      <c r="S13">
        <f>S12/(SQRT(10))</f>
        <v>8.5634883857766742E-4</v>
      </c>
      <c r="T13">
        <f>T12/(SQRT(10))</f>
        <v>6.5828058860436319E-4</v>
      </c>
      <c r="U13">
        <f>SQRT((R13)^2+(S13)^2+(T13)^2)</f>
        <v>1.4719601443879532E-3</v>
      </c>
    </row>
    <row r="14" spans="2:21" x14ac:dyDescent="0.3">
      <c r="R14">
        <f>STDEV(O2:O11)</f>
        <v>3.1622776601683434E-3</v>
      </c>
    </row>
    <row r="16" spans="2:21" x14ac:dyDescent="0.3">
      <c r="G16" t="s">
        <v>86</v>
      </c>
      <c r="H16" t="s">
        <v>87</v>
      </c>
      <c r="I16" t="s">
        <v>88</v>
      </c>
      <c r="J16" t="s">
        <v>89</v>
      </c>
      <c r="L16" t="s">
        <v>90</v>
      </c>
      <c r="O16" t="s">
        <v>79</v>
      </c>
      <c r="P16" t="s">
        <v>91</v>
      </c>
      <c r="R16" t="s">
        <v>79</v>
      </c>
    </row>
    <row r="17" spans="5:20" x14ac:dyDescent="0.3">
      <c r="G17">
        <f>O17^2/(6*K12)</f>
        <v>1.6061828282828279</v>
      </c>
      <c r="H17">
        <f>0.5*K12</f>
        <v>0.33</v>
      </c>
      <c r="I17">
        <f>O17^2/(6*L12)</f>
        <v>2.0386166666666656</v>
      </c>
      <c r="J17">
        <f>0.5*L12</f>
        <v>0.26000000000000006</v>
      </c>
      <c r="L17">
        <f>ABS((2.522)^2*2*U13/O17)</f>
        <v>7.4245669682928353E-3</v>
      </c>
      <c r="O17">
        <f>AVERAGE(O12:Q12)</f>
        <v>2.5219999999999998</v>
      </c>
      <c r="P17">
        <v>1.472E-3</v>
      </c>
      <c r="Q17" t="s">
        <v>92</v>
      </c>
      <c r="R17" t="s">
        <v>93</v>
      </c>
    </row>
    <row r="19" spans="5:20" x14ac:dyDescent="0.3">
      <c r="G19" t="s">
        <v>94</v>
      </c>
      <c r="H19" t="s">
        <v>95</v>
      </c>
      <c r="I19" t="s">
        <v>96</v>
      </c>
      <c r="J19" t="s">
        <v>97</v>
      </c>
      <c r="L19" t="s">
        <v>77</v>
      </c>
      <c r="M19" t="s">
        <v>98</v>
      </c>
      <c r="N19" t="s">
        <v>78</v>
      </c>
      <c r="O19" t="s">
        <v>99</v>
      </c>
    </row>
    <row r="20" spans="5:20" x14ac:dyDescent="0.3">
      <c r="G20">
        <f>G17*SQRT((L17/(O17)^2)^2+(K13/K12)^2)</f>
        <v>1.6332043012747582E-2</v>
      </c>
      <c r="H20">
        <f>0.5*K13</f>
        <v>3.3333333333333361E-3</v>
      </c>
      <c r="I20">
        <f>I17*SQRT((L17/(O17^2))^2+(L13/L12)^2)</f>
        <v>2.6244220851197309E-2</v>
      </c>
      <c r="J20">
        <f>0.5*L13</f>
        <v>3.3333333333333361E-3</v>
      </c>
      <c r="L20">
        <f>G17+H17</f>
        <v>1.936182828282828</v>
      </c>
      <c r="M20">
        <f>L20*SQRT((G20/G17)^2+(H20/H17)^2)</f>
        <v>2.7750531782857194E-2</v>
      </c>
      <c r="N20">
        <f>I17+J17</f>
        <v>2.2986166666666659</v>
      </c>
      <c r="O20">
        <f>N20*SQRT((I20/I17)^2+(J20/J17)^2)</f>
        <v>4.1762371707527279E-2</v>
      </c>
    </row>
    <row r="22" spans="5:20" x14ac:dyDescent="0.3">
      <c r="G22" t="s">
        <v>53</v>
      </c>
      <c r="L22" t="s">
        <v>100</v>
      </c>
      <c r="N22" t="s">
        <v>101</v>
      </c>
    </row>
    <row r="23" spans="5:20" x14ac:dyDescent="0.3">
      <c r="E23" s="2">
        <v>43.05</v>
      </c>
      <c r="F23" s="2">
        <v>21.26</v>
      </c>
      <c r="G23" s="2">
        <f t="shared" ref="G23:G32" si="7">E23-F23</f>
        <v>21.789999999999996</v>
      </c>
      <c r="H23" s="2">
        <f t="shared" ref="H23:H32" si="8">(G23-21.76)</f>
        <v>2.9999999999994031E-2</v>
      </c>
      <c r="I23">
        <f>0.03^2</f>
        <v>8.9999999999999998E-4</v>
      </c>
      <c r="L23" t="s">
        <v>102</v>
      </c>
      <c r="N23" t="s">
        <v>103</v>
      </c>
    </row>
    <row r="24" spans="5:20" x14ac:dyDescent="0.3">
      <c r="E24" s="2">
        <v>43</v>
      </c>
      <c r="F24" s="2">
        <v>21.3</v>
      </c>
      <c r="G24" s="2">
        <f t="shared" si="7"/>
        <v>21.7</v>
      </c>
      <c r="H24" s="2">
        <f t="shared" si="8"/>
        <v>-6.0000000000002274E-2</v>
      </c>
      <c r="I24">
        <f>0.06^2</f>
        <v>3.5999999999999999E-3</v>
      </c>
    </row>
    <row r="25" spans="5:20" x14ac:dyDescent="0.3">
      <c r="E25">
        <v>43.16</v>
      </c>
      <c r="F25" s="2">
        <v>21.21</v>
      </c>
      <c r="G25" s="2">
        <f t="shared" si="7"/>
        <v>21.949999999999996</v>
      </c>
      <c r="H25" s="2">
        <f t="shared" si="8"/>
        <v>0.18999999999999417</v>
      </c>
      <c r="I25">
        <f>0.19^2</f>
        <v>3.61E-2</v>
      </c>
      <c r="L25" t="s">
        <v>104</v>
      </c>
      <c r="M25" t="s">
        <v>105</v>
      </c>
      <c r="N25" t="s">
        <v>106</v>
      </c>
      <c r="O25" t="s">
        <v>107</v>
      </c>
      <c r="Q25" t="s">
        <v>108</v>
      </c>
      <c r="R25" t="s">
        <v>109</v>
      </c>
    </row>
    <row r="26" spans="5:20" x14ac:dyDescent="0.3">
      <c r="E26">
        <v>43.01</v>
      </c>
      <c r="F26" s="2">
        <v>21.22</v>
      </c>
      <c r="G26" s="2">
        <f t="shared" si="7"/>
        <v>21.79</v>
      </c>
      <c r="H26" s="2">
        <f t="shared" si="8"/>
        <v>2.9999999999997584E-2</v>
      </c>
      <c r="I26">
        <f>0.03^2</f>
        <v>8.9999999999999998E-4</v>
      </c>
      <c r="L26">
        <f>L20*N20</f>
        <v>4.4505421188047114</v>
      </c>
      <c r="M26">
        <f>L26*SQRT((M20/L20)^2+(O20/N20)^2)</f>
        <v>0.10299107088223561</v>
      </c>
      <c r="N26">
        <f>N20-L20</f>
        <v>0.36243383838383791</v>
      </c>
      <c r="O26">
        <f>SQRT(((M20)^2)+((O20)^2))</f>
        <v>5.0141676326874454E-2</v>
      </c>
      <c r="Q26">
        <f>L26/N26</f>
        <v>12.279598777670797</v>
      </c>
      <c r="R26">
        <f>Q26*(1/3)*SQRT(((M26/L26)^2+(O26/N26)^2))</f>
        <v>0.57414973218727205</v>
      </c>
      <c r="T26">
        <f>R26/Q26</f>
        <v>4.6756391848185218E-2</v>
      </c>
    </row>
    <row r="27" spans="5:20" x14ac:dyDescent="0.3">
      <c r="E27">
        <v>43.05</v>
      </c>
      <c r="F27" s="2">
        <v>21.29</v>
      </c>
      <c r="G27" s="2">
        <f t="shared" si="7"/>
        <v>21.759999999999998</v>
      </c>
      <c r="H27" s="2">
        <f t="shared" si="8"/>
        <v>-3.5527136788005009E-15</v>
      </c>
      <c r="I27">
        <v>0</v>
      </c>
      <c r="O27">
        <f>O26/N26</f>
        <v>0.13834711612598266</v>
      </c>
    </row>
    <row r="28" spans="5:20" x14ac:dyDescent="0.3">
      <c r="E28">
        <v>43.04</v>
      </c>
      <c r="F28" s="2">
        <v>21.26</v>
      </c>
      <c r="G28" s="2">
        <f t="shared" si="7"/>
        <v>21.779999999999998</v>
      </c>
      <c r="H28" s="2">
        <f t="shared" si="8"/>
        <v>1.9999999999996021E-2</v>
      </c>
      <c r="I28">
        <f>0.02^2</f>
        <v>4.0000000000000002E-4</v>
      </c>
    </row>
    <row r="29" spans="5:20" x14ac:dyDescent="0.3">
      <c r="E29">
        <v>42.99</v>
      </c>
      <c r="F29" s="2">
        <v>21.29</v>
      </c>
      <c r="G29" s="2">
        <f t="shared" si="7"/>
        <v>21.700000000000003</v>
      </c>
      <c r="H29" s="2">
        <f t="shared" si="8"/>
        <v>-5.9999999999998721E-2</v>
      </c>
      <c r="I29">
        <f>0.06^2</f>
        <v>3.5999999999999999E-3</v>
      </c>
      <c r="N29" t="s">
        <v>110</v>
      </c>
      <c r="O29" t="s">
        <v>111</v>
      </c>
      <c r="Q29" t="s">
        <v>83</v>
      </c>
      <c r="R29" t="s">
        <v>112</v>
      </c>
    </row>
    <row r="30" spans="5:20" ht="15" customHeight="1" x14ac:dyDescent="0.3">
      <c r="E30">
        <v>43.01</v>
      </c>
      <c r="F30" s="2">
        <v>21.29</v>
      </c>
      <c r="G30" s="2">
        <f t="shared" si="7"/>
        <v>21.72</v>
      </c>
      <c r="H30" s="2">
        <f t="shared" si="8"/>
        <v>-4.00000000000027E-2</v>
      </c>
      <c r="I30">
        <f>0.04^2</f>
        <v>1.6000000000000001E-3</v>
      </c>
      <c r="N30">
        <f>1/21.76</f>
        <v>4.5955882352941173E-2</v>
      </c>
      <c r="O30">
        <f>ABS(N30*-1*(I34/G34))</f>
        <v>1.5650217157591338E-4</v>
      </c>
      <c r="Q30">
        <f>N30*Q26+1</f>
        <v>1.5643197967679594</v>
      </c>
      <c r="R30" s="5">
        <f>Q30*SQRT((O30/N30)^2+(R26/Q26)^2)</f>
        <v>7.333569784739026E-2</v>
      </c>
    </row>
    <row r="31" spans="5:20" x14ac:dyDescent="0.3">
      <c r="E31">
        <v>43.04</v>
      </c>
      <c r="F31" s="2">
        <v>21.31</v>
      </c>
      <c r="G31" s="2">
        <f t="shared" si="7"/>
        <v>21.73</v>
      </c>
      <c r="H31" s="2">
        <f t="shared" si="8"/>
        <v>-3.0000000000001137E-2</v>
      </c>
      <c r="I31">
        <f>0.03^2</f>
        <v>8.9999999999999998E-4</v>
      </c>
    </row>
    <row r="32" spans="5:20" x14ac:dyDescent="0.3">
      <c r="E32">
        <v>43.02</v>
      </c>
      <c r="F32" s="2">
        <v>21.3</v>
      </c>
      <c r="G32" s="2">
        <f t="shared" si="7"/>
        <v>21.720000000000002</v>
      </c>
      <c r="H32" s="2">
        <f t="shared" si="8"/>
        <v>-3.9999999999999147E-2</v>
      </c>
      <c r="I32">
        <f>0.04^2</f>
        <v>1.6000000000000001E-3</v>
      </c>
      <c r="Q32" t="s">
        <v>113</v>
      </c>
      <c r="R32" t="s">
        <v>114</v>
      </c>
    </row>
    <row r="33" spans="7:18" x14ac:dyDescent="0.3">
      <c r="G33" t="s">
        <v>53</v>
      </c>
      <c r="H33" t="s">
        <v>115</v>
      </c>
      <c r="Q33" t="s">
        <v>116</v>
      </c>
      <c r="R33">
        <f>ABS((Q30-1.52)/R30)</f>
        <v>0.60434137901282081</v>
      </c>
    </row>
    <row r="34" spans="7:18" x14ac:dyDescent="0.3">
      <c r="G34" s="2">
        <f>AVERAGE(G23:G32)</f>
        <v>21.763999999999996</v>
      </c>
      <c r="H34">
        <f>SQRT((1/9)*SUM(I23:I32))</f>
        <v>7.4236858171066941E-2</v>
      </c>
      <c r="I34">
        <f>STDEV(G23:G32)</f>
        <v>7.4117024584997165E-2</v>
      </c>
    </row>
    <row r="35" spans="7:18" x14ac:dyDescent="0.3">
      <c r="Q35" t="s">
        <v>117</v>
      </c>
    </row>
    <row r="37" spans="7:18" x14ac:dyDescent="0.3">
      <c r="Q37" t="s">
        <v>118</v>
      </c>
    </row>
    <row r="38" spans="7:18" x14ac:dyDescent="0.3">
      <c r="Q38">
        <f>1-0.44481</f>
        <v>0.55519000000000007</v>
      </c>
    </row>
    <row r="39" spans="7:18" x14ac:dyDescent="0.3">
      <c r="Q39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9D4A-4A4A-43C3-975C-6A60F998295B}">
  <dimension ref="A1:J23"/>
  <sheetViews>
    <sheetView workbookViewId="0">
      <selection activeCell="G21" sqref="G21"/>
    </sheetView>
  </sheetViews>
  <sheetFormatPr defaultRowHeight="14.4" x14ac:dyDescent="0.3"/>
  <cols>
    <col min="1" max="1" width="13.5546875" bestFit="1" customWidth="1"/>
    <col min="4" max="4" width="9.109375" style="4"/>
    <col min="5" max="5" width="17.5546875" bestFit="1" customWidth="1"/>
  </cols>
  <sheetData>
    <row r="1" spans="1:10" x14ac:dyDescent="0.3">
      <c r="A1" t="s">
        <v>120</v>
      </c>
      <c r="B1" t="s">
        <v>121</v>
      </c>
      <c r="C1" s="4" t="s">
        <v>122</v>
      </c>
      <c r="D1" t="s">
        <v>123</v>
      </c>
      <c r="E1" t="s">
        <v>124</v>
      </c>
    </row>
    <row r="2" spans="1:10" x14ac:dyDescent="0.3">
      <c r="A2">
        <v>7.2987000000000002</v>
      </c>
      <c r="B2">
        <v>32.914999999999999</v>
      </c>
      <c r="C2" s="4">
        <v>8.9999999999999998E-4</v>
      </c>
      <c r="D2">
        <v>4.0000000000000001E-3</v>
      </c>
    </row>
    <row r="3" spans="1:10" x14ac:dyDescent="0.3">
      <c r="A3">
        <v>3.2774000000000001</v>
      </c>
      <c r="B3">
        <v>14.762</v>
      </c>
      <c r="C3" s="4">
        <v>1E-4</v>
      </c>
      <c r="D3">
        <v>4.0000000000000001E-3</v>
      </c>
    </row>
    <row r="4" spans="1:10" x14ac:dyDescent="0.3">
      <c r="A4">
        <v>4.4417999999999997</v>
      </c>
      <c r="B4">
        <v>20.001999999999999</v>
      </c>
      <c r="C4" s="4">
        <v>5.0000000000000001E-4</v>
      </c>
      <c r="D4">
        <v>4.0000000000000001E-3</v>
      </c>
    </row>
    <row r="5" spans="1:10" x14ac:dyDescent="0.3">
      <c r="A5">
        <v>3.3033999999999999</v>
      </c>
      <c r="B5">
        <v>14.907999999999999</v>
      </c>
      <c r="C5" s="4">
        <v>2.0999999999999999E-3</v>
      </c>
      <c r="D5">
        <v>8.9999999999999993E-3</v>
      </c>
    </row>
    <row r="6" spans="1:10" x14ac:dyDescent="0.3">
      <c r="A6">
        <v>8.2693999999999992</v>
      </c>
      <c r="B6">
        <v>37.232999999999997</v>
      </c>
      <c r="C6" s="4">
        <v>8.9999999999999998E-4</v>
      </c>
      <c r="D6">
        <v>5.0000000000000001E-3</v>
      </c>
    </row>
    <row r="7" spans="1:10" x14ac:dyDescent="0.3">
      <c r="A7">
        <v>2.6412</v>
      </c>
      <c r="B7">
        <v>11.891</v>
      </c>
      <c r="C7" s="4">
        <v>1E-3</v>
      </c>
      <c r="D7">
        <v>3.0000000000000001E-3</v>
      </c>
    </row>
    <row r="8" spans="1:10" x14ac:dyDescent="0.3">
      <c r="A8">
        <v>4.2175000000000002</v>
      </c>
      <c r="B8">
        <v>18.998999999999999</v>
      </c>
      <c r="C8" s="4">
        <v>6.9999999999999999E-4</v>
      </c>
      <c r="D8">
        <v>3.0000000000000001E-3</v>
      </c>
    </row>
    <row r="9" spans="1:10" x14ac:dyDescent="0.3">
      <c r="A9">
        <v>6.0385</v>
      </c>
      <c r="B9">
        <v>27.202000000000002</v>
      </c>
      <c r="C9" s="4">
        <v>2.9999999999999997E-4</v>
      </c>
      <c r="D9">
        <v>2E-3</v>
      </c>
    </row>
    <row r="10" spans="1:10" x14ac:dyDescent="0.3">
      <c r="A10">
        <v>6.4673999999999996</v>
      </c>
      <c r="B10">
        <v>29.088000000000001</v>
      </c>
      <c r="C10" s="4">
        <v>2.2000000000000001E-3</v>
      </c>
      <c r="D10">
        <v>3.0000000000000001E-3</v>
      </c>
    </row>
    <row r="11" spans="1:10" x14ac:dyDescent="0.3">
      <c r="A11">
        <v>6.9017999999999997</v>
      </c>
      <c r="B11">
        <v>31.100999999999999</v>
      </c>
      <c r="C11" s="4">
        <v>2.3999999999999998E-3</v>
      </c>
      <c r="D11">
        <v>8.9999999999999993E-3</v>
      </c>
    </row>
    <row r="12" spans="1:10" x14ac:dyDescent="0.3">
      <c r="J12" s="4"/>
    </row>
    <row r="13" spans="1:10" x14ac:dyDescent="0.3">
      <c r="C13" s="4"/>
      <c r="D13"/>
      <c r="J13" s="4"/>
    </row>
    <row r="14" spans="1:10" x14ac:dyDescent="0.3">
      <c r="C14" s="4"/>
      <c r="D14"/>
      <c r="J14" s="4"/>
    </row>
    <row r="15" spans="1:10" x14ac:dyDescent="0.3">
      <c r="C15" s="4"/>
      <c r="D15"/>
      <c r="J15" s="4"/>
    </row>
    <row r="16" spans="1:10" x14ac:dyDescent="0.3">
      <c r="C16" s="4"/>
      <c r="D16"/>
      <c r="J16" s="4"/>
    </row>
    <row r="17" spans="3:10" x14ac:dyDescent="0.3">
      <c r="C17" s="4"/>
      <c r="D17"/>
      <c r="J17" s="4"/>
    </row>
    <row r="18" spans="3:10" x14ac:dyDescent="0.3">
      <c r="C18" s="4"/>
      <c r="D18"/>
      <c r="J18" s="4"/>
    </row>
    <row r="19" spans="3:10" x14ac:dyDescent="0.3">
      <c r="C19" s="4"/>
      <c r="D19"/>
      <c r="J19" s="4"/>
    </row>
    <row r="20" spans="3:10" x14ac:dyDescent="0.3">
      <c r="C20" s="4"/>
      <c r="D20"/>
      <c r="J20" s="4"/>
    </row>
    <row r="21" spans="3:10" x14ac:dyDescent="0.3">
      <c r="C21" s="4"/>
      <c r="D21"/>
      <c r="J21" s="4"/>
    </row>
    <row r="22" spans="3:10" x14ac:dyDescent="0.3">
      <c r="C22" s="4"/>
      <c r="D22"/>
      <c r="J22" s="4"/>
    </row>
    <row r="23" spans="3:10" x14ac:dyDescent="0.3">
      <c r="C23" s="4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section 3</vt:lpstr>
      <vt:lpstr>section 4</vt:lpstr>
      <vt:lpstr>spherometer</vt:lpstr>
      <vt:lpstr>take home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Naumann</cp:lastModifiedBy>
  <cp:revision/>
  <dcterms:created xsi:type="dcterms:W3CDTF">2025-09-16T16:28:45Z</dcterms:created>
  <dcterms:modified xsi:type="dcterms:W3CDTF">2025-10-30T01:46:19Z</dcterms:modified>
  <cp:category/>
  <cp:contentStatus/>
</cp:coreProperties>
</file>