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ЭтаКнига"/>
  <mc:AlternateContent xmlns:mc="http://schemas.openxmlformats.org/markup-compatibility/2006">
    <mc:Choice Requires="x15">
      <x15ac:absPath xmlns:x15ac="http://schemas.microsoft.com/office/spreadsheetml/2010/11/ac" url="D:\Repositories\ITMO\Physics\"/>
    </mc:Choice>
  </mc:AlternateContent>
  <xr:revisionPtr revIDLastSave="0" documentId="13_ncr:1_{C83DD076-A9E2-478C-903A-964DE90FE204}" xr6:coauthVersionLast="45" xr6:coauthVersionMax="45" xr10:uidLastSave="{00000000-0000-0000-0000-000000000000}"/>
  <bookViews>
    <workbookView xWindow="20370" yWindow="-120" windowWidth="11040" windowHeight="69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5" i="1" l="1"/>
  <c r="Y25" i="1"/>
  <c r="X27" i="1"/>
  <c r="R29" i="1" s="1"/>
  <c r="X26" i="1"/>
  <c r="T28" i="1" s="1"/>
  <c r="V29" i="1"/>
  <c r="W29" i="1"/>
  <c r="U28" i="1"/>
  <c r="U30" i="1" s="1"/>
  <c r="V28" i="1"/>
  <c r="V30" i="1" s="1"/>
  <c r="W28" i="1"/>
  <c r="W30" i="1" s="1"/>
  <c r="U27" i="1"/>
  <c r="W27" i="1"/>
  <c r="V27" i="1"/>
  <c r="T27" i="1"/>
  <c r="S27" i="1"/>
  <c r="R27" i="1"/>
  <c r="AC3" i="1"/>
  <c r="AB3" i="1"/>
  <c r="AA3" i="1"/>
  <c r="Z3" i="1"/>
  <c r="Z5" i="1" s="1"/>
  <c r="X3" i="1"/>
  <c r="Y3" i="1"/>
  <c r="S26" i="1"/>
  <c r="T26" i="1"/>
  <c r="U26" i="1"/>
  <c r="V26" i="1"/>
  <c r="W26" i="1"/>
  <c r="R26" i="1"/>
  <c r="S25" i="1"/>
  <c r="T25" i="1"/>
  <c r="U25" i="1"/>
  <c r="V25" i="1"/>
  <c r="W25" i="1"/>
  <c r="R25" i="1"/>
  <c r="AA14" i="1"/>
  <c r="Y12" i="1"/>
  <c r="Z12" i="1"/>
  <c r="AA12" i="1"/>
  <c r="AB12" i="1"/>
  <c r="AC12" i="1"/>
  <c r="X12" i="1"/>
  <c r="X8" i="1"/>
  <c r="X15" i="1" s="1"/>
  <c r="X9" i="1"/>
  <c r="X16" i="1" s="1"/>
  <c r="AA9" i="1"/>
  <c r="AA16" i="1" s="1"/>
  <c r="X10" i="1"/>
  <c r="X17" i="1" s="1"/>
  <c r="AA7" i="1"/>
  <c r="AC7" i="1"/>
  <c r="AC14" i="1" s="1"/>
  <c r="X7" i="1"/>
  <c r="X14" i="1" s="1"/>
  <c r="Y5" i="1"/>
  <c r="Y8" i="1" s="1"/>
  <c r="Y15" i="1" s="1"/>
  <c r="AA5" i="1"/>
  <c r="AA8" i="1" s="1"/>
  <c r="AA15" i="1" s="1"/>
  <c r="AB5" i="1"/>
  <c r="AB9" i="1" s="1"/>
  <c r="AB16" i="1" s="1"/>
  <c r="AC5" i="1"/>
  <c r="AC8" i="1" s="1"/>
  <c r="AC15" i="1" s="1"/>
  <c r="X5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R12" i="1"/>
  <c r="R13" i="1"/>
  <c r="R14" i="1"/>
  <c r="R11" i="1"/>
  <c r="S7" i="1"/>
  <c r="T7" i="1"/>
  <c r="U7" i="1"/>
  <c r="V7" i="1"/>
  <c r="W7" i="1"/>
  <c r="S8" i="1"/>
  <c r="T8" i="1"/>
  <c r="T21" i="1" s="1"/>
  <c r="U8" i="1"/>
  <c r="V8" i="1"/>
  <c r="W8" i="1"/>
  <c r="S9" i="1"/>
  <c r="T9" i="1"/>
  <c r="U9" i="1"/>
  <c r="V9" i="1"/>
  <c r="W9" i="1"/>
  <c r="S10" i="1"/>
  <c r="S23" i="1" s="1"/>
  <c r="T10" i="1"/>
  <c r="U10" i="1"/>
  <c r="V10" i="1"/>
  <c r="V23" i="1" s="1"/>
  <c r="W10" i="1"/>
  <c r="R8" i="1"/>
  <c r="R9" i="1"/>
  <c r="R10" i="1"/>
  <c r="R7" i="1"/>
  <c r="S6" i="1"/>
  <c r="T6" i="1"/>
  <c r="U6" i="1"/>
  <c r="V6" i="1"/>
  <c r="W6" i="1"/>
  <c r="R6" i="1"/>
  <c r="S4" i="1"/>
  <c r="T4" i="1"/>
  <c r="U4" i="1"/>
  <c r="V4" i="1"/>
  <c r="W4" i="1"/>
  <c r="R4" i="1"/>
  <c r="R21" i="1"/>
  <c r="S21" i="1"/>
  <c r="U21" i="1"/>
  <c r="V21" i="1"/>
  <c r="W21" i="1"/>
  <c r="R22" i="1"/>
  <c r="S22" i="1"/>
  <c r="T22" i="1"/>
  <c r="U22" i="1"/>
  <c r="V22" i="1"/>
  <c r="W22" i="1"/>
  <c r="R23" i="1"/>
  <c r="T23" i="1"/>
  <c r="U23" i="1"/>
  <c r="W23" i="1"/>
  <c r="S20" i="1"/>
  <c r="T20" i="1"/>
  <c r="U20" i="1"/>
  <c r="V20" i="1"/>
  <c r="W20" i="1"/>
  <c r="R20" i="1"/>
  <c r="D20" i="1"/>
  <c r="E23" i="1" s="1"/>
  <c r="B20" i="1"/>
  <c r="A21" i="1"/>
  <c r="A22" i="1"/>
  <c r="A20" i="1"/>
  <c r="L12" i="1"/>
  <c r="M12" i="1"/>
  <c r="O12" i="1"/>
  <c r="P12" i="1"/>
  <c r="Q12" i="1"/>
  <c r="L13" i="1"/>
  <c r="M13" i="1"/>
  <c r="O13" i="1"/>
  <c r="P13" i="1"/>
  <c r="Q13" i="1"/>
  <c r="L14" i="1"/>
  <c r="M14" i="1"/>
  <c r="P14" i="1"/>
  <c r="Q14" i="1"/>
  <c r="L11" i="1"/>
  <c r="M11" i="1"/>
  <c r="N11" i="1"/>
  <c r="O11" i="1"/>
  <c r="P11" i="1"/>
  <c r="Q11" i="1"/>
  <c r="L8" i="1"/>
  <c r="M8" i="1"/>
  <c r="O8" i="1"/>
  <c r="P8" i="1"/>
  <c r="Q8" i="1"/>
  <c r="L9" i="1"/>
  <c r="M9" i="1"/>
  <c r="O9" i="1"/>
  <c r="P9" i="1"/>
  <c r="Q9" i="1"/>
  <c r="L10" i="1"/>
  <c r="M10" i="1"/>
  <c r="P10" i="1"/>
  <c r="Q10" i="1"/>
  <c r="M7" i="1"/>
  <c r="N7" i="1"/>
  <c r="O7" i="1"/>
  <c r="P7" i="1"/>
  <c r="Q7" i="1"/>
  <c r="L7" i="1"/>
  <c r="M6" i="1"/>
  <c r="P6" i="1"/>
  <c r="Q6" i="1"/>
  <c r="L6" i="1"/>
  <c r="L5" i="1"/>
  <c r="M5" i="1"/>
  <c r="O5" i="1"/>
  <c r="P5" i="1"/>
  <c r="Q5" i="1"/>
  <c r="I6" i="1"/>
  <c r="I4" i="1"/>
  <c r="I5" i="1"/>
  <c r="I3" i="1"/>
  <c r="E20" i="1" l="1"/>
  <c r="E22" i="1"/>
  <c r="E21" i="1"/>
  <c r="U29" i="1"/>
  <c r="T29" i="1"/>
  <c r="S29" i="1"/>
  <c r="T31" i="1"/>
  <c r="T30" i="1"/>
  <c r="W31" i="1"/>
  <c r="V31" i="1"/>
  <c r="R28" i="1"/>
  <c r="U31" i="1"/>
  <c r="S28" i="1"/>
  <c r="AC10" i="1"/>
  <c r="AC17" i="1" s="1"/>
  <c r="AC9" i="1"/>
  <c r="AC16" i="1" s="1"/>
  <c r="AC22" i="1" s="1"/>
  <c r="AB7" i="1"/>
  <c r="AB14" i="1" s="1"/>
  <c r="AB8" i="1"/>
  <c r="AB15" i="1" s="1"/>
  <c r="AB10" i="1"/>
  <c r="AB17" i="1" s="1"/>
  <c r="AA20" i="1"/>
  <c r="AA10" i="1"/>
  <c r="AA17" i="1" s="1"/>
  <c r="AA22" i="1" s="1"/>
  <c r="Z10" i="1"/>
  <c r="Z17" i="1" s="1"/>
  <c r="Z9" i="1"/>
  <c r="Z16" i="1" s="1"/>
  <c r="Z7" i="1"/>
  <c r="Z14" i="1" s="1"/>
  <c r="Z8" i="1"/>
  <c r="Z15" i="1" s="1"/>
  <c r="X20" i="1"/>
  <c r="X22" i="1"/>
  <c r="Y9" i="1"/>
  <c r="Y16" i="1" s="1"/>
  <c r="Y10" i="1"/>
  <c r="Y17" i="1" s="1"/>
  <c r="Y7" i="1"/>
  <c r="Y14" i="1" s="1"/>
  <c r="V15" i="1"/>
  <c r="S18" i="1"/>
  <c r="W16" i="1"/>
  <c r="R15" i="1"/>
  <c r="W15" i="1"/>
  <c r="U15" i="1"/>
  <c r="R18" i="1"/>
  <c r="V16" i="1"/>
  <c r="T17" i="1"/>
  <c r="U18" i="1"/>
  <c r="T18" i="1"/>
  <c r="T15" i="1"/>
  <c r="W17" i="1"/>
  <c r="U16" i="1"/>
  <c r="V18" i="1"/>
  <c r="S17" i="1"/>
  <c r="R17" i="1"/>
  <c r="S15" i="1"/>
  <c r="V17" i="1"/>
  <c r="T16" i="1"/>
  <c r="R16" i="1"/>
  <c r="W18" i="1"/>
  <c r="U17" i="1"/>
  <c r="S16" i="1"/>
  <c r="G22" i="1" l="1"/>
  <c r="F23" i="1"/>
  <c r="G23" i="1"/>
  <c r="F21" i="1"/>
  <c r="G20" i="1"/>
  <c r="G21" i="1"/>
  <c r="F20" i="1"/>
  <c r="F22" i="1"/>
  <c r="S31" i="1"/>
  <c r="S30" i="1"/>
  <c r="R30" i="1"/>
  <c r="R31" i="1"/>
  <c r="AC20" i="1"/>
  <c r="AB22" i="1"/>
  <c r="AB20" i="1"/>
  <c r="Z20" i="1"/>
  <c r="Z22" i="1"/>
  <c r="Y20" i="1"/>
  <c r="Y22" i="1"/>
  <c r="C18" i="1"/>
  <c r="D18" i="1"/>
  <c r="N6" i="1" s="1"/>
  <c r="E18" i="1"/>
  <c r="O6" i="1" s="1"/>
  <c r="F18" i="1"/>
  <c r="G18" i="1"/>
  <c r="B18" i="1"/>
  <c r="C14" i="1"/>
  <c r="D14" i="1"/>
  <c r="N5" i="1" s="1"/>
  <c r="E14" i="1"/>
  <c r="F14" i="1"/>
  <c r="G14" i="1"/>
  <c r="B14" i="1"/>
  <c r="C10" i="1"/>
  <c r="M4" i="1" s="1"/>
  <c r="D10" i="1"/>
  <c r="N4" i="1" s="1"/>
  <c r="E10" i="1"/>
  <c r="O4" i="1" s="1"/>
  <c r="F10" i="1"/>
  <c r="P4" i="1" s="1"/>
  <c r="G10" i="1"/>
  <c r="Q4" i="1" s="1"/>
  <c r="B10" i="1"/>
  <c r="L4" i="1" s="1"/>
  <c r="C6" i="1"/>
  <c r="M3" i="1" s="1"/>
  <c r="D6" i="1"/>
  <c r="N3" i="1" s="1"/>
  <c r="E6" i="1"/>
  <c r="O3" i="1" s="1"/>
  <c r="F6" i="1"/>
  <c r="P3" i="1" s="1"/>
  <c r="G6" i="1"/>
  <c r="Q3" i="1" s="1"/>
  <c r="B6" i="1"/>
  <c r="L3" i="1" s="1"/>
  <c r="Z25" i="1" l="1"/>
  <c r="AB25" i="1"/>
  <c r="O10" i="1"/>
  <c r="O14" i="1"/>
  <c r="N14" i="1"/>
  <c r="N10" i="1"/>
  <c r="N9" i="1"/>
  <c r="N13" i="1"/>
  <c r="N12" i="1"/>
  <c r="N8" i="1"/>
  <c r="T32" i="1" l="1"/>
  <c r="T33" i="1" s="1"/>
  <c r="U32" i="1"/>
  <c r="U33" i="1" s="1"/>
  <c r="V32" i="1"/>
  <c r="V33" i="1" s="1"/>
  <c r="S32" i="1"/>
  <c r="S33" i="1" s="1"/>
  <c r="W32" i="1"/>
  <c r="W33" i="1" s="1"/>
  <c r="R32" i="1"/>
  <c r="R33" i="1" s="1"/>
  <c r="AC25" i="1" l="1"/>
  <c r="AE25" i="1" s="1"/>
  <c r="AD25" i="1"/>
  <c r="AF25" i="1" s="1"/>
</calcChain>
</file>

<file path=xl/sharedStrings.xml><?xml version="1.0" encoding="utf-8"?>
<sst xmlns="http://schemas.openxmlformats.org/spreadsheetml/2006/main" count="83" uniqueCount="53">
  <si>
    <t>Масса груза, г</t>
  </si>
  <si>
    <t>m1</t>
  </si>
  <si>
    <t>m2</t>
  </si>
  <si>
    <t>m3</t>
  </si>
  <si>
    <t>m4</t>
  </si>
  <si>
    <t>1 риска</t>
  </si>
  <si>
    <t>2 риска</t>
  </si>
  <si>
    <t>3 риска</t>
  </si>
  <si>
    <t>4 риска</t>
  </si>
  <si>
    <t>5 риска</t>
  </si>
  <si>
    <t>6 риска</t>
  </si>
  <si>
    <t>Положение утяжелителей</t>
  </si>
  <si>
    <t>Константы</t>
  </si>
  <si>
    <t>h</t>
  </si>
  <si>
    <t>g</t>
  </si>
  <si>
    <t>l1</t>
  </si>
  <si>
    <t>l0</t>
  </si>
  <si>
    <t>b</t>
  </si>
  <si>
    <t>b/2</t>
  </si>
  <si>
    <t>a</t>
  </si>
  <si>
    <t>Величина</t>
  </si>
  <si>
    <t>e</t>
  </si>
  <si>
    <t>d</t>
  </si>
  <si>
    <t>M</t>
  </si>
  <si>
    <t>(x-xср)^2</t>
  </si>
  <si>
    <t>Sx</t>
  </si>
  <si>
    <t>delta t</t>
  </si>
  <si>
    <t>delta t случ</t>
  </si>
  <si>
    <t>delta a</t>
  </si>
  <si>
    <t>delta e</t>
  </si>
  <si>
    <t>delta M</t>
  </si>
  <si>
    <t>ecp</t>
  </si>
  <si>
    <t>Mcp</t>
  </si>
  <si>
    <t>I</t>
  </si>
  <si>
    <t>di</t>
  </si>
  <si>
    <t>D</t>
  </si>
  <si>
    <t>di^2</t>
  </si>
  <si>
    <t>Sb^2</t>
  </si>
  <si>
    <t>Sa^2</t>
  </si>
  <si>
    <t>Mтр</t>
  </si>
  <si>
    <t>R</t>
  </si>
  <si>
    <t>R^2</t>
  </si>
  <si>
    <t>ср</t>
  </si>
  <si>
    <t>4mут</t>
  </si>
  <si>
    <t>I - Icp</t>
  </si>
  <si>
    <t xml:space="preserve">R^2 - R^2ср </t>
  </si>
  <si>
    <t xml:space="preserve">(R^2 - ср)^2 </t>
  </si>
  <si>
    <t>*</t>
  </si>
  <si>
    <t>mут</t>
  </si>
  <si>
    <t>I0</t>
  </si>
  <si>
    <t>delta mут</t>
  </si>
  <si>
    <t>delta I0</t>
  </si>
  <si>
    <t>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</si>
</sst>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20" xfId="0" applyBorder="1"/>
    <xf numFmtId="164" fontId="0" fillId="0" borderId="0" xfId="0" applyNumberFormat="1" applyFill="1" applyBorder="1"/>
    <xf numFmtId="164" fontId="0" fillId="0" borderId="1" xfId="0" applyNumberFormat="1" applyBorder="1"/>
    <xf numFmtId="164" fontId="1" fillId="0" borderId="11" xfId="0" applyNumberFormat="1" applyFont="1" applyBorder="1"/>
    <xf numFmtId="164" fontId="0" fillId="0" borderId="0" xfId="0" applyNumberFormat="1"/>
    <xf numFmtId="164" fontId="0" fillId="0" borderId="2" xfId="0" applyNumberFormat="1" applyBorder="1"/>
    <xf numFmtId="164" fontId="0" fillId="0" borderId="3" xfId="0" applyNumberFormat="1" applyBorder="1"/>
    <xf numFmtId="164" fontId="0" fillId="0" borderId="14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15" xfId="0" applyNumberFormat="1" applyBorder="1"/>
    <xf numFmtId="164" fontId="0" fillId="0" borderId="4" xfId="0" applyNumberFormat="1" applyFill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3" xfId="0" applyNumberFormat="1" applyFill="1" applyBorder="1"/>
    <xf numFmtId="164" fontId="0" fillId="0" borderId="23" xfId="0" applyNumberFormat="1" applyBorder="1"/>
    <xf numFmtId="164" fontId="0" fillId="0" borderId="14" xfId="0" applyNumberFormat="1" applyFill="1" applyBorder="1"/>
    <xf numFmtId="164" fontId="0" fillId="0" borderId="24" xfId="0" applyNumberFormat="1" applyBorder="1"/>
    <xf numFmtId="164" fontId="0" fillId="0" borderId="13" xfId="0" applyNumberFormat="1" applyBorder="1"/>
    <xf numFmtId="0" fontId="0" fillId="0" borderId="23" xfId="0" applyBorder="1"/>
    <xf numFmtId="0" fontId="0" fillId="0" borderId="14" xfId="0" applyBorder="1"/>
    <xf numFmtId="0" fontId="0" fillId="0" borderId="22" xfId="0" applyBorder="1"/>
    <xf numFmtId="0" fontId="0" fillId="0" borderId="20" xfId="0" applyBorder="1" applyAlignment="1">
      <alignment wrapText="1"/>
    </xf>
    <xf numFmtId="0" fontId="0" fillId="0" borderId="21" xfId="0" applyBorder="1"/>
    <xf numFmtId="0" fontId="0" fillId="0" borderId="24" xfId="0" applyBorder="1"/>
    <xf numFmtId="0" fontId="0" fillId="0" borderId="18" xfId="0" applyBorder="1"/>
    <xf numFmtId="0" fontId="0" fillId="0" borderId="19" xfId="0" applyBorder="1"/>
    <xf numFmtId="0" fontId="0" fillId="0" borderId="22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6" xfId="0" applyBorder="1"/>
    <xf numFmtId="0" fontId="0" fillId="0" borderId="7" xfId="0" applyBorder="1"/>
    <xf numFmtId="0" fontId="0" fillId="0" borderId="25" xfId="0" applyBorder="1"/>
    <xf numFmtId="164" fontId="0" fillId="0" borderId="22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 wrapText="1"/>
    </xf>
    <xf numFmtId="164" fontId="0" fillId="0" borderId="10" xfId="0" applyNumberFormat="1" applyBorder="1" applyAlignment="1">
      <alignment horizontal="center" wrapText="1"/>
    </xf>
    <xf numFmtId="164" fontId="0" fillId="0" borderId="12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7" xfId="0" applyBorder="1" applyAlignment="1">
      <alignment horizontal="center"/>
    </xf>
    <xf numFmtId="164" fontId="0" fillId="0" borderId="30" xfId="0" applyNumberFormat="1" applyBorder="1" applyAlignment="1">
      <alignment horizontal="center" wrapText="1"/>
    </xf>
    <xf numFmtId="0" fontId="0" fillId="0" borderId="30" xfId="0" applyBorder="1"/>
    <xf numFmtId="0" fontId="0" fillId="0" borderId="18" xfId="0" applyFill="1" applyBorder="1"/>
    <xf numFmtId="164" fontId="0" fillId="0" borderId="31" xfId="0" applyNumberFormat="1" applyBorder="1"/>
    <xf numFmtId="164" fontId="1" fillId="0" borderId="32" xfId="0" applyNumberFormat="1" applyFont="1" applyBorder="1"/>
    <xf numFmtId="164" fontId="0" fillId="0" borderId="26" xfId="0" applyNumberFormat="1" applyBorder="1"/>
    <xf numFmtId="164" fontId="0" fillId="0" borderId="33" xfId="0" applyNumberFormat="1" applyBorder="1" applyAlignment="1">
      <alignment horizontal="center"/>
    </xf>
    <xf numFmtId="164" fontId="0" fillId="0" borderId="34" xfId="0" applyNumberFormat="1" applyBorder="1" applyAlignment="1">
      <alignment horizontal="center"/>
    </xf>
    <xf numFmtId="164" fontId="0" fillId="0" borderId="35" xfId="0" applyNumberFormat="1" applyBorder="1" applyAlignment="1">
      <alignment horizontal="center"/>
    </xf>
    <xf numFmtId="0" fontId="0" fillId="0" borderId="6" xfId="0" applyBorder="1"/>
    <xf numFmtId="0" fontId="0" fillId="0" borderId="25" xfId="0" applyFill="1" applyBorder="1"/>
    <xf numFmtId="0" fontId="0" fillId="0" borderId="6" xfId="0" applyFill="1" applyBorder="1"/>
    <xf numFmtId="0" fontId="0" fillId="0" borderId="10" xfId="0" applyBorder="1"/>
    <xf numFmtId="0" fontId="0" fillId="0" borderId="7" xfId="0" applyFill="1" applyBorder="1"/>
    <xf numFmtId="0" fontId="0" fillId="0" borderId="10" xfId="0" applyFill="1" applyBorder="1"/>
    <xf numFmtId="0" fontId="0" fillId="0" borderId="26" xfId="0" applyFill="1" applyBorder="1"/>
    <xf numFmtId="0" fontId="0" fillId="0" borderId="8" xfId="0" applyBorder="1"/>
    <xf numFmtId="0" fontId="0" fillId="0" borderId="1" xfId="0" applyBorder="1"/>
    <xf numFmtId="0" fontId="0" fillId="0" borderId="31" xfId="0" applyBorder="1"/>
    <xf numFmtId="0" fontId="0" fillId="0" borderId="8" xfId="0" applyFill="1" applyBorder="1"/>
    <xf numFmtId="0" fontId="0" fillId="0" borderId="1" xfId="0" applyFill="1" applyBorder="1"/>
    <xf numFmtId="0" fontId="0" fillId="0" borderId="31" xfId="0" applyFill="1" applyBorder="1"/>
    <xf numFmtId="0" fontId="0" fillId="0" borderId="9" xfId="0" applyBorder="1"/>
    <xf numFmtId="0" fontId="0" fillId="0" borderId="11" xfId="0" applyBorder="1"/>
    <xf numFmtId="0" fontId="0" fillId="0" borderId="32" xfId="0" applyBorder="1"/>
    <xf numFmtId="0" fontId="0" fillId="0" borderId="9" xfId="0" applyFill="1" applyBorder="1"/>
    <xf numFmtId="0" fontId="0" fillId="0" borderId="11" xfId="0" applyFill="1" applyBorder="1"/>
    <xf numFmtId="0" fontId="0" fillId="0" borderId="32" xfId="0" applyFill="1" applyBorder="1"/>
    <xf numFmtId="0" fontId="0" fillId="0" borderId="36" xfId="0" applyBorder="1"/>
    <xf numFmtId="0" fontId="0" fillId="0" borderId="37" xfId="0" applyBorder="1"/>
    <xf numFmtId="0" fontId="0" fillId="0" borderId="29" xfId="0" applyBorder="1"/>
    <xf numFmtId="0" fontId="0" fillId="0" borderId="3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F33"/>
  <sheetViews>
    <sheetView tabSelected="1" topLeftCell="W22" zoomScale="90" zoomScaleNormal="90" workbookViewId="0">
      <selection activeCell="AB28" sqref="AB28"/>
    </sheetView>
  </sheetViews>
  <sheetFormatPr defaultRowHeight="15" x14ac:dyDescent="0.25"/>
  <cols>
    <col min="3" max="3" width="8.85546875" customWidth="1"/>
    <col min="17" max="17" width="12.28515625" bestFit="1" customWidth="1"/>
    <col min="23" max="23" width="15.140625" customWidth="1"/>
    <col min="24" max="24" width="9.42578125" customWidth="1"/>
    <col min="31" max="31" width="9.85546875" bestFit="1" customWidth="1"/>
  </cols>
  <sheetData>
    <row r="1" spans="1:29" ht="15.75" thickBot="1" x14ac:dyDescent="0.3">
      <c r="A1" s="42" t="s">
        <v>0</v>
      </c>
      <c r="B1" s="47" t="s">
        <v>11</v>
      </c>
      <c r="C1" s="47"/>
      <c r="D1" s="47"/>
      <c r="E1" s="47"/>
      <c r="F1" s="47"/>
      <c r="G1" s="48"/>
      <c r="H1" s="39" t="s">
        <v>12</v>
      </c>
      <c r="I1" s="41"/>
      <c r="J1" s="49" t="s">
        <v>20</v>
      </c>
      <c r="K1" s="49" t="s">
        <v>0</v>
      </c>
      <c r="L1" s="59" t="s">
        <v>11</v>
      </c>
      <c r="M1" s="60"/>
      <c r="N1" s="60"/>
      <c r="O1" s="60"/>
      <c r="P1" s="60"/>
      <c r="Q1" s="61"/>
    </row>
    <row r="2" spans="1:29" ht="15.75" thickBot="1" x14ac:dyDescent="0.3">
      <c r="A2" s="43"/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6" t="s">
        <v>10</v>
      </c>
      <c r="H2" s="20" t="s">
        <v>13</v>
      </c>
      <c r="I2" s="12">
        <v>0.7</v>
      </c>
      <c r="J2" s="53"/>
      <c r="K2" s="53"/>
      <c r="L2" s="58" t="s">
        <v>5</v>
      </c>
      <c r="M2" s="18" t="s">
        <v>6</v>
      </c>
      <c r="N2" s="56" t="s">
        <v>7</v>
      </c>
      <c r="O2" s="56" t="s">
        <v>8</v>
      </c>
      <c r="P2" s="56" t="s">
        <v>9</v>
      </c>
      <c r="Q2" s="57" t="s">
        <v>10</v>
      </c>
      <c r="R2" s="25"/>
      <c r="X2" t="s">
        <v>33</v>
      </c>
    </row>
    <row r="3" spans="1:29" x14ac:dyDescent="0.25">
      <c r="A3" s="44" t="s">
        <v>1</v>
      </c>
      <c r="B3" s="8">
        <v>5.13</v>
      </c>
      <c r="C3" s="9">
        <v>6.31</v>
      </c>
      <c r="D3" s="9">
        <v>6.75</v>
      </c>
      <c r="E3" s="9">
        <v>7.91</v>
      </c>
      <c r="F3" s="9">
        <v>9.06</v>
      </c>
      <c r="G3" s="10">
        <v>9.85</v>
      </c>
      <c r="H3" s="21" t="s">
        <v>1</v>
      </c>
      <c r="I3" s="12">
        <f>0.22*ROW(H1)</f>
        <v>0.22</v>
      </c>
      <c r="J3" s="52" t="s">
        <v>19</v>
      </c>
      <c r="K3" s="81" t="s">
        <v>1</v>
      </c>
      <c r="L3" s="37">
        <f>2*$I$2/(B6*B6)</f>
        <v>5.4607839865543358E-2</v>
      </c>
      <c r="M3" s="69">
        <f t="shared" ref="M3:Q3" si="0">2*$I$2/(C6*C6)</f>
        <v>3.3686633037069202E-2</v>
      </c>
      <c r="N3" s="38">
        <f t="shared" si="0"/>
        <v>2.9462491909506186E-2</v>
      </c>
      <c r="O3" s="69">
        <f t="shared" si="0"/>
        <v>2.299152178510554E-2</v>
      </c>
      <c r="P3" s="38">
        <f t="shared" si="0"/>
        <v>1.7807677087455478E-2</v>
      </c>
      <c r="Q3" s="75">
        <f t="shared" si="0"/>
        <v>1.3897895252004687E-2</v>
      </c>
      <c r="R3" t="s">
        <v>32</v>
      </c>
      <c r="X3">
        <f>SUM($R$15:$R$18)/SUM($R$20:$R$23)</f>
        <v>2.2020750168921296E-2</v>
      </c>
      <c r="Y3">
        <f>SUM($S$15:$S$18)/SUM($S$20:$S$23)</f>
        <v>2.4973572815948065E-2</v>
      </c>
      <c r="Z3">
        <f>SUM($T$15:$T$18)/SUM($T$20:$T$23)</f>
        <v>3.3618631645673941E-2</v>
      </c>
      <c r="AA3">
        <f>SUM($U$15:$U$18)/SUM($U$20:$U$23)</f>
        <v>4.8900682564909689E-2</v>
      </c>
      <c r="AB3">
        <f>SUM($V$15:$V$18)/SUM($V$20:$V$23)</f>
        <v>7.0752451660043916E-2</v>
      </c>
      <c r="AC3">
        <f>SUM($W$15:$W$18)/SUM($W$20:$W$23)</f>
        <v>8.2809930589615777E-2</v>
      </c>
    </row>
    <row r="4" spans="1:29" x14ac:dyDescent="0.25">
      <c r="A4" s="45"/>
      <c r="B4" s="11">
        <v>5.19</v>
      </c>
      <c r="C4" s="12">
        <v>6.62</v>
      </c>
      <c r="D4" s="12">
        <v>6.78</v>
      </c>
      <c r="E4" s="12">
        <v>7.81</v>
      </c>
      <c r="F4" s="12">
        <v>8.75</v>
      </c>
      <c r="G4" s="10">
        <v>10.1</v>
      </c>
      <c r="H4" s="21" t="s">
        <v>2</v>
      </c>
      <c r="I4" s="12">
        <f t="shared" ref="I4:I6" si="1">0.22*ROW(H2)</f>
        <v>0.44</v>
      </c>
      <c r="J4" s="50"/>
      <c r="K4" s="82" t="s">
        <v>2</v>
      </c>
      <c r="L4" s="65">
        <f>2*$I$2/(B10*B10)</f>
        <v>0.10281945637884563</v>
      </c>
      <c r="M4" s="70">
        <f t="shared" ref="M4:Q4" si="2">2*$I$2/(C10*C10)</f>
        <v>5.5114638447971799E-2</v>
      </c>
      <c r="N4" s="62">
        <f t="shared" si="2"/>
        <v>5.7993000336911696E-2</v>
      </c>
      <c r="O4" s="70">
        <f t="shared" si="2"/>
        <v>4.578020921555611E-2</v>
      </c>
      <c r="P4" s="62">
        <f t="shared" si="2"/>
        <v>3.5878259938562758E-2</v>
      </c>
      <c r="Q4" s="76">
        <f t="shared" si="2"/>
        <v>2.6881577052520419E-2</v>
      </c>
      <c r="R4" s="2">
        <f>AVERAGE(L11:L14)</f>
        <v>0.1220118773635495</v>
      </c>
      <c r="S4" s="2">
        <f t="shared" ref="S4:W4" si="3">AVERAGE(M11:M14)</f>
        <v>0.12254720088395513</v>
      </c>
      <c r="T4" s="2">
        <f t="shared" si="3"/>
        <v>0.1227892890729714</v>
      </c>
      <c r="U4" s="2">
        <f t="shared" si="3"/>
        <v>0.12310810934495456</v>
      </c>
      <c r="V4" s="2">
        <f t="shared" si="3"/>
        <v>0.12336534299522955</v>
      </c>
      <c r="W4" s="2">
        <f t="shared" si="3"/>
        <v>0.12345477968587171</v>
      </c>
      <c r="X4" t="s">
        <v>39</v>
      </c>
    </row>
    <row r="5" spans="1:29" x14ac:dyDescent="0.25">
      <c r="A5" s="45"/>
      <c r="B5" s="11">
        <v>4.87</v>
      </c>
      <c r="C5" s="12">
        <v>6.41</v>
      </c>
      <c r="D5" s="12">
        <v>7.15</v>
      </c>
      <c r="E5" s="12">
        <v>7.69</v>
      </c>
      <c r="F5" s="12">
        <v>8.7899999999999991</v>
      </c>
      <c r="G5" s="10">
        <v>10.16</v>
      </c>
      <c r="H5" s="21" t="s">
        <v>3</v>
      </c>
      <c r="I5" s="12">
        <f t="shared" si="1"/>
        <v>0.66</v>
      </c>
      <c r="J5" s="50"/>
      <c r="K5" s="82" t="s">
        <v>3</v>
      </c>
      <c r="L5" s="65">
        <f>2*$I$2/(B14*B14)</f>
        <v>0.15590181155430394</v>
      </c>
      <c r="M5" s="70">
        <f t="shared" ref="M5:Q5" si="4">2*$I$2/(C14*C14)</f>
        <v>0.11627037846008187</v>
      </c>
      <c r="N5" s="62">
        <f t="shared" si="4"/>
        <v>9.0185266304207784E-2</v>
      </c>
      <c r="O5" s="70">
        <f t="shared" si="4"/>
        <v>6.493342520210528E-2</v>
      </c>
      <c r="P5" s="62">
        <f t="shared" si="4"/>
        <v>4.1002157819908749E-2</v>
      </c>
      <c r="Q5" s="76">
        <f t="shared" si="4"/>
        <v>3.972306090774759E-2</v>
      </c>
      <c r="R5" s="1" t="s">
        <v>31</v>
      </c>
      <c r="X5">
        <f>R4-X3*R6</f>
        <v>-2.0515496692805751E-3</v>
      </c>
      <c r="Y5">
        <f t="shared" ref="Y5:AC5" si="5">S4-Y3*S6</f>
        <v>2.3989678556024768E-2</v>
      </c>
      <c r="Z5">
        <f t="shared" si="5"/>
        <v>1.0612039974837048E-2</v>
      </c>
      <c r="AA5">
        <f t="shared" si="5"/>
        <v>2.6097986709968657E-3</v>
      </c>
      <c r="AB5">
        <f t="shared" si="5"/>
        <v>-4.8440806443503237E-4</v>
      </c>
      <c r="AC5">
        <f t="shared" si="5"/>
        <v>1.3846865125580893E-3</v>
      </c>
    </row>
    <row r="6" spans="1:29" ht="15.75" thickBot="1" x14ac:dyDescent="0.3">
      <c r="A6" s="45"/>
      <c r="B6" s="13">
        <f>AVERAGE(B3:B5)</f>
        <v>5.0633333333333335</v>
      </c>
      <c r="C6" s="14">
        <f t="shared" ref="C6:G6" si="6">AVERAGE(C3:C5)</f>
        <v>6.4466666666666663</v>
      </c>
      <c r="D6" s="14">
        <f t="shared" si="6"/>
        <v>6.8933333333333335</v>
      </c>
      <c r="E6" s="14">
        <f t="shared" si="6"/>
        <v>7.8033333333333337</v>
      </c>
      <c r="F6" s="14">
        <f t="shared" si="6"/>
        <v>8.8666666666666671</v>
      </c>
      <c r="G6" s="15">
        <f t="shared" si="6"/>
        <v>10.036666666666667</v>
      </c>
      <c r="H6" s="21" t="s">
        <v>4</v>
      </c>
      <c r="I6" s="12">
        <f t="shared" si="1"/>
        <v>0.88</v>
      </c>
      <c r="J6" s="51"/>
      <c r="K6" s="54" t="s">
        <v>4</v>
      </c>
      <c r="L6" s="36">
        <f>2*$I$2/(B18*B18)</f>
        <v>0.2049927113702624</v>
      </c>
      <c r="M6" s="71">
        <f t="shared" ref="M6:Q6" si="7">2*$I$2/(C18*C18)</f>
        <v>0.1580038347279889</v>
      </c>
      <c r="N6" s="31">
        <f t="shared" si="7"/>
        <v>0.12934100756644895</v>
      </c>
      <c r="O6" s="71">
        <f t="shared" si="7"/>
        <v>9.2996067594855972E-2</v>
      </c>
      <c r="P6" s="31">
        <f t="shared" si="7"/>
        <v>6.6354764166742158E-2</v>
      </c>
      <c r="Q6" s="77">
        <f t="shared" si="7"/>
        <v>5.5114638447971771E-2</v>
      </c>
      <c r="R6" s="2">
        <f>AVERAGE(L7:L10)</f>
        <v>5.6339328170538625</v>
      </c>
      <c r="S6" s="2">
        <f t="shared" ref="S6:W6" si="8">AVERAGE(M7:M10)</f>
        <v>3.9464726594903454</v>
      </c>
      <c r="T6" s="2">
        <f t="shared" si="8"/>
        <v>3.3367583273595067</v>
      </c>
      <c r="U6" s="2">
        <f t="shared" si="8"/>
        <v>2.4641437369306836</v>
      </c>
      <c r="V6" s="2">
        <f t="shared" si="8"/>
        <v>1.7504658588333604</v>
      </c>
      <c r="W6" s="2">
        <f t="shared" si="8"/>
        <v>1.4740996919591791</v>
      </c>
      <c r="X6" t="s">
        <v>34</v>
      </c>
    </row>
    <row r="7" spans="1:29" x14ac:dyDescent="0.25">
      <c r="A7" s="45" t="s">
        <v>2</v>
      </c>
      <c r="B7" s="16">
        <v>3.78</v>
      </c>
      <c r="C7" s="12">
        <v>4.88</v>
      </c>
      <c r="D7" s="12">
        <v>4.93</v>
      </c>
      <c r="E7" s="12">
        <v>5.5</v>
      </c>
      <c r="F7" s="12">
        <v>6.1</v>
      </c>
      <c r="G7" s="10">
        <v>7.25</v>
      </c>
      <c r="H7" s="21" t="s">
        <v>14</v>
      </c>
      <c r="I7" s="22">
        <v>9.8000000000000007</v>
      </c>
      <c r="J7" s="52" t="s">
        <v>21</v>
      </c>
      <c r="K7" s="81" t="s">
        <v>1</v>
      </c>
      <c r="L7" s="37">
        <f>2*L3/$I$12</f>
        <v>2.3742539071975375</v>
      </c>
      <c r="M7" s="69">
        <f t="shared" ref="M7:Q7" si="9">2*M3/$I$12</f>
        <v>1.4646362190030089</v>
      </c>
      <c r="N7" s="38">
        <f t="shared" si="9"/>
        <v>1.2809779091089646</v>
      </c>
      <c r="O7" s="69">
        <f t="shared" si="9"/>
        <v>0.99963138196111045</v>
      </c>
      <c r="P7" s="38">
        <f t="shared" si="9"/>
        <v>0.77424682988936866</v>
      </c>
      <c r="Q7" s="75">
        <f t="shared" si="9"/>
        <v>0.60425631530455159</v>
      </c>
      <c r="R7" s="2">
        <f>L7-R$6</f>
        <v>-3.259678909856325</v>
      </c>
      <c r="S7" s="2">
        <f t="shared" ref="S7:W10" si="10">M7-S$6</f>
        <v>-2.4818364404873368</v>
      </c>
      <c r="T7" s="2">
        <f t="shared" si="10"/>
        <v>-2.0557804182505421</v>
      </c>
      <c r="U7" s="2">
        <f t="shared" si="10"/>
        <v>-1.4645123549695731</v>
      </c>
      <c r="V7" s="2">
        <f t="shared" si="10"/>
        <v>-0.97621902894399171</v>
      </c>
      <c r="W7" s="2">
        <f t="shared" si="10"/>
        <v>-0.86984337665462752</v>
      </c>
      <c r="X7" s="2">
        <f>L11-(X$5+X$3*L7)</f>
        <v>-9.1961812842128454E-4</v>
      </c>
      <c r="Y7" s="2">
        <f t="shared" ref="Y7:AC7" si="11">M11-(Y$5+Y$3*M7)</f>
        <v>-1.1149332183338835E-2</v>
      </c>
      <c r="Z7" s="2">
        <f t="shared" si="11"/>
        <v>-4.2378446564790145E-3</v>
      </c>
      <c r="AA7" s="2">
        <f t="shared" si="11"/>
        <v>-2.0207926624317488E-3</v>
      </c>
      <c r="AB7" s="2">
        <f t="shared" si="11"/>
        <v>-4.7975601863172873E-3</v>
      </c>
      <c r="AC7" s="2">
        <f t="shared" si="11"/>
        <v>-1.9054333912401286E-3</v>
      </c>
    </row>
    <row r="8" spans="1:29" x14ac:dyDescent="0.25">
      <c r="A8" s="45"/>
      <c r="B8" s="16">
        <v>3.69</v>
      </c>
      <c r="C8" s="12">
        <v>4.93</v>
      </c>
      <c r="D8" s="12">
        <v>4.87</v>
      </c>
      <c r="E8" s="12">
        <v>5.56</v>
      </c>
      <c r="F8" s="12">
        <v>6.37</v>
      </c>
      <c r="G8" s="10">
        <v>7</v>
      </c>
      <c r="H8" s="21" t="s">
        <v>15</v>
      </c>
      <c r="I8" s="22">
        <v>5.7000000000000002E-2</v>
      </c>
      <c r="J8" s="50"/>
      <c r="K8" s="82" t="s">
        <v>2</v>
      </c>
      <c r="L8" s="65">
        <f t="shared" ref="L8:Q8" si="12">2*L4/$I$12</f>
        <v>4.4704111469063319</v>
      </c>
      <c r="M8" s="70">
        <f t="shared" si="12"/>
        <v>2.396288628172687</v>
      </c>
      <c r="N8" s="62">
        <f t="shared" si="12"/>
        <v>2.5214347972570303</v>
      </c>
      <c r="O8" s="70">
        <f t="shared" si="12"/>
        <v>1.9904438789372223</v>
      </c>
      <c r="P8" s="62">
        <f t="shared" si="12"/>
        <v>1.5599243451549025</v>
      </c>
      <c r="Q8" s="76">
        <f t="shared" si="12"/>
        <v>1.1687642196748009</v>
      </c>
      <c r="R8" s="2">
        <f t="shared" ref="R8:R10" si="13">L8-R$6</f>
        <v>-1.1635216701475306</v>
      </c>
      <c r="S8" s="2">
        <f t="shared" si="10"/>
        <v>-1.5501840313176585</v>
      </c>
      <c r="T8" s="2">
        <f t="shared" si="10"/>
        <v>-0.81532353010247638</v>
      </c>
      <c r="U8" s="2">
        <f t="shared" si="10"/>
        <v>-0.47369985799346126</v>
      </c>
      <c r="V8" s="2">
        <f t="shared" si="10"/>
        <v>-0.19054151367845784</v>
      </c>
      <c r="W8" s="2">
        <f t="shared" si="10"/>
        <v>-0.30533547228437818</v>
      </c>
      <c r="X8" s="2">
        <f t="shared" ref="X8:X10" si="14">L12-(X$5+X$3*L8)</f>
        <v>1.745209752341409E-3</v>
      </c>
      <c r="Y8" s="2">
        <f t="shared" ref="Y8:Y10" si="15">M12-(Y$5+Y$3*M8)</f>
        <v>1.4784672759182868E-2</v>
      </c>
      <c r="Z8" s="2">
        <f t="shared" ref="Z8:Z10" si="16">N12-(Z$5+Z$3*N8)</f>
        <v>3.2098831941847483E-3</v>
      </c>
      <c r="AA8" s="2">
        <f t="shared" ref="AA8:AA10" si="17">O12-(AA$5+AA$3*O8)</f>
        <v>-1.2311586754349124E-3</v>
      </c>
      <c r="AB8" s="2">
        <f t="shared" ref="AB8:AB10" si="18">P12-(AB$5+AB$3*P8)</f>
        <v>-1.1071151750041128E-2</v>
      </c>
      <c r="AC8" s="2">
        <f t="shared" ref="AC8:AC10" si="19">Q12-(AC$5+AC$3*Q8)</f>
        <v>7.3398802077370706E-4</v>
      </c>
    </row>
    <row r="9" spans="1:29" x14ac:dyDescent="0.25">
      <c r="A9" s="45"/>
      <c r="B9" s="16">
        <v>3.6</v>
      </c>
      <c r="C9" s="12">
        <v>5.31</v>
      </c>
      <c r="D9" s="12">
        <v>4.9400000000000004</v>
      </c>
      <c r="E9" s="12">
        <v>5.53</v>
      </c>
      <c r="F9" s="12">
        <v>6.27</v>
      </c>
      <c r="G9" s="10">
        <v>7.4</v>
      </c>
      <c r="H9" s="21" t="s">
        <v>16</v>
      </c>
      <c r="I9" s="22">
        <v>2.5000000000000001E-2</v>
      </c>
      <c r="J9" s="50"/>
      <c r="K9" s="82" t="s">
        <v>3</v>
      </c>
      <c r="L9" s="65">
        <f t="shared" ref="L9:Q9" si="20">2*L5/$I$12</f>
        <v>6.7783396327958236</v>
      </c>
      <c r="M9" s="70">
        <f t="shared" si="20"/>
        <v>5.0552338460905162</v>
      </c>
      <c r="N9" s="62">
        <f t="shared" si="20"/>
        <v>3.921098534965556</v>
      </c>
      <c r="O9" s="70">
        <f t="shared" si="20"/>
        <v>2.8231924000915338</v>
      </c>
      <c r="P9" s="62">
        <f t="shared" si="20"/>
        <v>1.7827025139090762</v>
      </c>
      <c r="Q9" s="76">
        <f t="shared" si="20"/>
        <v>1.7270896046846778</v>
      </c>
      <c r="R9" s="2">
        <f t="shared" si="13"/>
        <v>1.1444068157419611</v>
      </c>
      <c r="S9" s="2">
        <f t="shared" si="10"/>
        <v>1.1087611866001708</v>
      </c>
      <c r="T9" s="2">
        <f t="shared" si="10"/>
        <v>0.58434020760604932</v>
      </c>
      <c r="U9" s="2">
        <f t="shared" si="10"/>
        <v>0.35904866316085027</v>
      </c>
      <c r="V9" s="2">
        <f t="shared" si="10"/>
        <v>3.2236655075715825E-2</v>
      </c>
      <c r="W9" s="2">
        <f t="shared" si="10"/>
        <v>0.25298991272549864</v>
      </c>
      <c r="X9" s="2">
        <f t="shared" si="14"/>
        <v>-8.1516344400828222E-4</v>
      </c>
      <c r="Y9" s="2">
        <f t="shared" si="15"/>
        <v>-3.2379134580355073E-3</v>
      </c>
      <c r="Z9" s="2">
        <f t="shared" si="16"/>
        <v>4.9609803892663451E-3</v>
      </c>
      <c r="AA9" s="2">
        <f t="shared" si="17"/>
        <v>7.1124765578935989E-3</v>
      </c>
      <c r="AB9" s="2">
        <f t="shared" si="18"/>
        <v>2.2495421869138138E-2</v>
      </c>
      <c r="AC9" s="2">
        <f t="shared" si="19"/>
        <v>3.7561471368772192E-3</v>
      </c>
    </row>
    <row r="10" spans="1:29" ht="15.75" thickBot="1" x14ac:dyDescent="0.3">
      <c r="A10" s="45"/>
      <c r="B10" s="13">
        <f>AVERAGE(B7:B9)</f>
        <v>3.69</v>
      </c>
      <c r="C10" s="14">
        <f t="shared" ref="C10:G10" si="21">AVERAGE(C7:C9)</f>
        <v>5.0399999999999991</v>
      </c>
      <c r="D10" s="14">
        <f t="shared" si="21"/>
        <v>4.913333333333334</v>
      </c>
      <c r="E10" s="14">
        <f t="shared" si="21"/>
        <v>5.53</v>
      </c>
      <c r="F10" s="14">
        <f t="shared" si="21"/>
        <v>6.2466666666666661</v>
      </c>
      <c r="G10" s="15">
        <f t="shared" si="21"/>
        <v>7.2166666666666659</v>
      </c>
      <c r="H10" s="21" t="s">
        <v>17</v>
      </c>
      <c r="I10" s="10">
        <v>0.04</v>
      </c>
      <c r="J10" s="51"/>
      <c r="K10" s="84" t="s">
        <v>4</v>
      </c>
      <c r="L10" s="36">
        <f t="shared" ref="L10:Q10" si="22">2*L6/$I$12</f>
        <v>8.9127265813157575</v>
      </c>
      <c r="M10" s="71">
        <f t="shared" si="22"/>
        <v>6.8697319446951699</v>
      </c>
      <c r="N10" s="31">
        <f t="shared" si="22"/>
        <v>5.6235220681064764</v>
      </c>
      <c r="O10" s="71">
        <f t="shared" si="22"/>
        <v>4.0433072867328681</v>
      </c>
      <c r="P10" s="31">
        <f t="shared" si="22"/>
        <v>2.8849897463800938</v>
      </c>
      <c r="Q10" s="77">
        <f t="shared" si="22"/>
        <v>2.3962886281726856</v>
      </c>
      <c r="R10" s="2">
        <f t="shared" si="13"/>
        <v>3.2787937642618949</v>
      </c>
      <c r="S10" s="2">
        <f t="shared" si="10"/>
        <v>2.9232592852048245</v>
      </c>
      <c r="T10" s="2">
        <f t="shared" si="10"/>
        <v>2.2867637407469696</v>
      </c>
      <c r="U10" s="2">
        <f t="shared" si="10"/>
        <v>1.5791635498021845</v>
      </c>
      <c r="V10" s="2">
        <f t="shared" si="10"/>
        <v>1.1345238875467334</v>
      </c>
      <c r="W10" s="2">
        <f t="shared" si="10"/>
        <v>0.9221889362135065</v>
      </c>
      <c r="X10" s="2">
        <f t="shared" si="14"/>
        <v>-1.0428179911814439E-5</v>
      </c>
      <c r="Y10" s="2">
        <f t="shared" si="15"/>
        <v>-3.974271178085742E-4</v>
      </c>
      <c r="Z10" s="2">
        <f t="shared" si="16"/>
        <v>-3.9330189269720928E-3</v>
      </c>
      <c r="AA10" s="2">
        <f t="shared" si="17"/>
        <v>-3.8605252200269724E-3</v>
      </c>
      <c r="AB10" s="2">
        <f t="shared" si="18"/>
        <v>-6.6267099327797507E-3</v>
      </c>
      <c r="AC10" s="2">
        <f t="shared" si="19"/>
        <v>-2.5847017664107075E-3</v>
      </c>
    </row>
    <row r="11" spans="1:29" x14ac:dyDescent="0.25">
      <c r="A11" s="45" t="s">
        <v>3</v>
      </c>
      <c r="B11" s="11">
        <v>3.03</v>
      </c>
      <c r="C11" s="12">
        <v>3.38</v>
      </c>
      <c r="D11" s="12">
        <v>3.85</v>
      </c>
      <c r="E11" s="12">
        <v>4.5</v>
      </c>
      <c r="F11" s="12">
        <v>5.78</v>
      </c>
      <c r="G11" s="10">
        <v>5.88</v>
      </c>
      <c r="H11" s="21" t="s">
        <v>18</v>
      </c>
      <c r="I11" s="10">
        <v>0.02</v>
      </c>
      <c r="J11" s="50" t="s">
        <v>23</v>
      </c>
      <c r="K11" s="83" t="s">
        <v>1</v>
      </c>
      <c r="L11" s="66">
        <f>$I3*$I$12*($I$7-L3)/2</f>
        <v>4.931168433028036E-2</v>
      </c>
      <c r="M11" s="72">
        <f t="shared" ref="M11:Q11" si="23">$I3*$I$12*($I$7-M3)/2</f>
        <v>4.9417545636832434E-2</v>
      </c>
      <c r="N11" s="63">
        <f t="shared" si="23"/>
        <v>4.943891979093791E-2</v>
      </c>
      <c r="O11" s="72">
        <f t="shared" si="23"/>
        <v>4.9471662899767371E-2</v>
      </c>
      <c r="P11" s="63">
        <f t="shared" si="23"/>
        <v>4.9497893153937482E-2</v>
      </c>
      <c r="Q11" s="78">
        <f t="shared" si="23"/>
        <v>4.9517676650024864E-2</v>
      </c>
      <c r="R11" s="2">
        <f>L11-R$4</f>
        <v>-7.2700193033269134E-2</v>
      </c>
      <c r="S11" s="2">
        <f t="shared" ref="S11:W14" si="24">M11-S$4</f>
        <v>-7.3129655247122699E-2</v>
      </c>
      <c r="T11" s="2">
        <f t="shared" si="24"/>
        <v>-7.3350369282033492E-2</v>
      </c>
      <c r="U11" s="2">
        <f t="shared" si="24"/>
        <v>-7.3636446445187187E-2</v>
      </c>
      <c r="V11" s="2">
        <f t="shared" si="24"/>
        <v>-7.3867449841292065E-2</v>
      </c>
      <c r="W11" s="2">
        <f t="shared" si="24"/>
        <v>-7.3937103035846843E-2</v>
      </c>
      <c r="X11" t="s">
        <v>35</v>
      </c>
    </row>
    <row r="12" spans="1:29" ht="15.75" thickBot="1" x14ac:dyDescent="0.3">
      <c r="A12" s="45"/>
      <c r="B12" s="11">
        <v>2.87</v>
      </c>
      <c r="C12" s="12">
        <v>3.56</v>
      </c>
      <c r="D12" s="12">
        <v>3.97</v>
      </c>
      <c r="E12" s="12">
        <v>4.8099999999999996</v>
      </c>
      <c r="F12" s="12">
        <v>5.87</v>
      </c>
      <c r="G12" s="10">
        <v>5.9</v>
      </c>
      <c r="H12" s="23" t="s">
        <v>22</v>
      </c>
      <c r="I12" s="19">
        <v>4.5999999999999999E-2</v>
      </c>
      <c r="J12" s="50"/>
      <c r="K12" s="82" t="s">
        <v>2</v>
      </c>
      <c r="L12" s="67">
        <f t="shared" ref="L12:Q12" si="25">$I4*$I$12*($I$7-L4)/2</f>
        <v>9.8135467101446092E-2</v>
      </c>
      <c r="M12" s="73">
        <f t="shared" si="25"/>
        <v>9.861823985890654E-2</v>
      </c>
      <c r="N12" s="64">
        <f t="shared" si="25"/>
        <v>9.8589110836590457E-2</v>
      </c>
      <c r="O12" s="73">
        <f t="shared" si="25"/>
        <v>9.8712704282738595E-2</v>
      </c>
      <c r="P12" s="64">
        <f t="shared" si="25"/>
        <v>9.8812912009421744E-2</v>
      </c>
      <c r="Q12" s="79">
        <f t="shared" si="25"/>
        <v>9.8903958440228507E-2</v>
      </c>
      <c r="R12" s="2">
        <f t="shared" ref="R12:R14" si="26">L12-R$4</f>
        <v>-2.3876410262103409E-2</v>
      </c>
      <c r="S12" s="2">
        <f t="shared" si="24"/>
        <v>-2.3928961025048587E-2</v>
      </c>
      <c r="T12" s="2">
        <f t="shared" si="24"/>
        <v>-2.4200178236380945E-2</v>
      </c>
      <c r="U12" s="2">
        <f t="shared" si="24"/>
        <v>-2.4395405062215963E-2</v>
      </c>
      <c r="V12" s="2">
        <f t="shared" si="24"/>
        <v>-2.455243098580781E-2</v>
      </c>
      <c r="W12" s="2">
        <f t="shared" si="24"/>
        <v>-2.4550821245643201E-2</v>
      </c>
      <c r="X12" s="2">
        <f>SUM(R20:R23)</f>
        <v>24.039444780744361</v>
      </c>
      <c r="Y12" s="2">
        <f t="shared" ref="Y12:AC12" si="27">SUM(S20:S23)</f>
        <v>18.337378865730358</v>
      </c>
      <c r="Z12" s="2">
        <f t="shared" si="27"/>
        <v>10.461727471021291</v>
      </c>
      <c r="AA12" s="2">
        <f t="shared" si="27"/>
        <v>4.991861452862981</v>
      </c>
      <c r="AB12" s="2">
        <f t="shared" si="27"/>
        <v>2.2774933142518519</v>
      </c>
      <c r="AC12" s="2">
        <f t="shared" si="27"/>
        <v>1.7642935805605027</v>
      </c>
    </row>
    <row r="13" spans="1:29" x14ac:dyDescent="0.25">
      <c r="A13" s="45"/>
      <c r="B13" s="11">
        <v>3.09</v>
      </c>
      <c r="C13" s="12">
        <v>3.47</v>
      </c>
      <c r="D13" s="12">
        <v>4</v>
      </c>
      <c r="E13" s="12">
        <v>4.62</v>
      </c>
      <c r="F13" s="12">
        <v>5.88</v>
      </c>
      <c r="G13" s="10">
        <v>6.03</v>
      </c>
      <c r="H13" s="39"/>
      <c r="I13" s="40"/>
      <c r="J13" s="50"/>
      <c r="K13" s="82" t="s">
        <v>3</v>
      </c>
      <c r="L13" s="67">
        <f t="shared" ref="L13:Q13" si="28">$I5*$I$12*($I$7-L5)/2</f>
        <v>0.14639741050060567</v>
      </c>
      <c r="M13" s="73">
        <f t="shared" si="28"/>
        <v>0.14699901565497597</v>
      </c>
      <c r="N13" s="64">
        <f t="shared" si="28"/>
        <v>0.14739498765750214</v>
      </c>
      <c r="O13" s="73">
        <f t="shared" si="28"/>
        <v>0.14777831060543206</v>
      </c>
      <c r="P13" s="64">
        <f t="shared" si="28"/>
        <v>0.1481415872442938</v>
      </c>
      <c r="Q13" s="79">
        <f t="shared" si="28"/>
        <v>0.14816100393542042</v>
      </c>
      <c r="R13" s="2">
        <f t="shared" si="26"/>
        <v>2.4385533137056173E-2</v>
      </c>
      <c r="S13" s="2">
        <f t="shared" si="24"/>
        <v>2.4451814771020847E-2</v>
      </c>
      <c r="T13" s="2">
        <f t="shared" si="24"/>
        <v>2.4605698584530739E-2</v>
      </c>
      <c r="U13" s="2">
        <f t="shared" si="24"/>
        <v>2.4670201260477503E-2</v>
      </c>
      <c r="V13" s="2">
        <f t="shared" si="24"/>
        <v>2.4776244249064244E-2</v>
      </c>
      <c r="W13" s="2">
        <f t="shared" si="24"/>
        <v>2.4706224249548714E-2</v>
      </c>
      <c r="X13" t="s">
        <v>36</v>
      </c>
    </row>
    <row r="14" spans="1:29" ht="15.75" thickBot="1" x14ac:dyDescent="0.3">
      <c r="A14" s="45"/>
      <c r="B14" s="13">
        <f>AVERAGE(B11:B13)</f>
        <v>2.9966666666666666</v>
      </c>
      <c r="C14" s="14">
        <f t="shared" ref="C14:G14" si="29">AVERAGE(C11:C13)</f>
        <v>3.47</v>
      </c>
      <c r="D14" s="14">
        <f t="shared" si="29"/>
        <v>3.94</v>
      </c>
      <c r="E14" s="14">
        <f t="shared" si="29"/>
        <v>4.6433333333333335</v>
      </c>
      <c r="F14" s="9">
        <f t="shared" si="29"/>
        <v>5.8433333333333337</v>
      </c>
      <c r="G14" s="24">
        <f t="shared" si="29"/>
        <v>5.9366666666666674</v>
      </c>
      <c r="H14" s="12"/>
      <c r="I14" s="10"/>
      <c r="J14" s="51"/>
      <c r="K14" s="54" t="s">
        <v>4</v>
      </c>
      <c r="L14" s="68">
        <f t="shared" ref="L14:Q14" si="30">$I6*$I$12*($I$7-L6)/2</f>
        <v>0.1942029475218659</v>
      </c>
      <c r="M14" s="74">
        <f t="shared" si="30"/>
        <v>0.19515400238510552</v>
      </c>
      <c r="N14" s="55">
        <f t="shared" si="30"/>
        <v>0.1957341380068551</v>
      </c>
      <c r="O14" s="74">
        <f t="shared" si="30"/>
        <v>0.19646975959188015</v>
      </c>
      <c r="P14" s="55">
        <f t="shared" si="30"/>
        <v>0.19700897957326516</v>
      </c>
      <c r="Q14" s="80">
        <f t="shared" si="30"/>
        <v>0.19723647971781308</v>
      </c>
      <c r="R14" s="2">
        <f t="shared" si="26"/>
        <v>7.2191070158316398E-2</v>
      </c>
      <c r="S14" s="2">
        <f t="shared" si="24"/>
        <v>7.2606801501150398E-2</v>
      </c>
      <c r="T14" s="2">
        <f t="shared" si="24"/>
        <v>7.2944848933883699E-2</v>
      </c>
      <c r="U14" s="2">
        <f t="shared" si="24"/>
        <v>7.3361650246925592E-2</v>
      </c>
      <c r="V14" s="2">
        <f t="shared" si="24"/>
        <v>7.3643636578035604E-2</v>
      </c>
      <c r="W14" s="2">
        <f t="shared" si="24"/>
        <v>7.3781700031941372E-2</v>
      </c>
      <c r="X14" s="2">
        <f>X7*X7</f>
        <v>8.4569750212106615E-7</v>
      </c>
      <c r="Y14" s="2">
        <f t="shared" ref="Y14:AC14" si="31">Y7*Y7</f>
        <v>1.243076081344351E-4</v>
      </c>
      <c r="Z14" s="2">
        <f t="shared" si="31"/>
        <v>1.7959327332447736E-5</v>
      </c>
      <c r="AA14" s="2">
        <f t="shared" si="31"/>
        <v>4.0836029845379955E-6</v>
      </c>
      <c r="AB14" s="2">
        <f t="shared" si="31"/>
        <v>2.3016583741336764E-5</v>
      </c>
      <c r="AC14" s="2">
        <f t="shared" si="31"/>
        <v>3.6306764084528571E-6</v>
      </c>
    </row>
    <row r="15" spans="1:29" x14ac:dyDescent="0.25">
      <c r="A15" s="45" t="s">
        <v>4</v>
      </c>
      <c r="B15" s="11">
        <v>2.4900000000000002</v>
      </c>
      <c r="C15" s="12">
        <v>2.78</v>
      </c>
      <c r="D15" s="12">
        <v>3.43</v>
      </c>
      <c r="E15" s="12">
        <v>3.82</v>
      </c>
      <c r="F15" s="9">
        <v>4.5</v>
      </c>
      <c r="G15" s="24">
        <v>5.25</v>
      </c>
      <c r="H15" s="7"/>
      <c r="I15" s="7"/>
      <c r="J15" s="1"/>
      <c r="K15" s="1"/>
      <c r="L15" s="1"/>
      <c r="R15" s="2">
        <f>R7*R11</f>
        <v>0.23697928597303111</v>
      </c>
      <c r="S15" s="2">
        <f t="shared" ref="S15:W15" si="32">S7*S11</f>
        <v>0.18149584327258508</v>
      </c>
      <c r="T15" s="2">
        <f t="shared" si="32"/>
        <v>0.15079225284145054</v>
      </c>
      <c r="U15" s="2">
        <f t="shared" si="32"/>
        <v>0.10784148559503194</v>
      </c>
      <c r="V15" s="2">
        <f t="shared" si="32"/>
        <v>7.2110810154635149E-2</v>
      </c>
      <c r="W15" s="2">
        <f t="shared" si="32"/>
        <v>6.4313699364762125E-2</v>
      </c>
      <c r="X15" s="2">
        <f t="shared" ref="X15:AC15" si="33">X8*X8</f>
        <v>3.0457570796675619E-6</v>
      </c>
      <c r="Y15" s="2">
        <f t="shared" si="33"/>
        <v>2.1858654859612396E-4</v>
      </c>
      <c r="Z15" s="2">
        <f t="shared" si="33"/>
        <v>1.0303350120309684E-5</v>
      </c>
      <c r="AA15" s="2">
        <f t="shared" si="33"/>
        <v>1.515751684098648E-6</v>
      </c>
      <c r="AB15" s="2">
        <f t="shared" si="33"/>
        <v>1.2257040107243873E-4</v>
      </c>
      <c r="AC15" s="2">
        <f t="shared" si="33"/>
        <v>5.3873841463930387E-7</v>
      </c>
    </row>
    <row r="16" spans="1:29" x14ac:dyDescent="0.25">
      <c r="A16" s="45"/>
      <c r="B16" s="11">
        <v>2.66</v>
      </c>
      <c r="C16" s="12">
        <v>2.94</v>
      </c>
      <c r="D16" s="12">
        <v>3.25</v>
      </c>
      <c r="E16" s="12">
        <v>3.85</v>
      </c>
      <c r="F16" s="12">
        <v>4.3099999999999996</v>
      </c>
      <c r="G16" s="10">
        <v>4.97</v>
      </c>
      <c r="H16" s="7"/>
      <c r="I16" s="7"/>
      <c r="R16" s="2">
        <f t="shared" ref="R16:W16" si="34">R8*R12</f>
        <v>2.7780720745290196E-2</v>
      </c>
      <c r="S16" s="2">
        <f t="shared" si="34"/>
        <v>3.709429326705295E-2</v>
      </c>
      <c r="T16" s="2">
        <f t="shared" si="34"/>
        <v>1.9730974748795232E-2</v>
      </c>
      <c r="U16" s="2">
        <f t="shared" si="34"/>
        <v>1.1556099913664668E-2</v>
      </c>
      <c r="V16" s="2">
        <f t="shared" si="34"/>
        <v>4.6782573645216914E-3</v>
      </c>
      <c r="W16" s="2">
        <f t="shared" si="34"/>
        <v>7.4962366000078124E-3</v>
      </c>
      <c r="X16" s="2">
        <f t="shared" ref="X16:AC16" si="35">X9*X9</f>
        <v>6.6449144044744391E-7</v>
      </c>
      <c r="Y16" s="2">
        <f t="shared" si="35"/>
        <v>1.0484083561727457E-5</v>
      </c>
      <c r="Z16" s="2">
        <f t="shared" si="35"/>
        <v>2.4611326422685257E-5</v>
      </c>
      <c r="AA16" s="2">
        <f t="shared" si="35"/>
        <v>5.0587322786585975E-5</v>
      </c>
      <c r="AB16" s="2">
        <f t="shared" si="35"/>
        <v>5.0604400507049836E-4</v>
      </c>
      <c r="AC16" s="2">
        <f t="shared" si="35"/>
        <v>1.4108641313870931E-5</v>
      </c>
    </row>
    <row r="17" spans="1:32" x14ac:dyDescent="0.25">
      <c r="A17" s="45"/>
      <c r="B17" s="11">
        <v>2.69</v>
      </c>
      <c r="C17" s="12">
        <v>3.21</v>
      </c>
      <c r="D17" s="12">
        <v>3.19</v>
      </c>
      <c r="E17" s="12">
        <v>3.97</v>
      </c>
      <c r="F17" s="12">
        <v>4.97</v>
      </c>
      <c r="G17" s="10">
        <v>4.9000000000000004</v>
      </c>
      <c r="H17" s="7"/>
      <c r="I17" s="7"/>
      <c r="R17" s="2">
        <f t="shared" ref="R17:W17" si="36">R9*R13</f>
        <v>2.790697032754853E-2</v>
      </c>
      <c r="S17" s="2">
        <f t="shared" si="36"/>
        <v>2.7111223160044655E-2</v>
      </c>
      <c r="T17" s="2">
        <f t="shared" si="36"/>
        <v>1.4378099019176565E-2</v>
      </c>
      <c r="U17" s="2">
        <f t="shared" si="36"/>
        <v>8.8578027824835707E-3</v>
      </c>
      <c r="V17" s="2">
        <f t="shared" si="36"/>
        <v>7.9870323992877195E-4</v>
      </c>
      <c r="W17" s="2">
        <f t="shared" si="36"/>
        <v>6.2504255166699278E-3</v>
      </c>
      <c r="X17" s="2">
        <f t="shared" ref="X17:AC17" si="37">X10*X10</f>
        <v>1.0874693627317021E-10</v>
      </c>
      <c r="Y17" s="2">
        <f t="shared" si="37"/>
        <v>1.5794831396963033E-7</v>
      </c>
      <c r="Z17" s="2">
        <f t="shared" si="37"/>
        <v>1.5468637879920713E-5</v>
      </c>
      <c r="AA17" s="2">
        <f t="shared" si="37"/>
        <v>1.4903654974464304E-5</v>
      </c>
      <c r="AB17" s="2">
        <f t="shared" si="37"/>
        <v>4.3913284533201807E-5</v>
      </c>
      <c r="AC17" s="2">
        <f t="shared" si="37"/>
        <v>6.6806832212866311E-6</v>
      </c>
    </row>
    <row r="18" spans="1:32" ht="15.75" thickBot="1" x14ac:dyDescent="0.3">
      <c r="A18" s="46"/>
      <c r="B18" s="17">
        <f>AVERAGE(B15:B17)</f>
        <v>2.6133333333333333</v>
      </c>
      <c r="C18" s="18">
        <f t="shared" ref="C18:G18" si="38">AVERAGE(C15:C17)</f>
        <v>2.9766666666666666</v>
      </c>
      <c r="D18" s="18">
        <f t="shared" si="38"/>
        <v>3.2899999999999996</v>
      </c>
      <c r="E18" s="18">
        <f t="shared" si="38"/>
        <v>3.8800000000000003</v>
      </c>
      <c r="F18" s="18">
        <f t="shared" si="38"/>
        <v>4.5933333333333328</v>
      </c>
      <c r="G18" s="19">
        <f t="shared" si="38"/>
        <v>5.04</v>
      </c>
      <c r="H18" s="7"/>
      <c r="I18" s="7"/>
      <c r="R18" s="2">
        <f t="shared" ref="R18:W18" si="39">R10*R14</f>
        <v>0.23669963067048078</v>
      </c>
      <c r="S18" s="2">
        <f t="shared" si="39"/>
        <v>0.2122485066572615</v>
      </c>
      <c r="T18" s="2">
        <f t="shared" si="39"/>
        <v>0.16680763561627049</v>
      </c>
      <c r="U18" s="2">
        <f t="shared" si="39"/>
        <v>0.11585004402328132</v>
      </c>
      <c r="V18" s="2">
        <f t="shared" si="39"/>
        <v>8.3550464863591772E-2</v>
      </c>
      <c r="W18" s="2">
        <f t="shared" si="39"/>
        <v>6.8040667464480051E-2</v>
      </c>
    </row>
    <row r="19" spans="1:32" ht="30" x14ac:dyDescent="0.25">
      <c r="A19" s="27" t="s">
        <v>24</v>
      </c>
      <c r="B19" s="3" t="s">
        <v>25</v>
      </c>
      <c r="C19" s="28" t="s">
        <v>27</v>
      </c>
      <c r="D19" s="29" t="s">
        <v>26</v>
      </c>
      <c r="E19" s="33" t="s">
        <v>28</v>
      </c>
      <c r="F19" s="34" t="s">
        <v>29</v>
      </c>
      <c r="G19" s="35" t="s">
        <v>30</v>
      </c>
      <c r="X19" t="s">
        <v>37</v>
      </c>
    </row>
    <row r="20" spans="1:32" ht="15.75" thickBot="1" x14ac:dyDescent="0.3">
      <c r="A20" s="25">
        <f>POWER(B3-$B$6,2)</f>
        <v>4.4444444444444132E-3</v>
      </c>
      <c r="B20" s="1">
        <f>SQRT(SUM(A20:A22)/6)</f>
        <v>9.8206132417708272E-2</v>
      </c>
      <c r="C20" s="1" t="s">
        <v>52</v>
      </c>
      <c r="D20" s="26" t="e">
        <f>SQRT(C20*C20+POWER(0.02/3,2))</f>
        <v>#VALUE!</v>
      </c>
      <c r="E20" s="30" t="e">
        <f>SQRT(POWER(2*$D$20/$B$6,2))*L3</f>
        <v>#VALUE!</v>
      </c>
      <c r="F20" s="31" t="e">
        <f>SQRT(POWER($E$20/L3,2)+POWER(0.0005/$I$12,2))*L7</f>
        <v>#VALUE!</v>
      </c>
      <c r="G20" s="32" t="e">
        <f>SQRT(POWER(0.0005/$I$3,2)+POWER(0.0005/$I$12,2)+POWER($E$20/L3,2))*L11</f>
        <v>#VALUE!</v>
      </c>
      <c r="R20">
        <f>R7*R7</f>
        <v>10.62550659536212</v>
      </c>
      <c r="S20">
        <f t="shared" ref="S20:W20" si="40">S7*S7</f>
        <v>6.1595121173308538</v>
      </c>
      <c r="T20">
        <f t="shared" si="40"/>
        <v>4.2262331280623737</v>
      </c>
      <c r="U20">
        <f t="shared" si="40"/>
        <v>2.1447964378585249</v>
      </c>
      <c r="V20">
        <f t="shared" si="40"/>
        <v>0.95300359247235011</v>
      </c>
      <c r="W20">
        <f t="shared" si="40"/>
        <v>0.75662749990992417</v>
      </c>
      <c r="X20">
        <f>(1/X12)*(SUM(X14:X17)/2)</f>
        <v>9.4762063157584923E-8</v>
      </c>
      <c r="Y20">
        <f t="shared" ref="Y20:AC20" si="41">(1/Y12)*(SUM(Y14:Y17)/2)</f>
        <v>9.6397688894065171E-6</v>
      </c>
      <c r="Z20">
        <f t="shared" si="41"/>
        <v>3.2663172475420862E-6</v>
      </c>
      <c r="AA20">
        <f t="shared" si="41"/>
        <v>7.120623549048473E-6</v>
      </c>
      <c r="AB20">
        <f t="shared" si="41"/>
        <v>1.5269952057926447E-4</v>
      </c>
      <c r="AC20">
        <f t="shared" si="41"/>
        <v>7.0732954065163354E-6</v>
      </c>
    </row>
    <row r="21" spans="1:32" ht="15.75" thickBot="1" x14ac:dyDescent="0.3">
      <c r="A21" s="25">
        <f t="shared" ref="A21:A22" si="42">POWER(B4-$B$6,2)</f>
        <v>1.604444444444451E-2</v>
      </c>
      <c r="B21" s="1"/>
      <c r="C21" s="1"/>
      <c r="D21" s="26"/>
      <c r="E21" s="30" t="e">
        <f t="shared" ref="E21:E23" si="43">SQRT(POWER(2*$D$20/$B$6,2))*L4</f>
        <v>#VALUE!</v>
      </c>
      <c r="F21" s="31" t="e">
        <f t="shared" ref="F21:F23" si="44">SQRT(POWER($E$20/L4,2)+POWER(0.0005/$I$12,2))*L8</f>
        <v>#VALUE!</v>
      </c>
      <c r="G21" s="32" t="e">
        <f t="shared" ref="G21:G23" si="45">SQRT(POWER(0.0005/$I$3,2)+POWER(0.0005/$I$12,2)+POWER($E$20/L4,2))*L12</f>
        <v>#VALUE!</v>
      </c>
      <c r="R21">
        <f t="shared" ref="R21:W21" si="46">R8*R8</f>
        <v>1.3537826769028991</v>
      </c>
      <c r="S21">
        <f t="shared" si="46"/>
        <v>2.4030705309522671</v>
      </c>
      <c r="T21">
        <f t="shared" si="46"/>
        <v>0.66475245873876365</v>
      </c>
      <c r="U21">
        <f t="shared" si="46"/>
        <v>0.22439155546302536</v>
      </c>
      <c r="V21">
        <f t="shared" si="46"/>
        <v>3.6306068434877936E-2</v>
      </c>
      <c r="W21">
        <f t="shared" si="46"/>
        <v>9.3229750635124273E-2</v>
      </c>
      <c r="X21" t="s">
        <v>38</v>
      </c>
    </row>
    <row r="22" spans="1:32" ht="15.75" thickBot="1" x14ac:dyDescent="0.3">
      <c r="A22" s="30">
        <f t="shared" si="42"/>
        <v>3.7377777777777788E-2</v>
      </c>
      <c r="B22" s="31"/>
      <c r="C22" s="31"/>
      <c r="D22" s="32"/>
      <c r="E22" s="30" t="e">
        <f t="shared" si="43"/>
        <v>#VALUE!</v>
      </c>
      <c r="F22" s="31" t="e">
        <f t="shared" si="44"/>
        <v>#VALUE!</v>
      </c>
      <c r="G22" s="32" t="e">
        <f t="shared" si="45"/>
        <v>#VALUE!</v>
      </c>
      <c r="R22">
        <f t="shared" ref="R22:W22" si="47">R9*R9</f>
        <v>1.309666959916655</v>
      </c>
      <c r="S22">
        <f t="shared" si="47"/>
        <v>1.2293513689110187</v>
      </c>
      <c r="T22">
        <f t="shared" si="47"/>
        <v>0.34145347822508082</v>
      </c>
      <c r="U22">
        <f t="shared" si="47"/>
        <v>0.12891594251759372</v>
      </c>
      <c r="V22">
        <f t="shared" si="47"/>
        <v>1.0392019304706749E-3</v>
      </c>
      <c r="W22">
        <f t="shared" si="47"/>
        <v>6.4003895940855426E-2</v>
      </c>
      <c r="X22">
        <f>(1/4+R6*R6/X12)*(SUM(X14:X17)/2)</f>
        <v>3.5773683492573541E-6</v>
      </c>
      <c r="Y22">
        <f t="shared" ref="Y22:AC22" si="48">(1/4+S6*S6/Y12)*(SUM(Y14:Y17)/2)</f>
        <v>1.9432801590828748E-4</v>
      </c>
      <c r="Z22">
        <f t="shared" si="48"/>
        <v>4.490986317721105E-5</v>
      </c>
      <c r="AA22">
        <f t="shared" si="48"/>
        <v>5.2122748762783092E-5</v>
      </c>
      <c r="AB22">
        <f t="shared" si="48"/>
        <v>5.5483432668750282E-4</v>
      </c>
      <c r="AC22">
        <f t="shared" si="48"/>
        <v>1.8489900444922938E-5</v>
      </c>
    </row>
    <row r="23" spans="1:32" ht="15.75" thickBot="1" x14ac:dyDescent="0.3">
      <c r="E23" s="30" t="e">
        <f t="shared" si="43"/>
        <v>#VALUE!</v>
      </c>
      <c r="F23" s="31" t="e">
        <f t="shared" si="44"/>
        <v>#VALUE!</v>
      </c>
      <c r="G23" s="32" t="e">
        <f t="shared" si="45"/>
        <v>#VALUE!</v>
      </c>
      <c r="R23">
        <f t="shared" ref="R23:W23" si="49">R10*R10</f>
        <v>10.750488548562688</v>
      </c>
      <c r="S23">
        <f t="shared" si="49"/>
        <v>8.5454448485362207</v>
      </c>
      <c r="T23">
        <f t="shared" si="49"/>
        <v>5.2292884059950735</v>
      </c>
      <c r="U23">
        <f t="shared" si="49"/>
        <v>2.4937575170238366</v>
      </c>
      <c r="V23">
        <f t="shared" si="49"/>
        <v>1.287144451414153</v>
      </c>
      <c r="W23">
        <f t="shared" si="49"/>
        <v>0.85043243407459879</v>
      </c>
    </row>
    <row r="24" spans="1:32" x14ac:dyDescent="0.25">
      <c r="Q24" s="70"/>
      <c r="R24" s="70">
        <v>1</v>
      </c>
      <c r="S24" s="70">
        <v>2</v>
      </c>
      <c r="T24" s="70">
        <v>3</v>
      </c>
      <c r="U24" s="70">
        <v>4</v>
      </c>
      <c r="V24" s="70">
        <v>5</v>
      </c>
      <c r="W24" s="70">
        <v>6</v>
      </c>
      <c r="X24" t="s">
        <v>42</v>
      </c>
      <c r="Y24" t="s">
        <v>43</v>
      </c>
      <c r="Z24" t="s">
        <v>48</v>
      </c>
      <c r="AA24" t="s">
        <v>49</v>
      </c>
      <c r="AB24" t="s">
        <v>35</v>
      </c>
      <c r="AC24" t="s">
        <v>37</v>
      </c>
      <c r="AD24" t="s">
        <v>38</v>
      </c>
      <c r="AE24" t="s">
        <v>50</v>
      </c>
      <c r="AF24" t="s">
        <v>51</v>
      </c>
    </row>
    <row r="25" spans="1:32" x14ac:dyDescent="0.25">
      <c r="Q25" s="70" t="s">
        <v>40</v>
      </c>
      <c r="R25" s="5">
        <f>$I$8+(COLUMN(A1)-1)*$I$9+$I$11</f>
        <v>7.6999999999999999E-2</v>
      </c>
      <c r="S25" s="5">
        <f t="shared" ref="S25:W25" si="50">$I$8+(COLUMN(B1)-1)*$I$9+$I$11</f>
        <v>0.10200000000000001</v>
      </c>
      <c r="T25" s="5">
        <f t="shared" si="50"/>
        <v>0.127</v>
      </c>
      <c r="U25" s="5">
        <f t="shared" si="50"/>
        <v>0.152</v>
      </c>
      <c r="V25" s="5">
        <f t="shared" si="50"/>
        <v>0.17699999999999999</v>
      </c>
      <c r="W25" s="5">
        <f t="shared" si="50"/>
        <v>0.20199999999999999</v>
      </c>
      <c r="Y25" s="4">
        <f>SUM(R31:W31)/SUM(R30:W30)</f>
        <v>1.8860348499421946</v>
      </c>
      <c r="Z25">
        <f>Y25/4</f>
        <v>0.47150871248554865</v>
      </c>
      <c r="AA25">
        <f>X27-Y25*X26</f>
        <v>7.038542523724052E-3</v>
      </c>
      <c r="AB25">
        <f>SUM(R30:W30)</f>
        <v>8.6596927083333294E-4</v>
      </c>
      <c r="AC25">
        <f>(1/AB25)*(SUM(R33:W33)/4)</f>
        <v>1.6679021481316256E-2</v>
      </c>
      <c r="AD25">
        <f>(1/6+X26*X26/AB25)*SUM(R33:W33)/4</f>
        <v>9.9624028008050029E-6</v>
      </c>
      <c r="AE25">
        <f>SQRT(AC25)*2.57/4</f>
        <v>8.2977131255374259E-2</v>
      </c>
      <c r="AF25">
        <f>SQRT(AD25)*2.57</f>
        <v>8.1117614769565891E-3</v>
      </c>
    </row>
    <row r="26" spans="1:32" x14ac:dyDescent="0.25">
      <c r="Q26" s="70" t="s">
        <v>41</v>
      </c>
      <c r="R26" s="70">
        <f>R25*R25</f>
        <v>5.9290000000000002E-3</v>
      </c>
      <c r="S26" s="70">
        <f t="shared" ref="S26:W26" si="51">S25*S25</f>
        <v>1.0404000000000002E-2</v>
      </c>
      <c r="T26" s="70">
        <f t="shared" si="51"/>
        <v>1.6129000000000001E-2</v>
      </c>
      <c r="U26" s="70">
        <f t="shared" si="51"/>
        <v>2.3104E-2</v>
      </c>
      <c r="V26" s="70">
        <f t="shared" si="51"/>
        <v>3.1328999999999996E-2</v>
      </c>
      <c r="W26" s="70">
        <f t="shared" si="51"/>
        <v>4.0803999999999993E-2</v>
      </c>
      <c r="X26" s="2">
        <f>AVERAGE(R26:W26)</f>
        <v>2.1283166666666669E-2</v>
      </c>
    </row>
    <row r="27" spans="1:32" x14ac:dyDescent="0.25">
      <c r="Q27" s="70" t="s">
        <v>33</v>
      </c>
      <c r="R27" s="70">
        <f>SUM($R$15:$R$18)/SUM($R$20:$R$23)</f>
        <v>2.2020750168921296E-2</v>
      </c>
      <c r="S27" s="70">
        <f>SUM($S$15:$S$18)/SUM($S$20:$S$23)</f>
        <v>2.4973572815948065E-2</v>
      </c>
      <c r="T27" s="70">
        <f>SUM($T$15:$T$18)/SUM($T$20:$T$23)</f>
        <v>3.3618631645673941E-2</v>
      </c>
      <c r="U27" s="70">
        <f>SUM($U$15:$U$18)/SUM($U$20:$U$23)</f>
        <v>4.8900682564909689E-2</v>
      </c>
      <c r="V27" s="70">
        <f>SUM($V$15:$V$18)/SUM($V$20:$V$23)</f>
        <v>7.0752451660043916E-2</v>
      </c>
      <c r="W27" s="70">
        <f>SUM($W$15:$W$18)/SUM($W$20:$W$23)</f>
        <v>8.2809930589615777E-2</v>
      </c>
      <c r="X27" s="2">
        <f>AVERAGE(R27:W27)</f>
        <v>4.7179336574185445E-2</v>
      </c>
    </row>
    <row r="28" spans="1:32" x14ac:dyDescent="0.25">
      <c r="Q28" s="2" t="s">
        <v>45</v>
      </c>
      <c r="R28">
        <f>R26-$X26</f>
        <v>-1.5354166666666669E-2</v>
      </c>
      <c r="S28">
        <f>S26-$X26</f>
        <v>-1.0879166666666667E-2</v>
      </c>
      <c r="T28">
        <f>T26-$X26</f>
        <v>-5.154166666666668E-3</v>
      </c>
      <c r="U28">
        <f t="shared" ref="S28:W29" si="52">U26-$X26</f>
        <v>1.8208333333333306E-3</v>
      </c>
      <c r="V28">
        <f t="shared" si="52"/>
        <v>1.0045833333333327E-2</v>
      </c>
      <c r="W28">
        <f t="shared" si="52"/>
        <v>1.9520833333333324E-2</v>
      </c>
    </row>
    <row r="29" spans="1:32" x14ac:dyDescent="0.25">
      <c r="Q29" s="2" t="s">
        <v>44</v>
      </c>
      <c r="R29">
        <f>R27-$X27</f>
        <v>-2.5158586405264149E-2</v>
      </c>
      <c r="S29">
        <f t="shared" si="52"/>
        <v>-2.2205763758237379E-2</v>
      </c>
      <c r="T29">
        <f t="shared" si="52"/>
        <v>-1.3560704928511504E-2</v>
      </c>
      <c r="U29">
        <f t="shared" si="52"/>
        <v>1.7213459907242448E-3</v>
      </c>
      <c r="V29">
        <f t="shared" si="52"/>
        <v>2.3573115085858472E-2</v>
      </c>
      <c r="W29">
        <f t="shared" si="52"/>
        <v>3.5630594015430332E-2</v>
      </c>
    </row>
    <row r="30" spans="1:32" x14ac:dyDescent="0.25">
      <c r="Q30" t="s">
        <v>46</v>
      </c>
      <c r="R30">
        <f>R28*R28</f>
        <v>2.3575043402777784E-4</v>
      </c>
      <c r="S30">
        <f t="shared" ref="S30:W30" si="53">S28*S28</f>
        <v>1.1835626736111112E-4</v>
      </c>
      <c r="T30">
        <f t="shared" si="53"/>
        <v>2.6565434027777793E-5</v>
      </c>
      <c r="U30">
        <f t="shared" si="53"/>
        <v>3.3154340277777676E-6</v>
      </c>
      <c r="V30">
        <f t="shared" si="53"/>
        <v>1.0091876736111099E-4</v>
      </c>
      <c r="W30">
        <f t="shared" si="53"/>
        <v>3.8106293402777742E-4</v>
      </c>
    </row>
    <row r="31" spans="1:32" x14ac:dyDescent="0.25">
      <c r="Q31" t="s">
        <v>47</v>
      </c>
      <c r="R31">
        <f>R28*R29</f>
        <v>3.8628912876415998E-4</v>
      </c>
      <c r="S31">
        <f t="shared" ref="S31:W31" si="54">S28*S29</f>
        <v>2.4158020488649083E-4</v>
      </c>
      <c r="T31">
        <f t="shared" si="54"/>
        <v>6.9894133319036399E-5</v>
      </c>
      <c r="U31">
        <f t="shared" si="54"/>
        <v>3.134284158110391E-6</v>
      </c>
      <c r="V31">
        <f t="shared" si="54"/>
        <v>2.3681158530001973E-4</v>
      </c>
      <c r="W31">
        <f t="shared" si="54"/>
        <v>6.9553888734287929E-4</v>
      </c>
    </row>
    <row r="32" spans="1:32" x14ac:dyDescent="0.25">
      <c r="Q32" t="s">
        <v>34</v>
      </c>
      <c r="R32">
        <f>R27-($AA$25+$Y$25*R26)</f>
        <v>3.7999070198899733E-3</v>
      </c>
      <c r="S32">
        <f t="shared" ref="S32:W32" si="55">S27-($AA$25+$Y$25*S26)</f>
        <v>-1.6872762865745815E-3</v>
      </c>
      <c r="T32">
        <f t="shared" si="55"/>
        <v>-3.8397669727677705E-3</v>
      </c>
      <c r="U32">
        <f t="shared" si="55"/>
        <v>-1.712809131878823E-3</v>
      </c>
      <c r="V32">
        <f t="shared" si="55"/>
        <v>4.6263233224808492E-3</v>
      </c>
      <c r="W32">
        <f t="shared" si="55"/>
        <v>-1.1863779511495642E-3</v>
      </c>
    </row>
    <row r="33" spans="17:23" x14ac:dyDescent="0.25">
      <c r="Q33" t="s">
        <v>36</v>
      </c>
      <c r="R33">
        <f>R32*R32</f>
        <v>1.4439293359809098E-5</v>
      </c>
      <c r="S33">
        <f t="shared" ref="S33:W33" si="56">S32*S32</f>
        <v>2.846901267236909E-6</v>
      </c>
      <c r="T33">
        <f t="shared" si="56"/>
        <v>1.4743810405158168E-5</v>
      </c>
      <c r="U33">
        <f t="shared" si="56"/>
        <v>2.9337151222474873E-6</v>
      </c>
      <c r="V33">
        <f t="shared" si="56"/>
        <v>2.1402867484130244E-5</v>
      </c>
      <c r="W33">
        <f t="shared" si="56"/>
        <v>1.4074926429738379E-6</v>
      </c>
    </row>
  </sheetData>
  <mergeCells count="14">
    <mergeCell ref="B1:G1"/>
    <mergeCell ref="A1:A2"/>
    <mergeCell ref="A3:A6"/>
    <mergeCell ref="A7:A10"/>
    <mergeCell ref="A11:A14"/>
    <mergeCell ref="A15:A18"/>
    <mergeCell ref="H13:I13"/>
    <mergeCell ref="L1:Q1"/>
    <mergeCell ref="J3:J6"/>
    <mergeCell ref="J7:J10"/>
    <mergeCell ref="J11:J14"/>
    <mergeCell ref="H1:I1"/>
    <mergeCell ref="J1:J2"/>
    <mergeCell ref="K1:K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RoBQ</dc:creator>
  <cp:lastModifiedBy>RoBQ</cp:lastModifiedBy>
  <dcterms:created xsi:type="dcterms:W3CDTF">2015-06-05T18:19:34Z</dcterms:created>
  <dcterms:modified xsi:type="dcterms:W3CDTF">2020-12-05T17:25:01Z</dcterms:modified>
</cp:coreProperties>
</file>