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Repositories\ITMO\Physics\Lab1_07V\"/>
    </mc:Choice>
  </mc:AlternateContent>
  <xr:revisionPtr revIDLastSave="0" documentId="13_ncr:1_{78FAD28A-2FAD-445B-8BBB-FA1DF3D6F743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1" l="1"/>
  <c r="L14" i="1" l="1"/>
  <c r="B19" i="1" l="1"/>
  <c r="C19" i="1"/>
  <c r="D19" i="1"/>
  <c r="E19" i="1"/>
  <c r="F19" i="1"/>
  <c r="G19" i="1"/>
  <c r="G23" i="1" s="1"/>
  <c r="G27" i="1" s="1"/>
  <c r="H19" i="1"/>
  <c r="H23" i="1" s="1"/>
  <c r="H27" i="1" s="1"/>
  <c r="B20" i="1"/>
  <c r="B24" i="1" s="1"/>
  <c r="B28" i="1" s="1"/>
  <c r="C20" i="1"/>
  <c r="D20" i="1"/>
  <c r="E20" i="1"/>
  <c r="F20" i="1"/>
  <c r="G20" i="1"/>
  <c r="H20" i="1"/>
  <c r="H24" i="1" s="1"/>
  <c r="H28" i="1" s="1"/>
  <c r="C18" i="1"/>
  <c r="D18" i="1"/>
  <c r="E18" i="1"/>
  <c r="F18" i="1"/>
  <c r="G18" i="1"/>
  <c r="H18" i="1"/>
  <c r="B18" i="1"/>
  <c r="C26" i="1"/>
  <c r="E26" i="1"/>
  <c r="F26" i="1"/>
  <c r="C25" i="1"/>
  <c r="D25" i="1"/>
  <c r="E25" i="1"/>
  <c r="F25" i="1"/>
  <c r="G25" i="1"/>
  <c r="H25" i="1"/>
  <c r="B25" i="1"/>
  <c r="B23" i="1"/>
  <c r="B27" i="1" s="1"/>
  <c r="C23" i="1"/>
  <c r="C27" i="1" s="1"/>
  <c r="D23" i="1"/>
  <c r="D27" i="1" s="1"/>
  <c r="E23" i="1"/>
  <c r="E27" i="1" s="1"/>
  <c r="F23" i="1"/>
  <c r="F27" i="1" s="1"/>
  <c r="C24" i="1"/>
  <c r="C28" i="1" s="1"/>
  <c r="D24" i="1"/>
  <c r="D28" i="1" s="1"/>
  <c r="E24" i="1"/>
  <c r="E28" i="1" s="1"/>
  <c r="F24" i="1"/>
  <c r="F28" i="1" s="1"/>
  <c r="G24" i="1"/>
  <c r="G28" i="1" s="1"/>
  <c r="C22" i="1"/>
  <c r="D22" i="1"/>
  <c r="D26" i="1" s="1"/>
  <c r="E22" i="1"/>
  <c r="F22" i="1"/>
  <c r="G22" i="1"/>
  <c r="G26" i="1" s="1"/>
  <c r="H22" i="1"/>
  <c r="H26" i="1" s="1"/>
  <c r="B22" i="1"/>
  <c r="B26" i="1" s="1"/>
  <c r="C21" i="1"/>
  <c r="D21" i="1"/>
  <c r="E21" i="1"/>
  <c r="F21" i="1"/>
  <c r="G21" i="1"/>
  <c r="H21" i="1"/>
  <c r="B21" i="1"/>
  <c r="L13" i="1"/>
  <c r="L10" i="1"/>
  <c r="L11" i="1"/>
  <c r="L9" i="1"/>
  <c r="J8" i="1"/>
  <c r="J7" i="1"/>
  <c r="M5" i="1"/>
  <c r="N5" i="1"/>
  <c r="O5" i="1"/>
  <c r="P5" i="1"/>
  <c r="Q5" i="1"/>
  <c r="R5" i="1"/>
  <c r="L5" i="1"/>
  <c r="M3" i="1"/>
  <c r="N3" i="1"/>
  <c r="O3" i="1"/>
  <c r="P3" i="1"/>
  <c r="Q3" i="1"/>
  <c r="R3" i="1"/>
  <c r="L3" i="1"/>
  <c r="M2" i="1"/>
  <c r="N2" i="1"/>
  <c r="O2" i="1"/>
  <c r="P2" i="1"/>
  <c r="Q2" i="1"/>
  <c r="R2" i="1"/>
  <c r="L4" i="1" s="1"/>
  <c r="L2" i="1"/>
  <c r="C10" i="1"/>
  <c r="D10" i="1"/>
  <c r="E10" i="1"/>
  <c r="F10" i="1"/>
  <c r="G10" i="1"/>
  <c r="H10" i="1"/>
  <c r="B10" i="1"/>
  <c r="C8" i="1"/>
  <c r="D8" i="1"/>
  <c r="E8" i="1"/>
  <c r="F8" i="1"/>
  <c r="G8" i="1"/>
  <c r="H8" i="1"/>
  <c r="B8" i="1"/>
  <c r="H9" i="1"/>
  <c r="C9" i="1"/>
  <c r="D9" i="1"/>
  <c r="E9" i="1"/>
  <c r="F9" i="1"/>
  <c r="G9" i="1"/>
  <c r="B9" i="1"/>
  <c r="A39" i="1" l="1"/>
  <c r="L6" i="1" l="1"/>
  <c r="L7" i="1" s="1"/>
  <c r="L8" i="1" s="1"/>
</calcChain>
</file>

<file path=xl/sharedStrings.xml><?xml version="1.0" encoding="utf-8"?>
<sst xmlns="http://schemas.openxmlformats.org/spreadsheetml/2006/main" count="46" uniqueCount="41">
  <si>
    <t>h0=…cm</t>
  </si>
  <si>
    <t>cm</t>
  </si>
  <si>
    <t>t1</t>
  </si>
  <si>
    <t>t2</t>
  </si>
  <si>
    <t>t3</t>
  </si>
  <si>
    <t>t4</t>
  </si>
  <si>
    <t>t5</t>
  </si>
  <si>
    <t>delta hi</t>
  </si>
  <si>
    <t>tcp</t>
  </si>
  <si>
    <t>1/2g tcp^2</t>
  </si>
  <si>
    <t>hi</t>
  </si>
  <si>
    <t>Дата</t>
  </si>
  <si>
    <t>Время</t>
  </si>
  <si>
    <t>v1</t>
  </si>
  <si>
    <t>v2</t>
  </si>
  <si>
    <t>v3</t>
  </si>
  <si>
    <t>Константы</t>
  </si>
  <si>
    <t>g</t>
  </si>
  <si>
    <t>a</t>
  </si>
  <si>
    <t>YiXi</t>
  </si>
  <si>
    <t>Xi^2</t>
  </si>
  <si>
    <t>(Yi-aXi)^2</t>
  </si>
  <si>
    <t>сигма а</t>
  </si>
  <si>
    <t>абс. п. а</t>
  </si>
  <si>
    <t>отн. п. а</t>
  </si>
  <si>
    <t>m</t>
  </si>
  <si>
    <t>delta m</t>
  </si>
  <si>
    <t>r</t>
  </si>
  <si>
    <t>delta r</t>
  </si>
  <si>
    <t>Ic</t>
  </si>
  <si>
    <t>абс. п. Ic</t>
  </si>
  <si>
    <t>отн. п. Ic</t>
  </si>
  <si>
    <t>Iteor</t>
  </si>
  <si>
    <t>It/I</t>
  </si>
  <si>
    <t>L</t>
  </si>
  <si>
    <t>Hi</t>
  </si>
  <si>
    <t>Ekini</t>
  </si>
  <si>
    <t>Epoti</t>
  </si>
  <si>
    <t>Epolni</t>
  </si>
  <si>
    <t>Ic/Iteor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</si>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</sst>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14" fontId="0" fillId="0" borderId="0" xfId="0" applyNumberFormat="1"/>
    <xf numFmtId="20" fontId="0" fillId="0" borderId="0" xfId="0" applyNumberFormat="1"/>
    <xf numFmtId="0" fontId="0" fillId="0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NumberFormat="1"/>
    <xf numFmtId="0" fontId="0" fillId="0" borderId="0" xfId="1" applyNumberFormat="1" applyFont="1"/>
    <xf numFmtId="0" fontId="0" fillId="0" borderId="1" xfId="0" applyFill="1" applyBorder="1"/>
    <xf numFmtId="0" fontId="0" fillId="0" borderId="1" xfId="0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9"/>
  <sheetViews>
    <sheetView tabSelected="1" workbookViewId="0">
      <selection activeCell="J11" sqref="J11"/>
    </sheetView>
  </sheetViews>
  <sheetFormatPr defaultRowHeight="15" x14ac:dyDescent="0.25"/>
  <cols>
    <col min="1" max="1" width="10" bestFit="1" customWidth="1"/>
    <col min="2" max="2" width="12" bestFit="1" customWidth="1"/>
    <col min="11" max="11" width="9.42578125" bestFit="1" customWidth="1"/>
    <col min="12" max="12" width="12" customWidth="1"/>
  </cols>
  <sheetData>
    <row r="1" spans="1:18" x14ac:dyDescent="0.25">
      <c r="A1" s="1" t="s">
        <v>0</v>
      </c>
      <c r="B1" s="16" t="s">
        <v>10</v>
      </c>
      <c r="C1" s="16"/>
      <c r="D1" s="16"/>
      <c r="E1" s="16"/>
      <c r="F1" s="16"/>
      <c r="G1" s="16"/>
      <c r="H1" s="16"/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</row>
    <row r="2" spans="1:18" x14ac:dyDescent="0.25">
      <c r="A2" s="1">
        <v>10</v>
      </c>
      <c r="B2" s="1">
        <v>20</v>
      </c>
      <c r="C2" s="1">
        <v>30</v>
      </c>
      <c r="D2" s="1">
        <v>40</v>
      </c>
      <c r="E2" s="1">
        <v>50</v>
      </c>
      <c r="F2" s="1">
        <v>60</v>
      </c>
      <c r="G2" s="1">
        <v>70</v>
      </c>
      <c r="H2" s="1">
        <v>80</v>
      </c>
      <c r="I2" s="8" t="s">
        <v>1</v>
      </c>
      <c r="J2" s="9"/>
      <c r="K2" t="s">
        <v>19</v>
      </c>
      <c r="L2">
        <f>B8*0.01*B10</f>
        <v>3.3538716739376007</v>
      </c>
      <c r="M2">
        <f t="shared" ref="M2:R2" si="0">C8*0.01*C10</f>
        <v>13.553240729135201</v>
      </c>
      <c r="N2">
        <f t="shared" si="0"/>
        <v>30.639452028973203</v>
      </c>
      <c r="O2">
        <f t="shared" si="0"/>
        <v>54.52527700400001</v>
      </c>
      <c r="P2">
        <f t="shared" si="0"/>
        <v>85.288297160151998</v>
      </c>
      <c r="Q2">
        <f t="shared" si="0"/>
        <v>122.7761586208776</v>
      </c>
      <c r="R2">
        <f t="shared" si="0"/>
        <v>167.3810111588048</v>
      </c>
    </row>
    <row r="3" spans="1:18" x14ac:dyDescent="0.25">
      <c r="A3" s="1" t="s">
        <v>2</v>
      </c>
      <c r="B3" s="1">
        <v>2612.1999999999998</v>
      </c>
      <c r="C3" s="1">
        <v>3717.5</v>
      </c>
      <c r="D3" s="1">
        <v>4558.6000000000004</v>
      </c>
      <c r="E3" s="1">
        <v>5273.3</v>
      </c>
      <c r="F3" s="1">
        <v>5897.7</v>
      </c>
      <c r="G3" s="1">
        <v>6454.2</v>
      </c>
      <c r="H3" s="1">
        <v>6979.1</v>
      </c>
      <c r="I3" s="10" t="s">
        <v>16</v>
      </c>
      <c r="J3" s="11"/>
      <c r="K3" t="s">
        <v>20</v>
      </c>
      <c r="L3">
        <f>B8*B8*0.01*0.01</f>
        <v>0.01</v>
      </c>
      <c r="M3">
        <f t="shared" ref="M3:R3" si="1">C8*C8*0.01*0.01</f>
        <v>0.04</v>
      </c>
      <c r="N3">
        <f t="shared" si="1"/>
        <v>0.09</v>
      </c>
      <c r="O3">
        <f t="shared" si="1"/>
        <v>0.16</v>
      </c>
      <c r="P3">
        <f t="shared" si="1"/>
        <v>0.25</v>
      </c>
      <c r="Q3">
        <f t="shared" si="1"/>
        <v>0.36</v>
      </c>
      <c r="R3">
        <f t="shared" si="1"/>
        <v>0.49</v>
      </c>
    </row>
    <row r="4" spans="1:18" x14ac:dyDescent="0.25">
      <c r="A4" s="1" t="s">
        <v>3</v>
      </c>
      <c r="B4" s="1">
        <v>2616.1</v>
      </c>
      <c r="C4" s="1">
        <v>3712.5</v>
      </c>
      <c r="D4" s="1">
        <v>4563.3</v>
      </c>
      <c r="E4" s="1">
        <v>5266.6</v>
      </c>
      <c r="F4" s="1">
        <v>5896.5</v>
      </c>
      <c r="G4" s="1">
        <v>6452.3</v>
      </c>
      <c r="H4" s="1">
        <v>6981.5</v>
      </c>
      <c r="I4" s="10" t="s">
        <v>17</v>
      </c>
      <c r="J4" s="11">
        <v>9.82</v>
      </c>
      <c r="K4" t="s">
        <v>18</v>
      </c>
      <c r="L4">
        <f>SUM(L2:R2)/SUM(L3:R3)</f>
        <v>341.08379169705745</v>
      </c>
    </row>
    <row r="5" spans="1:18" x14ac:dyDescent="0.25">
      <c r="A5" s="1" t="s">
        <v>4</v>
      </c>
      <c r="B5" s="1">
        <v>2611.9</v>
      </c>
      <c r="C5" s="1">
        <v>3713.1</v>
      </c>
      <c r="D5" s="1">
        <v>4557.3</v>
      </c>
      <c r="E5" s="1">
        <v>5268.7</v>
      </c>
      <c r="F5" s="1">
        <v>5888.9</v>
      </c>
      <c r="G5" s="1">
        <v>6459.3</v>
      </c>
      <c r="H5" s="1">
        <v>6979.1</v>
      </c>
      <c r="I5" s="10" t="s">
        <v>25</v>
      </c>
      <c r="J5" s="11">
        <v>0.47</v>
      </c>
      <c r="K5" t="s">
        <v>21</v>
      </c>
      <c r="L5">
        <f>POWER(B10-$L$4*B8*0.01,2)</f>
        <v>0.32451528452918077</v>
      </c>
      <c r="M5">
        <f t="shared" ref="M5:R5" si="2">POWER(C10-$L$4*C8*0.01,2)</f>
        <v>0.20299953204707544</v>
      </c>
      <c r="N5">
        <f t="shared" si="2"/>
        <v>3.7492865747414623E-2</v>
      </c>
      <c r="O5">
        <f t="shared" si="2"/>
        <v>1.447790560293301E-2</v>
      </c>
      <c r="P5">
        <f t="shared" si="2"/>
        <v>1.2039839435393376E-3</v>
      </c>
      <c r="Q5">
        <f t="shared" si="2"/>
        <v>5.4494156277468543E-4</v>
      </c>
      <c r="R5">
        <f t="shared" si="2"/>
        <v>0.12750329757346571</v>
      </c>
    </row>
    <row r="6" spans="1:18" x14ac:dyDescent="0.25">
      <c r="A6" s="1" t="s">
        <v>5</v>
      </c>
      <c r="B6" s="1">
        <v>2611.9</v>
      </c>
      <c r="C6" s="1">
        <v>3716.1</v>
      </c>
      <c r="D6" s="1">
        <v>4562.8</v>
      </c>
      <c r="E6" s="1">
        <v>5263.8</v>
      </c>
      <c r="F6" s="1">
        <v>5893</v>
      </c>
      <c r="G6" s="1">
        <v>6459.3</v>
      </c>
      <c r="H6" s="1">
        <v>6981</v>
      </c>
      <c r="I6" s="10" t="s">
        <v>26</v>
      </c>
      <c r="J6" s="11">
        <v>0.01</v>
      </c>
      <c r="K6" t="s">
        <v>22</v>
      </c>
      <c r="L6">
        <f>SQRT(SUM(L5:R5)/(6*SUM(L3:R3)))</f>
        <v>0.2904712531892466</v>
      </c>
    </row>
    <row r="7" spans="1:18" x14ac:dyDescent="0.25">
      <c r="A7" s="1" t="s">
        <v>6</v>
      </c>
      <c r="B7" s="1">
        <v>2615.6999999999998</v>
      </c>
      <c r="C7" s="1">
        <v>3716.1</v>
      </c>
      <c r="D7" s="1">
        <v>4561.8999999999996</v>
      </c>
      <c r="E7" s="1">
        <v>5272.6</v>
      </c>
      <c r="F7" s="1">
        <v>5894.5</v>
      </c>
      <c r="G7" s="1">
        <v>6453.2</v>
      </c>
      <c r="H7" s="1">
        <v>6971.9</v>
      </c>
      <c r="I7" s="10" t="s">
        <v>27</v>
      </c>
      <c r="J7" s="11">
        <f>2.5*0.001</f>
        <v>2.5000000000000001E-3</v>
      </c>
      <c r="K7" t="s">
        <v>23</v>
      </c>
      <c r="L7">
        <f>2*L6</f>
        <v>0.58094250637849321</v>
      </c>
    </row>
    <row r="8" spans="1:18" x14ac:dyDescent="0.25">
      <c r="A8" s="1" t="s">
        <v>7</v>
      </c>
      <c r="B8" s="1">
        <f>B2-$A$2</f>
        <v>10</v>
      </c>
      <c r="C8" s="1">
        <f t="shared" ref="C8:H8" si="3">C2-$A$2</f>
        <v>20</v>
      </c>
      <c r="D8" s="1">
        <f t="shared" si="3"/>
        <v>30</v>
      </c>
      <c r="E8" s="1">
        <f t="shared" si="3"/>
        <v>40</v>
      </c>
      <c r="F8" s="1">
        <f t="shared" si="3"/>
        <v>50</v>
      </c>
      <c r="G8" s="1">
        <f t="shared" si="3"/>
        <v>60</v>
      </c>
      <c r="H8" s="1">
        <f t="shared" si="3"/>
        <v>70</v>
      </c>
      <c r="I8" s="10" t="s">
        <v>28</v>
      </c>
      <c r="J8" s="11">
        <f>0.1*0.001</f>
        <v>1E-4</v>
      </c>
      <c r="K8" t="s">
        <v>24</v>
      </c>
      <c r="L8" s="14">
        <f>L7/L4</f>
        <v>1.7032251913467428E-3</v>
      </c>
    </row>
    <row r="9" spans="1:18" x14ac:dyDescent="0.25">
      <c r="A9" s="1" t="s">
        <v>8</v>
      </c>
      <c r="B9" s="1">
        <f>AVERAGE(B3:B7)</f>
        <v>2613.56</v>
      </c>
      <c r="C9" s="1">
        <f t="shared" ref="C9:G9" si="4">AVERAGE(C3:C7)</f>
        <v>3715.06</v>
      </c>
      <c r="D9" s="1">
        <f t="shared" si="4"/>
        <v>4560.7800000000007</v>
      </c>
      <c r="E9" s="1">
        <f t="shared" si="4"/>
        <v>5269</v>
      </c>
      <c r="F9" s="1">
        <f t="shared" si="4"/>
        <v>5894.12</v>
      </c>
      <c r="G9" s="1">
        <f t="shared" si="4"/>
        <v>6455.66</v>
      </c>
      <c r="H9" s="1">
        <f>AVERAGE(H3:H7)</f>
        <v>6978.5199999999995</v>
      </c>
      <c r="I9" s="10" t="s">
        <v>34</v>
      </c>
      <c r="J9" s="11">
        <v>1</v>
      </c>
      <c r="K9" t="s">
        <v>29</v>
      </c>
      <c r="L9" s="13">
        <f>(L4-1)*J5*J7*J7</f>
        <v>9.9899613811010629E-4</v>
      </c>
    </row>
    <row r="10" spans="1:18" x14ac:dyDescent="0.25">
      <c r="A10" s="1" t="s">
        <v>9</v>
      </c>
      <c r="B10" s="1">
        <f>$J$4*POWER(B9/1000,2)/2</f>
        <v>33.538716739376007</v>
      </c>
      <c r="C10" s="1">
        <f t="shared" ref="C10:H10" si="5">$J$4*POWER(C9/1000,2)/2</f>
        <v>67.766203645676001</v>
      </c>
      <c r="D10" s="1">
        <f t="shared" si="5"/>
        <v>102.13150676324402</v>
      </c>
      <c r="E10" s="1">
        <f t="shared" si="5"/>
        <v>136.31319251000002</v>
      </c>
      <c r="F10" s="1">
        <f t="shared" si="5"/>
        <v>170.576594320304</v>
      </c>
      <c r="G10" s="1">
        <f t="shared" si="5"/>
        <v>204.626931034796</v>
      </c>
      <c r="H10" s="1">
        <f t="shared" si="5"/>
        <v>239.11573022686397</v>
      </c>
      <c r="I10" s="10" t="s">
        <v>40</v>
      </c>
      <c r="J10" s="11">
        <v>6.5000000000000002E-2</v>
      </c>
      <c r="K10" t="s">
        <v>30</v>
      </c>
      <c r="L10">
        <f>L11*L9</f>
        <v>8.2715399237841676E-5</v>
      </c>
    </row>
    <row r="11" spans="1:18" x14ac:dyDescent="0.25">
      <c r="A11" s="6"/>
      <c r="I11" s="10">
        <v>0</v>
      </c>
      <c r="J11" s="11"/>
      <c r="K11" t="s">
        <v>31</v>
      </c>
      <c r="L11">
        <f>SQRT(POWER(L8,2)+POWER(J6/J5,2)+POWER(2*J8/J7,2))</f>
        <v>8.2798517514113795E-2</v>
      </c>
    </row>
    <row r="12" spans="1:18" x14ac:dyDescent="0.25">
      <c r="A12" s="4"/>
      <c r="B12" s="5"/>
      <c r="I12" s="10"/>
      <c r="J12" s="11"/>
      <c r="K12" t="s">
        <v>32</v>
      </c>
      <c r="L12">
        <f>J5*J10*J10</f>
        <v>1.9857500000000001E-3</v>
      </c>
    </row>
    <row r="13" spans="1:18" x14ac:dyDescent="0.25">
      <c r="A13" s="1" t="s">
        <v>0</v>
      </c>
      <c r="B13" s="16" t="s">
        <v>10</v>
      </c>
      <c r="C13" s="16"/>
      <c r="D13" s="16"/>
      <c r="E13" s="16"/>
      <c r="F13" s="16"/>
      <c r="G13" s="16"/>
      <c r="H13" s="16"/>
      <c r="I13" s="10"/>
      <c r="J13" s="11"/>
      <c r="K13" t="s">
        <v>33</v>
      </c>
      <c r="L13">
        <f>L12/L9</f>
        <v>1.9877454218758319</v>
      </c>
    </row>
    <row r="14" spans="1:18" x14ac:dyDescent="0.25">
      <c r="A14" s="1">
        <v>10</v>
      </c>
      <c r="B14" s="1">
        <v>20</v>
      </c>
      <c r="C14" s="1">
        <v>30</v>
      </c>
      <c r="D14" s="1">
        <v>40</v>
      </c>
      <c r="E14" s="1">
        <v>50</v>
      </c>
      <c r="F14" s="1">
        <v>60</v>
      </c>
      <c r="G14" s="1">
        <v>70</v>
      </c>
      <c r="H14" s="1">
        <v>80</v>
      </c>
      <c r="I14" s="10"/>
      <c r="J14" s="11"/>
      <c r="K14" t="s">
        <v>39</v>
      </c>
      <c r="L14">
        <f>L9/L12</f>
        <v>0.50308253209623888</v>
      </c>
    </row>
    <row r="15" spans="1:18" x14ac:dyDescent="0.25">
      <c r="A15" s="1" t="s">
        <v>2</v>
      </c>
      <c r="B15" s="1">
        <v>53</v>
      </c>
      <c r="C15" s="1">
        <v>37.4</v>
      </c>
      <c r="D15" s="1">
        <v>30.6</v>
      </c>
      <c r="E15" s="1">
        <v>26.3</v>
      </c>
      <c r="F15" s="1">
        <v>23.7</v>
      </c>
      <c r="G15" s="1">
        <v>21.5</v>
      </c>
      <c r="H15" s="1">
        <v>19.899999999999999</v>
      </c>
      <c r="I15" s="10"/>
      <c r="J15" s="11"/>
    </row>
    <row r="16" spans="1:18" x14ac:dyDescent="0.25">
      <c r="A16" s="1" t="s">
        <v>3</v>
      </c>
      <c r="B16" s="1">
        <v>80.7</v>
      </c>
      <c r="C16" s="1">
        <v>43.9</v>
      </c>
      <c r="D16" s="1">
        <v>33.700000000000003</v>
      </c>
      <c r="E16" s="1">
        <v>28.5</v>
      </c>
      <c r="F16" s="1">
        <v>24.9</v>
      </c>
      <c r="G16" s="1">
        <v>22.4</v>
      </c>
      <c r="H16" s="1">
        <v>20.8</v>
      </c>
      <c r="I16" s="10"/>
      <c r="J16" s="11"/>
    </row>
    <row r="17" spans="1:10" ht="15.75" thickBot="1" x14ac:dyDescent="0.3">
      <c r="A17" s="3" t="s">
        <v>4</v>
      </c>
      <c r="B17" s="3">
        <v>81.7</v>
      </c>
      <c r="C17" s="3">
        <v>44.1</v>
      </c>
      <c r="D17" s="3">
        <v>33.9</v>
      </c>
      <c r="E17" s="3">
        <v>28.6</v>
      </c>
      <c r="F17" s="3">
        <v>25.1</v>
      </c>
      <c r="G17" s="3">
        <v>22.8</v>
      </c>
      <c r="H17" s="3">
        <v>20.7</v>
      </c>
      <c r="I17" s="10"/>
      <c r="J17" s="11"/>
    </row>
    <row r="18" spans="1:10" ht="15.75" thickTop="1" x14ac:dyDescent="0.25">
      <c r="A18" s="2" t="s">
        <v>13</v>
      </c>
      <c r="B18" s="2">
        <f>2*$J$7/(B15*0.001)</f>
        <v>9.4339622641509441E-2</v>
      </c>
      <c r="C18" s="2">
        <f t="shared" ref="C18:H18" si="6">2*$J$7/(C15*0.001)</f>
        <v>0.13368983957219252</v>
      </c>
      <c r="D18" s="2">
        <f t="shared" si="6"/>
        <v>0.16339869281045752</v>
      </c>
      <c r="E18" s="2">
        <f t="shared" si="6"/>
        <v>0.19011406844106463</v>
      </c>
      <c r="F18" s="2">
        <f t="shared" si="6"/>
        <v>0.2109704641350211</v>
      </c>
      <c r="G18" s="2">
        <f t="shared" si="6"/>
        <v>0.23255813953488372</v>
      </c>
      <c r="H18" s="2">
        <f t="shared" si="6"/>
        <v>0.25125628140703521</v>
      </c>
      <c r="I18" s="10"/>
      <c r="J18" s="11"/>
    </row>
    <row r="19" spans="1:10" x14ac:dyDescent="0.25">
      <c r="A19" s="1" t="s">
        <v>14</v>
      </c>
      <c r="B19" s="1">
        <f t="shared" ref="B19:H19" si="7">2*$J$7/(B16*0.001)</f>
        <v>6.1957868649318459E-2</v>
      </c>
      <c r="C19" s="1">
        <f t="shared" si="7"/>
        <v>0.11389521640091116</v>
      </c>
      <c r="D19" s="1">
        <f t="shared" si="7"/>
        <v>0.14836795252225518</v>
      </c>
      <c r="E19" s="1">
        <f t="shared" si="7"/>
        <v>0.17543859649122806</v>
      </c>
      <c r="F19" s="1">
        <f t="shared" si="7"/>
        <v>0.20080321285140565</v>
      </c>
      <c r="G19" s="1">
        <f t="shared" si="7"/>
        <v>0.22321428571428573</v>
      </c>
      <c r="H19" s="1">
        <f t="shared" si="7"/>
        <v>0.24038461538461536</v>
      </c>
      <c r="I19" s="10"/>
      <c r="J19" s="11"/>
    </row>
    <row r="20" spans="1:10" x14ac:dyDescent="0.25">
      <c r="A20" s="15" t="s">
        <v>15</v>
      </c>
      <c r="B20" s="1">
        <f t="shared" ref="B20:H20" si="8">2*$J$7/(B17*0.001)</f>
        <v>6.1199510403916767E-2</v>
      </c>
      <c r="C20" s="1">
        <f t="shared" si="8"/>
        <v>0.11337868480725624</v>
      </c>
      <c r="D20" s="1">
        <f t="shared" si="8"/>
        <v>0.14749262536873156</v>
      </c>
      <c r="E20" s="1">
        <f t="shared" si="8"/>
        <v>0.17482517482517482</v>
      </c>
      <c r="F20" s="1">
        <f t="shared" si="8"/>
        <v>0.19920318725099601</v>
      </c>
      <c r="G20" s="1">
        <f t="shared" si="8"/>
        <v>0.21929824561403508</v>
      </c>
      <c r="H20" s="1">
        <f t="shared" si="8"/>
        <v>0.24154589371980678</v>
      </c>
      <c r="I20" s="7"/>
      <c r="J20" s="12"/>
    </row>
    <row r="21" spans="1:10" x14ac:dyDescent="0.25">
      <c r="A21" s="15" t="s">
        <v>35</v>
      </c>
      <c r="B21" s="1">
        <f>$J$9-(B8*0.01)</f>
        <v>0.9</v>
      </c>
      <c r="C21" s="1">
        <f t="shared" ref="C21:H21" si="9">$J$9-(C8*0.01)</f>
        <v>0.8</v>
      </c>
      <c r="D21" s="1">
        <f t="shared" si="9"/>
        <v>0.7</v>
      </c>
      <c r="E21" s="1">
        <f t="shared" si="9"/>
        <v>0.6</v>
      </c>
      <c r="F21" s="1">
        <f t="shared" si="9"/>
        <v>0.5</v>
      </c>
      <c r="G21" s="1">
        <f t="shared" si="9"/>
        <v>0.4</v>
      </c>
      <c r="H21" s="1">
        <f t="shared" si="9"/>
        <v>0.29999999999999993</v>
      </c>
    </row>
    <row r="22" spans="1:10" x14ac:dyDescent="0.25">
      <c r="A22" s="15" t="s">
        <v>36</v>
      </c>
      <c r="B22" s="1">
        <f>$J$5*($L$9/($J$5*$J$7*$J$7)+1)*B18*B18/2</f>
        <v>0.71337389683880836</v>
      </c>
      <c r="C22" s="1">
        <f t="shared" ref="C22:H22" si="10">$J$5*($L$9/($J$5*$J$7*$J$7)+1)*C18*C18/2</f>
        <v>1.4326026453574687</v>
      </c>
      <c r="D22" s="1">
        <f t="shared" si="10"/>
        <v>2.1400607418302924</v>
      </c>
      <c r="E22" s="1">
        <f t="shared" si="10"/>
        <v>2.8970597756512486</v>
      </c>
      <c r="F22" s="1">
        <f t="shared" si="10"/>
        <v>3.5675680112165296</v>
      </c>
      <c r="G22" s="1">
        <f t="shared" si="10"/>
        <v>4.3350292616986748</v>
      </c>
      <c r="H22" s="1">
        <f t="shared" si="10"/>
        <v>5.0601431181541203</v>
      </c>
    </row>
    <row r="23" spans="1:10" x14ac:dyDescent="0.25">
      <c r="A23" s="1"/>
      <c r="B23" s="1">
        <f t="shared" ref="B23:H23" si="11">$J$5*($L$9/($J$5*$J$7*$J$7)+1)*B19*B19/2</f>
        <v>0.30769602352099001</v>
      </c>
      <c r="C23" s="1">
        <f t="shared" si="11"/>
        <v>1.0397762964182484</v>
      </c>
      <c r="D23" s="1">
        <f t="shared" si="11"/>
        <v>1.7644491685408978</v>
      </c>
      <c r="E23" s="1">
        <f t="shared" si="11"/>
        <v>2.4670572806650815</v>
      </c>
      <c r="F23" s="1">
        <f t="shared" si="11"/>
        <v>3.2319918650025206</v>
      </c>
      <c r="G23" s="1">
        <f t="shared" si="11"/>
        <v>3.9936768100689828</v>
      </c>
      <c r="H23" s="1">
        <f t="shared" si="11"/>
        <v>4.6317198507308897</v>
      </c>
    </row>
    <row r="24" spans="1:10" x14ac:dyDescent="0.25">
      <c r="A24" s="1"/>
      <c r="B24" s="1">
        <f t="shared" ref="B24:H24" si="12">$J$5*($L$9/($J$5*$J$7*$J$7)+1)*B20*B20/2</f>
        <v>0.30020978266611326</v>
      </c>
      <c r="C24" s="1">
        <f t="shared" si="12"/>
        <v>1.0303666045630229</v>
      </c>
      <c r="D24" s="1">
        <f t="shared" si="12"/>
        <v>1.743691123659046</v>
      </c>
      <c r="E24" s="1">
        <f t="shared" si="12"/>
        <v>2.4498352929485701</v>
      </c>
      <c r="F24" s="1">
        <f t="shared" si="12"/>
        <v>3.1806912211238112</v>
      </c>
      <c r="G24" s="1">
        <f t="shared" si="12"/>
        <v>3.8547770010391895</v>
      </c>
      <c r="H24" s="1">
        <f t="shared" si="12"/>
        <v>4.6765788611641179</v>
      </c>
    </row>
    <row r="25" spans="1:10" x14ac:dyDescent="0.25">
      <c r="A25" s="1" t="s">
        <v>37</v>
      </c>
      <c r="B25" s="1">
        <f>$J$5*$J$4*B21</f>
        <v>4.1538599999999999</v>
      </c>
      <c r="C25" s="1">
        <f t="shared" ref="C25:H25" si="13">$J$5*$J$4*C21</f>
        <v>3.6923200000000005</v>
      </c>
      <c r="D25" s="1">
        <f t="shared" si="13"/>
        <v>3.2307799999999998</v>
      </c>
      <c r="E25" s="1">
        <f t="shared" si="13"/>
        <v>2.7692399999999999</v>
      </c>
      <c r="F25" s="1">
        <f t="shared" si="13"/>
        <v>2.3077000000000001</v>
      </c>
      <c r="G25" s="1">
        <f t="shared" si="13"/>
        <v>1.8461600000000002</v>
      </c>
      <c r="H25" s="1">
        <f t="shared" si="13"/>
        <v>1.3846199999999997</v>
      </c>
    </row>
    <row r="26" spans="1:10" x14ac:dyDescent="0.25">
      <c r="A26" s="1" t="s">
        <v>38</v>
      </c>
      <c r="B26" s="1">
        <f>B22+B$25</f>
        <v>4.8672338968388082</v>
      </c>
      <c r="C26" s="1">
        <f t="shared" ref="C26:H26" si="14">C22+C$25</f>
        <v>5.1249226453574694</v>
      </c>
      <c r="D26" s="1">
        <f t="shared" si="14"/>
        <v>5.3708407418302926</v>
      </c>
      <c r="E26" s="1">
        <f t="shared" si="14"/>
        <v>5.6662997756512485</v>
      </c>
      <c r="F26" s="1">
        <f t="shared" si="14"/>
        <v>5.8752680112165301</v>
      </c>
      <c r="G26" s="1">
        <f t="shared" si="14"/>
        <v>6.181189261698675</v>
      </c>
      <c r="H26" s="1">
        <f t="shared" si="14"/>
        <v>6.4447631181541203</v>
      </c>
    </row>
    <row r="27" spans="1:10" x14ac:dyDescent="0.25">
      <c r="A27" s="1"/>
      <c r="B27" s="1">
        <f t="shared" ref="B27:H27" si="15">B23+B$25</f>
        <v>4.4615560235209895</v>
      </c>
      <c r="C27" s="1">
        <f t="shared" si="15"/>
        <v>4.7320962964182485</v>
      </c>
      <c r="D27" s="1">
        <f t="shared" si="15"/>
        <v>4.9952291685408978</v>
      </c>
      <c r="E27" s="1">
        <f t="shared" si="15"/>
        <v>5.2362972806650809</v>
      </c>
      <c r="F27" s="1">
        <f t="shared" si="15"/>
        <v>5.5396918650025206</v>
      </c>
      <c r="G27" s="1">
        <f t="shared" si="15"/>
        <v>5.8398368100689826</v>
      </c>
      <c r="H27" s="1">
        <f t="shared" si="15"/>
        <v>6.0163398507308896</v>
      </c>
    </row>
    <row r="28" spans="1:10" x14ac:dyDescent="0.25">
      <c r="A28" s="1"/>
      <c r="B28" s="1">
        <f t="shared" ref="B28:H28" si="16">B24+B$25</f>
        <v>4.4540697826661129</v>
      </c>
      <c r="C28" s="1">
        <f t="shared" si="16"/>
        <v>4.7226866045630231</v>
      </c>
      <c r="D28" s="1">
        <f t="shared" si="16"/>
        <v>4.974471123659046</v>
      </c>
      <c r="E28" s="1">
        <f t="shared" si="16"/>
        <v>5.2190752929485704</v>
      </c>
      <c r="F28" s="1">
        <f t="shared" si="16"/>
        <v>5.4883912211238108</v>
      </c>
      <c r="G28" s="1">
        <f t="shared" si="16"/>
        <v>5.7009370010391898</v>
      </c>
      <c r="H28" s="1">
        <f t="shared" si="16"/>
        <v>6.0611988611641179</v>
      </c>
    </row>
    <row r="38" spans="1:2" x14ac:dyDescent="0.25">
      <c r="A38" s="6" t="s">
        <v>11</v>
      </c>
      <c r="B38" t="s">
        <v>12</v>
      </c>
    </row>
    <row r="39" spans="1:2" x14ac:dyDescent="0.25">
      <c r="A39" s="4">
        <f ca="1">NOW()</f>
        <v>44173.442417824073</v>
      </c>
      <c r="B39" s="5">
        <v>0.91666666666666663</v>
      </c>
    </row>
  </sheetData>
  <mergeCells count="2">
    <mergeCell ref="B1:H1"/>
    <mergeCell ref="B13:H13"/>
  </mergeCells>
  <pageMargins left="0.7" right="0.7" top="0.75" bottom="0.75" header="0.3" footer="0.3"/>
  <ignoredErrors>
    <ignoredError sqref="B9 C9:H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RoBQ</dc:creator>
  <cp:lastModifiedBy>RoBQ</cp:lastModifiedBy>
  <dcterms:created xsi:type="dcterms:W3CDTF">2015-06-05T18:19:34Z</dcterms:created>
  <dcterms:modified xsi:type="dcterms:W3CDTF">2020-12-08T08:42:46Z</dcterms:modified>
</cp:coreProperties>
</file>