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adim\OneDrive\Рабочий стол\физика\lab2\"/>
    </mc:Choice>
  </mc:AlternateContent>
  <bookViews>
    <workbookView xWindow="0" yWindow="0" windowWidth="23040" windowHeight="8820"/>
  </bookViews>
  <sheets>
    <sheet name="Задание 1" sheetId="1" r:id="rId1"/>
    <sheet name="Задание 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0" i="2" l="1"/>
  <c r="T51" i="2"/>
  <c r="T52" i="2"/>
  <c r="T53" i="2"/>
  <c r="T49" i="2"/>
  <c r="M51" i="2"/>
  <c r="M44" i="2"/>
  <c r="K44" i="2"/>
  <c r="H45" i="2"/>
  <c r="J45" i="2" s="1"/>
  <c r="H46" i="2"/>
  <c r="J46" i="2" s="1"/>
  <c r="H47" i="2"/>
  <c r="H48" i="2"/>
  <c r="H44" i="2"/>
  <c r="J44" i="2" s="1"/>
  <c r="J47" i="2"/>
  <c r="J48" i="2"/>
  <c r="E45" i="2"/>
  <c r="B45" i="2"/>
  <c r="G37" i="2"/>
  <c r="F37" i="2"/>
  <c r="E37" i="2"/>
  <c r="D38" i="2"/>
  <c r="D39" i="2"/>
  <c r="D40" i="2"/>
  <c r="D41" i="2"/>
  <c r="D37" i="2"/>
  <c r="C37" i="2"/>
  <c r="B38" i="2"/>
  <c r="B39" i="2"/>
  <c r="B40" i="2"/>
  <c r="B41" i="2"/>
  <c r="B37" i="2"/>
  <c r="V10" i="2"/>
  <c r="V11" i="2"/>
  <c r="V12" i="2"/>
  <c r="V13" i="2"/>
  <c r="V9" i="2"/>
  <c r="U10" i="2"/>
  <c r="U11" i="2"/>
  <c r="U12" i="2"/>
  <c r="U13" i="2"/>
  <c r="U9" i="2"/>
  <c r="T13" i="2"/>
  <c r="T12" i="2"/>
  <c r="T11" i="2"/>
  <c r="T10" i="2"/>
  <c r="T9" i="2"/>
  <c r="R13" i="2"/>
  <c r="R12" i="2"/>
  <c r="R11" i="2"/>
  <c r="R10" i="2"/>
  <c r="R9" i="2"/>
  <c r="J28" i="2"/>
  <c r="J29" i="2"/>
  <c r="J30" i="2"/>
  <c r="J31" i="2"/>
  <c r="J27" i="2"/>
  <c r="J23" i="2"/>
  <c r="J24" i="2"/>
  <c r="J25" i="2"/>
  <c r="J26" i="2"/>
  <c r="J22" i="2"/>
  <c r="J18" i="2"/>
  <c r="J19" i="2"/>
  <c r="J20" i="2"/>
  <c r="J21" i="2"/>
  <c r="J17" i="2"/>
  <c r="J13" i="2"/>
  <c r="J14" i="2"/>
  <c r="J15" i="2"/>
  <c r="J16" i="2"/>
  <c r="J12" i="2"/>
  <c r="J8" i="2"/>
  <c r="J9" i="2"/>
  <c r="J10" i="2"/>
  <c r="J11" i="2"/>
  <c r="J7" i="2"/>
  <c r="I7" i="2"/>
  <c r="I28" i="2"/>
  <c r="I29" i="2"/>
  <c r="I30" i="2"/>
  <c r="I31" i="2"/>
  <c r="I27" i="2"/>
  <c r="I23" i="2"/>
  <c r="I24" i="2"/>
  <c r="I25" i="2"/>
  <c r="I26" i="2"/>
  <c r="I22" i="2"/>
  <c r="I18" i="2"/>
  <c r="I19" i="2"/>
  <c r="I20" i="2"/>
  <c r="I21" i="2"/>
  <c r="I17" i="2"/>
  <c r="I13" i="2"/>
  <c r="I14" i="2"/>
  <c r="I15" i="2"/>
  <c r="I16" i="2"/>
  <c r="I12" i="2"/>
  <c r="I8" i="2"/>
  <c r="I9" i="2"/>
  <c r="I10" i="2"/>
  <c r="I11" i="2"/>
  <c r="S13" i="2"/>
  <c r="S12" i="2"/>
  <c r="S11" i="2"/>
  <c r="S10" i="2"/>
  <c r="Q13" i="2"/>
  <c r="Q12" i="2"/>
  <c r="Q11" i="2"/>
  <c r="Q10" i="2"/>
  <c r="P13" i="2"/>
  <c r="P12" i="2"/>
  <c r="P11" i="2"/>
  <c r="P10" i="2"/>
  <c r="P9" i="2"/>
  <c r="S9" i="2"/>
  <c r="Q9" i="2"/>
  <c r="G8" i="1" l="1"/>
  <c r="B22" i="1" s="1"/>
  <c r="H16" i="1" l="1"/>
  <c r="H17" i="1"/>
  <c r="H18" i="1"/>
  <c r="H19" i="1"/>
  <c r="H15" i="1"/>
  <c r="G16" i="1"/>
  <c r="G17" i="1"/>
  <c r="G18" i="1"/>
  <c r="G19" i="1"/>
  <c r="G15" i="1"/>
  <c r="H8" i="1" l="1"/>
  <c r="C22" i="1" s="1"/>
  <c r="D22" i="1" s="1"/>
  <c r="H9" i="1"/>
  <c r="C23" i="1" s="1"/>
  <c r="H10" i="1"/>
  <c r="C24" i="1" s="1"/>
  <c r="H11" i="1"/>
  <c r="C25" i="1" s="1"/>
  <c r="H12" i="1"/>
  <c r="C26" i="1" s="1"/>
  <c r="G9" i="1"/>
  <c r="B23" i="1" s="1"/>
  <c r="G10" i="1"/>
  <c r="B24" i="1" s="1"/>
  <c r="G11" i="1"/>
  <c r="B25" i="1" s="1"/>
  <c r="G12" i="1"/>
  <c r="B26" i="1" s="1"/>
  <c r="D24" i="1" l="1"/>
  <c r="F24" i="1" s="1"/>
  <c r="D25" i="1"/>
  <c r="F25" i="1" s="1"/>
  <c r="D23" i="1"/>
  <c r="F23" i="1" s="1"/>
  <c r="D26" i="1"/>
  <c r="F26" i="1" s="1"/>
  <c r="F22" i="1"/>
  <c r="E22" i="1" l="1"/>
  <c r="G22" i="1" s="1"/>
  <c r="B29" i="1" l="1"/>
  <c r="B31" i="1"/>
  <c r="B32" i="1"/>
  <c r="B30" i="1"/>
  <c r="B33" i="1"/>
  <c r="C29" i="1" l="1"/>
  <c r="E29" i="1" s="1"/>
  <c r="J29" i="1" s="1"/>
  <c r="J32" i="1" s="1"/>
</calcChain>
</file>

<file path=xl/sharedStrings.xml><?xml version="1.0" encoding="utf-8"?>
<sst xmlns="http://schemas.openxmlformats.org/spreadsheetml/2006/main" count="137" uniqueCount="107">
  <si>
    <t>Таблица1</t>
  </si>
  <si>
    <t>Наименование</t>
  </si>
  <si>
    <t>Предел изм</t>
  </si>
  <si>
    <t>Цена деления</t>
  </si>
  <si>
    <t>класс точности</t>
  </si>
  <si>
    <t>дельта</t>
  </si>
  <si>
    <t>Таблица 2</t>
  </si>
  <si>
    <t>Линейка на рельсе</t>
  </si>
  <si>
    <t>1,3 м</t>
  </si>
  <si>
    <t>1 см/дел</t>
  </si>
  <si>
    <t>----</t>
  </si>
  <si>
    <t>мм</t>
  </si>
  <si>
    <t>х, м</t>
  </si>
  <si>
    <t>x', м</t>
  </si>
  <si>
    <t>h0, мм</t>
  </si>
  <si>
    <t>h0', мм</t>
  </si>
  <si>
    <t>Линейка на угольнике</t>
  </si>
  <si>
    <t>250 мм</t>
  </si>
  <si>
    <t>1 мм/дел</t>
  </si>
  <si>
    <t>ПКЦ-3 в режиме секундомера</t>
  </si>
  <si>
    <t>100 с</t>
  </si>
  <si>
    <t>0,1 с</t>
  </si>
  <si>
    <t>с</t>
  </si>
  <si>
    <t>Таблица 3</t>
  </si>
  <si>
    <t>Number</t>
  </si>
  <si>
    <t>x1, м</t>
  </si>
  <si>
    <t>х2, м</t>
  </si>
  <si>
    <t>t1, c</t>
  </si>
  <si>
    <t>t2, c</t>
  </si>
  <si>
    <t>Y = х2 - x1, м</t>
  </si>
  <si>
    <t>5 мм</t>
  </si>
  <si>
    <t>0,5 мм</t>
  </si>
  <si>
    <t>Таблица 4</t>
  </si>
  <si>
    <t>кол-во пластин</t>
  </si>
  <si>
    <t>h1, мм</t>
  </si>
  <si>
    <t>h', мм</t>
  </si>
  <si>
    <t>Z = (t2^2 - t1^2) / 2, с^2</t>
  </si>
  <si>
    <t>дельта Y, м</t>
  </si>
  <si>
    <t>дельта Z, с^2</t>
  </si>
  <si>
    <t>расчет погрешности</t>
  </si>
  <si>
    <t>для Y и Z</t>
  </si>
  <si>
    <t>Yi, m</t>
  </si>
  <si>
    <t>Zi, c^2</t>
  </si>
  <si>
    <t>a(МНК), м/с^2</t>
  </si>
  <si>
    <t>Сумм(Yi*Zi), m*c^2</t>
  </si>
  <si>
    <t>Yi*Zi, m*c^2</t>
  </si>
  <si>
    <t>Zi^2, c^4</t>
  </si>
  <si>
    <t xml:space="preserve">Посчитаем </t>
  </si>
  <si>
    <t>погрешность</t>
  </si>
  <si>
    <t>ускорения</t>
  </si>
  <si>
    <t>Переходим к МНК</t>
  </si>
  <si>
    <t>(Yi - a*Zi)^2, m^2</t>
  </si>
  <si>
    <t>Сумма B29-B33</t>
  </si>
  <si>
    <t>число изм N</t>
  </si>
  <si>
    <t>среднее отклонение сигма, м/с^2</t>
  </si>
  <si>
    <t>А относительная:</t>
  </si>
  <si>
    <t>Тогда абсолютная погрешность:</t>
  </si>
  <si>
    <r>
      <t>N</t>
    </r>
    <r>
      <rPr>
        <sz val="8"/>
        <color rgb="FF000000"/>
        <rFont val="Calibri"/>
        <family val="2"/>
        <charset val="204"/>
        <scheme val="minor"/>
      </rPr>
      <t>ПЛ</t>
    </r>
  </si>
  <si>
    <r>
      <t>t</t>
    </r>
    <r>
      <rPr>
        <vertAlign val="subscript"/>
        <sz val="11"/>
        <color rgb="FF000000"/>
        <rFont val="Calibri"/>
        <family val="2"/>
        <charset val="204"/>
        <scheme val="minor"/>
      </rPr>
      <t>1</t>
    </r>
    <r>
      <rPr>
        <sz val="11"/>
        <color rgb="FF000000"/>
        <rFont val="Calibri"/>
        <family val="2"/>
        <charset val="204"/>
        <scheme val="minor"/>
      </rPr>
      <t xml:space="preserve">, </t>
    </r>
    <r>
      <rPr>
        <i/>
        <sz val="11"/>
        <color rgb="FF000000"/>
        <rFont val="Calibri"/>
        <family val="2"/>
        <charset val="204"/>
        <scheme val="minor"/>
      </rPr>
      <t>с</t>
    </r>
  </si>
  <si>
    <r>
      <t>t</t>
    </r>
    <r>
      <rPr>
        <vertAlign val="subscript"/>
        <sz val="11"/>
        <color rgb="FF000000"/>
        <rFont val="Calibri"/>
        <family val="2"/>
        <charset val="204"/>
        <scheme val="minor"/>
      </rPr>
      <t>2</t>
    </r>
    <r>
      <rPr>
        <sz val="11"/>
        <color rgb="FF000000"/>
        <rFont val="Calibri"/>
        <family val="2"/>
        <charset val="204"/>
        <scheme val="minor"/>
      </rPr>
      <t xml:space="preserve">, </t>
    </r>
    <r>
      <rPr>
        <i/>
        <sz val="11"/>
        <color rgb="FF000000"/>
        <rFont val="Calibri"/>
        <family val="2"/>
        <charset val="204"/>
        <scheme val="minor"/>
      </rPr>
      <t>с</t>
    </r>
  </si>
  <si>
    <r>
      <t xml:space="preserve">a; </t>
    </r>
    <r>
      <rPr>
        <u/>
        <sz val="8"/>
        <color rgb="FF000000"/>
        <rFont val="Calibri"/>
        <family val="2"/>
        <charset val="204"/>
        <scheme val="minor"/>
      </rPr>
      <t>м</t>
    </r>
    <r>
      <rPr>
        <sz val="6"/>
        <color rgb="FF000000"/>
        <rFont val="Calibri"/>
        <family val="2"/>
        <charset val="204"/>
        <scheme val="minor"/>
      </rPr>
      <t xml:space="preserve">2 </t>
    </r>
    <r>
      <rPr>
        <sz val="8"/>
        <color rgb="FF000000"/>
        <rFont val="Calibri"/>
        <family val="2"/>
        <charset val="204"/>
        <scheme val="minor"/>
      </rPr>
      <t>с</t>
    </r>
  </si>
  <si>
    <r>
      <t>N</t>
    </r>
    <r>
      <rPr>
        <vertAlign val="subscript"/>
        <sz val="11"/>
        <color rgb="FF000000"/>
        <rFont val="Calibri"/>
        <family val="2"/>
        <charset val="204"/>
        <scheme val="minor"/>
      </rPr>
      <t xml:space="preserve">ПЛ </t>
    </r>
    <r>
      <rPr>
        <sz val="11"/>
        <color rgb="FF000000"/>
        <rFont val="Calibri"/>
        <family val="2"/>
        <charset val="204"/>
        <scheme val="minor"/>
      </rPr>
      <t>- количество пластин</t>
    </r>
  </si>
  <si>
    <t>Таблица5</t>
  </si>
  <si>
    <t>sin альфа</t>
  </si>
  <si>
    <r>
      <t>⟨t</t>
    </r>
    <r>
      <rPr>
        <vertAlign val="subscript"/>
        <sz val="11"/>
        <color rgb="FF000000"/>
        <rFont val="Calibri"/>
        <family val="2"/>
        <charset val="204"/>
        <scheme val="minor"/>
      </rPr>
      <t>2</t>
    </r>
    <r>
      <rPr>
        <sz val="11"/>
        <color rgb="FF000000"/>
        <rFont val="Calibri"/>
        <family val="2"/>
        <charset val="204"/>
        <scheme val="minor"/>
      </rPr>
      <t>⟩        ±</t>
    </r>
  </si>
  <si>
    <r>
      <t>⟨t</t>
    </r>
    <r>
      <rPr>
        <vertAlign val="subscript"/>
        <sz val="11"/>
        <color rgb="FF000000"/>
        <rFont val="Calibri"/>
        <family val="2"/>
        <charset val="204"/>
        <scheme val="minor"/>
      </rPr>
      <t>1</t>
    </r>
    <r>
      <rPr>
        <sz val="11"/>
        <color rgb="FF000000"/>
        <rFont val="Calibri"/>
        <family val="2"/>
        <charset val="204"/>
        <scheme val="minor"/>
      </rPr>
      <t>⟩                ±</t>
    </r>
  </si>
  <si>
    <t>дельта t1i^2, c^2</t>
  </si>
  <si>
    <t>дельта t2i^2, c^2</t>
  </si>
  <si>
    <t xml:space="preserve">в формулах для погрешностей t1 и t2 </t>
  </si>
  <si>
    <t xml:space="preserve"> величина 0,01 в конце корня </t>
  </si>
  <si>
    <t>это погрешность прибора в квадрате</t>
  </si>
  <si>
    <t>⟨a⟩             ±</t>
  </si>
  <si>
    <t>Отсюда начинаем расчеты коэффициетов B, A, D, (СКО для g)</t>
  </si>
  <si>
    <t>Number of i</t>
  </si>
  <si>
    <t>𝑎𝑖 * sin alp_i</t>
  </si>
  <si>
    <t>Sum of B37:B41</t>
  </si>
  <si>
    <t>sin^2_(alp_i)</t>
  </si>
  <si>
    <t>Sum(sin1:sin5)</t>
  </si>
  <si>
    <t>Sum(a1:a5)</t>
  </si>
  <si>
    <t>у меня получилось ахуенное блять g почти нахуй 10, ну ладно, сошлем на то, что я не на экваторе, а на 5ом этаже Биржы</t>
  </si>
  <si>
    <t>Проведем расчеты для А</t>
  </si>
  <si>
    <t>Тогда А равно</t>
  </si>
  <si>
    <t>м/с^2</t>
  </si>
  <si>
    <t>Тогда g(B) это, m/c^2</t>
  </si>
  <si>
    <t>using field F37 &amp; E37 &amp; G37</t>
  </si>
  <si>
    <t>Коэффициент D</t>
  </si>
  <si>
    <t>d1</t>
  </si>
  <si>
    <t>d2</t>
  </si>
  <si>
    <t>d3</t>
  </si>
  <si>
    <t>d4</t>
  </si>
  <si>
    <t>d5</t>
  </si>
  <si>
    <t>теперь</t>
  </si>
  <si>
    <t>посчитаем</t>
  </si>
  <si>
    <t>результат</t>
  </si>
  <si>
    <t>di^2</t>
  </si>
  <si>
    <t>Тогда искомое СКО для g</t>
  </si>
  <si>
    <t>их квадраты,</t>
  </si>
  <si>
    <t>справа --&gt;</t>
  </si>
  <si>
    <t>коэффициент Стьюдента для 5 измерений c доверительной вероятностью 0,95</t>
  </si>
  <si>
    <t>дельта(абсолют) g</t>
  </si>
  <si>
    <t>Относительная погрешность</t>
  </si>
  <si>
    <t>%</t>
  </si>
  <si>
    <t>смотреть график в самом конце</t>
  </si>
  <si>
    <t xml:space="preserve">это последний пункт </t>
  </si>
  <si>
    <t>обработки результатов задания 2</t>
  </si>
  <si>
    <t>для аппроксимирующей прямой</t>
  </si>
  <si>
    <t>во втором задании остается еще пункт 7, надеюсь каждый его сам выполнит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</si>
</sst>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u/>
      <sz val="8"/>
      <color rgb="FF000000"/>
      <name val="Calibri"/>
      <family val="2"/>
      <charset val="204"/>
      <scheme val="minor"/>
    </font>
    <font>
      <sz val="6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</a:t>
            </a:r>
            <a:r>
              <a:rPr lang="en-US"/>
              <a:t>Y </a:t>
            </a:r>
            <a:r>
              <a:rPr lang="az-Cyrl-AZ"/>
              <a:t>от </a:t>
            </a: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"/>
            <c:intercept val="0"/>
            <c:dispRSqr val="1"/>
            <c:dispEq val="1"/>
            <c:trendlineLbl>
              <c:layout>
                <c:manualLayout>
                  <c:x val="3.2152124709107721E-2"/>
                  <c:y val="0.13444123314065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1'!$H$8:$H$12</c:f>
              <c:numCache>
                <c:formatCode>General</c:formatCode>
                <c:ptCount val="5"/>
                <c:pt idx="0">
                  <c:v>2.0349999999999997</c:v>
                </c:pt>
                <c:pt idx="1">
                  <c:v>2.5350000000000001</c:v>
                </c:pt>
                <c:pt idx="2">
                  <c:v>4.5999999999999996</c:v>
                </c:pt>
                <c:pt idx="3">
                  <c:v>6.0000000000000009</c:v>
                </c:pt>
                <c:pt idx="4">
                  <c:v>7.56</c:v>
                </c:pt>
              </c:numCache>
            </c:numRef>
          </c:xVal>
          <c:yVal>
            <c:numRef>
              <c:f>'Задание 1'!$G$8:$G$12</c:f>
              <c:numCache>
                <c:formatCode>General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9AC-4E33-91E3-687001790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25560"/>
        <c:axId val="1458038040"/>
      </c:scatterChart>
      <c:valAx>
        <c:axId val="145802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m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038040"/>
        <c:crosses val="autoZero"/>
        <c:crossBetween val="midCat"/>
      </c:valAx>
      <c:valAx>
        <c:axId val="14580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c^2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025560"/>
        <c:crosses val="autoZero"/>
        <c:crossBetween val="midCat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зависимость уск от син угла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2'!$P$9:$P$13</c:f>
              <c:numCache>
                <c:formatCode>General</c:formatCode>
                <c:ptCount val="5"/>
                <c:pt idx="0">
                  <c:v>7.6923076923076919E-3</c:v>
                </c:pt>
                <c:pt idx="1">
                  <c:v>1.6666666666666666E-2</c:v>
                </c:pt>
                <c:pt idx="2">
                  <c:v>2.564102564102564E-2</c:v>
                </c:pt>
                <c:pt idx="3">
                  <c:v>3.8461538461538457E-2</c:v>
                </c:pt>
                <c:pt idx="4">
                  <c:v>4.8717948717948718E-2</c:v>
                </c:pt>
              </c:numCache>
            </c:numRef>
          </c:xVal>
          <c:yVal>
            <c:numRef>
              <c:f>'Задание 2'!$U$9:$U$13</c:f>
              <c:numCache>
                <c:formatCode>General</c:formatCode>
                <c:ptCount val="5"/>
                <c:pt idx="0">
                  <c:v>7.346292947558769E-2</c:v>
                </c:pt>
                <c:pt idx="1">
                  <c:v>0.1605268573780613</c:v>
                </c:pt>
                <c:pt idx="2">
                  <c:v>0.25062656641604009</c:v>
                </c:pt>
                <c:pt idx="3">
                  <c:v>0.32500000000000007</c:v>
                </c:pt>
                <c:pt idx="4">
                  <c:v>0.42857142857142855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1-4C89-988E-626DB5428F42}"/>
            </c:ext>
          </c:extLst>
        </c:ser>
        <c:ser>
          <c:idx val="1"/>
          <c:order val="1"/>
          <c:tx>
            <c:v>линейная зав а=А+В*sin(alp)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.0000000000000002E-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2'!$P$9:$P$13</c:f>
              <c:numCache>
                <c:formatCode>General</c:formatCode>
                <c:ptCount val="5"/>
                <c:pt idx="0">
                  <c:v>7.6923076923076919E-3</c:v>
                </c:pt>
                <c:pt idx="1">
                  <c:v>1.6666666666666666E-2</c:v>
                </c:pt>
                <c:pt idx="2">
                  <c:v>2.564102564102564E-2</c:v>
                </c:pt>
                <c:pt idx="3">
                  <c:v>3.8461538461538457E-2</c:v>
                </c:pt>
                <c:pt idx="4">
                  <c:v>4.8717948717948718E-2</c:v>
                </c:pt>
              </c:numCache>
            </c:numRef>
          </c:xVal>
          <c:yVal>
            <c:numRef>
              <c:f>'Задание 2'!$T$49:$T$53</c:f>
              <c:numCache>
                <c:formatCode>General</c:formatCode>
                <c:ptCount val="5"/>
                <c:pt idx="0">
                  <c:v>8.2268520258979502E-2</c:v>
                </c:pt>
                <c:pt idx="1">
                  <c:v>0.15743626394499954</c:v>
                </c:pt>
                <c:pt idx="2">
                  <c:v>0.2326040076310196</c:v>
                </c:pt>
                <c:pt idx="3">
                  <c:v>0.33998649861104818</c:v>
                </c:pt>
                <c:pt idx="4">
                  <c:v>0.42589249139507113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1-4C89-988E-626DB542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87712"/>
        <c:axId val="404019696"/>
      </c:scatterChart>
      <c:valAx>
        <c:axId val="5617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alpha(or sin(alp))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019696"/>
        <c:crosses val="autoZero"/>
        <c:crossBetween val="midCat"/>
      </c:valAx>
      <c:valAx>
        <c:axId val="4040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</a:t>
                </a:r>
                <a:r>
                  <a:rPr lang="en-US" baseline="0"/>
                  <a:t> m/c^2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8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66675</xdr:rowOff>
    </xdr:from>
    <xdr:to>
      <xdr:col>13</xdr:col>
      <xdr:colOff>495300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9C7BCB-258E-4DA1-975A-8B47DBEC0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885825</xdr:colOff>
      <xdr:row>40</xdr:row>
      <xdr:rowOff>160021</xdr:rowOff>
    </xdr:from>
    <xdr:to>
      <xdr:col>29</xdr:col>
      <xdr:colOff>200660</xdr:colOff>
      <xdr:row>58</xdr:row>
      <xdr:rowOff>33339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C1F956-DC9B-4DFB-B3F9-253BAB336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J29" sqref="J29:K29"/>
    </sheetView>
  </sheetViews>
  <sheetFormatPr defaultRowHeight="14.4" x14ac:dyDescent="0.3"/>
  <cols>
    <col min="1" max="1" width="16.109375" customWidth="1"/>
    <col min="2" max="2" width="22.33203125" customWidth="1"/>
    <col min="3" max="3" width="21.33203125" customWidth="1"/>
    <col min="4" max="4" width="19.88671875" customWidth="1"/>
    <col min="5" max="5" width="18.44140625" customWidth="1"/>
    <col min="6" max="6" width="14.5546875" customWidth="1"/>
    <col min="7" max="7" width="17.88671875" customWidth="1"/>
    <col min="8" max="8" width="23.5546875" customWidth="1"/>
    <col min="9" max="9" width="10" customWidth="1"/>
    <col min="10" max="10" width="17.88671875" customWidth="1"/>
    <col min="11" max="11" width="13" customWidth="1"/>
    <col min="12" max="12" width="14.109375" customWidth="1"/>
    <col min="13" max="13" width="13.88671875" customWidth="1"/>
  </cols>
  <sheetData>
    <row r="1" spans="1:15" x14ac:dyDescent="0.3">
      <c r="A1" s="5"/>
      <c r="B1" s="5"/>
      <c r="C1" s="5"/>
      <c r="D1" s="5"/>
      <c r="E1" s="5"/>
      <c r="F1" s="5"/>
      <c r="G1" s="6"/>
      <c r="H1" s="5"/>
      <c r="I1" s="7" t="s">
        <v>0</v>
      </c>
      <c r="J1" s="7"/>
      <c r="K1" s="7"/>
      <c r="L1" s="7"/>
      <c r="M1" s="7"/>
      <c r="N1" s="7"/>
      <c r="O1" s="4"/>
    </row>
    <row r="2" spans="1:15" x14ac:dyDescent="0.3">
      <c r="A2" s="6"/>
      <c r="B2" s="5"/>
      <c r="C2" s="5"/>
      <c r="D2" s="5"/>
      <c r="E2" s="5"/>
      <c r="F2" s="5"/>
      <c r="G2" s="6"/>
      <c r="H2" s="5"/>
      <c r="I2" s="7"/>
      <c r="J2" s="8" t="s">
        <v>1</v>
      </c>
      <c r="K2" s="7" t="s">
        <v>2</v>
      </c>
      <c r="L2" s="7" t="s">
        <v>3</v>
      </c>
      <c r="M2" s="7" t="s">
        <v>4</v>
      </c>
      <c r="N2" s="7" t="s">
        <v>5</v>
      </c>
      <c r="O2" s="4"/>
    </row>
    <row r="3" spans="1:15" x14ac:dyDescent="0.3">
      <c r="A3" s="6" t="s">
        <v>6</v>
      </c>
      <c r="B3" s="6"/>
      <c r="C3" s="6"/>
      <c r="D3" s="6"/>
      <c r="E3" s="6"/>
      <c r="F3" s="5"/>
      <c r="G3" s="5"/>
      <c r="H3" s="5"/>
      <c r="I3" s="7"/>
      <c r="J3" s="8" t="s">
        <v>7</v>
      </c>
      <c r="K3" s="7" t="s">
        <v>8</v>
      </c>
      <c r="L3" s="7" t="s">
        <v>9</v>
      </c>
      <c r="M3" s="7" t="s">
        <v>10</v>
      </c>
      <c r="N3" s="7">
        <v>5</v>
      </c>
      <c r="O3" s="4" t="s">
        <v>11</v>
      </c>
    </row>
    <row r="4" spans="1:15" x14ac:dyDescent="0.3">
      <c r="A4" s="6"/>
      <c r="B4" s="7" t="s">
        <v>12</v>
      </c>
      <c r="C4" s="7" t="s">
        <v>13</v>
      </c>
      <c r="D4" s="7" t="s">
        <v>14</v>
      </c>
      <c r="E4" s="7" t="s">
        <v>15</v>
      </c>
      <c r="F4" s="5"/>
      <c r="G4" s="5"/>
      <c r="H4" s="5"/>
      <c r="I4" s="8"/>
      <c r="J4" s="8" t="s">
        <v>16</v>
      </c>
      <c r="K4" s="7" t="s">
        <v>17</v>
      </c>
      <c r="L4" s="7" t="s">
        <v>18</v>
      </c>
      <c r="M4" s="7" t="s">
        <v>10</v>
      </c>
      <c r="N4" s="7">
        <v>0.5</v>
      </c>
      <c r="O4" s="4" t="s">
        <v>11</v>
      </c>
    </row>
    <row r="5" spans="1:15" x14ac:dyDescent="0.3">
      <c r="A5" s="6"/>
      <c r="B5" s="7">
        <v>0.22</v>
      </c>
      <c r="C5" s="7">
        <v>1</v>
      </c>
      <c r="D5" s="7">
        <v>200</v>
      </c>
      <c r="E5" s="7">
        <v>200</v>
      </c>
      <c r="F5" s="5"/>
      <c r="G5" s="5"/>
      <c r="H5" s="5"/>
      <c r="I5" s="7"/>
      <c r="J5" s="8" t="s">
        <v>19</v>
      </c>
      <c r="K5" s="7" t="s">
        <v>20</v>
      </c>
      <c r="L5" s="7" t="s">
        <v>21</v>
      </c>
      <c r="M5" s="7" t="s">
        <v>10</v>
      </c>
      <c r="N5" s="7">
        <v>0.1</v>
      </c>
      <c r="O5" s="4" t="s">
        <v>22</v>
      </c>
    </row>
    <row r="6" spans="1:15" x14ac:dyDescent="0.3">
      <c r="A6" s="6" t="s">
        <v>23</v>
      </c>
      <c r="B6" s="6"/>
      <c r="C6" s="6"/>
      <c r="D6" s="6"/>
      <c r="E6" s="6"/>
      <c r="F6" s="6"/>
      <c r="G6" s="6"/>
      <c r="H6" s="5"/>
      <c r="I6" s="6"/>
      <c r="J6" s="6"/>
      <c r="K6" s="6"/>
      <c r="L6" s="5"/>
      <c r="M6" s="5"/>
      <c r="N6" s="5"/>
      <c r="O6" s="4"/>
    </row>
    <row r="7" spans="1:15" x14ac:dyDescent="0.3">
      <c r="A7" s="6"/>
      <c r="B7" s="7" t="s">
        <v>24</v>
      </c>
      <c r="C7" s="7" t="s">
        <v>25</v>
      </c>
      <c r="D7" s="7" t="s">
        <v>26</v>
      </c>
      <c r="E7" s="7" t="s">
        <v>27</v>
      </c>
      <c r="F7" s="7" t="s">
        <v>28</v>
      </c>
      <c r="G7" s="7" t="s">
        <v>29</v>
      </c>
      <c r="H7" s="7" t="s">
        <v>36</v>
      </c>
      <c r="I7" s="6"/>
      <c r="J7" s="6"/>
      <c r="K7" s="6"/>
      <c r="L7" s="5"/>
      <c r="M7" s="5"/>
      <c r="N7" s="5"/>
      <c r="O7" s="4"/>
    </row>
    <row r="8" spans="1:15" x14ac:dyDescent="0.3">
      <c r="A8" s="6"/>
      <c r="B8" s="7">
        <v>1</v>
      </c>
      <c r="C8" s="7">
        <v>0.15</v>
      </c>
      <c r="D8" s="7">
        <v>0.4</v>
      </c>
      <c r="E8" s="7">
        <v>1.3</v>
      </c>
      <c r="F8" s="7">
        <v>2.4</v>
      </c>
      <c r="G8" s="7">
        <f>D8-C8</f>
        <v>0.25</v>
      </c>
      <c r="H8" s="7">
        <f>(F8*F8-E8*E8)/2</f>
        <v>2.0349999999999997</v>
      </c>
      <c r="I8" s="6"/>
      <c r="J8" s="6"/>
      <c r="K8" s="6"/>
      <c r="L8" s="5"/>
      <c r="M8" s="5"/>
      <c r="N8" s="5"/>
      <c r="O8" s="4"/>
    </row>
    <row r="9" spans="1:15" x14ac:dyDescent="0.3">
      <c r="A9" s="6"/>
      <c r="B9" s="7">
        <v>2</v>
      </c>
      <c r="C9" s="7">
        <v>0.15</v>
      </c>
      <c r="D9" s="7">
        <v>0.5</v>
      </c>
      <c r="E9" s="7">
        <v>1.3</v>
      </c>
      <c r="F9" s="7">
        <v>2.6</v>
      </c>
      <c r="G9" s="7">
        <f t="shared" ref="G9:G12" si="0">D9-C9</f>
        <v>0.35</v>
      </c>
      <c r="H9" s="7">
        <f t="shared" ref="H9:H12" si="1">(F9*F9-E9*E9)/2</f>
        <v>2.5350000000000001</v>
      </c>
      <c r="I9" s="6"/>
      <c r="J9" s="6"/>
      <c r="K9" s="6"/>
      <c r="L9" s="5"/>
      <c r="M9" s="5"/>
      <c r="N9" s="5"/>
      <c r="O9" s="4"/>
    </row>
    <row r="10" spans="1:15" x14ac:dyDescent="0.3">
      <c r="A10" s="6"/>
      <c r="B10" s="7">
        <v>3</v>
      </c>
      <c r="C10" s="7">
        <v>0.15</v>
      </c>
      <c r="D10" s="7">
        <v>0.7</v>
      </c>
      <c r="E10" s="7">
        <v>1.3</v>
      </c>
      <c r="F10" s="7">
        <v>3.3</v>
      </c>
      <c r="G10" s="7">
        <f t="shared" si="0"/>
        <v>0.54999999999999993</v>
      </c>
      <c r="H10" s="7">
        <f t="shared" si="1"/>
        <v>4.5999999999999996</v>
      </c>
      <c r="I10" s="6"/>
      <c r="J10" s="6"/>
      <c r="K10" s="6"/>
      <c r="L10" s="5"/>
      <c r="M10" s="5"/>
      <c r="N10" s="5"/>
      <c r="O10" s="4"/>
    </row>
    <row r="11" spans="1:15" x14ac:dyDescent="0.3">
      <c r="A11" s="6"/>
      <c r="B11" s="7">
        <v>4</v>
      </c>
      <c r="C11" s="7">
        <v>0.15</v>
      </c>
      <c r="D11" s="7">
        <v>0.9</v>
      </c>
      <c r="E11" s="7">
        <v>1.3</v>
      </c>
      <c r="F11" s="7">
        <v>3.7</v>
      </c>
      <c r="G11" s="7">
        <f t="shared" si="0"/>
        <v>0.75</v>
      </c>
      <c r="H11" s="7">
        <f t="shared" si="1"/>
        <v>6.0000000000000009</v>
      </c>
      <c r="I11" s="6"/>
      <c r="J11" s="6"/>
      <c r="K11" s="6"/>
      <c r="L11" s="5"/>
      <c r="M11" s="5"/>
      <c r="N11" s="5"/>
      <c r="O11" s="4"/>
    </row>
    <row r="12" spans="1:15" x14ac:dyDescent="0.3">
      <c r="A12" s="6"/>
      <c r="B12" s="7">
        <v>5</v>
      </c>
      <c r="C12" s="7">
        <v>0.15</v>
      </c>
      <c r="D12" s="7">
        <v>1.1000000000000001</v>
      </c>
      <c r="E12" s="7">
        <v>1.3</v>
      </c>
      <c r="F12" s="7">
        <v>4.0999999999999996</v>
      </c>
      <c r="G12" s="7">
        <f t="shared" si="0"/>
        <v>0.95000000000000007</v>
      </c>
      <c r="H12" s="7">
        <f t="shared" si="1"/>
        <v>7.56</v>
      </c>
      <c r="I12" s="6"/>
      <c r="J12" s="6"/>
      <c r="K12" s="6"/>
      <c r="L12" s="5"/>
      <c r="M12" s="5"/>
      <c r="N12" s="5"/>
      <c r="O12" s="4"/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5"/>
      <c r="M13" s="5"/>
      <c r="N13" s="5"/>
      <c r="O13" s="4"/>
    </row>
    <row r="14" spans="1:15" x14ac:dyDescent="0.3">
      <c r="A14" s="6"/>
      <c r="B14" s="6"/>
      <c r="C14" s="6"/>
      <c r="D14" s="6"/>
      <c r="E14" s="6" t="s">
        <v>39</v>
      </c>
      <c r="F14" s="9" t="s">
        <v>40</v>
      </c>
      <c r="G14" s="7" t="s">
        <v>37</v>
      </c>
      <c r="H14" s="7" t="s">
        <v>38</v>
      </c>
      <c r="I14" s="6"/>
      <c r="J14" s="6"/>
      <c r="K14" s="6"/>
      <c r="L14" s="5"/>
      <c r="M14" s="5"/>
      <c r="N14" s="5"/>
      <c r="O14" s="4"/>
    </row>
    <row r="15" spans="1:15" x14ac:dyDescent="0.3">
      <c r="A15" s="6"/>
      <c r="B15" s="6"/>
      <c r="C15" s="6"/>
      <c r="D15" s="6"/>
      <c r="E15" s="6"/>
      <c r="F15" s="6"/>
      <c r="G15" s="7">
        <f>SQRT($N$3*$N$3 + $N$3*$N$3)</f>
        <v>7.0710678118654755</v>
      </c>
      <c r="H15" s="7">
        <f>SQRT(POWER(F8*$N$5, 2) + POWER(E8*$N$5, 2))</f>
        <v>0.27294688127912359</v>
      </c>
      <c r="I15" s="6"/>
      <c r="J15" s="6"/>
      <c r="K15" s="6"/>
      <c r="L15" s="5"/>
      <c r="M15" s="5"/>
      <c r="N15" s="5"/>
      <c r="O15" s="4"/>
    </row>
    <row r="16" spans="1:15" x14ac:dyDescent="0.3">
      <c r="A16" s="6"/>
      <c r="B16" s="6"/>
      <c r="C16" s="6"/>
      <c r="D16" s="6"/>
      <c r="E16" s="6"/>
      <c r="F16" s="6"/>
      <c r="G16" s="7">
        <f t="shared" ref="G16:G19" si="2">SQRT($N$3*$N$3 + $N$3*$N$3)</f>
        <v>7.0710678118654755</v>
      </c>
      <c r="H16" s="7">
        <f t="shared" ref="H16:H19" si="3">SQRT(POWER(F9*$N$5, 2) + POWER(E9*$N$5, 2))</f>
        <v>0.29068883707497267</v>
      </c>
      <c r="I16" s="6"/>
      <c r="J16" s="6"/>
      <c r="K16" s="6"/>
      <c r="L16" s="5"/>
      <c r="M16" s="5"/>
      <c r="N16" s="5"/>
      <c r="O16" s="4"/>
    </row>
    <row r="17" spans="1:14" x14ac:dyDescent="0.3">
      <c r="A17" s="6"/>
      <c r="B17" s="6"/>
      <c r="C17" s="6"/>
      <c r="D17" s="6"/>
      <c r="E17" s="6"/>
      <c r="F17" s="6"/>
      <c r="G17" s="7">
        <f t="shared" si="2"/>
        <v>7.0710678118654755</v>
      </c>
      <c r="H17" s="7">
        <f t="shared" si="3"/>
        <v>0.35468295701936403</v>
      </c>
      <c r="I17" s="6"/>
      <c r="J17" s="6"/>
      <c r="K17" s="6"/>
      <c r="L17" s="5"/>
      <c r="M17" s="5"/>
      <c r="N17" s="5"/>
    </row>
    <row r="18" spans="1:14" x14ac:dyDescent="0.3">
      <c r="A18" s="6"/>
      <c r="B18" s="6"/>
      <c r="C18" s="6"/>
      <c r="D18" s="6"/>
      <c r="E18" s="6"/>
      <c r="F18" s="6"/>
      <c r="G18" s="7">
        <f t="shared" si="2"/>
        <v>7.0710678118654755</v>
      </c>
      <c r="H18" s="7">
        <f t="shared" si="3"/>
        <v>0.39217343102255159</v>
      </c>
      <c r="I18" s="6"/>
      <c r="J18" s="6"/>
      <c r="K18" s="6"/>
      <c r="L18" s="5"/>
      <c r="M18" s="5"/>
      <c r="N18" s="5"/>
    </row>
    <row r="19" spans="1:14" x14ac:dyDescent="0.3">
      <c r="A19" s="6"/>
      <c r="B19" s="6"/>
      <c r="C19" s="6"/>
      <c r="D19" s="6"/>
      <c r="E19" s="6"/>
      <c r="F19" s="6"/>
      <c r="G19" s="7">
        <f t="shared" si="2"/>
        <v>7.0710678118654755</v>
      </c>
      <c r="H19" s="7">
        <f t="shared" si="3"/>
        <v>0.43011626335213132</v>
      </c>
      <c r="I19" s="6"/>
      <c r="J19" s="6"/>
      <c r="K19" s="6"/>
      <c r="L19" s="5"/>
      <c r="M19" s="5"/>
      <c r="N19" s="5"/>
    </row>
    <row r="21" spans="1:14" x14ac:dyDescent="0.3">
      <c r="A21" t="s">
        <v>50</v>
      </c>
      <c r="B21" s="10" t="s">
        <v>41</v>
      </c>
      <c r="C21" s="10" t="s">
        <v>42</v>
      </c>
      <c r="D21" s="10" t="s">
        <v>45</v>
      </c>
      <c r="E21" s="10" t="s">
        <v>44</v>
      </c>
      <c r="F21" s="10" t="s">
        <v>46</v>
      </c>
      <c r="G21" s="10" t="s">
        <v>43</v>
      </c>
    </row>
    <row r="22" spans="1:14" x14ac:dyDescent="0.3">
      <c r="B22" s="10">
        <f t="shared" ref="B22:C26" si="4">G8</f>
        <v>0.25</v>
      </c>
      <c r="C22" s="10">
        <f t="shared" si="4"/>
        <v>2.0349999999999997</v>
      </c>
      <c r="D22" s="10">
        <f>B22*C22</f>
        <v>0.50874999999999992</v>
      </c>
      <c r="E22" s="37">
        <f>SUM(D22:D26)</f>
        <v>15.608000000000001</v>
      </c>
      <c r="F22" s="10">
        <f>D22*D22</f>
        <v>0.25882656249999991</v>
      </c>
      <c r="G22" s="37">
        <f>E22/SUM(F22:F26)</f>
        <v>0.19687665647671559</v>
      </c>
    </row>
    <row r="23" spans="1:14" x14ac:dyDescent="0.3">
      <c r="B23" s="10">
        <f t="shared" si="4"/>
        <v>0.35</v>
      </c>
      <c r="C23" s="10">
        <f t="shared" si="4"/>
        <v>2.5350000000000001</v>
      </c>
      <c r="D23" s="10">
        <f t="shared" ref="D23:D26" si="5">B23*C23</f>
        <v>0.88724999999999998</v>
      </c>
      <c r="E23" s="37"/>
      <c r="F23" s="10">
        <f t="shared" ref="F23:F26" si="6">D23*D23</f>
        <v>0.78721256249999993</v>
      </c>
      <c r="G23" s="37"/>
    </row>
    <row r="24" spans="1:14" x14ac:dyDescent="0.3">
      <c r="B24" s="10">
        <f t="shared" si="4"/>
        <v>0.54999999999999993</v>
      </c>
      <c r="C24" s="10">
        <f t="shared" si="4"/>
        <v>4.5999999999999996</v>
      </c>
      <c r="D24" s="10">
        <f t="shared" si="5"/>
        <v>2.5299999999999994</v>
      </c>
      <c r="E24" s="37"/>
      <c r="F24" s="10">
        <f t="shared" si="6"/>
        <v>6.4008999999999965</v>
      </c>
      <c r="G24" s="37"/>
    </row>
    <row r="25" spans="1:14" x14ac:dyDescent="0.3">
      <c r="B25" s="10">
        <f t="shared" si="4"/>
        <v>0.75</v>
      </c>
      <c r="C25" s="10">
        <f t="shared" si="4"/>
        <v>6.0000000000000009</v>
      </c>
      <c r="D25" s="10">
        <f t="shared" si="5"/>
        <v>4.5000000000000009</v>
      </c>
      <c r="E25" s="37"/>
      <c r="F25" s="10">
        <f t="shared" si="6"/>
        <v>20.250000000000007</v>
      </c>
      <c r="G25" s="37"/>
    </row>
    <row r="26" spans="1:14" x14ac:dyDescent="0.3">
      <c r="B26" s="10">
        <f t="shared" si="4"/>
        <v>0.95000000000000007</v>
      </c>
      <c r="C26" s="10">
        <f t="shared" si="4"/>
        <v>7.56</v>
      </c>
      <c r="D26" s="10">
        <f t="shared" si="5"/>
        <v>7.1820000000000004</v>
      </c>
      <c r="E26" s="37"/>
      <c r="F26" s="10">
        <f t="shared" si="6"/>
        <v>51.581124000000003</v>
      </c>
      <c r="G26" s="37"/>
    </row>
    <row r="27" spans="1:14" ht="15" thickBot="1" x14ac:dyDescent="0.35"/>
    <row r="28" spans="1:14" x14ac:dyDescent="0.3">
      <c r="A28" t="s">
        <v>47</v>
      </c>
      <c r="B28" s="10" t="s">
        <v>51</v>
      </c>
      <c r="C28" s="10" t="s">
        <v>52</v>
      </c>
      <c r="D28" s="10" t="s">
        <v>53</v>
      </c>
      <c r="E28" s="37" t="s">
        <v>54</v>
      </c>
      <c r="F28" s="37"/>
      <c r="G28" s="37"/>
      <c r="J28" s="40" t="s">
        <v>56</v>
      </c>
      <c r="K28" s="41"/>
    </row>
    <row r="29" spans="1:14" ht="15" thickBot="1" x14ac:dyDescent="0.35">
      <c r="A29" t="s">
        <v>48</v>
      </c>
      <c r="B29" s="10">
        <f>POWER(B22-$G$22*C22, 2)</f>
        <v>2.2693613509792862E-2</v>
      </c>
      <c r="C29" s="37">
        <f>SUM(B29:B33)</f>
        <v>0.64723997289908564</v>
      </c>
      <c r="D29" s="37">
        <v>5</v>
      </c>
      <c r="E29" s="37">
        <f>SQRT(C29/(D29 - 1)/SUM(F22:F26))</f>
        <v>4.5177911908491207E-2</v>
      </c>
      <c r="F29" s="37"/>
      <c r="G29" s="37"/>
      <c r="J29" s="38">
        <f>2*E29</f>
        <v>9.0355823816982414E-2</v>
      </c>
      <c r="K29" s="39"/>
    </row>
    <row r="30" spans="1:14" ht="15" thickBot="1" x14ac:dyDescent="0.35">
      <c r="A30" t="s">
        <v>49</v>
      </c>
      <c r="B30" s="10">
        <f t="shared" ref="B30:B33" si="7">POWER(B23-$G$22*C23, 2)</f>
        <v>2.2225539379473983E-2</v>
      </c>
      <c r="C30" s="37"/>
      <c r="D30" s="37"/>
      <c r="E30" s="37"/>
      <c r="F30" s="37"/>
      <c r="G30" s="37"/>
    </row>
    <row r="31" spans="1:14" x14ac:dyDescent="0.3">
      <c r="B31" s="10">
        <f t="shared" si="7"/>
        <v>0.12647456026075549</v>
      </c>
      <c r="C31" s="37"/>
      <c r="D31" s="37"/>
      <c r="E31" s="37"/>
      <c r="F31" s="37"/>
      <c r="G31" s="37"/>
      <c r="J31" s="40" t="s">
        <v>55</v>
      </c>
      <c r="K31" s="41"/>
    </row>
    <row r="32" spans="1:14" ht="15" thickBot="1" x14ac:dyDescent="0.35">
      <c r="B32" s="10">
        <f t="shared" si="7"/>
        <v>0.18598513486578433</v>
      </c>
      <c r="C32" s="37"/>
      <c r="D32" s="37"/>
      <c r="E32" s="37"/>
      <c r="F32" s="37"/>
      <c r="G32" s="37"/>
      <c r="J32" s="38">
        <f>J29/G22</f>
        <v>0.45894635470746481</v>
      </c>
      <c r="K32" s="39"/>
    </row>
    <row r="33" spans="2:7" x14ac:dyDescent="0.3">
      <c r="B33" s="10">
        <f t="shared" si="7"/>
        <v>0.28986112488327903</v>
      </c>
      <c r="C33" s="37"/>
      <c r="D33" s="37"/>
      <c r="E33" s="37"/>
      <c r="F33" s="37"/>
      <c r="G33" s="37"/>
    </row>
  </sheetData>
  <mergeCells count="10">
    <mergeCell ref="E22:E26"/>
    <mergeCell ref="G22:G26"/>
    <mergeCell ref="C29:C33"/>
    <mergeCell ref="D29:D33"/>
    <mergeCell ref="E28:G28"/>
    <mergeCell ref="E29:G33"/>
    <mergeCell ref="J29:K29"/>
    <mergeCell ref="J28:K28"/>
    <mergeCell ref="J31:K31"/>
    <mergeCell ref="J32:K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opLeftCell="E29" zoomScale="60" zoomScaleNormal="60" workbookViewId="0">
      <selection activeCell="T65" sqref="T65"/>
    </sheetView>
  </sheetViews>
  <sheetFormatPr defaultRowHeight="14.4" x14ac:dyDescent="0.3"/>
  <cols>
    <col min="1" max="1" width="13.109375" customWidth="1"/>
    <col min="2" max="2" width="17" customWidth="1"/>
    <col min="3" max="3" width="14" customWidth="1"/>
    <col min="4" max="4" width="13.5546875" customWidth="1"/>
    <col min="5" max="5" width="14.77734375" customWidth="1"/>
    <col min="6" max="6" width="15.33203125" customWidth="1"/>
    <col min="7" max="7" width="14.5546875" customWidth="1"/>
    <col min="8" max="8" width="15" customWidth="1"/>
    <col min="9" max="9" width="16.88671875" customWidth="1"/>
    <col min="10" max="10" width="19.5546875" customWidth="1"/>
    <col min="11" max="11" width="11.44140625" customWidth="1"/>
    <col min="12" max="12" width="14.33203125" customWidth="1"/>
    <col min="13" max="13" width="17.109375" customWidth="1"/>
    <col min="14" max="14" width="12.21875" customWidth="1"/>
    <col min="15" max="15" width="8.88671875" customWidth="1"/>
    <col min="16" max="16" width="13.21875" customWidth="1"/>
    <col min="17" max="17" width="11.77734375" customWidth="1"/>
    <col min="18" max="18" width="11.44140625" bestFit="1" customWidth="1"/>
    <col min="20" max="21" width="11.44140625" bestFit="1" customWidth="1"/>
    <col min="22" max="22" width="12.88671875" customWidth="1"/>
    <col min="24" max="24" width="21" customWidth="1"/>
  </cols>
  <sheetData>
    <row r="1" spans="1:22" x14ac:dyDescent="0.3">
      <c r="A1" s="11" t="s">
        <v>6</v>
      </c>
      <c r="B1" s="3"/>
      <c r="C1" s="3"/>
      <c r="D1" s="3"/>
      <c r="E1" s="3"/>
      <c r="F1" s="3"/>
      <c r="H1" s="3"/>
      <c r="I1" s="11" t="s">
        <v>0</v>
      </c>
      <c r="J1" s="15"/>
      <c r="K1" s="1"/>
      <c r="L1" s="1"/>
      <c r="M1" s="1"/>
      <c r="N1" s="1"/>
    </row>
    <row r="2" spans="1:22" ht="18" customHeight="1" x14ac:dyDescent="0.3">
      <c r="A2" s="3"/>
      <c r="B2" s="3"/>
      <c r="C2" s="1" t="s">
        <v>12</v>
      </c>
      <c r="D2" s="1" t="s">
        <v>13</v>
      </c>
      <c r="E2" s="1" t="s">
        <v>14</v>
      </c>
      <c r="F2" s="1" t="s">
        <v>15</v>
      </c>
      <c r="H2" s="3"/>
      <c r="I2" s="16"/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Q2" s="3"/>
    </row>
    <row r="3" spans="1:22" x14ac:dyDescent="0.3">
      <c r="A3" s="3"/>
      <c r="B3" s="3"/>
      <c r="C3" s="1">
        <v>0.22</v>
      </c>
      <c r="D3" s="1">
        <v>1</v>
      </c>
      <c r="E3" s="1">
        <v>200</v>
      </c>
      <c r="F3" s="1">
        <v>200</v>
      </c>
      <c r="H3" s="3"/>
      <c r="I3" s="1"/>
      <c r="J3" s="1" t="s">
        <v>7</v>
      </c>
      <c r="K3" s="1" t="s">
        <v>8</v>
      </c>
      <c r="L3" s="1" t="s">
        <v>9</v>
      </c>
      <c r="M3" s="1" t="s">
        <v>10</v>
      </c>
      <c r="N3" s="1" t="s">
        <v>30</v>
      </c>
      <c r="Q3" s="3"/>
    </row>
    <row r="4" spans="1:22" ht="17.25" customHeight="1" x14ac:dyDescent="0.3">
      <c r="A4" s="3"/>
      <c r="B4" s="3"/>
      <c r="C4" s="3"/>
      <c r="D4" s="3"/>
      <c r="E4" s="3"/>
      <c r="F4" s="3"/>
      <c r="G4" s="3"/>
      <c r="H4" s="3"/>
      <c r="I4" s="1"/>
      <c r="J4" s="1" t="s">
        <v>16</v>
      </c>
      <c r="K4" s="1" t="s">
        <v>17</v>
      </c>
      <c r="L4" s="1" t="s">
        <v>18</v>
      </c>
      <c r="M4" s="1" t="s">
        <v>10</v>
      </c>
      <c r="N4" s="1" t="s">
        <v>31</v>
      </c>
      <c r="Q4" s="3"/>
    </row>
    <row r="5" spans="1:22" ht="25.8" customHeight="1" thickBot="1" x14ac:dyDescent="0.35">
      <c r="A5" s="11" t="s">
        <v>32</v>
      </c>
      <c r="B5" s="3"/>
      <c r="C5" s="3"/>
      <c r="D5" s="3"/>
      <c r="E5" s="3"/>
      <c r="F5" s="3"/>
      <c r="G5" s="3"/>
      <c r="H5" s="3"/>
      <c r="I5" s="28"/>
      <c r="J5" s="28" t="s">
        <v>19</v>
      </c>
      <c r="K5" s="1" t="s">
        <v>20</v>
      </c>
      <c r="L5" s="1" t="s">
        <v>21</v>
      </c>
      <c r="M5" s="1" t="s">
        <v>10</v>
      </c>
      <c r="N5" s="1" t="s">
        <v>21</v>
      </c>
      <c r="O5" s="3"/>
      <c r="P5" s="3"/>
      <c r="Q5" s="3"/>
    </row>
    <row r="6" spans="1:22" ht="15" thickBot="1" x14ac:dyDescent="0.35">
      <c r="A6" s="3"/>
      <c r="B6" s="1" t="s">
        <v>33</v>
      </c>
      <c r="C6" s="1" t="s">
        <v>34</v>
      </c>
      <c r="D6" s="1" t="s">
        <v>35</v>
      </c>
      <c r="E6" s="1" t="s">
        <v>24</v>
      </c>
      <c r="F6" s="1" t="s">
        <v>27</v>
      </c>
      <c r="G6" s="1" t="s">
        <v>28</v>
      </c>
      <c r="H6" s="3"/>
      <c r="I6" s="29" t="s">
        <v>66</v>
      </c>
      <c r="J6" s="30" t="s">
        <v>67</v>
      </c>
    </row>
    <row r="7" spans="1:22" x14ac:dyDescent="0.3">
      <c r="A7" s="3"/>
      <c r="B7" s="67">
        <v>1</v>
      </c>
      <c r="C7" s="67">
        <v>192</v>
      </c>
      <c r="D7" s="67">
        <v>198</v>
      </c>
      <c r="E7" s="1">
        <v>1</v>
      </c>
      <c r="F7" s="1">
        <v>1.4</v>
      </c>
      <c r="G7" s="1">
        <v>4.9000000000000004</v>
      </c>
      <c r="H7" s="3"/>
      <c r="I7" s="23">
        <f>POWER($Q$9-F7, 2)</f>
        <v>6.4000000000000116E-3</v>
      </c>
      <c r="J7" s="26">
        <f>POWER($S$9-G7, 2)</f>
        <v>3.5999999999999531E-3</v>
      </c>
      <c r="N7" s="11" t="s">
        <v>62</v>
      </c>
      <c r="O7" s="3"/>
      <c r="P7" s="3"/>
      <c r="Q7" s="3"/>
      <c r="R7" s="3"/>
      <c r="S7" s="3"/>
      <c r="T7" s="3"/>
      <c r="U7" s="3"/>
      <c r="V7" s="3"/>
    </row>
    <row r="8" spans="1:22" ht="13.8" customHeight="1" x14ac:dyDescent="0.3">
      <c r="A8" s="3"/>
      <c r="B8" s="67"/>
      <c r="C8" s="67"/>
      <c r="D8" s="67"/>
      <c r="E8" s="1">
        <v>2</v>
      </c>
      <c r="F8" s="1">
        <v>1.4</v>
      </c>
      <c r="G8" s="1">
        <v>4.8</v>
      </c>
      <c r="H8" s="3"/>
      <c r="I8" s="23">
        <f t="shared" ref="I8:I11" si="0">POWER($Q$9-F8, 2)</f>
        <v>6.4000000000000116E-3</v>
      </c>
      <c r="J8" s="26">
        <f t="shared" ref="J8:J11" si="1">POWER($S$9-G8, 2)</f>
        <v>1.6000000000000738E-3</v>
      </c>
      <c r="N8" s="3"/>
      <c r="O8" s="14" t="s">
        <v>57</v>
      </c>
      <c r="P8" s="14" t="s">
        <v>63</v>
      </c>
      <c r="Q8" s="14" t="s">
        <v>65</v>
      </c>
      <c r="R8" s="14" t="s">
        <v>58</v>
      </c>
      <c r="S8" s="14" t="s">
        <v>64</v>
      </c>
      <c r="T8" s="14" t="s">
        <v>59</v>
      </c>
      <c r="U8" s="14" t="s">
        <v>71</v>
      </c>
      <c r="V8" s="14" t="s">
        <v>60</v>
      </c>
    </row>
    <row r="9" spans="1:22" x14ac:dyDescent="0.3">
      <c r="A9" s="3"/>
      <c r="B9" s="67"/>
      <c r="C9" s="67"/>
      <c r="D9" s="67"/>
      <c r="E9" s="1">
        <v>3</v>
      </c>
      <c r="F9" s="1">
        <v>1.5</v>
      </c>
      <c r="G9" s="1">
        <v>4.8</v>
      </c>
      <c r="H9" s="3"/>
      <c r="I9" s="23">
        <f t="shared" si="0"/>
        <v>4.0000000000000072E-4</v>
      </c>
      <c r="J9" s="26">
        <f t="shared" si="1"/>
        <v>1.6000000000000738E-3</v>
      </c>
      <c r="N9" s="3"/>
      <c r="O9" s="14">
        <v>1</v>
      </c>
      <c r="P9" s="14">
        <f>(($E$3 - $C$7) - ($F$3 - $D$7)) / ($D$3 - $C$3) / 1000</f>
        <v>7.6923076923076919E-3</v>
      </c>
      <c r="Q9" s="14">
        <f>AVERAGE(F7:F11)</f>
        <v>1.48</v>
      </c>
      <c r="R9" s="14">
        <f>SQRT(POWER($P$16*SQRT(SUM(I7:I11)/4/5), 2) + 0.01)</f>
        <v>0.12523703525714752</v>
      </c>
      <c r="S9" s="14">
        <f>AVERAGE(G7:G11)</f>
        <v>4.8400000000000007</v>
      </c>
      <c r="T9" s="14">
        <f>SQRT(POWER($P$16*SQRT(SUM(J7:J11)/4/5), 2) + 0.01)</f>
        <v>0.11151742016384716</v>
      </c>
      <c r="U9" s="14">
        <f>2*($D$3 - $C$3) / (S9*S9 - Q9*Q9)</f>
        <v>7.346292947558769E-2</v>
      </c>
      <c r="V9" s="14">
        <f>U9*SQRT(0.005*0.005*2 / POWER($D$3 - $C$3, 2) + 4 * (Q9*R9*Q9*R9 + S9*T9*S9*T9) / POWER(S9*S9 - Q9*Q9, 2))</f>
        <v>4.0043102654030221E-3</v>
      </c>
    </row>
    <row r="10" spans="1:22" x14ac:dyDescent="0.3">
      <c r="A10" s="3"/>
      <c r="B10" s="67"/>
      <c r="C10" s="67"/>
      <c r="D10" s="67"/>
      <c r="E10" s="1">
        <v>4</v>
      </c>
      <c r="F10" s="1">
        <v>1.5</v>
      </c>
      <c r="G10" s="1">
        <v>4.8</v>
      </c>
      <c r="H10" s="3"/>
      <c r="I10" s="23">
        <f t="shared" si="0"/>
        <v>4.0000000000000072E-4</v>
      </c>
      <c r="J10" s="26">
        <f t="shared" si="1"/>
        <v>1.6000000000000738E-3</v>
      </c>
      <c r="N10" s="3"/>
      <c r="O10" s="14">
        <v>2</v>
      </c>
      <c r="P10" s="14">
        <f>(($E$3 - $C$12) - ($F$3 - $D$12)) / ($D$3 - $C$3) / 1000</f>
        <v>1.6666666666666666E-2</v>
      </c>
      <c r="Q10" s="14">
        <f>AVERAGE(F12:F16)</f>
        <v>1.02</v>
      </c>
      <c r="R10" s="14">
        <f>SQRT(POWER($P$16*SQRT(SUM(I12:I16)/4/5), 2) + 0.01)</f>
        <v>0.10781507315769907</v>
      </c>
      <c r="S10" s="14">
        <f>AVERAGE(G12:G16)</f>
        <v>3.2800000000000002</v>
      </c>
      <c r="T10" s="14">
        <f>SQRT(POWER($P$16*SQRT(SUM(J12:J16)/4/5), 2) + 0.01)</f>
        <v>0.107815073157699</v>
      </c>
      <c r="U10" s="14">
        <f t="shared" ref="U10:U13" si="2">2*($D$3 - $C$3) / (S10*S10 - Q10*Q10)</f>
        <v>0.1605268573780613</v>
      </c>
      <c r="V10" s="14">
        <f t="shared" ref="V10:V13" si="3">U10*SQRT(0.005*0.005*2 / POWER($D$3 - $C$3, 2) + 4 * (Q10*R10*Q10*R10 + S10*T10*S10*T10) / POWER(S10*S10 - Q10*Q10, 2))</f>
        <v>1.2321107737848827E-2</v>
      </c>
    </row>
    <row r="11" spans="1:22" x14ac:dyDescent="0.3">
      <c r="A11" s="3"/>
      <c r="B11" s="67"/>
      <c r="C11" s="67"/>
      <c r="D11" s="67"/>
      <c r="E11" s="1">
        <v>5</v>
      </c>
      <c r="F11" s="1">
        <v>1.6</v>
      </c>
      <c r="G11" s="1">
        <v>4.9000000000000004</v>
      </c>
      <c r="H11" s="3"/>
      <c r="I11" s="23">
        <f t="shared" si="0"/>
        <v>1.4400000000000026E-2</v>
      </c>
      <c r="J11" s="26">
        <f t="shared" si="1"/>
        <v>3.5999999999999531E-3</v>
      </c>
      <c r="N11" s="3"/>
      <c r="O11" s="14">
        <v>3</v>
      </c>
      <c r="P11" s="14">
        <f>(($E$3 - $C$17) - ($F$3 - $D$17)) / ($D$3 - $C$3) / 1000</f>
        <v>2.564102564102564E-2</v>
      </c>
      <c r="Q11" s="14">
        <f>AVERAGE(F17:F21)</f>
        <v>0.8</v>
      </c>
      <c r="R11" s="14">
        <f>SQRT(POWER($P$16*SQRT(SUM(I17:I21)/4/5), 2) + 0.01)</f>
        <v>0.11857581962609411</v>
      </c>
      <c r="S11" s="14">
        <f>AVERAGE(G17:G21)</f>
        <v>2.62</v>
      </c>
      <c r="T11" s="14">
        <f>SQRT(POWER($P$16*SQRT(SUM(J17:J21)/4/5), 2) + 0.01)</f>
        <v>0.10781507315769907</v>
      </c>
      <c r="U11" s="14">
        <f t="shared" si="2"/>
        <v>0.25062656641604009</v>
      </c>
      <c r="V11" s="14">
        <f t="shared" si="3"/>
        <v>2.4103604204877876E-2</v>
      </c>
    </row>
    <row r="12" spans="1:22" x14ac:dyDescent="0.3">
      <c r="A12" s="3"/>
      <c r="B12" s="67">
        <v>2</v>
      </c>
      <c r="C12" s="67">
        <v>184</v>
      </c>
      <c r="D12" s="67">
        <v>197</v>
      </c>
      <c r="E12" s="1">
        <v>1</v>
      </c>
      <c r="F12" s="1">
        <v>1</v>
      </c>
      <c r="G12" s="1">
        <v>3.3</v>
      </c>
      <c r="H12" s="3"/>
      <c r="I12" s="23">
        <f>POWER($Q$10-F12, 2)</f>
        <v>4.0000000000000072E-4</v>
      </c>
      <c r="J12" s="26">
        <f>POWER($S$10-G12, 2)</f>
        <v>3.9999999999998294E-4</v>
      </c>
      <c r="N12" s="3"/>
      <c r="O12" s="14">
        <v>4</v>
      </c>
      <c r="P12" s="14">
        <f>(($E$3 - $C$22) - ($F$3 - $D$22)) / ($D$3 - $C$3) / 1000</f>
        <v>3.8461538461538457E-2</v>
      </c>
      <c r="Q12" s="14">
        <f>AVERAGE(F22:F26)</f>
        <v>0.7</v>
      </c>
      <c r="R12" s="14">
        <f>SQRT(POWER($P$16*SQRT(SUM(I22:I26)/4/5), 2) + 0.01)</f>
        <v>0.1</v>
      </c>
      <c r="S12" s="14">
        <f>AVERAGE(G22:G26)</f>
        <v>2.2999999999999998</v>
      </c>
      <c r="T12" s="14">
        <f>SQRT(POWER($P$16*SQRT(SUM(J22:J26)/4/5), 2) + 0.01)</f>
        <v>0.1</v>
      </c>
      <c r="U12" s="14">
        <f t="shared" si="2"/>
        <v>0.32500000000000007</v>
      </c>
      <c r="V12" s="14">
        <f t="shared" si="3"/>
        <v>3.2689418628629334E-2</v>
      </c>
    </row>
    <row r="13" spans="1:22" x14ac:dyDescent="0.3">
      <c r="A13" s="3"/>
      <c r="B13" s="67"/>
      <c r="C13" s="67"/>
      <c r="D13" s="67"/>
      <c r="E13" s="1">
        <v>2</v>
      </c>
      <c r="F13" s="1">
        <v>1.1000000000000001</v>
      </c>
      <c r="G13" s="1">
        <v>3.3</v>
      </c>
      <c r="H13" s="3"/>
      <c r="I13" s="23">
        <f t="shared" ref="I13:I16" si="4">POWER($Q$10-F13, 2)</f>
        <v>6.4000000000000116E-3</v>
      </c>
      <c r="J13" s="26">
        <f t="shared" ref="J13:J16" si="5">POWER($S$10-G13, 2)</f>
        <v>3.9999999999998294E-4</v>
      </c>
      <c r="N13" s="3"/>
      <c r="O13" s="14">
        <v>5</v>
      </c>
      <c r="P13" s="14">
        <f>(($E$3 - $C$27) - ($F$3 - $D$27)) / ($D$3 - $C$3) / 1000</f>
        <v>4.8717948717948718E-2</v>
      </c>
      <c r="Q13" s="14">
        <f>AVERAGE(F27:F31)</f>
        <v>0.6</v>
      </c>
      <c r="R13" s="14">
        <f>SQRT(POWER($P$16*SQRT(SUM(I27:I31)/4/5), 2) + 0.01)</f>
        <v>0.1</v>
      </c>
      <c r="S13" s="14">
        <f>AVERAGE(G27:G31)</f>
        <v>2</v>
      </c>
      <c r="T13" s="14">
        <f>SQRT(POWER($P$16*SQRT(SUM(J27:J31)/4/5), 2) + 0.01)</f>
        <v>0.1</v>
      </c>
      <c r="U13" s="14">
        <f t="shared" si="2"/>
        <v>0.42857142857142855</v>
      </c>
      <c r="V13" s="14">
        <f t="shared" si="3"/>
        <v>4.9322677360667991E-2</v>
      </c>
    </row>
    <row r="14" spans="1:22" ht="15.6" customHeight="1" x14ac:dyDescent="0.3">
      <c r="A14" s="3"/>
      <c r="B14" s="67"/>
      <c r="C14" s="67"/>
      <c r="D14" s="67"/>
      <c r="E14" s="1">
        <v>3</v>
      </c>
      <c r="F14" s="1">
        <v>1</v>
      </c>
      <c r="G14" s="1">
        <v>3.2</v>
      </c>
      <c r="H14" s="3"/>
      <c r="I14" s="23">
        <f t="shared" si="4"/>
        <v>4.0000000000000072E-4</v>
      </c>
      <c r="J14" s="26">
        <f t="shared" si="5"/>
        <v>6.4000000000000116E-3</v>
      </c>
      <c r="N14" s="3"/>
      <c r="O14" s="61" t="s">
        <v>61</v>
      </c>
      <c r="P14" s="62"/>
      <c r="Q14" s="63"/>
      <c r="R14" s="19"/>
      <c r="S14" s="20"/>
      <c r="T14" s="20"/>
      <c r="U14" s="18"/>
      <c r="V14" s="18"/>
    </row>
    <row r="15" spans="1:22" x14ac:dyDescent="0.3">
      <c r="A15" s="3"/>
      <c r="B15" s="67"/>
      <c r="C15" s="67"/>
      <c r="D15" s="67"/>
      <c r="E15" s="1">
        <v>4</v>
      </c>
      <c r="F15" s="1">
        <v>1</v>
      </c>
      <c r="G15" s="1">
        <v>3.3</v>
      </c>
      <c r="H15" s="3"/>
      <c r="I15" s="23">
        <f t="shared" si="4"/>
        <v>4.0000000000000072E-4</v>
      </c>
      <c r="J15" s="26">
        <f t="shared" si="5"/>
        <v>3.9999999999998294E-4</v>
      </c>
      <c r="K15" s="17"/>
      <c r="L15" s="17"/>
      <c r="M15" s="12"/>
      <c r="N15" s="18"/>
      <c r="O15" s="18"/>
      <c r="P15" s="18"/>
      <c r="Q15" s="18"/>
    </row>
    <row r="16" spans="1:22" ht="14.4" customHeight="1" x14ac:dyDescent="0.3">
      <c r="A16" s="3"/>
      <c r="B16" s="67"/>
      <c r="C16" s="67"/>
      <c r="D16" s="67"/>
      <c r="E16" s="1">
        <v>5</v>
      </c>
      <c r="F16" s="1">
        <v>1</v>
      </c>
      <c r="G16" s="1">
        <v>3.3</v>
      </c>
      <c r="H16" s="3"/>
      <c r="I16" s="23">
        <f t="shared" si="4"/>
        <v>4.0000000000000072E-4</v>
      </c>
      <c r="J16" s="26">
        <f t="shared" si="5"/>
        <v>3.9999999999998294E-4</v>
      </c>
      <c r="L16" s="18"/>
      <c r="M16" s="12"/>
      <c r="N16" s="49" t="s">
        <v>98</v>
      </c>
      <c r="O16" s="50"/>
      <c r="P16" s="64">
        <v>2.0150000000000001</v>
      </c>
      <c r="Q16" s="18"/>
      <c r="R16" s="31" t="s">
        <v>68</v>
      </c>
      <c r="S16" s="31"/>
      <c r="T16" s="31"/>
    </row>
    <row r="17" spans="1:20" x14ac:dyDescent="0.3">
      <c r="A17" s="3"/>
      <c r="B17" s="67">
        <v>3</v>
      </c>
      <c r="C17" s="67">
        <v>176</v>
      </c>
      <c r="D17" s="67">
        <v>196</v>
      </c>
      <c r="E17" s="1">
        <v>1</v>
      </c>
      <c r="F17" s="1">
        <v>0.8</v>
      </c>
      <c r="G17" s="1">
        <v>2.6</v>
      </c>
      <c r="H17" s="3"/>
      <c r="I17" s="23">
        <f>POWER($Q$11-F17, 2)</f>
        <v>0</v>
      </c>
      <c r="J17" s="26">
        <f>POWER($S$11-G17, 2)</f>
        <v>4.0000000000000072E-4</v>
      </c>
      <c r="L17" s="17"/>
      <c r="M17" s="13"/>
      <c r="N17" s="51"/>
      <c r="O17" s="52"/>
      <c r="P17" s="65"/>
      <c r="Q17" s="18"/>
      <c r="R17" s="31" t="s">
        <v>69</v>
      </c>
      <c r="S17" s="31"/>
      <c r="T17" s="31"/>
    </row>
    <row r="18" spans="1:20" x14ac:dyDescent="0.3">
      <c r="A18" s="3"/>
      <c r="B18" s="67"/>
      <c r="C18" s="67"/>
      <c r="D18" s="67"/>
      <c r="E18" s="1">
        <v>2</v>
      </c>
      <c r="F18" s="1">
        <v>0.8</v>
      </c>
      <c r="G18" s="1">
        <v>2.6</v>
      </c>
      <c r="H18" s="3"/>
      <c r="I18" s="23">
        <f t="shared" ref="I18:I21" si="6">POWER($Q$11-F18, 2)</f>
        <v>0</v>
      </c>
      <c r="J18" s="26">
        <f t="shared" ref="J18:J21" si="7">POWER($S$11-G18, 2)</f>
        <v>4.0000000000000072E-4</v>
      </c>
      <c r="N18" s="51"/>
      <c r="O18" s="52"/>
      <c r="P18" s="65"/>
      <c r="R18" s="31" t="s">
        <v>70</v>
      </c>
      <c r="S18" s="31"/>
      <c r="T18" s="31"/>
    </row>
    <row r="19" spans="1:20" x14ac:dyDescent="0.3">
      <c r="A19" s="3"/>
      <c r="B19" s="67"/>
      <c r="C19" s="67"/>
      <c r="D19" s="67"/>
      <c r="E19" s="1">
        <v>3</v>
      </c>
      <c r="F19" s="1">
        <v>0.8</v>
      </c>
      <c r="G19" s="1">
        <v>2.6</v>
      </c>
      <c r="H19" s="3"/>
      <c r="I19" s="23">
        <f t="shared" si="6"/>
        <v>0</v>
      </c>
      <c r="J19" s="26">
        <f t="shared" si="7"/>
        <v>4.0000000000000072E-4</v>
      </c>
      <c r="N19" s="51"/>
      <c r="O19" s="52"/>
      <c r="P19" s="65"/>
      <c r="R19" s="31"/>
      <c r="S19" s="31"/>
      <c r="T19" s="31"/>
    </row>
    <row r="20" spans="1:20" x14ac:dyDescent="0.3">
      <c r="A20" s="3"/>
      <c r="B20" s="67"/>
      <c r="C20" s="67"/>
      <c r="D20" s="67"/>
      <c r="E20" s="1">
        <v>4</v>
      </c>
      <c r="F20" s="1">
        <v>0.9</v>
      </c>
      <c r="G20" s="1">
        <v>2.7</v>
      </c>
      <c r="H20" s="3"/>
      <c r="I20" s="23">
        <f t="shared" si="6"/>
        <v>9.999999999999995E-3</v>
      </c>
      <c r="J20" s="26">
        <f t="shared" si="7"/>
        <v>6.4000000000000116E-3</v>
      </c>
      <c r="N20" s="53"/>
      <c r="O20" s="54"/>
      <c r="P20" s="66"/>
    </row>
    <row r="21" spans="1:20" x14ac:dyDescent="0.3">
      <c r="A21" s="3"/>
      <c r="B21" s="67"/>
      <c r="C21" s="67"/>
      <c r="D21" s="67"/>
      <c r="E21" s="1">
        <v>5</v>
      </c>
      <c r="F21" s="1">
        <v>0.7</v>
      </c>
      <c r="G21" s="1">
        <v>2.6</v>
      </c>
      <c r="H21" s="3"/>
      <c r="I21" s="23">
        <f t="shared" si="6"/>
        <v>1.0000000000000018E-2</v>
      </c>
      <c r="J21" s="26">
        <f t="shared" si="7"/>
        <v>4.0000000000000072E-4</v>
      </c>
    </row>
    <row r="22" spans="1:20" x14ac:dyDescent="0.3">
      <c r="A22" s="3"/>
      <c r="B22" s="67">
        <v>4</v>
      </c>
      <c r="C22" s="67">
        <v>165</v>
      </c>
      <c r="D22" s="67">
        <v>195</v>
      </c>
      <c r="E22" s="1">
        <v>1</v>
      </c>
      <c r="F22" s="1">
        <v>0.7</v>
      </c>
      <c r="G22" s="1">
        <v>2.2999999999999998</v>
      </c>
      <c r="H22" s="3"/>
      <c r="I22" s="23">
        <f>POWER($Q$12-F22, 2)</f>
        <v>0</v>
      </c>
      <c r="J22" s="26">
        <f>POWER($S$12-G22, 2)</f>
        <v>0</v>
      </c>
    </row>
    <row r="23" spans="1:20" x14ac:dyDescent="0.3">
      <c r="A23" s="3"/>
      <c r="B23" s="67"/>
      <c r="C23" s="67"/>
      <c r="D23" s="67"/>
      <c r="E23" s="1">
        <v>2</v>
      </c>
      <c r="F23" s="1">
        <v>0.7</v>
      </c>
      <c r="G23" s="1">
        <v>2.2999999999999998</v>
      </c>
      <c r="H23" s="3"/>
      <c r="I23" s="23">
        <f t="shared" ref="I23:I26" si="8">POWER($Q$12-F23, 2)</f>
        <v>0</v>
      </c>
      <c r="J23" s="26">
        <f t="shared" ref="J23:J26" si="9">POWER($S$12-G23, 2)</f>
        <v>0</v>
      </c>
    </row>
    <row r="24" spans="1:20" x14ac:dyDescent="0.3">
      <c r="A24" s="3"/>
      <c r="B24" s="67"/>
      <c r="C24" s="67"/>
      <c r="D24" s="67"/>
      <c r="E24" s="1">
        <v>3</v>
      </c>
      <c r="F24" s="1">
        <v>0.7</v>
      </c>
      <c r="G24" s="1">
        <v>2.2999999999999998</v>
      </c>
      <c r="H24" s="3"/>
      <c r="I24" s="23">
        <f t="shared" si="8"/>
        <v>0</v>
      </c>
      <c r="J24" s="26">
        <f t="shared" si="9"/>
        <v>0</v>
      </c>
    </row>
    <row r="25" spans="1:20" x14ac:dyDescent="0.3">
      <c r="A25" s="3"/>
      <c r="B25" s="67"/>
      <c r="C25" s="67"/>
      <c r="D25" s="67"/>
      <c r="E25" s="1">
        <v>4</v>
      </c>
      <c r="F25" s="1">
        <v>0.7</v>
      </c>
      <c r="G25" s="1">
        <v>2.2999999999999998</v>
      </c>
      <c r="H25" s="3"/>
      <c r="I25" s="23">
        <f t="shared" si="8"/>
        <v>0</v>
      </c>
      <c r="J25" s="26">
        <f t="shared" si="9"/>
        <v>0</v>
      </c>
    </row>
    <row r="26" spans="1:20" x14ac:dyDescent="0.3">
      <c r="A26" s="3"/>
      <c r="B26" s="67"/>
      <c r="C26" s="67"/>
      <c r="D26" s="67"/>
      <c r="E26" s="1">
        <v>5</v>
      </c>
      <c r="F26" s="1">
        <v>0.7</v>
      </c>
      <c r="G26" s="1">
        <v>2.2999999999999998</v>
      </c>
      <c r="H26" s="3"/>
      <c r="I26" s="23">
        <f t="shared" si="8"/>
        <v>0</v>
      </c>
      <c r="J26" s="26">
        <f t="shared" si="9"/>
        <v>0</v>
      </c>
    </row>
    <row r="27" spans="1:20" ht="14.4" customHeight="1" x14ac:dyDescent="0.3">
      <c r="A27" s="3"/>
      <c r="B27" s="67">
        <v>5</v>
      </c>
      <c r="C27" s="67">
        <v>157</v>
      </c>
      <c r="D27" s="67">
        <v>195</v>
      </c>
      <c r="E27" s="1">
        <v>1</v>
      </c>
      <c r="F27" s="1">
        <v>0.6</v>
      </c>
      <c r="G27" s="1">
        <v>2</v>
      </c>
      <c r="H27" s="3"/>
      <c r="I27" s="23">
        <f>POWER($Q$13-F27, 2)</f>
        <v>0</v>
      </c>
      <c r="J27" s="26">
        <f>POWER($S$13-G27, 2)</f>
        <v>0</v>
      </c>
    </row>
    <row r="28" spans="1:20" x14ac:dyDescent="0.3">
      <c r="A28" s="3"/>
      <c r="B28" s="67"/>
      <c r="C28" s="67"/>
      <c r="D28" s="67"/>
      <c r="E28" s="1">
        <v>2</v>
      </c>
      <c r="F28" s="1">
        <v>0.6</v>
      </c>
      <c r="G28" s="1">
        <v>2</v>
      </c>
      <c r="H28" s="3"/>
      <c r="I28" s="23">
        <f t="shared" ref="I28:I31" si="10">POWER($Q$13-F28, 2)</f>
        <v>0</v>
      </c>
      <c r="J28" s="26">
        <f t="shared" ref="J28:J31" si="11">POWER($S$13-G28, 2)</f>
        <v>0</v>
      </c>
    </row>
    <row r="29" spans="1:20" x14ac:dyDescent="0.3">
      <c r="A29" s="3"/>
      <c r="B29" s="67"/>
      <c r="C29" s="67"/>
      <c r="D29" s="67"/>
      <c r="E29" s="1">
        <v>3</v>
      </c>
      <c r="F29" s="1">
        <v>0.6</v>
      </c>
      <c r="G29" s="1">
        <v>2</v>
      </c>
      <c r="H29" s="3"/>
      <c r="I29" s="23">
        <f t="shared" si="10"/>
        <v>0</v>
      </c>
      <c r="J29" s="26">
        <f t="shared" si="11"/>
        <v>0</v>
      </c>
    </row>
    <row r="30" spans="1:20" x14ac:dyDescent="0.3">
      <c r="A30" s="3"/>
      <c r="B30" s="67"/>
      <c r="C30" s="67"/>
      <c r="D30" s="67"/>
      <c r="E30" s="1">
        <v>4</v>
      </c>
      <c r="F30" s="1">
        <v>0.6</v>
      </c>
      <c r="G30" s="1">
        <v>2</v>
      </c>
      <c r="H30" s="3"/>
      <c r="I30" s="23">
        <f t="shared" si="10"/>
        <v>0</v>
      </c>
      <c r="J30" s="26">
        <f t="shared" si="11"/>
        <v>0</v>
      </c>
    </row>
    <row r="31" spans="1:20" x14ac:dyDescent="0.3">
      <c r="A31" s="3"/>
      <c r="B31" s="67"/>
      <c r="C31" s="67"/>
      <c r="D31" s="67"/>
      <c r="E31" s="1">
        <v>5</v>
      </c>
      <c r="F31" s="1">
        <v>0.6</v>
      </c>
      <c r="G31" s="1">
        <v>2</v>
      </c>
      <c r="H31" s="3"/>
      <c r="I31" s="24">
        <f t="shared" si="10"/>
        <v>0</v>
      </c>
      <c r="J31" s="27">
        <f t="shared" si="11"/>
        <v>0</v>
      </c>
    </row>
    <row r="32" spans="1:20" x14ac:dyDescent="0.3">
      <c r="A32" s="3"/>
      <c r="B32" s="3"/>
      <c r="C32" s="3"/>
      <c r="D32" s="3"/>
      <c r="E32" s="3"/>
      <c r="F32" s="3"/>
      <c r="G32" s="3"/>
      <c r="H32" s="3"/>
    </row>
    <row r="33" spans="1:20" x14ac:dyDescent="0.3">
      <c r="A33" s="3"/>
      <c r="B33" s="3"/>
      <c r="C33" s="3"/>
      <c r="D33" s="3"/>
      <c r="E33" s="3"/>
      <c r="F33" s="3"/>
      <c r="G33" s="3"/>
      <c r="H33" s="3"/>
    </row>
    <row r="35" spans="1:20" x14ac:dyDescent="0.3">
      <c r="B35" t="s">
        <v>72</v>
      </c>
    </row>
    <row r="36" spans="1:20" x14ac:dyDescent="0.3">
      <c r="A36" s="21" t="s">
        <v>73</v>
      </c>
      <c r="B36" s="21" t="s">
        <v>74</v>
      </c>
      <c r="C36" s="21" t="s">
        <v>75</v>
      </c>
      <c r="D36" s="21" t="s">
        <v>76</v>
      </c>
      <c r="E36" s="21" t="s">
        <v>77</v>
      </c>
      <c r="F36" s="21" t="s">
        <v>78</v>
      </c>
      <c r="G36" s="48" t="s">
        <v>83</v>
      </c>
      <c r="H36" s="48"/>
    </row>
    <row r="37" spans="1:20" x14ac:dyDescent="0.3">
      <c r="A37" s="32">
        <v>1</v>
      </c>
      <c r="B37" s="21">
        <f>U9*P9</f>
        <v>5.6509945750452071E-4</v>
      </c>
      <c r="C37" s="37">
        <f>SUM(B37:B41)</f>
        <v>4.3045990175388987E-2</v>
      </c>
      <c r="D37" s="21">
        <f>P9*P9</f>
        <v>5.9171597633136087E-5</v>
      </c>
      <c r="E37" s="37">
        <f>SUM(P9:P13)</f>
        <v>0.13717948717948716</v>
      </c>
      <c r="F37" s="37">
        <f>SUM(U9:U13)</f>
        <v>1.2381877818411178</v>
      </c>
      <c r="G37" s="37">
        <f>(C37 - 0.2 * F37 * E37) / (SUM(D37:D41) - 0.2 * E37 * E37)</f>
        <v>8.3758342964422337</v>
      </c>
      <c r="H37" s="37"/>
    </row>
    <row r="38" spans="1:20" x14ac:dyDescent="0.3">
      <c r="A38" s="32">
        <v>2</v>
      </c>
      <c r="B38" s="21">
        <f t="shared" ref="B38:B41" si="12">U10*P10</f>
        <v>2.6754476229676884E-3</v>
      </c>
      <c r="C38" s="37"/>
      <c r="D38" s="21">
        <f t="shared" ref="D38:D41" si="13">P10*P10</f>
        <v>2.7777777777777778E-4</v>
      </c>
      <c r="E38" s="37"/>
      <c r="F38" s="37"/>
      <c r="G38" s="37"/>
      <c r="H38" s="37"/>
      <c r="I38" t="s">
        <v>79</v>
      </c>
    </row>
    <row r="39" spans="1:20" x14ac:dyDescent="0.3">
      <c r="A39" s="32">
        <v>3</v>
      </c>
      <c r="B39" s="21">
        <f t="shared" si="12"/>
        <v>6.4263222157958993E-3</v>
      </c>
      <c r="C39" s="37"/>
      <c r="D39" s="21">
        <f t="shared" si="13"/>
        <v>6.5746219592373431E-4</v>
      </c>
      <c r="E39" s="37"/>
      <c r="F39" s="37"/>
      <c r="G39" s="37"/>
      <c r="H39" s="37"/>
    </row>
    <row r="40" spans="1:20" x14ac:dyDescent="0.3">
      <c r="A40" s="32">
        <v>4</v>
      </c>
      <c r="B40" s="21">
        <f t="shared" si="12"/>
        <v>1.2500000000000001E-2</v>
      </c>
      <c r="C40" s="37"/>
      <c r="D40" s="21">
        <f t="shared" si="13"/>
        <v>1.4792899408284019E-3</v>
      </c>
      <c r="E40" s="37"/>
      <c r="F40" s="37"/>
      <c r="G40" s="37"/>
      <c r="H40" s="37"/>
    </row>
    <row r="41" spans="1:20" x14ac:dyDescent="0.3">
      <c r="A41" s="32">
        <v>5</v>
      </c>
      <c r="B41" s="21">
        <f t="shared" si="12"/>
        <v>2.0879120879120878E-2</v>
      </c>
      <c r="C41" s="37"/>
      <c r="D41" s="21">
        <f t="shared" si="13"/>
        <v>2.373438527284681E-3</v>
      </c>
      <c r="E41" s="37"/>
      <c r="F41" s="37"/>
      <c r="G41" s="37"/>
      <c r="H41" s="37"/>
    </row>
    <row r="42" spans="1:20" x14ac:dyDescent="0.3">
      <c r="T42" t="s">
        <v>102</v>
      </c>
    </row>
    <row r="43" spans="1:20" x14ac:dyDescent="0.3">
      <c r="A43" t="s">
        <v>80</v>
      </c>
      <c r="J43" s="21" t="s">
        <v>94</v>
      </c>
      <c r="K43" s="33" t="s">
        <v>95</v>
      </c>
      <c r="L43" s="11"/>
      <c r="M43" s="33" t="s">
        <v>99</v>
      </c>
      <c r="T43" t="s">
        <v>103</v>
      </c>
    </row>
    <row r="44" spans="1:20" x14ac:dyDescent="0.3">
      <c r="A44" s="34" t="s">
        <v>84</v>
      </c>
      <c r="B44" s="35"/>
      <c r="C44" s="25" t="s">
        <v>82</v>
      </c>
      <c r="E44" s="22" t="s">
        <v>85</v>
      </c>
      <c r="G44" s="36" t="s">
        <v>86</v>
      </c>
      <c r="H44" s="21">
        <f>U9 - ($B$45 + $G$37 * P9)</f>
        <v>-8.8055907833918118E-3</v>
      </c>
      <c r="I44" s="3" t="s">
        <v>91</v>
      </c>
      <c r="J44" s="21">
        <f>H44*H44</f>
        <v>7.7538429044554823E-5</v>
      </c>
      <c r="K44" s="37">
        <f>SQRT(SUM(J44:J48) / E45 / (5 - 2))</f>
        <v>0.44499853834308623</v>
      </c>
      <c r="L44" s="37"/>
      <c r="M44" s="55">
        <f>2 * K44</f>
        <v>0.88999707668617245</v>
      </c>
      <c r="T44" t="s">
        <v>104</v>
      </c>
    </row>
    <row r="45" spans="1:20" x14ac:dyDescent="0.3">
      <c r="A45" s="46" t="s">
        <v>81</v>
      </c>
      <c r="B45" s="57">
        <f>0.2 * (F37 - G37*E37)</f>
        <v>1.7839025670962318E-2</v>
      </c>
      <c r="C45" s="58"/>
      <c r="E45" s="24">
        <f>SUM(D37:D41) - 0.2 * E37 * E37</f>
        <v>1.0834976988823145E-3</v>
      </c>
      <c r="G45" s="36" t="s">
        <v>87</v>
      </c>
      <c r="H45" s="21">
        <f t="shared" ref="H45:H48" si="14">U10 - ($B$45 + $G$37 * P10)</f>
        <v>3.0905934330617557E-3</v>
      </c>
      <c r="I45" s="3" t="s">
        <v>92</v>
      </c>
      <c r="J45" s="21">
        <f t="shared" ref="J45:J48" si="15">H45*H45</f>
        <v>9.5517677684844484E-6</v>
      </c>
      <c r="K45" s="37"/>
      <c r="L45" s="37"/>
      <c r="M45" s="55"/>
    </row>
    <row r="46" spans="1:20" x14ac:dyDescent="0.3">
      <c r="A46" s="47"/>
      <c r="B46" s="59"/>
      <c r="C46" s="60"/>
      <c r="G46" s="36" t="s">
        <v>88</v>
      </c>
      <c r="H46" s="21">
        <f t="shared" si="14"/>
        <v>1.8022558785020487E-2</v>
      </c>
      <c r="I46" s="3" t="s">
        <v>96</v>
      </c>
      <c r="J46" s="21">
        <f t="shared" si="15"/>
        <v>3.2481262515951916E-4</v>
      </c>
      <c r="K46" s="37"/>
      <c r="L46" s="37"/>
      <c r="M46" s="55"/>
    </row>
    <row r="47" spans="1:20" x14ac:dyDescent="0.3">
      <c r="G47" s="36" t="s">
        <v>89</v>
      </c>
      <c r="H47" s="21">
        <f t="shared" si="14"/>
        <v>-1.4986498611048116E-2</v>
      </c>
      <c r="I47" s="3" t="s">
        <v>93</v>
      </c>
      <c r="J47" s="21">
        <f t="shared" si="15"/>
        <v>2.2459514061894711E-4</v>
      </c>
      <c r="K47" s="37"/>
      <c r="L47" s="37"/>
      <c r="M47" s="55"/>
    </row>
    <row r="48" spans="1:20" x14ac:dyDescent="0.3">
      <c r="G48" s="36" t="s">
        <v>90</v>
      </c>
      <c r="H48" s="21">
        <f t="shared" si="14"/>
        <v>2.678937176357421E-3</v>
      </c>
      <c r="I48" s="3" t="s">
        <v>97</v>
      </c>
      <c r="J48" s="21">
        <f t="shared" si="15"/>
        <v>7.1767043948698722E-6</v>
      </c>
      <c r="K48" s="37"/>
      <c r="L48" s="37"/>
      <c r="M48" s="56"/>
      <c r="S48" t="s">
        <v>105</v>
      </c>
    </row>
    <row r="49" spans="13:20" x14ac:dyDescent="0.3">
      <c r="T49" s="22">
        <f>$B$45+$G$37*P9</f>
        <v>8.2268520258979502E-2</v>
      </c>
    </row>
    <row r="50" spans="13:20" x14ac:dyDescent="0.3">
      <c r="M50" t="s">
        <v>100</v>
      </c>
      <c r="T50" s="23">
        <f>$B$45+$G$37*P10</f>
        <v>0.15743626394499954</v>
      </c>
    </row>
    <row r="51" spans="13:20" x14ac:dyDescent="0.3">
      <c r="M51" s="42">
        <f>M44/G37*100</f>
        <v>10.625772253687165</v>
      </c>
      <c r="N51" s="44" t="s">
        <v>101</v>
      </c>
      <c r="T51" s="23">
        <f>$B$45+$G$37*P11</f>
        <v>0.2326040076310196</v>
      </c>
    </row>
    <row r="52" spans="13:20" x14ac:dyDescent="0.3">
      <c r="M52" s="43"/>
      <c r="N52" s="45"/>
      <c r="T52" s="23">
        <f>$B$45+$G$37*P12</f>
        <v>0.33998649861104818</v>
      </c>
    </row>
    <row r="53" spans="13:20" x14ac:dyDescent="0.3">
      <c r="T53" s="24">
        <f>$B$45+$G$37*P13</f>
        <v>0.42589249139507113</v>
      </c>
    </row>
    <row r="60" spans="13:20" x14ac:dyDescent="0.3">
      <c r="S60" t="s">
        <v>106</v>
      </c>
    </row>
    <row r="1048576" spans="7:7" x14ac:dyDescent="0.3">
      <c r="G1048576" s="2"/>
    </row>
  </sheetData>
  <mergeCells count="29">
    <mergeCell ref="D7:D11"/>
    <mergeCell ref="D12:D16"/>
    <mergeCell ref="D17:D21"/>
    <mergeCell ref="D22:D26"/>
    <mergeCell ref="D27:D31"/>
    <mergeCell ref="C7:C11"/>
    <mergeCell ref="C12:C16"/>
    <mergeCell ref="B12:B16"/>
    <mergeCell ref="B7:B11"/>
    <mergeCell ref="B17:B21"/>
    <mergeCell ref="O14:Q14"/>
    <mergeCell ref="P16:P20"/>
    <mergeCell ref="C27:C31"/>
    <mergeCell ref="C22:C26"/>
    <mergeCell ref="C17:C21"/>
    <mergeCell ref="N16:O20"/>
    <mergeCell ref="M44:M48"/>
    <mergeCell ref="C37:C41"/>
    <mergeCell ref="E37:E41"/>
    <mergeCell ref="F37:F41"/>
    <mergeCell ref="B45:C46"/>
    <mergeCell ref="B22:B26"/>
    <mergeCell ref="B27:B31"/>
    <mergeCell ref="M51:M52"/>
    <mergeCell ref="N51:N52"/>
    <mergeCell ref="A45:A46"/>
    <mergeCell ref="G36:H36"/>
    <mergeCell ref="G37:H41"/>
    <mergeCell ref="K44:L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Жекич это</dc:creator>
  <cp:keywords/>
  <dc:description/>
  <cp:lastModifiedBy>Takumi F</cp:lastModifiedBy>
  <cp:revision/>
  <dcterms:created xsi:type="dcterms:W3CDTF">2020-09-25T06:37:45Z</dcterms:created>
  <dcterms:modified xsi:type="dcterms:W3CDTF">2020-10-13T10:01:16Z</dcterms:modified>
  <cp:category/>
  <cp:contentStatus/>
</cp:coreProperties>
</file>