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Vadim\Desktop\"/>
    </mc:Choice>
  </mc:AlternateContent>
  <xr:revisionPtr revIDLastSave="0" documentId="13_ncr:1_{84A035C3-456A-4CF9-A956-37CED3856731}" xr6:coauthVersionLast="47" xr6:coauthVersionMax="47" xr10:uidLastSave="{00000000-0000-0000-0000-000000000000}"/>
  <bookViews>
    <workbookView xWindow="-120" yWindow="-120" windowWidth="38640" windowHeight="21240" xr2:uid="{6AA02D61-3ADF-4526-B2D7-F8F3D3B431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1" l="1"/>
  <c r="R19" i="1"/>
  <c r="S19" i="1" s="1"/>
  <c r="U20" i="1"/>
  <c r="T21" i="1"/>
  <c r="T16" i="1"/>
  <c r="P16" i="1" s="1"/>
  <c r="Q16" i="1" s="1"/>
  <c r="D30" i="1"/>
  <c r="O25" i="1"/>
  <c r="V17" i="1"/>
  <c r="U22" i="1"/>
  <c r="V22" i="1"/>
  <c r="V20" i="1"/>
  <c r="U18" i="1"/>
  <c r="V18" i="1" s="1"/>
  <c r="S23" i="1"/>
  <c r="V23" i="1" s="1"/>
  <c r="P24" i="1"/>
  <c r="Q24" i="1" s="1"/>
  <c r="F12" i="1"/>
  <c r="I9" i="1"/>
  <c r="I8" i="1"/>
  <c r="I7" i="1"/>
  <c r="M4" i="1"/>
  <c r="U19" i="1" l="1"/>
  <c r="V19" i="1" s="1"/>
  <c r="P21" i="1"/>
  <c r="Q21" i="1" s="1"/>
  <c r="P25" i="1"/>
  <c r="R24" i="1"/>
  <c r="R25" i="1" s="1"/>
  <c r="R16" i="1"/>
  <c r="S16" i="1" s="1"/>
  <c r="Q25" i="1"/>
  <c r="U24" i="1"/>
  <c r="V24" i="1" s="1"/>
  <c r="U23" i="1"/>
  <c r="O10" i="1"/>
  <c r="R21" i="1" l="1"/>
  <c r="U16" i="1"/>
  <c r="V16" i="1" s="1"/>
  <c r="S21" i="1" l="1"/>
  <c r="U21" i="1" s="1"/>
  <c r="V21" i="1" s="1"/>
  <c r="V25" i="1" s="1"/>
  <c r="M2" i="1"/>
  <c r="M3" i="1"/>
  <c r="B10" i="1" l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3" i="1" l="1"/>
</calcChain>
</file>

<file path=xl/sharedStrings.xml><?xml version="1.0" encoding="utf-8"?>
<sst xmlns="http://schemas.openxmlformats.org/spreadsheetml/2006/main" count="79" uniqueCount="70">
  <si>
    <t>Срок</t>
  </si>
  <si>
    <t>4 года</t>
  </si>
  <si>
    <t>Сумма</t>
  </si>
  <si>
    <t>Депозит</t>
  </si>
  <si>
    <t>Остаток</t>
  </si>
  <si>
    <t>Капитализация</t>
  </si>
  <si>
    <t>есть</t>
  </si>
  <si>
    <t>Депозит (перевод)</t>
  </si>
  <si>
    <t>1 месяц</t>
  </si>
  <si>
    <t>2 месяц</t>
  </si>
  <si>
    <t>3 месяц</t>
  </si>
  <si>
    <t>4 месяц</t>
  </si>
  <si>
    <t>5 месяц</t>
  </si>
  <si>
    <t>6 месяц</t>
  </si>
  <si>
    <t>7 месяц</t>
  </si>
  <si>
    <t>8 месяц</t>
  </si>
  <si>
    <t>9 месяц</t>
  </si>
  <si>
    <t>10 месяц</t>
  </si>
  <si>
    <t>11 месяц</t>
  </si>
  <si>
    <t>12 месяц</t>
  </si>
  <si>
    <t>Инвестиционный счет Инвестора</t>
  </si>
  <si>
    <t>На сумму</t>
  </si>
  <si>
    <t>Расчет капитализации</t>
  </si>
  <si>
    <t>Портфель</t>
  </si>
  <si>
    <t>Инвестиционный Портфель</t>
  </si>
  <si>
    <t>Рыночный риск</t>
  </si>
  <si>
    <t>Ожидаемая доходность</t>
  </si>
  <si>
    <t>Облигация</t>
  </si>
  <si>
    <t>Номинал</t>
  </si>
  <si>
    <t xml:space="preserve">Срок </t>
  </si>
  <si>
    <t>3 года</t>
  </si>
  <si>
    <t>Купонная ставка</t>
  </si>
  <si>
    <t>1 год</t>
  </si>
  <si>
    <t>2 год</t>
  </si>
  <si>
    <t>3 год</t>
  </si>
  <si>
    <t>Всего на эту сумму можно приобрести акций:</t>
  </si>
  <si>
    <t>Акции</t>
  </si>
  <si>
    <t>Предложение брокера</t>
  </si>
  <si>
    <t>Номинал облигации</t>
  </si>
  <si>
    <t>Цена за акцию</t>
  </si>
  <si>
    <t xml:space="preserve">Полученные данные с помощью расчетов - </t>
  </si>
  <si>
    <t>Риск Инвестора</t>
  </si>
  <si>
    <t xml:space="preserve">Рыночная стоимость </t>
  </si>
  <si>
    <t>Безрисковая ставка</t>
  </si>
  <si>
    <t>Новоя стоимость акции</t>
  </si>
  <si>
    <t>Обязательства Инвестора</t>
  </si>
  <si>
    <t>Объект</t>
  </si>
  <si>
    <t>Ставка</t>
  </si>
  <si>
    <t>Доля риска</t>
  </si>
  <si>
    <t>Доля безрисковое</t>
  </si>
  <si>
    <t>Эффективная доходность</t>
  </si>
  <si>
    <t>Обязательства</t>
  </si>
  <si>
    <t>Счет</t>
  </si>
  <si>
    <t>Опцион</t>
  </si>
  <si>
    <t>Сумма годовых выплат</t>
  </si>
  <si>
    <t>Остаток инвест. Счета</t>
  </si>
  <si>
    <t>Период</t>
  </si>
  <si>
    <t>Эффект</t>
  </si>
  <si>
    <t>Cтавка</t>
  </si>
  <si>
    <t>Купоны</t>
  </si>
  <si>
    <t>-</t>
  </si>
  <si>
    <t>Агрегированный поток</t>
  </si>
  <si>
    <t>% от купонов</t>
  </si>
  <si>
    <t>Итог</t>
  </si>
  <si>
    <t>Траты</t>
  </si>
  <si>
    <t>Выплаты</t>
  </si>
  <si>
    <t>Сколько процентов было начисленно по остатку (сумма)</t>
  </si>
  <si>
    <t>Ставка по деопзиту (Эффективная)</t>
  </si>
  <si>
    <t>Начислений в год</t>
  </si>
  <si>
    <t>Доход брокера за 1 акцию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</si>
</sst>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AF9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EF89"/>
        <bgColor indexed="64"/>
      </patternFill>
    </fill>
    <fill>
      <patternFill patternType="solid">
        <fgColor rgb="FFB2E0E6"/>
        <bgColor indexed="64"/>
      </patternFill>
    </fill>
    <fill>
      <patternFill patternType="solid">
        <fgColor rgb="FFEBA86B"/>
        <bgColor indexed="64"/>
      </patternFill>
    </fill>
    <fill>
      <patternFill patternType="solid">
        <fgColor rgb="FFF4FBE5"/>
        <bgColor indexed="6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18" borderId="8" applyNumberFormat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0" fillId="7" borderId="1" xfId="0" applyFill="1" applyBorder="1"/>
    <xf numFmtId="0" fontId="0" fillId="9" borderId="1" xfId="0" applyFill="1" applyBorder="1"/>
    <xf numFmtId="44" fontId="0" fillId="0" borderId="1" xfId="1" applyFont="1" applyBorder="1"/>
    <xf numFmtId="0" fontId="0" fillId="8" borderId="1" xfId="0" applyFill="1" applyBorder="1"/>
    <xf numFmtId="0" fontId="0" fillId="12" borderId="0" xfId="0" applyFill="1"/>
    <xf numFmtId="44" fontId="0" fillId="12" borderId="1" xfId="1" applyFont="1" applyFill="1" applyBorder="1"/>
    <xf numFmtId="0" fontId="0" fillId="7" borderId="5" xfId="0" applyFill="1" applyBorder="1"/>
    <xf numFmtId="164" fontId="0" fillId="12" borderId="1" xfId="0" applyNumberFormat="1" applyFill="1" applyBorder="1"/>
    <xf numFmtId="9" fontId="0" fillId="1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14" borderId="1" xfId="0" applyFill="1" applyBorder="1"/>
    <xf numFmtId="10" fontId="0" fillId="0" borderId="1" xfId="0" applyNumberFormat="1" applyBorder="1"/>
    <xf numFmtId="10" fontId="0" fillId="0" borderId="1" xfId="2" applyNumberFormat="1" applyFont="1" applyBorder="1"/>
    <xf numFmtId="44" fontId="0" fillId="0" borderId="1" xfId="0" applyNumberFormat="1" applyBorder="1"/>
    <xf numFmtId="44" fontId="0" fillId="14" borderId="1" xfId="1" applyFont="1" applyFill="1" applyBorder="1"/>
    <xf numFmtId="44" fontId="0" fillId="15" borderId="1" xfId="1" applyFont="1" applyFill="1" applyBorder="1"/>
    <xf numFmtId="44" fontId="2" fillId="15" borderId="1" xfId="1" applyFont="1" applyFill="1" applyBorder="1" applyAlignment="1">
      <alignment horizontal="center" vertical="center"/>
    </xf>
    <xf numFmtId="44" fontId="0" fillId="0" borderId="1" xfId="1" applyFont="1" applyBorder="1" applyAlignment="1"/>
    <xf numFmtId="0" fontId="0" fillId="0" borderId="1" xfId="0" applyFill="1" applyBorder="1"/>
    <xf numFmtId="0" fontId="0" fillId="16" borderId="1" xfId="0" applyFill="1" applyBorder="1"/>
    <xf numFmtId="44" fontId="0" fillId="0" borderId="1" xfId="0" applyNumberFormat="1" applyFill="1" applyBorder="1"/>
    <xf numFmtId="0" fontId="0" fillId="0" borderId="6" xfId="0" applyBorder="1"/>
    <xf numFmtId="44" fontId="0" fillId="15" borderId="6" xfId="1" applyFont="1" applyFill="1" applyBorder="1"/>
    <xf numFmtId="44" fontId="0" fillId="0" borderId="6" xfId="1" applyFont="1" applyBorder="1"/>
    <xf numFmtId="0" fontId="0" fillId="0" borderId="7" xfId="0" applyBorder="1"/>
    <xf numFmtId="44" fontId="0" fillId="0" borderId="7" xfId="1" applyFont="1" applyBorder="1"/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12" borderId="2" xfId="0" applyNumberFormat="1" applyFill="1" applyBorder="1" applyAlignment="1">
      <alignment horizontal="center" vertical="center"/>
    </xf>
    <xf numFmtId="164" fontId="0" fillId="12" borderId="4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17" borderId="1" xfId="2" applyNumberFormat="1" applyFont="1" applyFill="1" applyBorder="1" applyAlignment="1">
      <alignment horizontal="center"/>
    </xf>
    <xf numFmtId="44" fontId="0" fillId="15" borderId="1" xfId="1" applyFont="1" applyFill="1" applyBorder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0" fillId="8" borderId="6" xfId="1" applyFont="1" applyFill="1" applyBorder="1" applyAlignment="1">
      <alignment horizontal="center"/>
    </xf>
    <xf numFmtId="44" fontId="0" fillId="8" borderId="1" xfId="0" applyNumberFormat="1" applyFill="1" applyBorder="1" applyAlignment="1">
      <alignment horizontal="center"/>
    </xf>
    <xf numFmtId="10" fontId="0" fillId="17" borderId="7" xfId="2" applyNumberFormat="1" applyFont="1" applyFill="1" applyBorder="1" applyAlignment="1">
      <alignment horizontal="center"/>
    </xf>
    <xf numFmtId="44" fontId="0" fillId="8" borderId="7" xfId="1" applyFont="1" applyFill="1" applyBorder="1" applyAlignment="1">
      <alignment horizontal="center"/>
    </xf>
    <xf numFmtId="44" fontId="0" fillId="14" borderId="1" xfId="1" applyFont="1" applyFill="1" applyBorder="1" applyAlignment="1">
      <alignment horizontal="center"/>
    </xf>
    <xf numFmtId="44" fontId="3" fillId="18" borderId="8" xfId="3" applyNumberFormat="1" applyAlignment="1">
      <alignment horizontal="center"/>
    </xf>
    <xf numFmtId="10" fontId="0" fillId="12" borderId="1" xfId="2" applyNumberFormat="1" applyFont="1" applyFill="1" applyBorder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10" fontId="0" fillId="0" borderId="0" xfId="2" applyNumberFormat="1" applyFont="1" applyBorder="1"/>
    <xf numFmtId="0" fontId="0" fillId="0" borderId="0" xfId="0" applyBorder="1" applyAlignment="1"/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11" borderId="1" xfId="0" applyFill="1" applyBorder="1" applyAlignment="1">
      <alignment horizontal="center"/>
    </xf>
  </cellXfs>
  <cellStyles count="4">
    <cellStyle name="Денежный" xfId="1" builtinId="4"/>
    <cellStyle name="Контрольная ячейка" xfId="3" builtinId="23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F4FBE5"/>
      <color rgb="FFE3FAFD"/>
      <color rgb="FFEDBBF7"/>
      <color rgb="FFB2E0E6"/>
      <color rgb="FFEFEF89"/>
      <color rgb="FFEBA86B"/>
      <color rgb="FFDAF923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33B4-064B-4924-A281-34B99107E831}">
  <sheetPr codeName="Лист1"/>
  <dimension ref="A1:V32"/>
  <sheetViews>
    <sheetView tabSelected="1" zoomScale="120" zoomScaleNormal="120" workbookViewId="0">
      <selection activeCell="T33" sqref="T33"/>
    </sheetView>
  </sheetViews>
  <sheetFormatPr defaultRowHeight="15" x14ac:dyDescent="0.25"/>
  <cols>
    <col min="1" max="1" width="17.7109375" customWidth="1"/>
    <col min="2" max="2" width="10.28515625" bestFit="1" customWidth="1"/>
    <col min="6" max="6" width="11.5703125" customWidth="1"/>
    <col min="8" max="8" width="26" customWidth="1"/>
    <col min="9" max="9" width="12.42578125" bestFit="1" customWidth="1"/>
    <col min="10" max="10" width="11.42578125" bestFit="1" customWidth="1"/>
    <col min="11" max="11" width="11.140625" customWidth="1"/>
    <col min="12" max="12" width="10.28515625" bestFit="1" customWidth="1"/>
    <col min="13" max="13" width="13.5703125" customWidth="1"/>
    <col min="14" max="14" width="22.42578125" customWidth="1"/>
    <col min="15" max="15" width="15.42578125" customWidth="1"/>
    <col min="16" max="16" width="13" customWidth="1"/>
    <col min="17" max="17" width="13.42578125" customWidth="1"/>
    <col min="18" max="18" width="13.85546875" customWidth="1"/>
    <col min="19" max="19" width="11.5703125" bestFit="1" customWidth="1"/>
    <col min="20" max="20" width="24.85546875" customWidth="1"/>
    <col min="21" max="21" width="23.42578125" customWidth="1"/>
    <col min="22" max="22" width="16.28515625" customWidth="1"/>
  </cols>
  <sheetData>
    <row r="1" spans="1:22" x14ac:dyDescent="0.25">
      <c r="A1" s="73" t="s">
        <v>20</v>
      </c>
      <c r="B1" s="73"/>
      <c r="C1" s="73"/>
      <c r="D1" s="73"/>
      <c r="E1" s="73"/>
      <c r="H1" s="55" t="s">
        <v>24</v>
      </c>
      <c r="I1" s="55"/>
      <c r="J1" s="55"/>
      <c r="K1" s="55"/>
      <c r="L1" s="55"/>
      <c r="P1" s="35" t="s">
        <v>45</v>
      </c>
      <c r="Q1" s="35"/>
      <c r="R1" s="35"/>
      <c r="S1" s="35"/>
      <c r="T1" s="35"/>
    </row>
    <row r="2" spans="1:22" x14ac:dyDescent="0.25">
      <c r="A2" s="4" t="s">
        <v>0</v>
      </c>
      <c r="B2" s="68" t="s">
        <v>1</v>
      </c>
      <c r="C2" s="69"/>
      <c r="D2" s="69"/>
      <c r="E2" s="70"/>
      <c r="H2" s="6" t="s">
        <v>25</v>
      </c>
      <c r="I2" s="56">
        <v>0.25</v>
      </c>
      <c r="J2" s="57"/>
      <c r="K2" s="57"/>
      <c r="L2" s="58"/>
      <c r="M2" s="11">
        <f>I6-I6*I2</f>
        <v>75000</v>
      </c>
      <c r="P2" s="2" t="s">
        <v>46</v>
      </c>
      <c r="Q2" s="36">
        <v>150000</v>
      </c>
      <c r="R2" s="36"/>
      <c r="S2" s="36"/>
      <c r="T2" s="36"/>
    </row>
    <row r="3" spans="1:22" x14ac:dyDescent="0.25">
      <c r="A3" s="4" t="s">
        <v>21</v>
      </c>
      <c r="B3" s="40">
        <v>400000</v>
      </c>
      <c r="C3" s="41"/>
      <c r="D3" s="41"/>
      <c r="E3" s="42"/>
      <c r="H3" s="6" t="s">
        <v>26</v>
      </c>
      <c r="I3" s="56">
        <v>0.1</v>
      </c>
      <c r="J3" s="57"/>
      <c r="K3" s="57"/>
      <c r="L3" s="58"/>
      <c r="M3" s="11">
        <f>I6*I3+I6</f>
        <v>110000</v>
      </c>
      <c r="P3" s="2" t="s">
        <v>47</v>
      </c>
      <c r="Q3" s="37">
        <v>0.12</v>
      </c>
      <c r="R3" s="38"/>
      <c r="S3" s="38"/>
      <c r="T3" s="38"/>
    </row>
    <row r="4" spans="1:22" x14ac:dyDescent="0.25">
      <c r="A4" s="68"/>
      <c r="B4" s="69"/>
      <c r="C4" s="69"/>
      <c r="D4" s="69"/>
      <c r="E4" s="70"/>
      <c r="H4" s="12" t="s">
        <v>41</v>
      </c>
      <c r="I4" s="37">
        <v>0.1</v>
      </c>
      <c r="J4" s="37"/>
      <c r="K4" s="37"/>
      <c r="L4" s="37"/>
      <c r="M4" s="11">
        <f>I6-I6*I4</f>
        <v>90000</v>
      </c>
      <c r="P4" s="2" t="s">
        <v>29</v>
      </c>
      <c r="Q4" s="38" t="s">
        <v>30</v>
      </c>
      <c r="R4" s="38"/>
      <c r="S4" s="38"/>
      <c r="T4" s="38"/>
    </row>
    <row r="5" spans="1:22" x14ac:dyDescent="0.25">
      <c r="A5" s="4" t="s">
        <v>7</v>
      </c>
      <c r="B5" s="40">
        <v>420000</v>
      </c>
      <c r="C5" s="41"/>
      <c r="D5" s="41"/>
      <c r="E5" s="42"/>
      <c r="H5" s="6" t="s">
        <v>43</v>
      </c>
      <c r="I5" s="37">
        <v>0.05</v>
      </c>
      <c r="J5" s="38"/>
      <c r="K5" s="38"/>
      <c r="L5" s="38"/>
    </row>
    <row r="6" spans="1:22" x14ac:dyDescent="0.25">
      <c r="A6" s="4" t="s">
        <v>4</v>
      </c>
      <c r="B6" s="40">
        <v>20000</v>
      </c>
      <c r="C6" s="41"/>
      <c r="D6" s="41"/>
      <c r="E6" s="42"/>
      <c r="H6" s="6" t="s">
        <v>2</v>
      </c>
      <c r="I6" s="40">
        <v>100000</v>
      </c>
      <c r="J6" s="41"/>
      <c r="K6" s="41"/>
      <c r="L6" s="42"/>
    </row>
    <row r="7" spans="1:22" x14ac:dyDescent="0.25">
      <c r="A7" s="4" t="s">
        <v>5</v>
      </c>
      <c r="B7" s="68" t="s">
        <v>6</v>
      </c>
      <c r="C7" s="69"/>
      <c r="D7" s="69"/>
      <c r="E7" s="70"/>
      <c r="H7" s="6" t="s">
        <v>48</v>
      </c>
      <c r="I7" s="14">
        <f>I4/I2</f>
        <v>0.4</v>
      </c>
    </row>
    <row r="8" spans="1:22" x14ac:dyDescent="0.25">
      <c r="H8" s="6" t="s">
        <v>49</v>
      </c>
      <c r="I8" s="14">
        <f>1-I7</f>
        <v>0.6</v>
      </c>
    </row>
    <row r="9" spans="1:22" x14ac:dyDescent="0.25">
      <c r="A9" s="71" t="s">
        <v>22</v>
      </c>
      <c r="B9" s="71"/>
      <c r="C9" s="71"/>
      <c r="E9" s="72" t="s">
        <v>55</v>
      </c>
      <c r="F9" s="72"/>
      <c r="H9" s="6" t="s">
        <v>50</v>
      </c>
      <c r="I9" s="14">
        <f>I4*I7+I5*I8</f>
        <v>7.0000000000000007E-2</v>
      </c>
    </row>
    <row r="10" spans="1:22" x14ac:dyDescent="0.25">
      <c r="A10" s="2" t="s">
        <v>8</v>
      </c>
      <c r="B10" s="61">
        <f>B6+(B6*0.00666)</f>
        <v>20133.2</v>
      </c>
      <c r="C10" s="62"/>
      <c r="E10" s="16" t="s">
        <v>58</v>
      </c>
      <c r="F10" s="17">
        <v>0.05</v>
      </c>
      <c r="H10" s="59" t="s">
        <v>27</v>
      </c>
      <c r="I10" s="59"/>
      <c r="J10" s="59"/>
      <c r="K10" s="59"/>
      <c r="L10" s="59"/>
      <c r="M10" s="53" t="s">
        <v>35</v>
      </c>
      <c r="N10" s="53"/>
      <c r="O10" s="54">
        <f>I11/I20</f>
        <v>10</v>
      </c>
    </row>
    <row r="11" spans="1:22" ht="26.1" customHeight="1" x14ac:dyDescent="0.25">
      <c r="A11" s="2" t="s">
        <v>9</v>
      </c>
      <c r="B11" s="61">
        <f>B10+(B10*0.00666)</f>
        <v>20267.287112000002</v>
      </c>
      <c r="C11" s="62"/>
      <c r="E11" s="16" t="s">
        <v>56</v>
      </c>
      <c r="F11" s="2">
        <v>12</v>
      </c>
      <c r="H11" s="9" t="s">
        <v>28</v>
      </c>
      <c r="I11" s="60">
        <v>100000</v>
      </c>
      <c r="J11" s="60"/>
      <c r="K11" s="60"/>
      <c r="L11" s="60"/>
      <c r="M11" s="53"/>
      <c r="N11" s="53"/>
      <c r="O11" s="54"/>
    </row>
    <row r="12" spans="1:22" x14ac:dyDescent="0.25">
      <c r="A12" s="2" t="s">
        <v>10</v>
      </c>
      <c r="B12" s="61">
        <f t="shared" ref="B12:B21" si="0">B11+(B11*0.00666)</f>
        <v>20402.267244165923</v>
      </c>
      <c r="C12" s="62"/>
      <c r="E12" s="16" t="s">
        <v>57</v>
      </c>
      <c r="F12" s="83">
        <f>EFFECT(F10,F11)</f>
        <v>5.116189788173342E-2</v>
      </c>
      <c r="H12" s="9" t="s">
        <v>29</v>
      </c>
      <c r="I12" s="38" t="s">
        <v>30</v>
      </c>
      <c r="J12" s="38"/>
      <c r="K12" s="38"/>
      <c r="L12" s="38"/>
    </row>
    <row r="13" spans="1:22" x14ac:dyDescent="0.25">
      <c r="A13" s="2" t="s">
        <v>11</v>
      </c>
      <c r="B13" s="61">
        <f t="shared" si="0"/>
        <v>20538.146344012068</v>
      </c>
      <c r="C13" s="62"/>
      <c r="H13" s="9" t="s">
        <v>31</v>
      </c>
      <c r="I13" s="52">
        <v>0.04</v>
      </c>
      <c r="J13" s="52"/>
      <c r="K13" s="52"/>
      <c r="L13" s="52"/>
      <c r="N13" s="38"/>
      <c r="O13" s="38"/>
      <c r="P13" s="38"/>
      <c r="Q13" s="38"/>
      <c r="R13" s="38"/>
      <c r="S13" s="38"/>
      <c r="T13" s="38"/>
      <c r="U13" s="38"/>
      <c r="V13" s="38"/>
    </row>
    <row r="14" spans="1:22" x14ac:dyDescent="0.25">
      <c r="A14" s="2" t="s">
        <v>12</v>
      </c>
      <c r="B14" s="61">
        <f t="shared" si="0"/>
        <v>20674.930398663189</v>
      </c>
      <c r="C14" s="62"/>
      <c r="N14" s="2"/>
      <c r="O14" s="15" t="s">
        <v>2</v>
      </c>
      <c r="P14" s="3">
        <v>1</v>
      </c>
      <c r="Q14" s="3">
        <v>2</v>
      </c>
      <c r="R14" s="3">
        <v>3</v>
      </c>
      <c r="S14" s="3">
        <v>4</v>
      </c>
      <c r="T14" s="3" t="s">
        <v>50</v>
      </c>
      <c r="U14" s="3" t="s">
        <v>54</v>
      </c>
      <c r="V14" s="3" t="s">
        <v>63</v>
      </c>
    </row>
    <row r="15" spans="1:22" ht="15" customHeight="1" x14ac:dyDescent="0.25">
      <c r="A15" s="2" t="s">
        <v>13</v>
      </c>
      <c r="B15" s="90">
        <f t="shared" si="0"/>
        <v>20812.625435118287</v>
      </c>
      <c r="C15" s="90"/>
      <c r="D15" s="89"/>
      <c r="E15" s="89"/>
      <c r="F15" s="89"/>
      <c r="G15" s="89"/>
      <c r="H15" s="86" t="s">
        <v>32</v>
      </c>
      <c r="I15" s="13">
        <v>4000</v>
      </c>
      <c r="J15" s="5"/>
      <c r="N15" s="2"/>
      <c r="O15" s="23">
        <v>420000</v>
      </c>
      <c r="P15" s="23"/>
      <c r="Q15" s="23"/>
      <c r="R15" s="23"/>
      <c r="S15" s="23"/>
      <c r="T15" s="23"/>
      <c r="U15" s="23"/>
      <c r="V15" s="23"/>
    </row>
    <row r="16" spans="1:22" x14ac:dyDescent="0.25">
      <c r="A16" s="2" t="s">
        <v>14</v>
      </c>
      <c r="B16" s="90">
        <f t="shared" si="0"/>
        <v>20951.237520516173</v>
      </c>
      <c r="C16" s="90"/>
      <c r="D16" s="87"/>
      <c r="E16" s="89"/>
      <c r="F16" s="89"/>
      <c r="G16" s="88"/>
      <c r="H16" s="86" t="s">
        <v>33</v>
      </c>
      <c r="I16" s="13">
        <v>4000</v>
      </c>
      <c r="J16" s="5"/>
      <c r="K16" s="91"/>
      <c r="L16" s="92"/>
      <c r="N16" s="2" t="s">
        <v>3</v>
      </c>
      <c r="O16" s="20">
        <v>20000</v>
      </c>
      <c r="P16" s="21">
        <f>O16*T16</f>
        <v>1659.9901361502</v>
      </c>
      <c r="Q16" s="21">
        <f>($O16+$P16)*$T$16</f>
        <v>1797.7684987559983</v>
      </c>
      <c r="R16" s="21">
        <f>($O16+Q16+P16)*$T$16</f>
        <v>1946.9823975068236</v>
      </c>
      <c r="S16" s="21">
        <f>(O16+P16+Q16+R16)*T16</f>
        <v>2108.5809762627937</v>
      </c>
      <c r="T16" s="74">
        <f>EFFECT(D28,D29)</f>
        <v>8.2999506807510004E-2</v>
      </c>
      <c r="U16" s="75">
        <f>SUM(P16:S16)</f>
        <v>7513.3220086758156</v>
      </c>
      <c r="V16" s="76">
        <f>U16+O16</f>
        <v>27513.322008675816</v>
      </c>
    </row>
    <row r="17" spans="1:22" x14ac:dyDescent="0.25">
      <c r="A17" s="2" t="s">
        <v>15</v>
      </c>
      <c r="B17" s="90">
        <f t="shared" si="0"/>
        <v>21090.772762402812</v>
      </c>
      <c r="C17" s="90"/>
      <c r="D17" s="87"/>
      <c r="E17" s="89"/>
      <c r="F17" s="89"/>
      <c r="G17" s="87"/>
      <c r="H17" s="86" t="s">
        <v>34</v>
      </c>
      <c r="I17" s="13">
        <v>4000</v>
      </c>
      <c r="J17" s="5"/>
      <c r="K17" s="91"/>
      <c r="L17" s="93"/>
      <c r="N17" s="2" t="s">
        <v>27</v>
      </c>
      <c r="O17" s="20">
        <v>100000</v>
      </c>
      <c r="P17" s="8"/>
      <c r="Q17" s="8"/>
      <c r="R17" s="21">
        <v>100000</v>
      </c>
      <c r="S17" s="8"/>
      <c r="T17" s="74">
        <v>0.04</v>
      </c>
      <c r="U17" s="22" t="s">
        <v>60</v>
      </c>
      <c r="V17" s="76">
        <f>O17</f>
        <v>100000</v>
      </c>
    </row>
    <row r="18" spans="1:22" x14ac:dyDescent="0.25">
      <c r="A18" s="2" t="s">
        <v>16</v>
      </c>
      <c r="B18" s="90">
        <f t="shared" si="0"/>
        <v>21231.237309000415</v>
      </c>
      <c r="C18" s="90"/>
      <c r="D18" s="89"/>
      <c r="E18" s="89"/>
      <c r="F18" s="89"/>
      <c r="G18" s="87"/>
      <c r="N18" s="27" t="s">
        <v>59</v>
      </c>
      <c r="O18" s="20"/>
      <c r="P18" s="28">
        <v>4000</v>
      </c>
      <c r="Q18" s="28">
        <v>4000</v>
      </c>
      <c r="R18" s="28">
        <v>4000</v>
      </c>
      <c r="S18" s="29"/>
      <c r="T18" s="74"/>
      <c r="U18" s="75">
        <f>SUM(P18:S18)</f>
        <v>12000</v>
      </c>
      <c r="V18" s="77">
        <f>U18</f>
        <v>12000</v>
      </c>
    </row>
    <row r="19" spans="1:22" x14ac:dyDescent="0.25">
      <c r="A19" s="2" t="s">
        <v>17</v>
      </c>
      <c r="B19" s="61">
        <f t="shared" si="0"/>
        <v>21372.637349478358</v>
      </c>
      <c r="C19" s="62"/>
      <c r="H19" s="49" t="s">
        <v>36</v>
      </c>
      <c r="I19" s="50"/>
      <c r="J19" s="50"/>
      <c r="K19" s="50"/>
      <c r="L19" s="51"/>
      <c r="N19" s="2" t="s">
        <v>62</v>
      </c>
      <c r="O19" s="16"/>
      <c r="P19" s="2"/>
      <c r="Q19" s="21">
        <f>P18*T21</f>
        <v>204.6475915269337</v>
      </c>
      <c r="R19" s="21">
        <f>Q18*T21+Q19+Q19*T21</f>
        <v>419.76534223331106</v>
      </c>
      <c r="S19" s="21">
        <f>(R18+R17)*T21+R19+R19*T21</f>
        <v>5762.0787135072187</v>
      </c>
      <c r="T19" s="74"/>
      <c r="U19" s="75">
        <f>SUM(Q19:S19)</f>
        <v>6386.4916472674631</v>
      </c>
      <c r="V19" s="78">
        <f>U19</f>
        <v>6386.4916472674631</v>
      </c>
    </row>
    <row r="20" spans="1:22" x14ac:dyDescent="0.25">
      <c r="A20" s="2" t="s">
        <v>18</v>
      </c>
      <c r="B20" s="61">
        <f t="shared" si="0"/>
        <v>21514.979114225884</v>
      </c>
      <c r="C20" s="62"/>
      <c r="H20" s="7" t="s">
        <v>42</v>
      </c>
      <c r="I20" s="43">
        <v>10000</v>
      </c>
      <c r="J20" s="44"/>
      <c r="K20" s="44"/>
      <c r="L20" s="45"/>
      <c r="N20" s="30" t="s">
        <v>36</v>
      </c>
      <c r="O20" s="20">
        <v>100000</v>
      </c>
      <c r="P20" s="31"/>
      <c r="Q20" s="31"/>
      <c r="R20" s="31"/>
      <c r="S20" s="31"/>
      <c r="T20" s="79"/>
      <c r="U20" s="75">
        <f>O10*I28</f>
        <v>85000</v>
      </c>
      <c r="V20" s="80">
        <f>U20-O20</f>
        <v>-15000</v>
      </c>
    </row>
    <row r="21" spans="1:22" x14ac:dyDescent="0.25">
      <c r="A21" s="2" t="s">
        <v>19</v>
      </c>
      <c r="B21" s="63">
        <f t="shared" si="0"/>
        <v>21658.268875126629</v>
      </c>
      <c r="C21" s="64"/>
      <c r="N21" s="2" t="s">
        <v>52</v>
      </c>
      <c r="O21" s="20">
        <v>95000</v>
      </c>
      <c r="P21" s="21">
        <f>O21*T21</f>
        <v>4860.380298764675</v>
      </c>
      <c r="Q21" s="21">
        <f>(O21+P21)*T21</f>
        <v>5109.0465792764626</v>
      </c>
      <c r="R21" s="21">
        <f>(O21+P21+Q21)*T21</f>
        <v>5370.4350986384243</v>
      </c>
      <c r="S21" s="21">
        <f>(O21+P21+Q21+R21)*T21</f>
        <v>5645.1967507354402</v>
      </c>
      <c r="T21" s="74">
        <f>EFFECT(F10,F11)</f>
        <v>5.116189788173342E-2</v>
      </c>
      <c r="U21" s="75">
        <f>SUM(P21:S21)</f>
        <v>20985.058727415002</v>
      </c>
      <c r="V21" s="76">
        <f>O21+U21</f>
        <v>115985.058727415</v>
      </c>
    </row>
    <row r="22" spans="1:22" ht="22.35" customHeight="1" x14ac:dyDescent="0.25">
      <c r="H22" s="46" t="s">
        <v>37</v>
      </c>
      <c r="I22" s="47"/>
      <c r="J22" s="47"/>
      <c r="K22" s="47"/>
      <c r="L22" s="48"/>
      <c r="N22" s="2" t="s">
        <v>53</v>
      </c>
      <c r="O22" s="20">
        <v>5000</v>
      </c>
      <c r="P22" s="8"/>
      <c r="Q22" s="8"/>
      <c r="R22" s="8"/>
      <c r="S22" s="8"/>
      <c r="T22" s="74"/>
      <c r="U22" s="75">
        <f>I24*O10</f>
        <v>90000</v>
      </c>
      <c r="V22" s="76">
        <f>U22-O22</f>
        <v>85000</v>
      </c>
    </row>
    <row r="23" spans="1:22" ht="43.7" customHeight="1" x14ac:dyDescent="0.25">
      <c r="A23" s="65" t="s">
        <v>66</v>
      </c>
      <c r="B23" s="66">
        <f>B21-B6</f>
        <v>1658.2688751266287</v>
      </c>
      <c r="H23" s="94" t="s">
        <v>38</v>
      </c>
      <c r="I23" s="40">
        <v>100000</v>
      </c>
      <c r="J23" s="41"/>
      <c r="K23" s="41"/>
      <c r="L23" s="42"/>
      <c r="N23" s="24" t="s">
        <v>23</v>
      </c>
      <c r="O23" s="20">
        <v>100000</v>
      </c>
      <c r="P23" s="8"/>
      <c r="Q23" s="8"/>
      <c r="R23" s="8"/>
      <c r="S23" s="21">
        <f>O23*T23</f>
        <v>7000.0000000000009</v>
      </c>
      <c r="T23" s="74">
        <v>7.0000000000000007E-2</v>
      </c>
      <c r="U23" s="75">
        <f>S23</f>
        <v>7000.0000000000009</v>
      </c>
      <c r="V23" s="76">
        <f>O23+S23</f>
        <v>107000</v>
      </c>
    </row>
    <row r="24" spans="1:22" ht="15.75" thickBot="1" x14ac:dyDescent="0.3">
      <c r="A24" s="65"/>
      <c r="B24" s="67"/>
      <c r="H24" s="94" t="s">
        <v>39</v>
      </c>
      <c r="I24" s="43">
        <v>9000</v>
      </c>
      <c r="J24" s="44"/>
      <c r="K24" s="44"/>
      <c r="L24" s="45"/>
      <c r="N24" s="2" t="s">
        <v>51</v>
      </c>
      <c r="O24" s="8">
        <v>150000</v>
      </c>
      <c r="P24" s="20">
        <f>(O24*T24)/(1-(1+T24)^-3)*(-1)</f>
        <v>-62452.34708392599</v>
      </c>
      <c r="Q24" s="20">
        <f>P24</f>
        <v>-62452.34708392599</v>
      </c>
      <c r="R24" s="20">
        <f>P24</f>
        <v>-62452.34708392599</v>
      </c>
      <c r="S24" s="8"/>
      <c r="T24" s="74">
        <v>0.12</v>
      </c>
      <c r="U24" s="81">
        <f>SUM(P24:R24)</f>
        <v>-187357.04125177796</v>
      </c>
      <c r="V24" s="76">
        <f>U24+O24</f>
        <v>-37357.041251777962</v>
      </c>
    </row>
    <row r="25" spans="1:22" ht="16.5" thickTop="1" thickBot="1" x14ac:dyDescent="0.3">
      <c r="H25" s="94" t="s">
        <v>69</v>
      </c>
      <c r="I25" s="43">
        <v>500</v>
      </c>
      <c r="J25" s="44"/>
      <c r="K25" s="44"/>
      <c r="L25" s="45"/>
      <c r="N25" s="25" t="s">
        <v>61</v>
      </c>
      <c r="O25" s="26">
        <f>O15-O24</f>
        <v>270000</v>
      </c>
      <c r="P25" s="19">
        <f>P24</f>
        <v>-62452.34708392599</v>
      </c>
      <c r="Q25" s="19">
        <f>Q24</f>
        <v>-62452.34708392599</v>
      </c>
      <c r="R25" s="19">
        <f>R24</f>
        <v>-62452.34708392599</v>
      </c>
      <c r="S25" s="2"/>
      <c r="T25" s="3"/>
      <c r="U25" s="3"/>
      <c r="V25" s="82">
        <f>SUM(V16:V24)</f>
        <v>401527.83113158029</v>
      </c>
    </row>
    <row r="26" spans="1:22" ht="33.4" customHeight="1" thickTop="1" x14ac:dyDescent="0.25">
      <c r="A26" s="1"/>
      <c r="H26" s="94" t="s">
        <v>53</v>
      </c>
      <c r="I26" s="32">
        <v>5000</v>
      </c>
      <c r="J26" s="33"/>
      <c r="K26" s="33"/>
      <c r="L26" s="34"/>
    </row>
    <row r="27" spans="1:22" x14ac:dyDescent="0.25">
      <c r="A27" s="68" t="s">
        <v>67</v>
      </c>
      <c r="B27" s="69"/>
      <c r="C27" s="69"/>
      <c r="D27" s="70"/>
      <c r="H27" s="1"/>
      <c r="I27" s="1"/>
      <c r="J27" s="1"/>
      <c r="K27" s="1"/>
      <c r="L27" s="1"/>
      <c r="N27" s="84" t="s">
        <v>64</v>
      </c>
    </row>
    <row r="28" spans="1:22" x14ac:dyDescent="0.25">
      <c r="A28" s="68" t="s">
        <v>47</v>
      </c>
      <c r="B28" s="69"/>
      <c r="C28" s="70"/>
      <c r="D28" s="18">
        <v>0.08</v>
      </c>
      <c r="H28" s="94" t="s">
        <v>44</v>
      </c>
      <c r="I28" s="32">
        <v>8500</v>
      </c>
      <c r="J28" s="33"/>
      <c r="K28" s="33"/>
      <c r="L28" s="34"/>
    </row>
    <row r="29" spans="1:22" x14ac:dyDescent="0.25">
      <c r="A29" s="68" t="s">
        <v>68</v>
      </c>
      <c r="B29" s="69"/>
      <c r="C29" s="70"/>
      <c r="D29" s="2">
        <v>12</v>
      </c>
      <c r="N29" s="85" t="s">
        <v>65</v>
      </c>
    </row>
    <row r="30" spans="1:22" x14ac:dyDescent="0.25">
      <c r="A30" s="38" t="s">
        <v>57</v>
      </c>
      <c r="B30" s="38"/>
      <c r="C30" s="38"/>
      <c r="D30" s="83">
        <f>EFFECT(D28,D29)</f>
        <v>8.2999506807510004E-2</v>
      </c>
    </row>
    <row r="32" spans="1:22" x14ac:dyDescent="0.25">
      <c r="B32" s="39" t="s">
        <v>40</v>
      </c>
      <c r="C32" s="39"/>
      <c r="D32" s="39"/>
      <c r="E32" s="39"/>
      <c r="F32" s="39"/>
      <c r="G32" s="10"/>
    </row>
  </sheetData>
  <mergeCells count="53">
    <mergeCell ref="B32:F32"/>
    <mergeCell ref="A27:D27"/>
    <mergeCell ref="A30:C30"/>
    <mergeCell ref="A29:C29"/>
    <mergeCell ref="B12:C12"/>
    <mergeCell ref="E9:F9"/>
    <mergeCell ref="A1:E1"/>
    <mergeCell ref="B2:E2"/>
    <mergeCell ref="B3:E3"/>
    <mergeCell ref="B5:E5"/>
    <mergeCell ref="B6:E6"/>
    <mergeCell ref="B7:E7"/>
    <mergeCell ref="A4:E4"/>
    <mergeCell ref="A9:C9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3:A24"/>
    <mergeCell ref="B23:B24"/>
    <mergeCell ref="A28:C28"/>
    <mergeCell ref="I5:L5"/>
    <mergeCell ref="I4:L4"/>
    <mergeCell ref="I23:L23"/>
    <mergeCell ref="I24:L24"/>
    <mergeCell ref="I25:L25"/>
    <mergeCell ref="I26:L26"/>
    <mergeCell ref="H22:L22"/>
    <mergeCell ref="H19:L19"/>
    <mergeCell ref="I20:L20"/>
    <mergeCell ref="I12:L12"/>
    <mergeCell ref="I13:L13"/>
    <mergeCell ref="I6:L6"/>
    <mergeCell ref="H10:L10"/>
    <mergeCell ref="I11:L11"/>
    <mergeCell ref="I28:L28"/>
    <mergeCell ref="P1:T1"/>
    <mergeCell ref="Q2:T2"/>
    <mergeCell ref="Q3:T3"/>
    <mergeCell ref="Q4:T4"/>
    <mergeCell ref="N13:V13"/>
    <mergeCell ref="M10:N11"/>
    <mergeCell ref="O10:O11"/>
    <mergeCell ref="H1:L1"/>
    <mergeCell ref="I2:L2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Yangin</dc:creator>
  <cp:lastModifiedBy>Vadim</cp:lastModifiedBy>
  <dcterms:created xsi:type="dcterms:W3CDTF">2021-11-23T16:06:07Z</dcterms:created>
  <dcterms:modified xsi:type="dcterms:W3CDTF">2021-11-26T17:08:08Z</dcterms:modified>
</cp:coreProperties>
</file>