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c6e42e33aa87b634/VAEA_IRD/Data/BDD/"/>
    </mc:Choice>
  </mc:AlternateContent>
  <xr:revisionPtr revIDLastSave="1852" documentId="8_{5D8C3A5A-A7BB-469C-B4C6-F3576976FC4F}" xr6:coauthVersionLast="47" xr6:coauthVersionMax="47" xr10:uidLastSave="{AC9A86B5-BD59-4592-918F-E5BAD42BC0F9}"/>
  <bookViews>
    <workbookView xWindow="-108" yWindow="-108" windowWidth="23256" windowHeight="12456" tabRatio="803" activeTab="8" xr2:uid="{E68A10F0-64DD-42AE-AF6B-439A4BB26E2F}"/>
  </bookViews>
  <sheets>
    <sheet name="07_1" sheetId="1" r:id="rId1"/>
    <sheet name="07_2" sheetId="3" r:id="rId2"/>
    <sheet name="07_3" sheetId="2" r:id="rId3"/>
    <sheet name="07_4" sheetId="4" r:id="rId4"/>
    <sheet name="07_5" sheetId="5" r:id="rId5"/>
    <sheet name="07_6" sheetId="6" r:id="rId6"/>
    <sheet name="08_1" sheetId="7" r:id="rId7"/>
    <sheet name="08_2" sheetId="8" r:id="rId8"/>
    <sheet name="08_3" sheetId="9" r:id="rId9"/>
    <sheet name="08_4" sheetId="10" r:id="rId10"/>
    <sheet name="08_5" sheetId="11" r:id="rId11"/>
    <sheet name="08_6" sheetId="12" r:id="rId12"/>
    <sheet name="surfaces" sheetId="26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9" l="1"/>
  <c r="K16" i="8"/>
  <c r="K16" i="7"/>
  <c r="K16" i="6"/>
  <c r="K16" i="5"/>
  <c r="K16" i="4"/>
  <c r="K16" i="2"/>
  <c r="K16" i="3"/>
  <c r="K16" i="1"/>
  <c r="E2" i="26"/>
  <c r="E3" i="26"/>
  <c r="E4" i="26"/>
  <c r="E5" i="26"/>
  <c r="E6" i="26"/>
  <c r="E7" i="26"/>
  <c r="E8" i="26"/>
  <c r="E9" i="26"/>
  <c r="E10" i="26"/>
  <c r="E11" i="26"/>
  <c r="E12" i="26"/>
  <c r="E13" i="26"/>
  <c r="H3" i="26"/>
  <c r="H4" i="26"/>
  <c r="H5" i="26"/>
  <c r="H6" i="26"/>
  <c r="H7" i="26"/>
  <c r="H8" i="26"/>
  <c r="H9" i="26"/>
  <c r="H10" i="26"/>
  <c r="H2" i="26"/>
  <c r="G3" i="26"/>
  <c r="G4" i="26"/>
  <c r="G5" i="26"/>
  <c r="G6" i="26"/>
  <c r="G7" i="26"/>
  <c r="G8" i="26"/>
  <c r="G9" i="26"/>
  <c r="G10" i="26"/>
  <c r="G2" i="26"/>
  <c r="H14" i="12" l="1"/>
  <c r="H13" i="12"/>
  <c r="H12" i="12"/>
  <c r="H11" i="12"/>
  <c r="H10" i="12"/>
  <c r="H9" i="12"/>
  <c r="H8" i="12"/>
  <c r="H7" i="12"/>
  <c r="H14" i="11"/>
  <c r="H13" i="11"/>
  <c r="H12" i="11"/>
  <c r="H11" i="11"/>
  <c r="H10" i="11"/>
  <c r="H9" i="11"/>
  <c r="H8" i="11"/>
  <c r="H7" i="11"/>
  <c r="H14" i="10"/>
  <c r="H13" i="10"/>
  <c r="H12" i="10"/>
  <c r="H11" i="10"/>
  <c r="H10" i="10"/>
  <c r="H9" i="10"/>
  <c r="H8" i="10"/>
  <c r="H7" i="10"/>
  <c r="H14" i="9"/>
  <c r="H13" i="9"/>
  <c r="H12" i="9"/>
  <c r="H11" i="9"/>
  <c r="H10" i="9"/>
  <c r="H9" i="9"/>
  <c r="H8" i="9"/>
  <c r="H7" i="9"/>
  <c r="H14" i="8"/>
  <c r="H13" i="8"/>
  <c r="H12" i="8"/>
  <c r="H11" i="8"/>
  <c r="H10" i="8"/>
  <c r="H9" i="8"/>
  <c r="H8" i="8"/>
  <c r="H7" i="8"/>
  <c r="H14" i="7"/>
  <c r="H13" i="7"/>
  <c r="H12" i="7"/>
  <c r="H11" i="7"/>
  <c r="H10" i="7"/>
  <c r="H9" i="7"/>
  <c r="H8" i="7"/>
  <c r="H7" i="7"/>
  <c r="H14" i="6"/>
  <c r="H13" i="6"/>
  <c r="H12" i="6"/>
  <c r="H11" i="6"/>
  <c r="H10" i="6"/>
  <c r="H9" i="6"/>
  <c r="H8" i="6"/>
  <c r="H7" i="6"/>
  <c r="H14" i="5"/>
  <c r="H13" i="5"/>
  <c r="H12" i="5"/>
  <c r="H11" i="5"/>
  <c r="H10" i="5"/>
  <c r="H9" i="5"/>
  <c r="H8" i="5"/>
  <c r="H7" i="5"/>
  <c r="H14" i="4"/>
  <c r="H13" i="4"/>
  <c r="H12" i="4"/>
  <c r="H11" i="4"/>
  <c r="H10" i="4"/>
  <c r="H9" i="4"/>
  <c r="H8" i="4"/>
  <c r="H7" i="4"/>
  <c r="H14" i="2"/>
  <c r="H13" i="2"/>
  <c r="H12" i="2"/>
  <c r="H11" i="2"/>
  <c r="H10" i="2"/>
  <c r="H9" i="2"/>
  <c r="H8" i="2"/>
  <c r="H7" i="2"/>
  <c r="H14" i="3"/>
  <c r="H13" i="3"/>
  <c r="H12" i="3"/>
  <c r="H11" i="3"/>
  <c r="H10" i="3"/>
  <c r="H9" i="3"/>
  <c r="H8" i="3"/>
  <c r="H7" i="3"/>
  <c r="H8" i="1"/>
  <c r="H9" i="1"/>
  <c r="H10" i="1"/>
  <c r="H11" i="1"/>
  <c r="H12" i="1"/>
  <c r="H13" i="1"/>
  <c r="H14" i="1"/>
  <c r="H7" i="1"/>
  <c r="C20" i="12" l="1"/>
  <c r="H17" i="12"/>
  <c r="G17" i="12"/>
  <c r="F17" i="12"/>
  <c r="H16" i="12"/>
  <c r="G16" i="12"/>
  <c r="F16" i="12"/>
  <c r="I14" i="12"/>
  <c r="D14" i="12"/>
  <c r="I13" i="12"/>
  <c r="D13" i="12"/>
  <c r="I12" i="12"/>
  <c r="D12" i="12"/>
  <c r="I11" i="12"/>
  <c r="D11" i="12"/>
  <c r="I10" i="12"/>
  <c r="D10" i="12"/>
  <c r="I9" i="12"/>
  <c r="D9" i="12"/>
  <c r="I8" i="12"/>
  <c r="D8" i="12"/>
  <c r="I7" i="12"/>
  <c r="D7" i="12"/>
  <c r="C20" i="11"/>
  <c r="H17" i="11"/>
  <c r="G17" i="11"/>
  <c r="F17" i="11"/>
  <c r="H16" i="11"/>
  <c r="G16" i="11"/>
  <c r="F16" i="11"/>
  <c r="I14" i="11"/>
  <c r="D14" i="11"/>
  <c r="I13" i="11"/>
  <c r="D13" i="11"/>
  <c r="I12" i="11"/>
  <c r="D12" i="11"/>
  <c r="I11" i="11"/>
  <c r="D11" i="11"/>
  <c r="I10" i="11"/>
  <c r="D10" i="11"/>
  <c r="I9" i="11"/>
  <c r="D9" i="11"/>
  <c r="I8" i="11"/>
  <c r="D8" i="11"/>
  <c r="I7" i="11"/>
  <c r="D7" i="11"/>
  <c r="C20" i="10"/>
  <c r="H17" i="10"/>
  <c r="G17" i="10"/>
  <c r="F17" i="10"/>
  <c r="H16" i="10"/>
  <c r="G16" i="10"/>
  <c r="F16" i="10"/>
  <c r="I14" i="10"/>
  <c r="D14" i="10"/>
  <c r="I13" i="10"/>
  <c r="D13" i="10"/>
  <c r="I12" i="10"/>
  <c r="D12" i="10"/>
  <c r="I11" i="10"/>
  <c r="D11" i="10"/>
  <c r="I10" i="10"/>
  <c r="D10" i="10"/>
  <c r="I9" i="10"/>
  <c r="D9" i="10"/>
  <c r="I8" i="10"/>
  <c r="D8" i="10"/>
  <c r="I7" i="10"/>
  <c r="D7" i="10"/>
  <c r="C20" i="9"/>
  <c r="H17" i="9"/>
  <c r="G17" i="9"/>
  <c r="F17" i="9"/>
  <c r="H16" i="9"/>
  <c r="G16" i="9"/>
  <c r="F16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C20" i="8"/>
  <c r="H17" i="8"/>
  <c r="G17" i="8"/>
  <c r="F17" i="8"/>
  <c r="H16" i="8"/>
  <c r="G16" i="8"/>
  <c r="F16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C20" i="7"/>
  <c r="H17" i="7"/>
  <c r="G17" i="7"/>
  <c r="F17" i="7"/>
  <c r="H16" i="7"/>
  <c r="G16" i="7"/>
  <c r="F16" i="7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C20" i="6"/>
  <c r="H17" i="6"/>
  <c r="G17" i="6"/>
  <c r="F17" i="6"/>
  <c r="H16" i="6"/>
  <c r="G16" i="6"/>
  <c r="F16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C20" i="5"/>
  <c r="H17" i="5"/>
  <c r="G17" i="5"/>
  <c r="F17" i="5"/>
  <c r="H16" i="5"/>
  <c r="G16" i="5"/>
  <c r="F16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C20" i="4"/>
  <c r="H17" i="4"/>
  <c r="G17" i="4"/>
  <c r="F17" i="4"/>
  <c r="H16" i="4"/>
  <c r="G16" i="4"/>
  <c r="F16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C20" i="3"/>
  <c r="H17" i="3"/>
  <c r="G17" i="3"/>
  <c r="F17" i="3"/>
  <c r="H16" i="3"/>
  <c r="G16" i="3"/>
  <c r="F16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C20" i="2"/>
  <c r="H17" i="2"/>
  <c r="G17" i="2"/>
  <c r="F17" i="2"/>
  <c r="H16" i="2"/>
  <c r="G16" i="2"/>
  <c r="F16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D7" i="1"/>
  <c r="I8" i="1"/>
  <c r="I9" i="1"/>
  <c r="I10" i="1"/>
  <c r="I11" i="1"/>
  <c r="I12" i="1"/>
  <c r="I13" i="1"/>
  <c r="I14" i="1"/>
  <c r="I7" i="1"/>
  <c r="G16" i="1"/>
  <c r="H16" i="1"/>
  <c r="G17" i="1"/>
  <c r="H17" i="1"/>
  <c r="F17" i="1"/>
  <c r="F16" i="1"/>
  <c r="D10" i="1"/>
  <c r="D11" i="1"/>
  <c r="D12" i="1"/>
  <c r="D13" i="1"/>
  <c r="D14" i="1"/>
  <c r="D9" i="1"/>
  <c r="D8" i="1"/>
  <c r="C20" i="1"/>
  <c r="K11" i="11" l="1"/>
  <c r="K9" i="12"/>
  <c r="K8" i="11"/>
  <c r="K17" i="6"/>
  <c r="K17" i="5"/>
  <c r="I16" i="12"/>
  <c r="K17" i="1"/>
  <c r="K9" i="1"/>
  <c r="K14" i="9"/>
  <c r="K13" i="5"/>
  <c r="I16" i="1"/>
  <c r="I16" i="4"/>
  <c r="I17" i="2"/>
  <c r="I17" i="12"/>
  <c r="I17" i="7"/>
  <c r="K14" i="10"/>
  <c r="K14" i="2"/>
  <c r="I17" i="5"/>
  <c r="K11" i="12"/>
  <c r="I17" i="4"/>
  <c r="K12" i="12"/>
  <c r="I16" i="9"/>
  <c r="K10" i="12"/>
  <c r="I16" i="11"/>
  <c r="I17" i="11"/>
  <c r="K12" i="9"/>
  <c r="I17" i="9"/>
  <c r="I17" i="10"/>
  <c r="I17" i="8"/>
  <c r="K13" i="8"/>
  <c r="I16" i="7"/>
  <c r="I17" i="6"/>
  <c r="K9" i="5"/>
  <c r="K14" i="3"/>
  <c r="I17" i="3"/>
  <c r="K8" i="4"/>
  <c r="K10" i="2"/>
  <c r="K9" i="2"/>
  <c r="K9" i="3"/>
  <c r="K14" i="12"/>
  <c r="K8" i="12"/>
  <c r="K13" i="12"/>
  <c r="K17" i="12"/>
  <c r="K9" i="11"/>
  <c r="K17" i="11"/>
  <c r="K14" i="11"/>
  <c r="K12" i="11"/>
  <c r="K10" i="10"/>
  <c r="K9" i="10"/>
  <c r="K11" i="10"/>
  <c r="K17" i="10"/>
  <c r="K8" i="10"/>
  <c r="K12" i="10"/>
  <c r="K13" i="10"/>
  <c r="K8" i="9"/>
  <c r="K10" i="9"/>
  <c r="K17" i="9"/>
  <c r="K13" i="9"/>
  <c r="K9" i="9"/>
  <c r="K11" i="9"/>
  <c r="K9" i="8"/>
  <c r="K10" i="8"/>
  <c r="K11" i="8"/>
  <c r="K14" i="8"/>
  <c r="K17" i="8"/>
  <c r="K13" i="7"/>
  <c r="K10" i="7"/>
  <c r="K9" i="7"/>
  <c r="K14" i="7"/>
  <c r="K11" i="7"/>
  <c r="K12" i="7"/>
  <c r="K17" i="7"/>
  <c r="K11" i="6"/>
  <c r="K8" i="5"/>
  <c r="K10" i="5"/>
  <c r="K14" i="5"/>
  <c r="K13" i="4"/>
  <c r="K14" i="4"/>
  <c r="K9" i="4"/>
  <c r="K12" i="4"/>
  <c r="K10" i="4"/>
  <c r="K11" i="4"/>
  <c r="K17" i="4"/>
  <c r="K12" i="3"/>
  <c r="K8" i="3"/>
  <c r="K10" i="3"/>
  <c r="K13" i="3"/>
  <c r="K11" i="3"/>
  <c r="K17" i="3"/>
  <c r="K11" i="2"/>
  <c r="K13" i="2"/>
  <c r="K17" i="2"/>
  <c r="I17" i="1"/>
  <c r="K13" i="11"/>
  <c r="K10" i="11"/>
  <c r="I16" i="10"/>
  <c r="I16" i="8"/>
  <c r="K8" i="8"/>
  <c r="K12" i="8"/>
  <c r="K8" i="7"/>
  <c r="K13" i="6"/>
  <c r="K8" i="6"/>
  <c r="K9" i="6"/>
  <c r="K14" i="6"/>
  <c r="K12" i="6"/>
  <c r="K10" i="6"/>
  <c r="I16" i="6"/>
  <c r="K11" i="5"/>
  <c r="I16" i="5"/>
  <c r="K12" i="5"/>
  <c r="I16" i="3"/>
  <c r="K13" i="1"/>
  <c r="K12" i="1"/>
  <c r="I16" i="2"/>
  <c r="K8" i="2"/>
  <c r="K12" i="2"/>
  <c r="K8" i="1"/>
  <c r="K14" i="1"/>
  <c r="K11" i="1"/>
  <c r="K10" i="1"/>
  <c r="K16" i="12" l="1"/>
  <c r="K16" i="11"/>
  <c r="K16" i="10"/>
</calcChain>
</file>

<file path=xl/sharedStrings.xml><?xml version="1.0" encoding="utf-8"?>
<sst xmlns="http://schemas.openxmlformats.org/spreadsheetml/2006/main" count="353" uniqueCount="56">
  <si>
    <r>
      <t>Note: gmin_spreadsheet_tool was created by Lawren Sack, as a tool to be used with the Protocol "Minimum epidermal conductance (''g</t>
    </r>
    <r>
      <rPr>
        <vertAlign val="subscript"/>
        <sz val="11"/>
        <color indexed="8"/>
        <rFont val="Calibri"/>
        <family val="2"/>
      </rPr>
      <t>min</t>
    </r>
    <r>
      <rPr>
        <sz val="11"/>
        <color indexed="8"/>
        <rFont val="Calibri"/>
        <family val="2"/>
      </rPr>
      <t xml:space="preserve">'', a.k.a. cuticular conductance)" for </t>
    </r>
    <r>
      <rPr>
        <i/>
        <sz val="11"/>
        <color indexed="8"/>
        <rFont val="Calibri"/>
        <family val="2"/>
      </rPr>
      <t>PrometheusWiki</t>
    </r>
  </si>
  <si>
    <t>Note: blue cells should be filled in</t>
  </si>
  <si>
    <t>hours</t>
  </si>
  <si>
    <t>min</t>
  </si>
  <si>
    <t>s</t>
  </si>
  <si>
    <t>time</t>
  </si>
  <si>
    <t>leaf_mass</t>
  </si>
  <si>
    <t>RH</t>
  </si>
  <si>
    <t>T</t>
  </si>
  <si>
    <t>VPsat</t>
  </si>
  <si>
    <t>mfVPD</t>
  </si>
  <si>
    <t>gmin calculated from intervals</t>
  </si>
  <si>
    <t>(min)</t>
  </si>
  <si>
    <t>(g)</t>
  </si>
  <si>
    <t>(%)</t>
  </si>
  <si>
    <t>(oC)</t>
  </si>
  <si>
    <t>kPa</t>
  </si>
  <si>
    <t>(mol mol-1)</t>
  </si>
  <si>
    <t>(mmol m-2 s-1)</t>
  </si>
  <si>
    <t>Atmospheric pressure (kPa)</t>
  </si>
  <si>
    <t>mean</t>
  </si>
  <si>
    <t>max/min</t>
  </si>
  <si>
    <t>calculated from slope</t>
  </si>
  <si>
    <r>
      <t>Initial leaf area (cm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</si>
  <si>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r>
      <t>Final leaf area (cm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</si>
  <si>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Graph shows leaf mass plotted against time; only the linear portion should be used for gmin calculation</t>
  </si>
  <si>
    <r>
      <t>Mean leaf area (cm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</si>
  <si>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Feuille 07_1</t>
  </si>
  <si>
    <t>Feuille 07_2</t>
  </si>
  <si>
    <t>Feuille 07_3</t>
  </si>
  <si>
    <t>Feuille 07_4</t>
  </si>
  <si>
    <t>Feuille 07_5</t>
  </si>
  <si>
    <t>Feuille 07_6</t>
  </si>
  <si>
    <t>Feuille 08_1</t>
  </si>
  <si>
    <t>Feuille 08_2</t>
  </si>
  <si>
    <t>Feuille 08_3</t>
  </si>
  <si>
    <t>Feuille 08_4</t>
  </si>
  <si>
    <t>Feuille 08_5</t>
  </si>
  <si>
    <t>Feuille 08_6</t>
  </si>
  <si>
    <t>ID</t>
  </si>
  <si>
    <t>LONGUEUR</t>
  </si>
  <si>
    <t>D1</t>
  </si>
  <si>
    <t>D2</t>
  </si>
  <si>
    <t>07_1</t>
  </si>
  <si>
    <t>07_2</t>
  </si>
  <si>
    <t>07_3</t>
  </si>
  <si>
    <t>07_4</t>
  </si>
  <si>
    <t>07_5</t>
  </si>
  <si>
    <t>07_6</t>
  </si>
  <si>
    <t>08_1</t>
  </si>
  <si>
    <t>08_2</t>
  </si>
  <si>
    <t>08_3</t>
  </si>
  <si>
    <t>08_4</t>
  </si>
  <si>
    <t>08_5</t>
  </si>
  <si>
    <t>08_6</t>
  </si>
  <si>
    <t>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</si>
</sst>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i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8" fillId="0" borderId="0" xfId="0" applyFont="1"/>
    <xf numFmtId="0" fontId="9" fillId="0" borderId="0" xfId="0" applyFont="1"/>
    <xf numFmtId="0" fontId="9" fillId="3" borderId="0" xfId="0" applyFont="1" applyFill="1"/>
    <xf numFmtId="0" fontId="10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'07_1'!$D$7:$D$14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33</c:v>
                </c:pt>
                <c:pt idx="3">
                  <c:v>49</c:v>
                </c:pt>
                <c:pt idx="4">
                  <c:v>66</c:v>
                </c:pt>
                <c:pt idx="5">
                  <c:v>81</c:v>
                </c:pt>
                <c:pt idx="6">
                  <c:v>98</c:v>
                </c:pt>
                <c:pt idx="7">
                  <c:v>114</c:v>
                </c:pt>
              </c:numCache>
            </c:numRef>
          </c:xVal>
          <c:yVal>
            <c:numRef>
              <c:f>'07_1'!$E$7:$E$14</c:f>
              <c:numCache>
                <c:formatCode>General</c:formatCode>
                <c:ptCount val="8"/>
                <c:pt idx="0">
                  <c:v>1.9630000000000001</c:v>
                </c:pt>
                <c:pt idx="1">
                  <c:v>1.962</c:v>
                </c:pt>
                <c:pt idx="2">
                  <c:v>1.9590000000000001</c:v>
                </c:pt>
                <c:pt idx="3">
                  <c:v>1.9590000000000001</c:v>
                </c:pt>
                <c:pt idx="4">
                  <c:v>1.958</c:v>
                </c:pt>
                <c:pt idx="5">
                  <c:v>1.9570000000000001</c:v>
                </c:pt>
                <c:pt idx="6">
                  <c:v>1.9570000000000001</c:v>
                </c:pt>
                <c:pt idx="7">
                  <c:v>1.954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B-4871-BD23-FBBB4D95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'08_4'!$D$7:$D$14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'08_4'!$E$7:$E$14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B48-BEA8-567DC4C7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'08_5'!$D$7:$D$14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'08_5'!$E$7:$E$14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2-4B4C-8B76-581DF558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'08_6'!$D$7:$D$14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'08_6'!$E$7:$E$14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9-4C27-A83C-BAF48112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'07_2'!$D$7:$D$14</c:f>
              <c:numCache>
                <c:formatCode>General</c:formatCode>
                <c:ptCount val="8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50</c:v>
                </c:pt>
                <c:pt idx="4">
                  <c:v>66</c:v>
                </c:pt>
                <c:pt idx="5">
                  <c:v>81</c:v>
                </c:pt>
                <c:pt idx="6">
                  <c:v>98</c:v>
                </c:pt>
                <c:pt idx="7">
                  <c:v>114</c:v>
                </c:pt>
              </c:numCache>
            </c:numRef>
          </c:xVal>
          <c:yVal>
            <c:numRef>
              <c:f>'07_2'!$E$7:$E$14</c:f>
              <c:numCache>
                <c:formatCode>General</c:formatCode>
                <c:ptCount val="8"/>
                <c:pt idx="0">
                  <c:v>2.3460000000000001</c:v>
                </c:pt>
                <c:pt idx="1">
                  <c:v>2.3420000000000001</c:v>
                </c:pt>
                <c:pt idx="2">
                  <c:v>2.3380000000000001</c:v>
                </c:pt>
                <c:pt idx="3">
                  <c:v>2.3380000000000001</c:v>
                </c:pt>
                <c:pt idx="4">
                  <c:v>2.3319999999999999</c:v>
                </c:pt>
                <c:pt idx="5">
                  <c:v>2.3290000000000002</c:v>
                </c:pt>
                <c:pt idx="6">
                  <c:v>2.327</c:v>
                </c:pt>
                <c:pt idx="7">
                  <c:v>2.323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A-4959-9352-F65F8932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'07_3'!$D$7:$D$14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33</c:v>
                </c:pt>
                <c:pt idx="3">
                  <c:v>50</c:v>
                </c:pt>
                <c:pt idx="4">
                  <c:v>66</c:v>
                </c:pt>
                <c:pt idx="5">
                  <c:v>81</c:v>
                </c:pt>
                <c:pt idx="6">
                  <c:v>97</c:v>
                </c:pt>
                <c:pt idx="7">
                  <c:v>114</c:v>
                </c:pt>
              </c:numCache>
            </c:numRef>
          </c:xVal>
          <c:yVal>
            <c:numRef>
              <c:f>'07_3'!$E$7:$E$14</c:f>
              <c:numCache>
                <c:formatCode>General</c:formatCode>
                <c:ptCount val="8"/>
                <c:pt idx="0">
                  <c:v>2.4620000000000002</c:v>
                </c:pt>
                <c:pt idx="1">
                  <c:v>2.456</c:v>
                </c:pt>
                <c:pt idx="2">
                  <c:v>2.4500000000000002</c:v>
                </c:pt>
                <c:pt idx="3">
                  <c:v>2.4500000000000002</c:v>
                </c:pt>
                <c:pt idx="4">
                  <c:v>2.444</c:v>
                </c:pt>
                <c:pt idx="5">
                  <c:v>2.4409999999999998</c:v>
                </c:pt>
                <c:pt idx="6">
                  <c:v>2.44</c:v>
                </c:pt>
                <c:pt idx="7">
                  <c:v>2.4369999999999998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C-48B9-94F5-DF9B9CCA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'07_4'!$D$7:$D$14</c:f>
              <c:numCache>
                <c:formatCode>General</c:formatCode>
                <c:ptCount val="8"/>
                <c:pt idx="0">
                  <c:v>0</c:v>
                </c:pt>
                <c:pt idx="1">
                  <c:v>19</c:v>
                </c:pt>
                <c:pt idx="2">
                  <c:v>34</c:v>
                </c:pt>
                <c:pt idx="3">
                  <c:v>51</c:v>
                </c:pt>
                <c:pt idx="4">
                  <c:v>67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</c:numCache>
            </c:numRef>
          </c:xVal>
          <c:yVal>
            <c:numRef>
              <c:f>'07_4'!$E$7:$E$14</c:f>
              <c:numCache>
                <c:formatCode>General</c:formatCode>
                <c:ptCount val="8"/>
                <c:pt idx="0">
                  <c:v>2.1829999999999998</c:v>
                </c:pt>
                <c:pt idx="1">
                  <c:v>2.1829999999999998</c:v>
                </c:pt>
                <c:pt idx="2">
                  <c:v>2.1789999999999998</c:v>
                </c:pt>
                <c:pt idx="3">
                  <c:v>2.177</c:v>
                </c:pt>
                <c:pt idx="4">
                  <c:v>2.1760000000000002</c:v>
                </c:pt>
                <c:pt idx="5">
                  <c:v>2.1739999999999999</c:v>
                </c:pt>
                <c:pt idx="6">
                  <c:v>2.1709999999999998</c:v>
                </c:pt>
                <c:pt idx="7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4-4734-BAD9-E6044614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'07_5'!$D$7:$D$14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51</c:v>
                </c:pt>
                <c:pt idx="4">
                  <c:v>66</c:v>
                </c:pt>
                <c:pt idx="5">
                  <c:v>81</c:v>
                </c:pt>
                <c:pt idx="6">
                  <c:v>97</c:v>
                </c:pt>
                <c:pt idx="7">
                  <c:v>114</c:v>
                </c:pt>
              </c:numCache>
            </c:numRef>
          </c:xVal>
          <c:yVal>
            <c:numRef>
              <c:f>'07_5'!$E$7:$E$14</c:f>
              <c:numCache>
                <c:formatCode>General</c:formatCode>
                <c:ptCount val="8"/>
                <c:pt idx="0">
                  <c:v>1.921</c:v>
                </c:pt>
                <c:pt idx="1">
                  <c:v>1.921</c:v>
                </c:pt>
                <c:pt idx="2">
                  <c:v>1.92</c:v>
                </c:pt>
                <c:pt idx="3">
                  <c:v>1.917</c:v>
                </c:pt>
                <c:pt idx="4">
                  <c:v>1.915</c:v>
                </c:pt>
                <c:pt idx="5">
                  <c:v>1.9139999999999999</c:v>
                </c:pt>
                <c:pt idx="6">
                  <c:v>1.9139999999999999</c:v>
                </c:pt>
                <c:pt idx="7">
                  <c:v>1.913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B-4BD7-9163-1D256D9F0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'07_6'!$D$7:$D$14</c:f>
              <c:numCache>
                <c:formatCode>General</c:formatCode>
                <c:ptCount val="8"/>
                <c:pt idx="0">
                  <c:v>0</c:v>
                </c:pt>
                <c:pt idx="1">
                  <c:v>19</c:v>
                </c:pt>
                <c:pt idx="2">
                  <c:v>35</c:v>
                </c:pt>
                <c:pt idx="3">
                  <c:v>51</c:v>
                </c:pt>
                <c:pt idx="4">
                  <c:v>67</c:v>
                </c:pt>
                <c:pt idx="5">
                  <c:v>82</c:v>
                </c:pt>
                <c:pt idx="6">
                  <c:v>97</c:v>
                </c:pt>
                <c:pt idx="7">
                  <c:v>114</c:v>
                </c:pt>
              </c:numCache>
            </c:numRef>
          </c:xVal>
          <c:yVal>
            <c:numRef>
              <c:f>'07_6'!$E$7:$E$14</c:f>
              <c:numCache>
                <c:formatCode>General</c:formatCode>
                <c:ptCount val="8"/>
                <c:pt idx="0">
                  <c:v>3.15</c:v>
                </c:pt>
                <c:pt idx="1">
                  <c:v>3.149</c:v>
                </c:pt>
                <c:pt idx="2">
                  <c:v>3.1429999999999998</c:v>
                </c:pt>
                <c:pt idx="3">
                  <c:v>3.1429999999999998</c:v>
                </c:pt>
                <c:pt idx="4">
                  <c:v>3.14</c:v>
                </c:pt>
                <c:pt idx="5">
                  <c:v>3.137</c:v>
                </c:pt>
                <c:pt idx="6">
                  <c:v>3.1349999999999998</c:v>
                </c:pt>
                <c:pt idx="7">
                  <c:v>3.1339999999999999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7-47F1-930F-A0E1ED3D0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'08_1'!$D$7:$D$14</c:f>
              <c:numCache>
                <c:formatCode>General</c:formatCode>
                <c:ptCount val="8"/>
                <c:pt idx="0">
                  <c:v>0</c:v>
                </c:pt>
                <c:pt idx="1">
                  <c:v>19</c:v>
                </c:pt>
                <c:pt idx="2">
                  <c:v>34</c:v>
                </c:pt>
                <c:pt idx="3">
                  <c:v>51</c:v>
                </c:pt>
                <c:pt idx="4">
                  <c:v>66</c:v>
                </c:pt>
                <c:pt idx="5">
                  <c:v>82</c:v>
                </c:pt>
                <c:pt idx="6">
                  <c:v>97</c:v>
                </c:pt>
                <c:pt idx="7">
                  <c:v>114</c:v>
                </c:pt>
              </c:numCache>
            </c:numRef>
          </c:xVal>
          <c:yVal>
            <c:numRef>
              <c:f>'08_1'!$E$7:$E$14</c:f>
              <c:numCache>
                <c:formatCode>General</c:formatCode>
                <c:ptCount val="8"/>
                <c:pt idx="0">
                  <c:v>0.12</c:v>
                </c:pt>
                <c:pt idx="1">
                  <c:v>0.12</c:v>
                </c:pt>
                <c:pt idx="2">
                  <c:v>0.11700000000000001</c:v>
                </c:pt>
                <c:pt idx="3">
                  <c:v>0.11700000000000001</c:v>
                </c:pt>
                <c:pt idx="4">
                  <c:v>0.11600000000000001</c:v>
                </c:pt>
                <c:pt idx="5">
                  <c:v>0.115</c:v>
                </c:pt>
                <c:pt idx="6">
                  <c:v>0.115</c:v>
                </c:pt>
                <c:pt idx="7">
                  <c:v>0.115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3-480B-AA49-895B5A14D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'08_2'!$D$7:$D$14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52</c:v>
                </c:pt>
                <c:pt idx="4">
                  <c:v>67</c:v>
                </c:pt>
                <c:pt idx="5">
                  <c:v>83</c:v>
                </c:pt>
                <c:pt idx="6">
                  <c:v>98</c:v>
                </c:pt>
                <c:pt idx="7">
                  <c:v>115</c:v>
                </c:pt>
              </c:numCache>
            </c:numRef>
          </c:xVal>
          <c:yVal>
            <c:numRef>
              <c:f>'08_2'!$E$7:$E$14</c:f>
              <c:numCache>
                <c:formatCode>General</c:formatCode>
                <c:ptCount val="8"/>
                <c:pt idx="0">
                  <c:v>0.19500000000000001</c:v>
                </c:pt>
                <c:pt idx="1">
                  <c:v>0.19400000000000001</c:v>
                </c:pt>
                <c:pt idx="2">
                  <c:v>0.192</c:v>
                </c:pt>
                <c:pt idx="3">
                  <c:v>0.19</c:v>
                </c:pt>
                <c:pt idx="4">
                  <c:v>0.187</c:v>
                </c:pt>
                <c:pt idx="5">
                  <c:v>0.187</c:v>
                </c:pt>
                <c:pt idx="6">
                  <c:v>0.186</c:v>
                </c:pt>
                <c:pt idx="7">
                  <c:v>0.185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E-49C7-85CD-4E161913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'08_3'!$D$7:$D$14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34</c:v>
                </c:pt>
                <c:pt idx="3">
                  <c:v>52</c:v>
                </c:pt>
                <c:pt idx="4">
                  <c:v>67</c:v>
                </c:pt>
                <c:pt idx="5">
                  <c:v>83</c:v>
                </c:pt>
                <c:pt idx="6">
                  <c:v>97</c:v>
                </c:pt>
                <c:pt idx="7">
                  <c:v>115</c:v>
                </c:pt>
              </c:numCache>
            </c:numRef>
          </c:xVal>
          <c:yVal>
            <c:numRef>
              <c:f>'08_3'!$E$7:$E$14</c:f>
              <c:numCache>
                <c:formatCode>General</c:formatCode>
                <c:ptCount val="8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8.3000000000000004E-2</c:v>
                </c:pt>
                <c:pt idx="5">
                  <c:v>8.3000000000000004E-2</c:v>
                </c:pt>
                <c:pt idx="6">
                  <c:v>8.3000000000000004E-2</c:v>
                </c:pt>
                <c:pt idx="7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A-4810-B844-42DF01C25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1025" name="Chart 3">
          <a:extLst>
            <a:ext uri="{FF2B5EF4-FFF2-40B4-BE49-F238E27FC236}">
              <a16:creationId xmlns:a16="http://schemas.microsoft.com/office/drawing/2014/main" id="{951B1F8B-D34C-8385-6ACB-A8ED00690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3191CF8-5492-4A92-8FD9-EB492D47E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F3610F4-D9C8-46EE-B47A-395592EFA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8E1BA5AF-CE2B-44BA-9550-D147C71CC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463DBC8C-02E5-4E7D-A20F-4A7032DFF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CC011C8-3F0F-477A-8AAB-096FA6B95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F91A126-D9BD-40FF-82A8-A6A410F41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D65F778-3D7E-480A-AF77-1C0F7927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DCC05C7-8B95-4971-8691-06FAD2739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FF2B59E7-2A8A-43AA-AD68-29C06644E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D957CD0B-D8FC-47FC-8965-BDE38F73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DFFC92B-E927-4F5E-A3D3-E7A2CC06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1271B-2CB0-45BA-944B-CF53F45F2EF0}" name="Tableau1" displayName="Tableau1" ref="A1:E13" totalsRowShown="0">
  <autoFilter ref="A1:E13" xr:uid="{7481271B-2CB0-45BA-944B-CF53F45F2EF0}"/>
  <tableColumns count="5">
    <tableColumn id="1" xr3:uid="{42BB68E6-6439-45D2-90DB-5E687C1ED52F}" name="ID"/>
    <tableColumn id="2" xr3:uid="{A8B866BC-7908-4BEF-B9A0-662AB7BC4CA2}" name="LONGUEUR"/>
    <tableColumn id="3" xr3:uid="{F2312F20-A42D-4EFD-B29E-29306C6E23F7}" name="D1"/>
    <tableColumn id="4" xr3:uid="{37716931-8D2A-448D-9A5B-163389407961}" name="D2"/>
    <tableColumn id="5" xr3:uid="{1B58A502-5C6B-4A22-85DE-519D4ABF9315}" name="surface" dataDxfId="0">
      <calculatedColumnFormula>2*PI()*(AVERAGE(G2:H2)/2)*Tableau1[[#This Row],[LONGUEUR]]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E72C-1D13-48E6-AE59-FCE4A9D7E68B}">
  <dimension ref="A1:CJ58"/>
  <sheetViews>
    <sheetView topLeftCell="A3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3" width="12.33203125" bestFit="1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27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/>
      <c r="K5" s="1" t="s">
        <v>11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/>
      <c r="K6" s="1" t="s">
        <v>18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48</v>
      </c>
      <c r="C7" s="7">
        <v>0</v>
      </c>
      <c r="D7" s="2">
        <f>((A7-A$7)*60*60+(B7-B$7)*60+(C7-C$7))/60</f>
        <v>0</v>
      </c>
      <c r="E7" s="7">
        <v>1.9630000000000001</v>
      </c>
      <c r="F7" s="8">
        <v>61.9</v>
      </c>
      <c r="G7" s="8">
        <v>26.5</v>
      </c>
      <c r="H7" s="7">
        <f>((100-F7)/100)*(610.7*10^(7.5*G7/(237.3+G7)))/1000</f>
        <v>1.3187563723081068</v>
      </c>
      <c r="I7" s="2">
        <f t="shared" ref="I7:I14" si="0">(1-(F7/100))*(H7/C$16)</f>
        <v>4.954601891819236E-3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10</v>
      </c>
      <c r="B8" s="7">
        <v>4</v>
      </c>
      <c r="C8" s="7">
        <v>0</v>
      </c>
      <c r="D8" s="2">
        <f t="shared" ref="D8:D14" si="1">((A8-A$7)*60*60+(B8-B$7)*60+(C8-C$7))/60</f>
        <v>16</v>
      </c>
      <c r="E8" s="7">
        <v>1.962</v>
      </c>
      <c r="F8" s="8">
        <v>65.2</v>
      </c>
      <c r="G8" s="7">
        <v>25.7</v>
      </c>
      <c r="H8" s="7">
        <f t="shared" ref="H8:H14" si="2">((100-F8)/100)*(610.7*10^(7.5*G8/(237.3+G8)))/1000</f>
        <v>1.1489388048805342</v>
      </c>
      <c r="I8" s="2">
        <f t="shared" si="0"/>
        <v>3.9427147628283785E-3</v>
      </c>
      <c r="J8" s="2"/>
      <c r="K8" s="2">
        <f t="shared" ref="K8:K14" si="3">-((E8-E7)/18*1000)/((D8-D7)*60)/I8/(C$20*2/10000)</f>
        <v>2.3854832254710168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21</v>
      </c>
      <c r="C9" s="7">
        <v>0</v>
      </c>
      <c r="D9" s="2">
        <f t="shared" si="1"/>
        <v>33</v>
      </c>
      <c r="E9" s="7">
        <v>1.9590000000000001</v>
      </c>
      <c r="F9" s="8">
        <v>59.2</v>
      </c>
      <c r="G9" s="8">
        <v>25.8</v>
      </c>
      <c r="H9" s="7">
        <f t="shared" si="2"/>
        <v>1.3550330395840817</v>
      </c>
      <c r="I9" s="2">
        <f t="shared" si="0"/>
        <v>5.4516663065802707E-3</v>
      </c>
      <c r="J9" s="2"/>
      <c r="K9" s="2">
        <f>-((E9-E8)/18*1000)/((D9-D8)*60)/I9/(C$20*2/10000)</f>
        <v>4.8711867186166922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37</v>
      </c>
      <c r="C10" s="7">
        <v>0</v>
      </c>
      <c r="D10" s="2">
        <f t="shared" si="1"/>
        <v>49</v>
      </c>
      <c r="E10" s="7">
        <v>1.9590000000000001</v>
      </c>
      <c r="F10" s="8">
        <v>59.5</v>
      </c>
      <c r="G10" s="8">
        <v>25.8</v>
      </c>
      <c r="H10" s="7">
        <f t="shared" si="2"/>
        <v>1.345069561351846</v>
      </c>
      <c r="I10" s="2">
        <f t="shared" si="0"/>
        <v>5.3717894916428133E-3</v>
      </c>
      <c r="J10" s="2"/>
      <c r="K10" s="2">
        <f t="shared" si="3"/>
        <v>0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54</v>
      </c>
      <c r="C11" s="7">
        <v>0</v>
      </c>
      <c r="D11" s="2">
        <f t="shared" si="1"/>
        <v>66</v>
      </c>
      <c r="E11" s="7">
        <v>1.958</v>
      </c>
      <c r="F11" s="8">
        <v>58.1</v>
      </c>
      <c r="G11" s="8">
        <v>26.4</v>
      </c>
      <c r="H11" s="7">
        <f t="shared" si="2"/>
        <v>1.4417673464729541</v>
      </c>
      <c r="I11" s="2">
        <f t="shared" si="0"/>
        <v>5.9570113220803458E-3</v>
      </c>
      <c r="J11" s="2"/>
      <c r="K11" s="2">
        <f t="shared" si="3"/>
        <v>1.4859847816927196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11</v>
      </c>
      <c r="B12" s="7">
        <v>9</v>
      </c>
      <c r="C12" s="7">
        <v>0</v>
      </c>
      <c r="D12" s="2">
        <f t="shared" si="1"/>
        <v>81</v>
      </c>
      <c r="E12" s="7">
        <v>1.9570000000000001</v>
      </c>
      <c r="F12" s="8">
        <v>58</v>
      </c>
      <c r="G12" s="8">
        <v>26.4</v>
      </c>
      <c r="H12" s="7">
        <f t="shared" si="2"/>
        <v>1.4452083186602405</v>
      </c>
      <c r="I12" s="2">
        <f t="shared" si="0"/>
        <v>5.9854796749561293E-3</v>
      </c>
      <c r="J12" s="2"/>
      <c r="K12" s="2">
        <f t="shared" si="3"/>
        <v>1.6761060326522521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26</v>
      </c>
      <c r="C13" s="7">
        <v>0</v>
      </c>
      <c r="D13" s="2">
        <f t="shared" si="1"/>
        <v>98</v>
      </c>
      <c r="E13" s="7">
        <v>1.9570000000000001</v>
      </c>
      <c r="F13" s="8">
        <v>57.9</v>
      </c>
      <c r="G13" s="8">
        <v>26.3</v>
      </c>
      <c r="H13" s="7">
        <f t="shared" si="2"/>
        <v>1.4401339339579962</v>
      </c>
      <c r="I13" s="2">
        <f t="shared" si="0"/>
        <v>5.9786646898364699E-3</v>
      </c>
      <c r="J13" s="2"/>
      <c r="K13" s="2">
        <f t="shared" si="3"/>
        <v>0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42</v>
      </c>
      <c r="C14" s="7">
        <v>0</v>
      </c>
      <c r="D14" s="2">
        <f t="shared" si="1"/>
        <v>114</v>
      </c>
      <c r="E14" s="7">
        <v>1.954</v>
      </c>
      <c r="F14" s="8">
        <v>57.5</v>
      </c>
      <c r="G14" s="8">
        <v>26.4</v>
      </c>
      <c r="H14" s="7">
        <f t="shared" si="2"/>
        <v>1.4624131795966719</v>
      </c>
      <c r="I14" s="2">
        <f t="shared" si="0"/>
        <v>6.1288393780552777E-3</v>
      </c>
      <c r="J14" s="2"/>
      <c r="K14" s="2">
        <f t="shared" si="3"/>
        <v>4.6037818986835806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19</v>
      </c>
      <c r="B16" s="2"/>
      <c r="C16" s="8">
        <v>101.41</v>
      </c>
      <c r="D16" s="2"/>
      <c r="E16" s="5" t="s">
        <v>20</v>
      </c>
      <c r="F16" s="6">
        <f>AVERAGE(F11:F14)</f>
        <v>57.875</v>
      </c>
      <c r="G16" s="6">
        <f>AVERAGE(G11:G14)</f>
        <v>26.375</v>
      </c>
      <c r="H16" s="6">
        <f>AVERAGE(H11:H14)</f>
        <v>1.4473806946719656</v>
      </c>
      <c r="I16" s="6">
        <f>AVERAGE(I11:I14)</f>
        <v>6.0124987662320559E-3</v>
      </c>
      <c r="J16" s="6"/>
      <c r="K16" s="6">
        <f>AVERAGE(K8:K14)</f>
        <v>2.14607752244518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21</v>
      </c>
      <c r="F17" s="2">
        <f>MAX(F11:F14)-MIN(F11:F14)</f>
        <v>0.60000000000000142</v>
      </c>
      <c r="G17" s="2">
        <f>MAX(G11:G14)-MIN(G11:G14)</f>
        <v>9.9999999999997868E-2</v>
      </c>
      <c r="H17" s="2">
        <f>MAX(H11:H14)-MIN(H11:H14)</f>
        <v>2.2279245638675782E-2</v>
      </c>
      <c r="I17" s="2">
        <f>MAX(I11:I14)-MIN(I11:I14)</f>
        <v>1.7182805597493189E-4</v>
      </c>
      <c r="J17" s="2"/>
      <c r="K17" s="1">
        <f>-SLOPE(E7:E14,D7:D14)/60/AVERAGE(I11:I14)*1000/18/(C20*2/10000)</f>
        <v>1.7377434099557185</v>
      </c>
      <c r="L17" t="s">
        <v>22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23</v>
      </c>
      <c r="B18" s="2"/>
      <c r="C18" s="13">
        <v>30.764831458441442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24</v>
      </c>
      <c r="B19" s="2"/>
      <c r="C19" s="13">
        <v>30.764831458441442</v>
      </c>
      <c r="E19" s="2" t="s">
        <v>25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26</v>
      </c>
      <c r="B20" s="2"/>
      <c r="C20" s="9">
        <f>AVERAGE(C18,C19)</f>
        <v>30.764831458441442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honeticPr fontId="3" type="noConversion"/>
  <pageMargins left="0.7" right="0.7" top="0.75" bottom="0.75" header="0.3" footer="0.3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21CE-7394-428F-AE0E-FB7EAFE2EDEA}">
  <dimension ref="A1:CJ58"/>
  <sheetViews>
    <sheetView zoomScale="117" zoomScaleNormal="117" workbookViewId="0">
      <selection activeCell="M7" sqref="M7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/>
      <c r="K5" s="1" t="s">
        <v>11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/>
      <c r="K6" s="1" t="s">
        <v>18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/>
      <c r="B7" s="7"/>
      <c r="C7" s="7">
        <v>0</v>
      </c>
      <c r="D7" s="2">
        <f>((A7-A$7)*60*60+(B7-B$7)*60+(C7-C$7))/60</f>
        <v>0</v>
      </c>
      <c r="E7" s="7"/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/>
      <c r="B8" s="7"/>
      <c r="C8" s="7">
        <v>0</v>
      </c>
      <c r="D8" s="2">
        <f t="shared" ref="D8:D14" si="1">((A8-A$7)*60*60+(B8-B$7)*60+(C8-C$7))/60</f>
        <v>0</v>
      </c>
      <c r="E8" s="7"/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 t="e">
        <f t="shared" ref="K8:K14" si="3">-((E8-E7)/18*1000)/((D8-D7)*60)/I8/(C$20*2/10000)</f>
        <v>#DIV/0!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/>
      <c r="B9" s="7"/>
      <c r="C9" s="7">
        <v>0</v>
      </c>
      <c r="D9" s="2">
        <f t="shared" si="1"/>
        <v>0</v>
      </c>
      <c r="E9" s="7"/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 t="e">
        <f t="shared" si="3"/>
        <v>#DIV/0!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/>
      <c r="B10" s="7"/>
      <c r="C10" s="7">
        <v>0</v>
      </c>
      <c r="D10" s="2">
        <f t="shared" si="1"/>
        <v>0</v>
      </c>
      <c r="E10" s="7"/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 t="e">
        <f t="shared" si="3"/>
        <v>#DIV/0!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/>
      <c r="B11" s="7"/>
      <c r="C11" s="7">
        <v>0</v>
      </c>
      <c r="D11" s="2">
        <f t="shared" si="1"/>
        <v>0</v>
      </c>
      <c r="E11" s="7"/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 t="e">
        <f t="shared" si="3"/>
        <v>#DIV/0!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/>
      <c r="B12" s="7"/>
      <c r="C12" s="7">
        <v>0</v>
      </c>
      <c r="D12" s="2">
        <f t="shared" si="1"/>
        <v>0</v>
      </c>
      <c r="E12" s="7"/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 t="e">
        <f t="shared" si="3"/>
        <v>#DIV/0!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/>
      <c r="B13" s="7"/>
      <c r="C13" s="7">
        <v>0</v>
      </c>
      <c r="D13" s="2">
        <f t="shared" si="1"/>
        <v>0</v>
      </c>
      <c r="E13" s="7"/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 t="e">
        <f t="shared" si="3"/>
        <v>#DIV/0!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/>
      <c r="B14" s="7"/>
      <c r="C14" s="7">
        <v>0</v>
      </c>
      <c r="D14" s="2">
        <f t="shared" si="1"/>
        <v>0</v>
      </c>
      <c r="E14" s="7"/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 t="e">
        <f t="shared" si="3"/>
        <v>#DIV/0!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11"/>
      <c r="F15" s="11"/>
      <c r="G15" s="2"/>
      <c r="H15" s="2"/>
      <c r="I15" s="2"/>
      <c r="J15" s="2"/>
      <c r="K15" s="2"/>
      <c r="M15" s="2"/>
    </row>
    <row r="16" spans="1:88" x14ac:dyDescent="0.3">
      <c r="A16" s="4" t="s">
        <v>19</v>
      </c>
      <c r="B16" s="2"/>
      <c r="C16" s="8">
        <v>101.41</v>
      </c>
      <c r="D16" s="2"/>
      <c r="E16" s="5" t="s">
        <v>20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 t="e">
        <f>AVERAGE(K8:K14)</f>
        <v>#DIV/0!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21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 t="e">
        <f>-SLOPE(E7:E14,D7:D14)/60/AVERAGE(I11:I14)*1000/18/(C20*2/10000)</f>
        <v>#DIV/0!</v>
      </c>
      <c r="L17" t="s">
        <v>22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23</v>
      </c>
      <c r="B18" s="2"/>
      <c r="C18" s="8"/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24</v>
      </c>
      <c r="B19" s="2"/>
      <c r="C19" s="7"/>
      <c r="E19" s="2" t="s">
        <v>25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26</v>
      </c>
      <c r="B20" s="2"/>
      <c r="C20" s="9" t="e">
        <f>AVERAGE(C18,C19)</f>
        <v>#DIV/0!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81AD-F60B-4B2F-BEC4-189BF877F91B}">
  <dimension ref="A1:CJ58"/>
  <sheetViews>
    <sheetView zoomScale="117" zoomScaleNormal="117" workbookViewId="0">
      <selection activeCell="H7" sqref="H7:H14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/>
      <c r="K5" s="1" t="s">
        <v>11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/>
      <c r="K6" s="1" t="s">
        <v>18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/>
      <c r="B7" s="7"/>
      <c r="C7" s="7">
        <v>0</v>
      </c>
      <c r="D7" s="2">
        <f>((A7-A$7)*60*60+(B7-B$7)*60+(C7-C$7))/60</f>
        <v>0</v>
      </c>
      <c r="E7" s="7"/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/>
      <c r="B8" s="7"/>
      <c r="C8" s="7">
        <v>0</v>
      </c>
      <c r="D8" s="2">
        <f t="shared" ref="D8:D14" si="1">((A8-A$7)*60*60+(B8-B$7)*60+(C8-C$7))/60</f>
        <v>0</v>
      </c>
      <c r="E8" s="7"/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 t="e">
        <f t="shared" ref="K8:K14" si="3">-((E8-E7)/18*1000)/((D8-D7)*60)/I8/(C$20*2/10000)</f>
        <v>#DIV/0!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/>
      <c r="B9" s="7"/>
      <c r="C9" s="7">
        <v>0</v>
      </c>
      <c r="D9" s="2">
        <f t="shared" si="1"/>
        <v>0</v>
      </c>
      <c r="E9" s="7"/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 t="e">
        <f t="shared" si="3"/>
        <v>#DIV/0!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/>
      <c r="B10" s="7"/>
      <c r="C10" s="7">
        <v>0</v>
      </c>
      <c r="D10" s="2">
        <f t="shared" si="1"/>
        <v>0</v>
      </c>
      <c r="E10" s="7"/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 t="e">
        <f t="shared" si="3"/>
        <v>#DIV/0!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/>
      <c r="B11" s="7"/>
      <c r="C11" s="7">
        <v>0</v>
      </c>
      <c r="D11" s="2">
        <f t="shared" si="1"/>
        <v>0</v>
      </c>
      <c r="E11" s="7"/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 t="e">
        <f t="shared" si="3"/>
        <v>#DIV/0!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/>
      <c r="B12" s="7"/>
      <c r="C12" s="7">
        <v>0</v>
      </c>
      <c r="D12" s="2">
        <f t="shared" si="1"/>
        <v>0</v>
      </c>
      <c r="E12" s="7"/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 t="e">
        <f t="shared" si="3"/>
        <v>#DIV/0!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/>
      <c r="B13" s="7"/>
      <c r="C13" s="7">
        <v>0</v>
      </c>
      <c r="D13" s="2">
        <f t="shared" si="1"/>
        <v>0</v>
      </c>
      <c r="E13" s="7"/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 t="e">
        <f t="shared" si="3"/>
        <v>#DIV/0!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/>
      <c r="B14" s="7"/>
      <c r="C14" s="7">
        <v>0</v>
      </c>
      <c r="D14" s="2">
        <f t="shared" si="1"/>
        <v>0</v>
      </c>
      <c r="E14" s="7"/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 t="e">
        <f t="shared" si="3"/>
        <v>#DIV/0!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19</v>
      </c>
      <c r="B16" s="2"/>
      <c r="C16" s="8">
        <v>101.41</v>
      </c>
      <c r="D16" s="2"/>
      <c r="E16" s="5" t="s">
        <v>20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 t="e">
        <f>AVERAGE(K8:K14)</f>
        <v>#DIV/0!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21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 t="e">
        <f>-SLOPE(E7:E14,D7:D14)/60/AVERAGE(I11:I14)*1000/18/(C20*2/10000)</f>
        <v>#DIV/0!</v>
      </c>
      <c r="L17" t="s">
        <v>22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23</v>
      </c>
      <c r="B18" s="2"/>
      <c r="C18" s="8"/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24</v>
      </c>
      <c r="B19" s="2"/>
      <c r="C19" s="7"/>
      <c r="E19" s="2" t="s">
        <v>25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26</v>
      </c>
      <c r="B20" s="2"/>
      <c r="C20" s="9" t="e">
        <f>AVERAGE(C18,C19)</f>
        <v>#DIV/0!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79DF-33F3-4BC7-950C-FCAFF35B071B}">
  <dimension ref="A1:CJ58"/>
  <sheetViews>
    <sheetView topLeftCell="A15" zoomScale="117" zoomScaleNormal="117" workbookViewId="0">
      <selection activeCell="M31" sqref="M31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/>
      <c r="K5" s="1" t="s">
        <v>11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/>
      <c r="K6" s="1" t="s">
        <v>18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/>
      <c r="B7" s="7"/>
      <c r="C7" s="7">
        <v>0</v>
      </c>
      <c r="D7" s="2">
        <f>((A7-A$7)*60*60+(B7-B$7)*60+(C7-C$7))/60</f>
        <v>0</v>
      </c>
      <c r="E7" s="7"/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/>
      <c r="B8" s="7"/>
      <c r="C8" s="7">
        <v>0</v>
      </c>
      <c r="D8" s="2">
        <f t="shared" ref="D8:D14" si="1">((A8-A$7)*60*60+(B8-B$7)*60+(C8-C$7))/60</f>
        <v>0</v>
      </c>
      <c r="E8" s="7"/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 t="e">
        <f t="shared" ref="K8:K14" si="3">-((E8-E7)/18*1000)/((D8-D7)*60)/I8/(C$20*2/10000)</f>
        <v>#DIV/0!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/>
      <c r="B9" s="7"/>
      <c r="C9" s="7">
        <v>0</v>
      </c>
      <c r="D9" s="2">
        <f t="shared" si="1"/>
        <v>0</v>
      </c>
      <c r="E9" s="7"/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 t="e">
        <f>-((E9-E8)/18*1000)/((D9-D8)*60)/I9/(C$20*2/10000)</f>
        <v>#DIV/0!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/>
      <c r="B10" s="7"/>
      <c r="C10" s="7">
        <v>0</v>
      </c>
      <c r="D10" s="2">
        <f t="shared" si="1"/>
        <v>0</v>
      </c>
      <c r="E10" s="7"/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 t="e">
        <f t="shared" si="3"/>
        <v>#DIV/0!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/>
      <c r="B11" s="7"/>
      <c r="C11" s="7">
        <v>0</v>
      </c>
      <c r="D11" s="2">
        <f>((A11-A$7)*60*60+(B11-B$7)*60+(C11-C$7))/60</f>
        <v>0</v>
      </c>
      <c r="E11" s="12"/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 t="e">
        <f>-((E11-E10)/18*1000)/((D11-D10)*60)/I11/(C$20*2/10000)</f>
        <v>#DIV/0!</v>
      </c>
      <c r="L11" s="2"/>
      <c r="M11" s="2"/>
      <c r="O11" s="2"/>
      <c r="P11" s="11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/>
      <c r="B12" s="7"/>
      <c r="C12" s="7">
        <v>0</v>
      </c>
      <c r="D12" s="2">
        <f t="shared" si="1"/>
        <v>0</v>
      </c>
      <c r="E12" s="7"/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 t="e">
        <f>-((E12-E11)/18*1000)/((D12-D11)*60)/I12/(C$20*2/10000)</f>
        <v>#DIV/0!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/>
      <c r="B13" s="7"/>
      <c r="C13" s="7">
        <v>0</v>
      </c>
      <c r="D13" s="2">
        <f t="shared" si="1"/>
        <v>0</v>
      </c>
      <c r="E13" s="7"/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 t="e">
        <f t="shared" si="3"/>
        <v>#DIV/0!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/>
      <c r="B14" s="7"/>
      <c r="C14" s="7">
        <v>0</v>
      </c>
      <c r="D14" s="2">
        <f t="shared" si="1"/>
        <v>0</v>
      </c>
      <c r="E14" s="7"/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 t="e">
        <f t="shared" si="3"/>
        <v>#DIV/0!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19</v>
      </c>
      <c r="B16" s="2"/>
      <c r="C16" s="8">
        <v>101.41</v>
      </c>
      <c r="D16" s="2"/>
      <c r="E16" s="5" t="s">
        <v>20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 t="e">
        <f>AVERAGE(K8:K14)</f>
        <v>#DIV/0!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21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 t="e">
        <f>-SLOPE(E7:E14,D7:D14)/60/AVERAGE(I11:I14)*1000/18/(C20*2/10000)</f>
        <v>#DIV/0!</v>
      </c>
      <c r="L17" t="s">
        <v>22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23</v>
      </c>
      <c r="B18" s="2"/>
      <c r="C18" s="8"/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24</v>
      </c>
      <c r="B19" s="2"/>
      <c r="C19" s="7"/>
      <c r="E19" s="2" t="s">
        <v>25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26</v>
      </c>
      <c r="B20" s="2"/>
      <c r="C20" s="9" t="e">
        <f>AVERAGE(C18,C19)</f>
        <v>#DIV/0!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62AD-3E1B-4AFF-AF7F-C1E71F21091A}">
  <dimension ref="A1:H13"/>
  <sheetViews>
    <sheetView workbookViewId="0">
      <selection activeCell="E10" sqref="E10"/>
    </sheetView>
  </sheetViews>
  <sheetFormatPr baseColWidth="10" defaultRowHeight="14.4" x14ac:dyDescent="0.3"/>
  <cols>
    <col min="2" max="2" width="12.44140625" customWidth="1"/>
  </cols>
  <sheetData>
    <row r="1" spans="1:8" x14ac:dyDescent="0.3">
      <c r="A1" t="s">
        <v>39</v>
      </c>
      <c r="B1" t="s">
        <v>40</v>
      </c>
      <c r="C1" t="s">
        <v>41</v>
      </c>
      <c r="D1" t="s">
        <v>42</v>
      </c>
      <c r="E1" t="s">
        <v>55</v>
      </c>
    </row>
    <row r="2" spans="1:8" x14ac:dyDescent="0.3">
      <c r="A2" t="s">
        <v>43</v>
      </c>
      <c r="B2">
        <v>16.5</v>
      </c>
      <c r="C2">
        <v>6.1</v>
      </c>
      <c r="D2">
        <v>5.77</v>
      </c>
      <c r="E2">
        <f>2*PI()*(AVERAGE(G2:H2)/2)*Tableau1[[#This Row],[LONGUEUR]]</f>
        <v>30.764831458441442</v>
      </c>
      <c r="G2">
        <f>Tableau1[[#This Row],[D1]]/10</f>
        <v>0.61</v>
      </c>
      <c r="H2">
        <f>Tableau1[[#This Row],[D2]]/10</f>
        <v>0.57699999999999996</v>
      </c>
    </row>
    <row r="3" spans="1:8" x14ac:dyDescent="0.3">
      <c r="A3" t="s">
        <v>44</v>
      </c>
      <c r="B3">
        <v>24</v>
      </c>
      <c r="C3">
        <v>3.9</v>
      </c>
      <c r="D3">
        <v>6.31</v>
      </c>
      <c r="E3">
        <f>2*PI()*(AVERAGE(G3:H3)/2)*Tableau1[[#This Row],[LONGUEUR]]</f>
        <v>38.490793191782146</v>
      </c>
      <c r="G3">
        <f>Tableau1[[#This Row],[D1]]/10</f>
        <v>0.39</v>
      </c>
      <c r="H3">
        <f>Tableau1[[#This Row],[D2]]/10</f>
        <v>0.63100000000000001</v>
      </c>
    </row>
    <row r="4" spans="1:8" x14ac:dyDescent="0.3">
      <c r="A4" t="s">
        <v>45</v>
      </c>
      <c r="B4">
        <v>20.5</v>
      </c>
      <c r="C4">
        <v>6.73</v>
      </c>
      <c r="D4">
        <v>4.9400000000000004</v>
      </c>
      <c r="E4">
        <f>2*PI()*(AVERAGE(G4:H4)/2)*Tableau1[[#This Row],[LONGUEUR]]</f>
        <v>37.578945924077708</v>
      </c>
      <c r="G4">
        <f>Tableau1[[#This Row],[D1]]/10</f>
        <v>0.67300000000000004</v>
      </c>
      <c r="H4">
        <f>Tableau1[[#This Row],[D2]]/10</f>
        <v>0.49400000000000005</v>
      </c>
    </row>
    <row r="5" spans="1:8" x14ac:dyDescent="0.3">
      <c r="A5" t="s">
        <v>46</v>
      </c>
      <c r="B5">
        <v>23.5</v>
      </c>
      <c r="C5">
        <v>5.65</v>
      </c>
      <c r="D5">
        <v>5.45</v>
      </c>
      <c r="E5">
        <f>2*PI()*(AVERAGE(G5:H5)/2)*Tableau1[[#This Row],[LONGUEUR]]</f>
        <v>40.974222184444876</v>
      </c>
      <c r="G5">
        <f>Tableau1[[#This Row],[D1]]/10</f>
        <v>0.56500000000000006</v>
      </c>
      <c r="H5">
        <f>Tableau1[[#This Row],[D2]]/10</f>
        <v>0.54500000000000004</v>
      </c>
    </row>
    <row r="6" spans="1:8" x14ac:dyDescent="0.3">
      <c r="A6" t="s">
        <v>47</v>
      </c>
      <c r="B6">
        <v>19.600000000000001</v>
      </c>
      <c r="C6">
        <v>6.27</v>
      </c>
      <c r="D6">
        <v>4.1100000000000003</v>
      </c>
      <c r="E6">
        <f>2*PI()*(AVERAGE(G6:H6)/2)*Tableau1[[#This Row],[LONGUEUR]]</f>
        <v>31.957537109376815</v>
      </c>
      <c r="G6">
        <f>Tableau1[[#This Row],[D1]]/10</f>
        <v>0.627</v>
      </c>
      <c r="H6">
        <f>Tableau1[[#This Row],[D2]]/10</f>
        <v>0.41100000000000003</v>
      </c>
    </row>
    <row r="7" spans="1:8" x14ac:dyDescent="0.3">
      <c r="A7" t="s">
        <v>48</v>
      </c>
      <c r="B7">
        <v>25.5</v>
      </c>
      <c r="C7">
        <v>6.69</v>
      </c>
      <c r="D7">
        <v>3</v>
      </c>
      <c r="E7">
        <f>2*PI()*(AVERAGE(G7:H7)/2)*Tableau1[[#This Row],[LONGUEUR]]</f>
        <v>38.8135918369385</v>
      </c>
      <c r="G7">
        <f>Tableau1[[#This Row],[D1]]/10</f>
        <v>0.66900000000000004</v>
      </c>
      <c r="H7">
        <f>Tableau1[[#This Row],[D2]]/10</f>
        <v>0.3</v>
      </c>
    </row>
    <row r="8" spans="1:8" x14ac:dyDescent="0.3">
      <c r="A8" t="s">
        <v>49</v>
      </c>
      <c r="B8">
        <v>19.2</v>
      </c>
      <c r="C8">
        <v>0.81</v>
      </c>
      <c r="D8">
        <v>0.81</v>
      </c>
      <c r="E8">
        <f>2*PI()*(AVERAGE(G8:H8)/2)*Tableau1[[#This Row],[LONGUEUR]]</f>
        <v>4.8858048948628463</v>
      </c>
      <c r="G8">
        <f>Tableau1[[#This Row],[D1]]/10</f>
        <v>8.1000000000000003E-2</v>
      </c>
      <c r="H8">
        <f>Tableau1[[#This Row],[D2]]/10</f>
        <v>8.1000000000000003E-2</v>
      </c>
    </row>
    <row r="9" spans="1:8" x14ac:dyDescent="0.3">
      <c r="A9" t="s">
        <v>50</v>
      </c>
      <c r="B9">
        <v>33</v>
      </c>
      <c r="C9">
        <v>0.82</v>
      </c>
      <c r="D9">
        <v>0.79</v>
      </c>
      <c r="E9">
        <f>2*PI()*(AVERAGE(G9:H9)/2)*Tableau1[[#This Row],[LONGUEUR]]</f>
        <v>8.3456408842612841</v>
      </c>
      <c r="G9">
        <f>Tableau1[[#This Row],[D1]]/10</f>
        <v>8.199999999999999E-2</v>
      </c>
      <c r="H9">
        <f>Tableau1[[#This Row],[D2]]/10</f>
        <v>7.9000000000000001E-2</v>
      </c>
    </row>
    <row r="10" spans="1:8" x14ac:dyDescent="0.3">
      <c r="A10" t="s">
        <v>51</v>
      </c>
      <c r="B10">
        <v>13.7</v>
      </c>
      <c r="C10">
        <v>0.88</v>
      </c>
      <c r="D10">
        <v>0.83</v>
      </c>
      <c r="E10">
        <f>2*PI()*(AVERAGE(G10:H10)/2)*Tableau1[[#This Row],[LONGUEUR]]</f>
        <v>3.6799045547824041</v>
      </c>
      <c r="G10">
        <f>Tableau1[[#This Row],[D1]]/10</f>
        <v>8.7999999999999995E-2</v>
      </c>
      <c r="H10">
        <f>Tableau1[[#This Row],[D2]]/10</f>
        <v>8.299999999999999E-2</v>
      </c>
    </row>
    <row r="11" spans="1:8" x14ac:dyDescent="0.3">
      <c r="A11" t="s">
        <v>52</v>
      </c>
      <c r="E11" t="e">
        <f>2*PI()*(AVERAGE(G11:H11)/2)*Tableau1[[#This Row],[LONGUEUR]]</f>
        <v>#DIV/0!</v>
      </c>
    </row>
    <row r="12" spans="1:8" x14ac:dyDescent="0.3">
      <c r="A12" t="s">
        <v>53</v>
      </c>
      <c r="E12" t="e">
        <f>2*PI()*(AVERAGE(G12:H12)/2)*Tableau1[[#This Row],[LONGUEUR]]</f>
        <v>#DIV/0!</v>
      </c>
    </row>
    <row r="13" spans="1:8" x14ac:dyDescent="0.3">
      <c r="A13" t="s">
        <v>54</v>
      </c>
      <c r="E13" t="e">
        <f>2*PI()*(AVERAGE(G13:H13)/2)*Tableau1[[#This Row],[LONGUEUR]]</f>
        <v>#DIV/0!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C4A6-7D35-4A7E-9CA4-8F2211DC2BEE}">
  <dimension ref="A1:CJ58"/>
  <sheetViews>
    <sheetView topLeftCell="A9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/>
      <c r="K5" s="1" t="s">
        <v>11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/>
      <c r="K6" s="1" t="s">
        <v>18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48</v>
      </c>
      <c r="C7" s="7">
        <v>0</v>
      </c>
      <c r="D7" s="2">
        <f>((A7-A$7)*60*60+(B7-B$7)*60+(C7-C$7))/60</f>
        <v>0</v>
      </c>
      <c r="E7" s="7">
        <v>2.3460000000000001</v>
      </c>
      <c r="F7" s="8">
        <v>61.9</v>
      </c>
      <c r="G7" s="8">
        <v>26.5</v>
      </c>
      <c r="H7" s="7">
        <f>((100-F7)/100)*(610.7*10^(7.5*G7/(237.3+G7)))/1000</f>
        <v>1.3187563723081068</v>
      </c>
      <c r="I7" s="2">
        <f t="shared" ref="I7:I14" si="0">(1-(F7/100))*(H7/C$16)</f>
        <v>4.954601891819236E-3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10</v>
      </c>
      <c r="B8" s="7">
        <v>5</v>
      </c>
      <c r="C8" s="7">
        <v>0</v>
      </c>
      <c r="D8" s="2">
        <f t="shared" ref="D8:D14" si="1">((A8-A$7)*60*60+(B8-B$7)*60+(C8-C$7))/60</f>
        <v>17</v>
      </c>
      <c r="E8" s="7">
        <v>2.3420000000000001</v>
      </c>
      <c r="F8" s="8">
        <v>65.2</v>
      </c>
      <c r="G8" s="7">
        <v>25.7</v>
      </c>
      <c r="H8" s="7">
        <f t="shared" ref="H8:H14" si="2">((100-F8)/100)*(610.7*10^(7.5*G8/(237.3+G8)))/1000</f>
        <v>1.1489388048805342</v>
      </c>
      <c r="I8" s="2">
        <f t="shared" si="0"/>
        <v>3.9427147628283785E-3</v>
      </c>
      <c r="J8" s="2"/>
      <c r="K8" s="2">
        <f t="shared" ref="K8:K14" si="3">-((E8-E7)/18*1000)/((D8-D7)*60)/I8/(C$20*2/10000)</f>
        <v>7.1780271878715451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21</v>
      </c>
      <c r="C9" s="7">
        <v>0</v>
      </c>
      <c r="D9" s="2">
        <f t="shared" si="1"/>
        <v>33</v>
      </c>
      <c r="E9" s="7">
        <v>2.3380000000000001</v>
      </c>
      <c r="F9" s="8">
        <v>59.2</v>
      </c>
      <c r="G9" s="8">
        <v>25.8</v>
      </c>
      <c r="H9" s="7">
        <f t="shared" si="2"/>
        <v>1.3550330395840817</v>
      </c>
      <c r="I9" s="2">
        <f t="shared" si="0"/>
        <v>5.4516663065802707E-3</v>
      </c>
      <c r="J9" s="2"/>
      <c r="K9" s="2">
        <f t="shared" si="3"/>
        <v>5.5156935844386039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38</v>
      </c>
      <c r="C10" s="7">
        <v>0</v>
      </c>
      <c r="D10" s="2">
        <f t="shared" si="1"/>
        <v>50</v>
      </c>
      <c r="E10" s="7">
        <v>2.3380000000000001</v>
      </c>
      <c r="F10" s="8">
        <v>59.5</v>
      </c>
      <c r="G10" s="8">
        <v>25.8</v>
      </c>
      <c r="H10" s="7">
        <f t="shared" si="2"/>
        <v>1.345069561351846</v>
      </c>
      <c r="I10" s="2">
        <f t="shared" si="0"/>
        <v>5.3717894916428133E-3</v>
      </c>
      <c r="J10" s="2"/>
      <c r="K10" s="2">
        <f t="shared" si="3"/>
        <v>0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54</v>
      </c>
      <c r="C11" s="7">
        <v>0</v>
      </c>
      <c r="D11" s="2">
        <f t="shared" si="1"/>
        <v>66</v>
      </c>
      <c r="E11" s="7">
        <v>2.3319999999999999</v>
      </c>
      <c r="F11" s="8">
        <v>58.1</v>
      </c>
      <c r="G11" s="8">
        <v>26.4</v>
      </c>
      <c r="H11" s="7">
        <f t="shared" si="2"/>
        <v>1.4417673464729541</v>
      </c>
      <c r="I11" s="2">
        <f t="shared" si="0"/>
        <v>5.9570113220803458E-3</v>
      </c>
      <c r="J11" s="2"/>
      <c r="K11" s="2">
        <f t="shared" si="3"/>
        <v>7.5716796341100974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11</v>
      </c>
      <c r="B12" s="7">
        <v>9</v>
      </c>
      <c r="C12" s="7">
        <v>0</v>
      </c>
      <c r="D12" s="2">
        <f t="shared" si="1"/>
        <v>81</v>
      </c>
      <c r="E12" s="7">
        <v>2.3290000000000002</v>
      </c>
      <c r="F12" s="8">
        <v>58</v>
      </c>
      <c r="G12" s="8">
        <v>26.4</v>
      </c>
      <c r="H12" s="7">
        <f t="shared" si="2"/>
        <v>1.4452083186602405</v>
      </c>
      <c r="I12" s="2">
        <f t="shared" si="0"/>
        <v>5.9854796749561293E-3</v>
      </c>
      <c r="J12" s="2"/>
      <c r="K12" s="2">
        <f t="shared" si="3"/>
        <v>4.0190223680840695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26</v>
      </c>
      <c r="C13" s="7">
        <v>0</v>
      </c>
      <c r="D13" s="2">
        <f t="shared" si="1"/>
        <v>98</v>
      </c>
      <c r="E13" s="7">
        <v>2.327</v>
      </c>
      <c r="F13" s="8">
        <v>57.9</v>
      </c>
      <c r="G13" s="8">
        <v>26.3</v>
      </c>
      <c r="H13" s="7">
        <f t="shared" si="2"/>
        <v>1.4401339339579962</v>
      </c>
      <c r="I13" s="2">
        <f t="shared" si="0"/>
        <v>5.9786646898364699E-3</v>
      </c>
      <c r="J13" s="2"/>
      <c r="K13" s="2">
        <f t="shared" si="3"/>
        <v>2.3668256399893406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42</v>
      </c>
      <c r="C14" s="7">
        <v>0</v>
      </c>
      <c r="D14" s="2">
        <f t="shared" si="1"/>
        <v>114</v>
      </c>
      <c r="E14" s="7">
        <v>2.323</v>
      </c>
      <c r="F14" s="8">
        <v>57.5</v>
      </c>
      <c r="G14" s="8">
        <v>26.4</v>
      </c>
      <c r="H14" s="7">
        <f t="shared" si="2"/>
        <v>1.4624131795966719</v>
      </c>
      <c r="I14" s="2">
        <f t="shared" si="0"/>
        <v>6.1288393780552777E-3</v>
      </c>
      <c r="J14" s="2"/>
      <c r="K14" s="2">
        <f t="shared" si="3"/>
        <v>4.9062667524574985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19</v>
      </c>
      <c r="B16" s="2"/>
      <c r="C16" s="8">
        <v>101.41</v>
      </c>
      <c r="D16" s="2"/>
      <c r="E16" s="5" t="s">
        <v>20</v>
      </c>
      <c r="F16" s="6">
        <f>AVERAGE(F11:F14)</f>
        <v>57.875</v>
      </c>
      <c r="G16" s="6">
        <f>AVERAGE(G11:G14)</f>
        <v>26.375</v>
      </c>
      <c r="H16" s="6">
        <f>AVERAGE(H11:H14)</f>
        <v>1.4473806946719656</v>
      </c>
      <c r="I16" s="6">
        <f>AVERAGE(I11:I14)</f>
        <v>6.0124987662320559E-3</v>
      </c>
      <c r="J16" s="6"/>
      <c r="K16" s="6">
        <f>AVERAGE(K8:K14)</f>
        <v>4.5082164524215935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21</v>
      </c>
      <c r="F17" s="2">
        <f>MAX(F11:F14)-MIN(F11:F14)</f>
        <v>0.60000000000000142</v>
      </c>
      <c r="G17" s="2">
        <f>MAX(G11:G14)-MIN(G11:G14)</f>
        <v>9.9999999999997868E-2</v>
      </c>
      <c r="H17" s="2">
        <f>MAX(H11:H14)-MIN(H11:H14)</f>
        <v>2.2279245638675782E-2</v>
      </c>
      <c r="I17" s="2">
        <f>MAX(I11:I14)-MIN(I11:I14)</f>
        <v>1.7182805597493189E-4</v>
      </c>
      <c r="J17" s="2"/>
      <c r="K17" s="1">
        <f>-SLOPE(E7:E14,D7:D14)/60/AVERAGE(I11:I14)*1000/18/(C20*2/10000)</f>
        <v>3.9451609420276719</v>
      </c>
      <c r="L17" t="s">
        <v>22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23</v>
      </c>
      <c r="B18" s="2"/>
      <c r="C18" s="8">
        <v>38.490793191782146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24</v>
      </c>
      <c r="B19" s="2"/>
      <c r="C19" s="8">
        <v>38.490793191782146</v>
      </c>
      <c r="E19" s="2" t="s">
        <v>25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26</v>
      </c>
      <c r="B20" s="2"/>
      <c r="C20" s="9">
        <f>AVERAGE(C18,C19)</f>
        <v>38.490793191782146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ED9D-C8C9-4DD7-848D-2BF550F2C11F}">
  <dimension ref="A1:CJ58"/>
  <sheetViews>
    <sheetView topLeftCell="A6" zoomScale="117" zoomScaleNormal="117" workbookViewId="0">
      <selection activeCell="M14" sqref="M14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3" width="12.33203125" bestFit="1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29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/>
      <c r="K5" s="1" t="s">
        <v>11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/>
      <c r="K6" s="1" t="s">
        <v>18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49</v>
      </c>
      <c r="C7" s="7">
        <v>0</v>
      </c>
      <c r="D7" s="2">
        <f>((A7-A$7)*60*60+(B7-B$7)*60+(C7-C$7))/60</f>
        <v>0</v>
      </c>
      <c r="E7" s="7">
        <v>2.4620000000000002</v>
      </c>
      <c r="F7" s="8">
        <v>61.9</v>
      </c>
      <c r="G7" s="8">
        <v>26.5</v>
      </c>
      <c r="H7" s="7">
        <f>((100-F7)/100)*(610.7*10^(7.5*G7/(237.3+G7)))/1000</f>
        <v>1.3187563723081068</v>
      </c>
      <c r="I7" s="2">
        <f t="shared" ref="I7:I14" si="0">(1-(F7/100))*(H7/C$16)</f>
        <v>4.954601891819236E-3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10</v>
      </c>
      <c r="B8" s="7">
        <v>5</v>
      </c>
      <c r="C8" s="7">
        <v>0</v>
      </c>
      <c r="D8" s="2">
        <f t="shared" ref="D8:D14" si="1">((A8-A$7)*60*60+(B8-B$7)*60+(C8-C$7))/60</f>
        <v>16</v>
      </c>
      <c r="E8" s="7">
        <v>2.456</v>
      </c>
      <c r="F8" s="8">
        <v>65.2</v>
      </c>
      <c r="G8" s="7">
        <v>25.7</v>
      </c>
      <c r="H8" s="7">
        <f t="shared" ref="H8:H14" si="2">((100-F8)/100)*(610.7*10^(7.5*G8/(237.3+G8)))/1000</f>
        <v>1.1489388048805342</v>
      </c>
      <c r="I8" s="2">
        <f t="shared" si="0"/>
        <v>3.9427147628283785E-3</v>
      </c>
      <c r="J8" s="2"/>
      <c r="K8" s="2">
        <f t="shared" ref="K8:K14" si="3">-((E8-E7)/18*1000)/((D8-D7)*60)/I8/(C$20*2/10000)</f>
        <v>11.717570183073331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22</v>
      </c>
      <c r="C9" s="7">
        <v>0</v>
      </c>
      <c r="D9" s="2">
        <f t="shared" si="1"/>
        <v>33</v>
      </c>
      <c r="E9" s="7">
        <v>2.4500000000000002</v>
      </c>
      <c r="F9" s="8">
        <v>59.2</v>
      </c>
      <c r="G9" s="8">
        <v>25.8</v>
      </c>
      <c r="H9" s="7">
        <f t="shared" si="2"/>
        <v>1.3550330395840817</v>
      </c>
      <c r="I9" s="2">
        <f t="shared" si="0"/>
        <v>5.4516663065802707E-3</v>
      </c>
      <c r="J9" s="2"/>
      <c r="K9" s="2">
        <f t="shared" si="3"/>
        <v>7.9758085127566796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39</v>
      </c>
      <c r="C10" s="7">
        <v>0</v>
      </c>
      <c r="D10" s="2">
        <f t="shared" si="1"/>
        <v>50</v>
      </c>
      <c r="E10" s="7">
        <v>2.4500000000000002</v>
      </c>
      <c r="F10" s="8">
        <v>59.5</v>
      </c>
      <c r="G10" s="8">
        <v>25.8</v>
      </c>
      <c r="H10" s="7">
        <f t="shared" si="2"/>
        <v>1.345069561351846</v>
      </c>
      <c r="I10" s="2">
        <f t="shared" si="0"/>
        <v>5.3717894916428133E-3</v>
      </c>
      <c r="J10" s="2"/>
      <c r="K10" s="2">
        <f t="shared" si="3"/>
        <v>0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55</v>
      </c>
      <c r="C11" s="7">
        <v>0</v>
      </c>
      <c r="D11" s="2">
        <f t="shared" si="1"/>
        <v>66</v>
      </c>
      <c r="E11" s="7">
        <v>2.444</v>
      </c>
      <c r="F11" s="8">
        <v>58.1</v>
      </c>
      <c r="G11" s="8">
        <v>26.4</v>
      </c>
      <c r="H11" s="7">
        <f t="shared" si="2"/>
        <v>1.4417673464729541</v>
      </c>
      <c r="I11" s="2">
        <f t="shared" si="0"/>
        <v>5.9570113220803458E-3</v>
      </c>
      <c r="J11" s="2"/>
      <c r="K11" s="2">
        <f t="shared" si="3"/>
        <v>7.7554052606948751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11</v>
      </c>
      <c r="B12" s="7">
        <v>10</v>
      </c>
      <c r="C12" s="7">
        <v>0</v>
      </c>
      <c r="D12" s="2">
        <f t="shared" si="1"/>
        <v>81</v>
      </c>
      <c r="E12" s="7">
        <v>2.4409999999999998</v>
      </c>
      <c r="F12" s="8">
        <v>58</v>
      </c>
      <c r="G12" s="8">
        <v>26.4</v>
      </c>
      <c r="H12" s="7">
        <f t="shared" si="2"/>
        <v>1.4452083186602405</v>
      </c>
      <c r="I12" s="2">
        <f t="shared" si="0"/>
        <v>5.9854796749561293E-3</v>
      </c>
      <c r="J12" s="2"/>
      <c r="K12" s="2">
        <f t="shared" si="3"/>
        <v>4.116543319645813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26</v>
      </c>
      <c r="C13" s="7">
        <v>0</v>
      </c>
      <c r="D13" s="2">
        <f t="shared" si="1"/>
        <v>97</v>
      </c>
      <c r="E13" s="7">
        <v>2.44</v>
      </c>
      <c r="F13" s="8">
        <v>57.9</v>
      </c>
      <c r="G13" s="8">
        <v>26.3</v>
      </c>
      <c r="H13" s="7">
        <f t="shared" si="2"/>
        <v>1.4401339339579962</v>
      </c>
      <c r="I13" s="2">
        <f t="shared" si="0"/>
        <v>5.9786646898364699E-3</v>
      </c>
      <c r="J13" s="2"/>
      <c r="K13" s="2">
        <f t="shared" si="3"/>
        <v>1.287886156915351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43</v>
      </c>
      <c r="C14" s="7">
        <v>0</v>
      </c>
      <c r="D14" s="2">
        <f t="shared" si="1"/>
        <v>114</v>
      </c>
      <c r="E14" s="7">
        <v>2.4369999999999998</v>
      </c>
      <c r="F14" s="8">
        <v>57.5</v>
      </c>
      <c r="G14" s="8">
        <v>26.4</v>
      </c>
      <c r="H14" s="7">
        <f t="shared" si="2"/>
        <v>1.4624131795966719</v>
      </c>
      <c r="I14" s="2">
        <f t="shared" si="0"/>
        <v>6.1288393780552777E-3</v>
      </c>
      <c r="J14" s="2"/>
      <c r="K14" s="2">
        <f t="shared" si="3"/>
        <v>3.547282271128132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19</v>
      </c>
      <c r="B16" s="2"/>
      <c r="C16" s="8">
        <v>101.41</v>
      </c>
      <c r="D16" s="2"/>
      <c r="E16" s="5" t="s">
        <v>20</v>
      </c>
      <c r="F16" s="6">
        <f>AVERAGE(F11:F14)</f>
        <v>57.875</v>
      </c>
      <c r="G16" s="6">
        <f>AVERAGE(G11:G14)</f>
        <v>26.375</v>
      </c>
      <c r="H16" s="6">
        <f>AVERAGE(H11:H14)</f>
        <v>1.4473806946719656</v>
      </c>
      <c r="I16" s="6">
        <f>AVERAGE(I11:I14)</f>
        <v>6.0124987662320559E-3</v>
      </c>
      <c r="J16" s="6"/>
      <c r="K16" s="6">
        <f>AVERAGE(K8:K14)</f>
        <v>5.2000708148877397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21</v>
      </c>
      <c r="F17" s="2">
        <f>MAX(F11:F14)-MIN(F11:F14)</f>
        <v>0.60000000000000142</v>
      </c>
      <c r="G17" s="2">
        <f>MAX(G11:G14)-MIN(G11:G14)</f>
        <v>9.9999999999997868E-2</v>
      </c>
      <c r="H17" s="2">
        <f>MAX(H11:H14)-MIN(H11:H14)</f>
        <v>2.2279245638675782E-2</v>
      </c>
      <c r="I17" s="2">
        <f>MAX(I11:I14)-MIN(I11:I14)</f>
        <v>1.7182805597493189E-4</v>
      </c>
      <c r="J17" s="2"/>
      <c r="K17" s="1">
        <f>-SLOPE(E7:E14,D7:D14)/60/AVERAGE(I11:I14)*1000/18/(C20*2/10000)</f>
        <v>4.3320608107324663</v>
      </c>
      <c r="L17" t="s">
        <v>22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23</v>
      </c>
      <c r="B18" s="2"/>
      <c r="C18" s="8">
        <v>37.578945924077708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24</v>
      </c>
      <c r="B19" s="2"/>
      <c r="C19" s="8">
        <v>37.578945924077708</v>
      </c>
      <c r="E19" s="2" t="s">
        <v>25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26</v>
      </c>
      <c r="B20" s="2"/>
      <c r="C20" s="9">
        <f>AVERAGE(C18,C19)</f>
        <v>37.578945924077708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A8DA-C115-46B4-8C28-C8A2AAC9ADEF}">
  <dimension ref="A1:CJ58"/>
  <sheetViews>
    <sheetView topLeftCell="A12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/>
      <c r="K5" s="1" t="s">
        <v>11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/>
      <c r="K6" s="1" t="s">
        <v>18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49</v>
      </c>
      <c r="C7" s="7">
        <v>0</v>
      </c>
      <c r="D7" s="2">
        <f>((A7-A$7)*60*60+(B7-B$7)*60+(C7-C$7))/60</f>
        <v>0</v>
      </c>
      <c r="E7" s="7">
        <v>2.1829999999999998</v>
      </c>
      <c r="F7" s="8">
        <v>61.9</v>
      </c>
      <c r="G7" s="8">
        <v>26.5</v>
      </c>
      <c r="H7" s="7">
        <f>((100-F7)/100)*(610.7*10^(7.5*G7/(237.3+G7)))/1000</f>
        <v>1.3187563723081068</v>
      </c>
      <c r="I7" s="2">
        <f t="shared" ref="I7:I14" si="0">(1-(F7/100))*(H7/C$16)</f>
        <v>4.954601891819236E-3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10</v>
      </c>
      <c r="B8" s="7">
        <v>8</v>
      </c>
      <c r="C8" s="7"/>
      <c r="D8" s="2">
        <f t="shared" ref="D8:D14" si="1">((A8-A$7)*60*60+(B8-B$7)*60+(C8-C$7))/60</f>
        <v>19</v>
      </c>
      <c r="E8" s="7">
        <v>2.1829999999999998</v>
      </c>
      <c r="F8" s="8">
        <v>65.2</v>
      </c>
      <c r="G8" s="7">
        <v>25.7</v>
      </c>
      <c r="H8" s="7">
        <f t="shared" ref="H8:H14" si="2">((100-F8)/100)*(610.7*10^(7.5*G8/(237.3+G8)))/1000</f>
        <v>1.1489388048805342</v>
      </c>
      <c r="I8" s="2">
        <f t="shared" si="0"/>
        <v>3.9427147628283785E-3</v>
      </c>
      <c r="J8" s="2"/>
      <c r="K8" s="2">
        <f t="shared" ref="K8:K14" si="3">-((E8-E7)/18*1000)/((D8-D7)*60)/I8/(C$20*2/10000)</f>
        <v>0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23</v>
      </c>
      <c r="C9" s="7"/>
      <c r="D9" s="2">
        <f t="shared" si="1"/>
        <v>34</v>
      </c>
      <c r="E9" s="7">
        <v>2.1789999999999998</v>
      </c>
      <c r="F9" s="8">
        <v>59.2</v>
      </c>
      <c r="G9" s="8">
        <v>25.8</v>
      </c>
      <c r="H9" s="7">
        <f t="shared" si="2"/>
        <v>1.3550330395840817</v>
      </c>
      <c r="I9" s="2">
        <f t="shared" si="0"/>
        <v>5.4516663065802707E-3</v>
      </c>
      <c r="J9" s="2"/>
      <c r="K9" s="2">
        <f t="shared" si="3"/>
        <v>5.5268158954426854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40</v>
      </c>
      <c r="C10" s="7"/>
      <c r="D10" s="2">
        <f t="shared" si="1"/>
        <v>51</v>
      </c>
      <c r="E10" s="7">
        <v>2.177</v>
      </c>
      <c r="F10" s="8">
        <v>59.5</v>
      </c>
      <c r="G10" s="8">
        <v>25.8</v>
      </c>
      <c r="H10" s="7">
        <f t="shared" si="2"/>
        <v>1.345069561351846</v>
      </c>
      <c r="I10" s="2">
        <f t="shared" si="0"/>
        <v>5.3717894916428133E-3</v>
      </c>
      <c r="J10" s="2"/>
      <c r="K10" s="2">
        <f t="shared" si="3"/>
        <v>2.4745578988645973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56</v>
      </c>
      <c r="C11" s="7"/>
      <c r="D11" s="2">
        <f t="shared" si="1"/>
        <v>67</v>
      </c>
      <c r="E11" s="7">
        <v>2.1760000000000002</v>
      </c>
      <c r="F11" s="8">
        <v>58.1</v>
      </c>
      <c r="G11" s="8">
        <v>26.4</v>
      </c>
      <c r="H11" s="7">
        <f t="shared" si="2"/>
        <v>1.4417673464729541</v>
      </c>
      <c r="I11" s="2">
        <f t="shared" si="0"/>
        <v>5.9570113220803458E-3</v>
      </c>
      <c r="J11" s="2"/>
      <c r="K11" s="2">
        <f t="shared" si="3"/>
        <v>1.1854605951965136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11</v>
      </c>
      <c r="B12" s="7">
        <v>11</v>
      </c>
      <c r="C12" s="7"/>
      <c r="D12" s="2">
        <f t="shared" si="1"/>
        <v>82</v>
      </c>
      <c r="E12" s="7">
        <v>2.1739999999999999</v>
      </c>
      <c r="F12" s="8">
        <v>58</v>
      </c>
      <c r="G12" s="8">
        <v>26.4</v>
      </c>
      <c r="H12" s="7">
        <f t="shared" si="2"/>
        <v>1.4452083186602405</v>
      </c>
      <c r="I12" s="2">
        <f t="shared" si="0"/>
        <v>5.9854796749561293E-3</v>
      </c>
      <c r="J12" s="2"/>
      <c r="K12" s="2">
        <f t="shared" si="3"/>
        <v>2.516954165422117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27</v>
      </c>
      <c r="C13" s="7"/>
      <c r="D13" s="2">
        <f t="shared" si="1"/>
        <v>98</v>
      </c>
      <c r="E13" s="7">
        <v>2.1709999999999998</v>
      </c>
      <c r="F13" s="8">
        <v>57.9</v>
      </c>
      <c r="G13" s="8">
        <v>26.3</v>
      </c>
      <c r="H13" s="7">
        <f t="shared" si="2"/>
        <v>1.4401339339579962</v>
      </c>
      <c r="I13" s="2">
        <f t="shared" si="0"/>
        <v>5.9786646898364699E-3</v>
      </c>
      <c r="J13" s="2"/>
      <c r="K13" s="2">
        <f t="shared" si="3"/>
        <v>3.5435013772247221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43</v>
      </c>
      <c r="C14" s="7"/>
      <c r="D14" s="2">
        <f t="shared" si="1"/>
        <v>114</v>
      </c>
      <c r="E14" s="7">
        <v>2.17</v>
      </c>
      <c r="F14" s="8">
        <v>57.5</v>
      </c>
      <c r="G14" s="8">
        <v>26.4</v>
      </c>
      <c r="H14" s="7">
        <f t="shared" si="2"/>
        <v>1.4624131795966719</v>
      </c>
      <c r="I14" s="2">
        <f t="shared" si="0"/>
        <v>6.1288393780552777E-3</v>
      </c>
      <c r="J14" s="2"/>
      <c r="K14" s="2">
        <f t="shared" si="3"/>
        <v>1.1522250383573431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19</v>
      </c>
      <c r="B16" s="2"/>
      <c r="C16" s="8">
        <v>101.41</v>
      </c>
      <c r="D16" s="2"/>
      <c r="E16" s="5" t="s">
        <v>20</v>
      </c>
      <c r="F16" s="6">
        <f>AVERAGE(F11:F14)</f>
        <v>57.875</v>
      </c>
      <c r="G16" s="6">
        <f>AVERAGE(G11:G14)</f>
        <v>26.375</v>
      </c>
      <c r="H16" s="6">
        <f>AVERAGE(H11:H14)</f>
        <v>1.4473806946719656</v>
      </c>
      <c r="I16" s="6">
        <f>AVERAGE(I11:I14)</f>
        <v>6.0124987662320559E-3</v>
      </c>
      <c r="J16" s="6"/>
      <c r="K16" s="6">
        <f>AVERAGE(K9:K14)</f>
        <v>2.7332524950846628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21</v>
      </c>
      <c r="F17" s="2">
        <f>MAX(F11:F14)-MIN(F11:F14)</f>
        <v>0.60000000000000142</v>
      </c>
      <c r="G17" s="2">
        <f>MAX(G11:G14)-MIN(G11:G14)</f>
        <v>9.9999999999997868E-2</v>
      </c>
      <c r="H17" s="2">
        <f>MAX(H11:H14)-MIN(H11:H14)</f>
        <v>2.2279245638675782E-2</v>
      </c>
      <c r="I17" s="2">
        <f>MAX(I11:I14)-MIN(I11:I14)</f>
        <v>1.7182805597493189E-4</v>
      </c>
      <c r="J17" s="2"/>
      <c r="K17" s="1">
        <f>-SLOPE(E7:E14,D7:D14)/60/AVERAGE(I11:I14)*1000/18/(C20*2/10000)</f>
        <v>2.3141645000667239</v>
      </c>
      <c r="L17" t="s">
        <v>22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23</v>
      </c>
      <c r="B18" s="2"/>
      <c r="C18" s="8">
        <v>40.974222184444876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24</v>
      </c>
      <c r="B19" s="2"/>
      <c r="C19" s="8">
        <v>40.974222184444876</v>
      </c>
      <c r="E19" s="2" t="s">
        <v>25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26</v>
      </c>
      <c r="B20" s="2"/>
      <c r="C20" s="9">
        <f>AVERAGE(C18,C19)</f>
        <v>40.974222184444876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D2D4-7342-49EB-BAC6-2D29CAF1D019}">
  <dimension ref="A1:CJ58"/>
  <sheetViews>
    <sheetView topLeftCell="A3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/>
      <c r="K5" s="1" t="s">
        <v>11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/>
      <c r="K6" s="1" t="s">
        <v>18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50</v>
      </c>
      <c r="C7" s="7">
        <v>0</v>
      </c>
      <c r="D7" s="2">
        <f>((A7-A$7)*60*60+(B7-B$7)*60+(C7-C$7))/60</f>
        <v>0</v>
      </c>
      <c r="E7" s="7">
        <v>1.921</v>
      </c>
      <c r="F7" s="8">
        <v>61.9</v>
      </c>
      <c r="G7" s="8">
        <v>26.5</v>
      </c>
      <c r="H7" s="7">
        <f>((100-F7)/100)*(610.7*10^(7.5*G7/(237.3+G7)))/1000</f>
        <v>1.3187563723081068</v>
      </c>
      <c r="I7" s="2">
        <f t="shared" ref="I7:I14" si="0">(1-(F7/100))*(H7/C$16)</f>
        <v>4.954601891819236E-3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10</v>
      </c>
      <c r="B8" s="7">
        <v>8</v>
      </c>
      <c r="C8" s="7"/>
      <c r="D8" s="2">
        <f t="shared" ref="D8:D14" si="1">((A8-A$7)*60*60+(B8-B$7)*60+(C8-C$7))/60</f>
        <v>18</v>
      </c>
      <c r="E8" s="7">
        <v>1.921</v>
      </c>
      <c r="F8" s="8">
        <v>65.2</v>
      </c>
      <c r="G8" s="7">
        <v>25.7</v>
      </c>
      <c r="H8" s="7">
        <f t="shared" ref="H8:H14" si="2">((100-F8)/100)*(610.7*10^(7.5*G8/(237.3+G8)))/1000</f>
        <v>1.1489388048805342</v>
      </c>
      <c r="I8" s="2">
        <f t="shared" si="0"/>
        <v>3.9427147628283785E-3</v>
      </c>
      <c r="J8" s="2"/>
      <c r="K8" s="2">
        <f t="shared" ref="K8:K14" si="3">-((E8-E7)/18*1000)/((D8-D7)*60)/I8/(C$20*2/10000)</f>
        <v>0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24</v>
      </c>
      <c r="C9" s="7"/>
      <c r="D9" s="2">
        <f t="shared" si="1"/>
        <v>34</v>
      </c>
      <c r="E9" s="7">
        <v>1.92</v>
      </c>
      <c r="F9" s="8">
        <v>59.2</v>
      </c>
      <c r="G9" s="8">
        <v>25.8</v>
      </c>
      <c r="H9" s="7">
        <f t="shared" si="2"/>
        <v>1.3550330395840817</v>
      </c>
      <c r="I9" s="2">
        <f t="shared" si="0"/>
        <v>5.4516663065802707E-3</v>
      </c>
      <c r="J9" s="2"/>
      <c r="K9" s="2">
        <f t="shared" si="3"/>
        <v>1.6608243334058159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41</v>
      </c>
      <c r="C10" s="7"/>
      <c r="D10" s="2">
        <f t="shared" si="1"/>
        <v>51</v>
      </c>
      <c r="E10" s="7">
        <v>1.917</v>
      </c>
      <c r="F10" s="8">
        <v>59.5</v>
      </c>
      <c r="G10" s="8">
        <v>25.8</v>
      </c>
      <c r="H10" s="7">
        <f t="shared" si="2"/>
        <v>1.345069561351846</v>
      </c>
      <c r="I10" s="2">
        <f t="shared" si="0"/>
        <v>5.3717894916428133E-3</v>
      </c>
      <c r="J10" s="2"/>
      <c r="K10" s="2">
        <f t="shared" si="3"/>
        <v>4.7591160487117943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56</v>
      </c>
      <c r="C11" s="7"/>
      <c r="D11" s="2">
        <f t="shared" si="1"/>
        <v>66</v>
      </c>
      <c r="E11" s="7">
        <v>1.915</v>
      </c>
      <c r="F11" s="8">
        <v>58.1</v>
      </c>
      <c r="G11" s="8">
        <v>26.4</v>
      </c>
      <c r="H11" s="7">
        <f t="shared" si="2"/>
        <v>1.4417673464729541</v>
      </c>
      <c r="I11" s="2">
        <f t="shared" si="0"/>
        <v>5.9570113220803458E-3</v>
      </c>
      <c r="J11" s="2"/>
      <c r="K11" s="2">
        <f t="shared" si="3"/>
        <v>3.2425244387510777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11</v>
      </c>
      <c r="B12" s="7">
        <v>11</v>
      </c>
      <c r="C12" s="7"/>
      <c r="D12" s="2">
        <f t="shared" si="1"/>
        <v>81</v>
      </c>
      <c r="E12" s="7">
        <v>1.9139999999999999</v>
      </c>
      <c r="F12" s="8">
        <v>58</v>
      </c>
      <c r="G12" s="8">
        <v>26.4</v>
      </c>
      <c r="H12" s="7">
        <f t="shared" si="2"/>
        <v>1.4452083186602405</v>
      </c>
      <c r="I12" s="2">
        <f t="shared" si="0"/>
        <v>5.9854796749561293E-3</v>
      </c>
      <c r="J12" s="2"/>
      <c r="K12" s="2">
        <f t="shared" si="3"/>
        <v>1.6135511139218852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27</v>
      </c>
      <c r="C13" s="7"/>
      <c r="D13" s="2">
        <f t="shared" si="1"/>
        <v>97</v>
      </c>
      <c r="E13" s="7">
        <v>1.9139999999999999</v>
      </c>
      <c r="F13" s="8">
        <v>57.9</v>
      </c>
      <c r="G13" s="8">
        <v>26.3</v>
      </c>
      <c r="H13" s="7">
        <f t="shared" si="2"/>
        <v>1.4401339339579962</v>
      </c>
      <c r="I13" s="2">
        <f t="shared" si="0"/>
        <v>5.9786646898364699E-3</v>
      </c>
      <c r="J13" s="2"/>
      <c r="K13" s="2">
        <f t="shared" si="3"/>
        <v>0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44</v>
      </c>
      <c r="C14" s="7"/>
      <c r="D14" s="2">
        <f t="shared" si="1"/>
        <v>114</v>
      </c>
      <c r="E14" s="7">
        <v>1.913</v>
      </c>
      <c r="F14" s="8">
        <v>57.5</v>
      </c>
      <c r="G14" s="8">
        <v>26.4</v>
      </c>
      <c r="H14" s="7">
        <f t="shared" si="2"/>
        <v>1.4624131795966719</v>
      </c>
      <c r="I14" s="2">
        <f t="shared" si="0"/>
        <v>6.1288393780552777E-3</v>
      </c>
      <c r="J14" s="2"/>
      <c r="K14" s="2">
        <f t="shared" si="3"/>
        <v>1.3904192949110883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19</v>
      </c>
      <c r="B16" s="2"/>
      <c r="C16" s="8">
        <v>101.41</v>
      </c>
      <c r="D16" s="2"/>
      <c r="E16" s="5" t="s">
        <v>20</v>
      </c>
      <c r="F16" s="6">
        <f>AVERAGE(F11:F14)</f>
        <v>57.875</v>
      </c>
      <c r="G16" s="6">
        <f>AVERAGE(G11:G14)</f>
        <v>26.375</v>
      </c>
      <c r="H16" s="6">
        <f>AVERAGE(H11:H14)</f>
        <v>1.4473806946719656</v>
      </c>
      <c r="I16" s="6">
        <f>AVERAGE(I11:I14)</f>
        <v>6.0124987662320559E-3</v>
      </c>
      <c r="J16" s="6"/>
      <c r="K16" s="6">
        <f>AVERAGE(K8:K14)</f>
        <v>1.8094907471002375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21</v>
      </c>
      <c r="F17" s="2">
        <f>MAX(F11:F14)-MIN(F11:F14)</f>
        <v>0.60000000000000142</v>
      </c>
      <c r="G17" s="2">
        <f>MAX(G11:G14)-MIN(G11:G14)</f>
        <v>9.9999999999997868E-2</v>
      </c>
      <c r="H17" s="2">
        <f>MAX(H11:H14)-MIN(H11:H14)</f>
        <v>2.2279245638675782E-2</v>
      </c>
      <c r="I17" s="2">
        <f>MAX(I11:I14)-MIN(I11:I14)</f>
        <v>1.7182805597493189E-4</v>
      </c>
      <c r="J17" s="2"/>
      <c r="K17" s="1">
        <f>-SLOPE(E7:E14,D7:D14)/60/AVERAGE(I11:I14)*1000/18/(C20*2/10000)</f>
        <v>1.9794601648385217</v>
      </c>
      <c r="L17" t="s">
        <v>22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23</v>
      </c>
      <c r="B18" s="2"/>
      <c r="C18" s="8">
        <v>31.957537109376801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24</v>
      </c>
      <c r="B19" s="2"/>
      <c r="C19" s="8">
        <v>31.957537109376815</v>
      </c>
      <c r="E19" s="2" t="s">
        <v>25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26</v>
      </c>
      <c r="B20" s="2"/>
      <c r="C20" s="9">
        <f>AVERAGE(C18,C19)</f>
        <v>31.957537109376808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6808-4E0B-46EB-9E4A-9690226F5C22}">
  <dimension ref="A1:CJ58"/>
  <sheetViews>
    <sheetView topLeftCell="A12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/>
      <c r="K5" s="1" t="s">
        <v>11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/>
      <c r="K6" s="1" t="s">
        <v>18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50</v>
      </c>
      <c r="C7" s="7">
        <v>0</v>
      </c>
      <c r="D7" s="2">
        <f>((A7-A$7)*60*60+(B7-B$7)*60+(C7-C$7))/60</f>
        <v>0</v>
      </c>
      <c r="E7" s="7">
        <v>3.15</v>
      </c>
      <c r="F7" s="8">
        <v>61.9</v>
      </c>
      <c r="G7" s="8">
        <v>26.5</v>
      </c>
      <c r="H7" s="7">
        <f>((100-F7)/100)*(610.7*10^(7.5*G7/(237.3+G7)))/1000</f>
        <v>1.3187563723081068</v>
      </c>
      <c r="I7" s="2">
        <f t="shared" ref="I7:I14" si="0">(1-(F7/100))*(H7/C$16)</f>
        <v>4.954601891819236E-3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10</v>
      </c>
      <c r="B8" s="7">
        <v>9</v>
      </c>
      <c r="C8" s="7"/>
      <c r="D8" s="2">
        <f t="shared" ref="D8:D14" si="1">((A8-A$7)*60*60+(B8-B$7)*60+(C8-C$7))/60</f>
        <v>19</v>
      </c>
      <c r="E8" s="7">
        <v>3.149</v>
      </c>
      <c r="F8" s="8">
        <v>65.2</v>
      </c>
      <c r="G8" s="7">
        <v>25.7</v>
      </c>
      <c r="H8" s="7">
        <f t="shared" ref="H8:H14" si="2">((100-F8)/100)*(610.7*10^(7.5*G8/(237.3+G8)))/1000</f>
        <v>1.1489388048805342</v>
      </c>
      <c r="I8" s="2">
        <f t="shared" si="0"/>
        <v>3.9427147628283785E-3</v>
      </c>
      <c r="J8" s="2"/>
      <c r="K8" s="2">
        <f t="shared" ref="K8:K14" si="3">-((E8-E7)/18*1000)/((D8-D7)*60)/I8/(C$20*2/10000)</f>
        <v>1.5922580541667553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25</v>
      </c>
      <c r="C9" s="7"/>
      <c r="D9" s="2">
        <f t="shared" si="1"/>
        <v>35</v>
      </c>
      <c r="E9" s="7">
        <v>3.1429999999999998</v>
      </c>
      <c r="F9" s="8">
        <v>59.2</v>
      </c>
      <c r="G9" s="8">
        <v>25.8</v>
      </c>
      <c r="H9" s="7">
        <f t="shared" si="2"/>
        <v>1.3550330395840817</v>
      </c>
      <c r="I9" s="2">
        <f t="shared" si="0"/>
        <v>5.4516663065802707E-3</v>
      </c>
      <c r="J9" s="2"/>
      <c r="K9" s="2">
        <f t="shared" si="3"/>
        <v>8.2047323252041853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41</v>
      </c>
      <c r="C10" s="7"/>
      <c r="D10" s="2">
        <f t="shared" si="1"/>
        <v>51</v>
      </c>
      <c r="E10" s="7">
        <v>3.1429999999999998</v>
      </c>
      <c r="F10" s="8">
        <v>59.5</v>
      </c>
      <c r="G10" s="8">
        <v>25.8</v>
      </c>
      <c r="H10" s="7">
        <f t="shared" si="2"/>
        <v>1.345069561351846</v>
      </c>
      <c r="I10" s="2">
        <f t="shared" si="0"/>
        <v>5.3717894916428133E-3</v>
      </c>
      <c r="J10" s="2"/>
      <c r="K10" s="2">
        <f t="shared" si="3"/>
        <v>0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57</v>
      </c>
      <c r="C11" s="7"/>
      <c r="D11" s="2">
        <f t="shared" si="1"/>
        <v>67</v>
      </c>
      <c r="E11" s="7">
        <v>3.14</v>
      </c>
      <c r="F11" s="8">
        <v>58.1</v>
      </c>
      <c r="G11" s="8">
        <v>26.4</v>
      </c>
      <c r="H11" s="7">
        <f t="shared" si="2"/>
        <v>1.4417673464729541</v>
      </c>
      <c r="I11" s="2">
        <f t="shared" si="0"/>
        <v>5.9570113220803458E-3</v>
      </c>
      <c r="J11" s="2"/>
      <c r="K11" s="2">
        <f t="shared" si="3"/>
        <v>3.7543543526620597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11</v>
      </c>
      <c r="B12" s="7">
        <v>12</v>
      </c>
      <c r="C12" s="7"/>
      <c r="D12" s="2">
        <f t="shared" si="1"/>
        <v>82</v>
      </c>
      <c r="E12" s="7">
        <v>3.137</v>
      </c>
      <c r="F12" s="8">
        <v>58</v>
      </c>
      <c r="G12" s="8">
        <v>26.4</v>
      </c>
      <c r="H12" s="7">
        <f t="shared" si="2"/>
        <v>1.4452083186602405</v>
      </c>
      <c r="I12" s="2">
        <f t="shared" si="0"/>
        <v>5.9854796749561293E-3</v>
      </c>
      <c r="J12" s="2"/>
      <c r="K12" s="2">
        <f t="shared" si="3"/>
        <v>3.9855976085127827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27</v>
      </c>
      <c r="C13" s="7"/>
      <c r="D13" s="2">
        <f t="shared" si="1"/>
        <v>97</v>
      </c>
      <c r="E13" s="7">
        <v>3.1349999999999998</v>
      </c>
      <c r="F13" s="8">
        <v>57.9</v>
      </c>
      <c r="G13" s="8">
        <v>26.3</v>
      </c>
      <c r="H13" s="7">
        <f t="shared" si="2"/>
        <v>1.4401339339579962</v>
      </c>
      <c r="I13" s="2">
        <f t="shared" si="0"/>
        <v>5.9786646898364699E-3</v>
      </c>
      <c r="J13" s="2"/>
      <c r="K13" s="2">
        <f t="shared" si="3"/>
        <v>2.6600938187042216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44</v>
      </c>
      <c r="C14" s="7"/>
      <c r="D14" s="2">
        <f t="shared" si="1"/>
        <v>114</v>
      </c>
      <c r="E14" s="7">
        <v>3.1339999999999999</v>
      </c>
      <c r="F14" s="8">
        <v>57.5</v>
      </c>
      <c r="G14" s="8">
        <v>26.4</v>
      </c>
      <c r="H14" s="7">
        <f t="shared" si="2"/>
        <v>1.4624131795966719</v>
      </c>
      <c r="I14" s="2">
        <f t="shared" si="0"/>
        <v>6.1288393780552777E-3</v>
      </c>
      <c r="J14" s="2"/>
      <c r="K14" s="2">
        <f t="shared" si="3"/>
        <v>1.1448148473707318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19</v>
      </c>
      <c r="B16" s="2"/>
      <c r="C16" s="8">
        <v>101.41</v>
      </c>
      <c r="D16" s="2"/>
      <c r="E16" s="5" t="s">
        <v>20</v>
      </c>
      <c r="F16" s="6">
        <f>AVERAGE(F11:F14)</f>
        <v>57.875</v>
      </c>
      <c r="G16" s="6">
        <f>AVERAGE(G11:G14)</f>
        <v>26.375</v>
      </c>
      <c r="H16" s="6">
        <f>AVERAGE(H11:H14)</f>
        <v>1.4473806946719656</v>
      </c>
      <c r="I16" s="6">
        <f>AVERAGE(I11:I14)</f>
        <v>6.0124987662320559E-3</v>
      </c>
      <c r="J16" s="6"/>
      <c r="K16" s="6">
        <f>AVERAGE(K8:K14)</f>
        <v>3.048835858088677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21</v>
      </c>
      <c r="F17" s="2">
        <f>MAX(F11:F14)-MIN(F11:F14)</f>
        <v>0.60000000000000142</v>
      </c>
      <c r="G17" s="2">
        <f>MAX(G11:G14)-MIN(G11:G14)</f>
        <v>9.9999999999997868E-2</v>
      </c>
      <c r="H17" s="2">
        <f>MAX(H11:H14)-MIN(H11:H14)</f>
        <v>2.2279245638675782E-2</v>
      </c>
      <c r="I17" s="2">
        <f>MAX(I11:I14)-MIN(I11:I14)</f>
        <v>1.7182805597493189E-4</v>
      </c>
      <c r="J17" s="2"/>
      <c r="K17" s="1">
        <f>-SLOPE(E7:E14,D7:D14)/60/AVERAGE(I11:I14)*1000/18/(C20*2/10000)</f>
        <v>2.9920451591686708</v>
      </c>
      <c r="L17" t="s">
        <v>22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23</v>
      </c>
      <c r="B18" s="2"/>
      <c r="C18" s="8">
        <v>38.8135918369385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24</v>
      </c>
      <c r="B19" s="2"/>
      <c r="C19" s="8">
        <v>38.8135918369385</v>
      </c>
      <c r="E19" s="2" t="s">
        <v>25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26</v>
      </c>
      <c r="B20" s="2"/>
      <c r="C20" s="9">
        <f>AVERAGE(C18,C19)</f>
        <v>38.8135918369385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736D-16E2-4CE7-A561-4127056A67C7}">
  <dimension ref="A1:CJ58"/>
  <sheetViews>
    <sheetView topLeftCell="A9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/>
      <c r="K5" s="1" t="s">
        <v>11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/>
      <c r="K6" s="1" t="s">
        <v>18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51</v>
      </c>
      <c r="C7" s="7">
        <v>0</v>
      </c>
      <c r="D7" s="2">
        <f>((A7-A$7)*60*60+(B7-B$7)*60+(C7-C$7))/60</f>
        <v>0</v>
      </c>
      <c r="E7" s="7">
        <v>0.12</v>
      </c>
      <c r="F7" s="8">
        <v>61.9</v>
      </c>
      <c r="G7" s="8">
        <v>26.5</v>
      </c>
      <c r="H7" s="7">
        <f>((100-F7)/100)*(610.7*10^(7.5*G7/(237.3+G7)))/1000</f>
        <v>1.3187563723081068</v>
      </c>
      <c r="I7" s="2">
        <f t="shared" ref="I7:I14" si="0">(1-(F7/100))*(H7/C$16)</f>
        <v>4.954601891819236E-3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10</v>
      </c>
      <c r="B8" s="7">
        <v>10</v>
      </c>
      <c r="C8" s="7"/>
      <c r="D8" s="2">
        <f t="shared" ref="D8:D14" si="1">((A8-A$7)*60*60+(B8-B$7)*60+(C8-C$7))/60</f>
        <v>19</v>
      </c>
      <c r="E8" s="7">
        <v>0.12</v>
      </c>
      <c r="F8" s="8">
        <v>65.2</v>
      </c>
      <c r="G8" s="7">
        <v>25.7</v>
      </c>
      <c r="H8" s="7">
        <f t="shared" ref="H8:H14" si="2">((100-F8)/100)*(610.7*10^(7.5*G8/(237.3+G8)))/1000</f>
        <v>1.1489388048805342</v>
      </c>
      <c r="I8" s="2">
        <f t="shared" si="0"/>
        <v>3.9427147628283785E-3</v>
      </c>
      <c r="J8" s="2"/>
      <c r="K8" s="2">
        <f t="shared" ref="K8:K14" si="3">-((E8-E7)/18*1000)/((D8-D7)*60)/I8/(C$20*2/10000)</f>
        <v>0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25</v>
      </c>
      <c r="C9" s="7"/>
      <c r="D9" s="2">
        <f t="shared" si="1"/>
        <v>34</v>
      </c>
      <c r="E9" s="7">
        <v>0.11700000000000001</v>
      </c>
      <c r="F9" s="8">
        <v>59.2</v>
      </c>
      <c r="G9" s="8">
        <v>25.8</v>
      </c>
      <c r="H9" s="7">
        <f t="shared" si="2"/>
        <v>1.3550330395840817</v>
      </c>
      <c r="I9" s="2">
        <f t="shared" si="0"/>
        <v>5.4516663065802707E-3</v>
      </c>
      <c r="J9" s="2"/>
      <c r="K9" s="2">
        <f t="shared" si="3"/>
        <v>34.762488578467838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42</v>
      </c>
      <c r="C10" s="7"/>
      <c r="D10" s="2">
        <f t="shared" si="1"/>
        <v>51</v>
      </c>
      <c r="E10" s="7">
        <v>0.11700000000000001</v>
      </c>
      <c r="F10" s="8">
        <v>59.5</v>
      </c>
      <c r="G10" s="8">
        <v>25.8</v>
      </c>
      <c r="H10" s="7">
        <f t="shared" si="2"/>
        <v>1.345069561351846</v>
      </c>
      <c r="I10" s="2">
        <f t="shared" si="0"/>
        <v>5.3717894916428133E-3</v>
      </c>
      <c r="J10" s="2"/>
      <c r="K10" s="2">
        <f t="shared" si="3"/>
        <v>0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57</v>
      </c>
      <c r="C11" s="7"/>
      <c r="D11" s="2">
        <f t="shared" si="1"/>
        <v>66</v>
      </c>
      <c r="E11" s="7">
        <v>0.11600000000000001</v>
      </c>
      <c r="F11" s="8">
        <v>58.1</v>
      </c>
      <c r="G11" s="8">
        <v>26.4</v>
      </c>
      <c r="H11" s="7">
        <f t="shared" si="2"/>
        <v>1.4417673464729541</v>
      </c>
      <c r="I11" s="2">
        <f t="shared" si="0"/>
        <v>5.9570113220803458E-3</v>
      </c>
      <c r="J11" s="2"/>
      <c r="K11" s="2">
        <f t="shared" si="3"/>
        <v>10.60450604448028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11</v>
      </c>
      <c r="B12" s="7">
        <v>13</v>
      </c>
      <c r="C12" s="7"/>
      <c r="D12" s="2">
        <f t="shared" si="1"/>
        <v>82</v>
      </c>
      <c r="E12" s="7">
        <v>0.115</v>
      </c>
      <c r="F12" s="8">
        <v>58</v>
      </c>
      <c r="G12" s="8">
        <v>26.4</v>
      </c>
      <c r="H12" s="7">
        <f t="shared" si="2"/>
        <v>1.4452083186602405</v>
      </c>
      <c r="I12" s="2">
        <f t="shared" si="0"/>
        <v>5.9854796749561293E-3</v>
      </c>
      <c r="J12" s="2"/>
      <c r="K12" s="2">
        <f t="shared" si="3"/>
        <v>9.8944392308407885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28</v>
      </c>
      <c r="C13" s="7"/>
      <c r="D13" s="2">
        <f t="shared" si="1"/>
        <v>97</v>
      </c>
      <c r="E13" s="7">
        <v>0.115</v>
      </c>
      <c r="F13" s="8">
        <v>57.9</v>
      </c>
      <c r="G13" s="8">
        <v>26.3</v>
      </c>
      <c r="H13" s="7">
        <f t="shared" si="2"/>
        <v>1.4401339339579962</v>
      </c>
      <c r="I13" s="2">
        <f t="shared" si="0"/>
        <v>5.9786646898364699E-3</v>
      </c>
      <c r="J13" s="2"/>
      <c r="K13" s="2">
        <f t="shared" si="3"/>
        <v>0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45</v>
      </c>
      <c r="C14" s="7"/>
      <c r="D14" s="2">
        <f t="shared" si="1"/>
        <v>114</v>
      </c>
      <c r="E14" s="7">
        <v>0.115</v>
      </c>
      <c r="F14" s="8">
        <v>57.5</v>
      </c>
      <c r="G14" s="8">
        <v>26.4</v>
      </c>
      <c r="H14" s="7">
        <f t="shared" si="2"/>
        <v>1.4624131795966719</v>
      </c>
      <c r="I14" s="2">
        <f t="shared" si="0"/>
        <v>6.1288393780552777E-3</v>
      </c>
      <c r="J14" s="2"/>
      <c r="K14" s="2">
        <f t="shared" si="3"/>
        <v>0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19</v>
      </c>
      <c r="B16" s="2"/>
      <c r="C16" s="8">
        <v>101.41</v>
      </c>
      <c r="D16" s="2"/>
      <c r="E16" s="5" t="s">
        <v>20</v>
      </c>
      <c r="F16" s="6">
        <f>AVERAGE(F11:F14)</f>
        <v>57.875</v>
      </c>
      <c r="G16" s="6">
        <f>AVERAGE(G11:G14)</f>
        <v>26.375</v>
      </c>
      <c r="H16" s="6">
        <f>AVERAGE(H11:H14)</f>
        <v>1.4473806946719656</v>
      </c>
      <c r="I16" s="6">
        <f>AVERAGE(I11:I14)</f>
        <v>6.0124987662320559E-3</v>
      </c>
      <c r="J16" s="6"/>
      <c r="K16" s="6">
        <f>AVERAGE(K8:K14)</f>
        <v>7.8944905505412724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21</v>
      </c>
      <c r="F17" s="2">
        <f>MAX(F11:F14)-MIN(F11:F14)</f>
        <v>0.60000000000000142</v>
      </c>
      <c r="G17" s="2">
        <f>MAX(G11:G14)-MIN(G11:G14)</f>
        <v>9.9999999999997868E-2</v>
      </c>
      <c r="H17" s="2">
        <f>MAX(H11:H14)-MIN(H11:H14)</f>
        <v>2.2279245638675782E-2</v>
      </c>
      <c r="I17" s="2">
        <f>MAX(I11:I14)-MIN(I11:I14)</f>
        <v>1.7182805597493189E-4</v>
      </c>
      <c r="J17" s="2"/>
      <c r="K17" s="1">
        <f>-SLOPE(E7:E14,D7:D14)/60/AVERAGE(I11:I14)*1000/18/(C20*2/10000)</f>
        <v>7.8330404068407669</v>
      </c>
      <c r="L17" t="s">
        <v>22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23</v>
      </c>
      <c r="B18" s="2"/>
      <c r="C18" s="8">
        <v>4.8858048948628463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24</v>
      </c>
      <c r="B19" s="2"/>
      <c r="C19" s="8">
        <v>4.8858048948628463</v>
      </c>
      <c r="E19" s="2" t="s">
        <v>25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26</v>
      </c>
      <c r="B20" s="2"/>
      <c r="C20" s="9">
        <f>AVERAGE(C18,C19)</f>
        <v>4.8858048948628463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FFBC-10D7-4170-9398-2BC2E9CFBEF5}">
  <dimension ref="A1:CJ58"/>
  <sheetViews>
    <sheetView topLeftCell="A15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/>
      <c r="K5" s="1" t="s">
        <v>11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/>
      <c r="K6" s="1" t="s">
        <v>18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51</v>
      </c>
      <c r="C7" s="7">
        <v>0</v>
      </c>
      <c r="D7" s="2">
        <f>((A7-A$7)*60*60+(B7-B$7)*60+(C7-C$7))/60</f>
        <v>0</v>
      </c>
      <c r="E7" s="7">
        <v>0.19500000000000001</v>
      </c>
      <c r="F7" s="8">
        <v>61.9</v>
      </c>
      <c r="G7" s="8">
        <v>26.5</v>
      </c>
      <c r="H7" s="7">
        <f>((100-F7)/100)*(610.7*10^(7.5*G7/(237.3+G7)))/1000</f>
        <v>1.3187563723081068</v>
      </c>
      <c r="I7" s="2">
        <f t="shared" ref="I7:I14" si="0">(1-(F7/100))*(H7/C$16)</f>
        <v>4.954601891819236E-3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10</v>
      </c>
      <c r="B8" s="7">
        <v>11</v>
      </c>
      <c r="C8" s="7">
        <v>0</v>
      </c>
      <c r="D8" s="2">
        <f t="shared" ref="D8:D14" si="1">((A8-A$7)*60*60+(B8-B$7)*60+(C8-C$7))/60</f>
        <v>20</v>
      </c>
      <c r="E8" s="7">
        <v>0.19400000000000001</v>
      </c>
      <c r="F8" s="8">
        <v>65.2</v>
      </c>
      <c r="G8" s="7">
        <v>25.7</v>
      </c>
      <c r="H8" s="7">
        <f t="shared" ref="H8:H14" si="2">((100-F8)/100)*(610.7*10^(7.5*G8/(237.3+G8)))/1000</f>
        <v>1.1489388048805342</v>
      </c>
      <c r="I8" s="2">
        <f t="shared" si="0"/>
        <v>3.9427147628283785E-3</v>
      </c>
      <c r="J8" s="2"/>
      <c r="K8" s="2">
        <f t="shared" ref="K8:K14" si="3">-((E8-E7)/18*1000)/((D8-D7)*60)/I8/(C$20*2/10000)</f>
        <v>7.0349530152392115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26</v>
      </c>
      <c r="C9" s="7"/>
      <c r="D9" s="2">
        <f t="shared" si="1"/>
        <v>35</v>
      </c>
      <c r="E9" s="7">
        <v>0.192</v>
      </c>
      <c r="F9" s="8">
        <v>59.2</v>
      </c>
      <c r="G9" s="8">
        <v>25.8</v>
      </c>
      <c r="H9" s="7">
        <f t="shared" si="2"/>
        <v>1.3550330395840817</v>
      </c>
      <c r="I9" s="2">
        <f t="shared" si="0"/>
        <v>5.4516663065802707E-3</v>
      </c>
      <c r="J9" s="2"/>
      <c r="K9" s="2">
        <f t="shared" si="3"/>
        <v>13.567381200133868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43</v>
      </c>
      <c r="C10" s="7"/>
      <c r="D10" s="2">
        <f t="shared" si="1"/>
        <v>52</v>
      </c>
      <c r="E10" s="7">
        <v>0.19</v>
      </c>
      <c r="F10" s="8">
        <v>59.5</v>
      </c>
      <c r="G10" s="8">
        <v>25.8</v>
      </c>
      <c r="H10" s="7">
        <f t="shared" si="2"/>
        <v>1.345069561351846</v>
      </c>
      <c r="I10" s="2">
        <f t="shared" si="0"/>
        <v>5.3717894916428133E-3</v>
      </c>
      <c r="J10" s="2"/>
      <c r="K10" s="2">
        <f t="shared" si="3"/>
        <v>12.149226951230983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58</v>
      </c>
      <c r="C11" s="7"/>
      <c r="D11" s="2">
        <f t="shared" si="1"/>
        <v>67</v>
      </c>
      <c r="E11" s="7">
        <v>0.187</v>
      </c>
      <c r="F11" s="8">
        <v>58.1</v>
      </c>
      <c r="G11" s="8">
        <v>26.4</v>
      </c>
      <c r="H11" s="7">
        <f t="shared" si="2"/>
        <v>1.4417673464729541</v>
      </c>
      <c r="I11" s="2">
        <f t="shared" si="0"/>
        <v>5.9570113220803458E-3</v>
      </c>
      <c r="J11" s="2"/>
      <c r="K11" s="2">
        <f t="shared" si="3"/>
        <v>18.624650254518052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11</v>
      </c>
      <c r="B12" s="7">
        <v>14</v>
      </c>
      <c r="C12" s="7"/>
      <c r="D12" s="2">
        <f t="shared" si="1"/>
        <v>83</v>
      </c>
      <c r="E12" s="7">
        <v>0.187</v>
      </c>
      <c r="F12" s="8">
        <v>58</v>
      </c>
      <c r="G12" s="8">
        <v>26.4</v>
      </c>
      <c r="H12" s="7">
        <f t="shared" si="2"/>
        <v>1.4452083186602405</v>
      </c>
      <c r="I12" s="2">
        <f t="shared" si="0"/>
        <v>5.9854796749561293E-3</v>
      </c>
      <c r="J12" s="2"/>
      <c r="K12" s="2">
        <f t="shared" si="3"/>
        <v>0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29</v>
      </c>
      <c r="C13" s="7"/>
      <c r="D13" s="2">
        <f t="shared" si="1"/>
        <v>98</v>
      </c>
      <c r="E13" s="7">
        <v>0.186</v>
      </c>
      <c r="F13" s="8">
        <v>57.9</v>
      </c>
      <c r="G13" s="8">
        <v>26.3</v>
      </c>
      <c r="H13" s="7">
        <f t="shared" si="2"/>
        <v>1.4401339339579962</v>
      </c>
      <c r="I13" s="2">
        <f t="shared" si="0"/>
        <v>5.9786646898364699E-3</v>
      </c>
      <c r="J13" s="2"/>
      <c r="K13" s="2">
        <f t="shared" si="3"/>
        <v>6.1857319982368439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46</v>
      </c>
      <c r="C14" s="7"/>
      <c r="D14" s="2">
        <f t="shared" si="1"/>
        <v>115</v>
      </c>
      <c r="E14" s="7">
        <v>0.185</v>
      </c>
      <c r="F14" s="8">
        <v>57.5</v>
      </c>
      <c r="G14" s="8">
        <v>26.4</v>
      </c>
      <c r="H14" s="7">
        <f t="shared" si="2"/>
        <v>1.4624131795966719</v>
      </c>
      <c r="I14" s="2">
        <f t="shared" si="0"/>
        <v>6.1288393780552777E-3</v>
      </c>
      <c r="J14" s="2"/>
      <c r="K14" s="2">
        <f t="shared" si="3"/>
        <v>5.3242617111067663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19</v>
      </c>
      <c r="B16" s="2"/>
      <c r="C16" s="8">
        <v>101.41</v>
      </c>
      <c r="D16" s="2"/>
      <c r="E16" s="5" t="s">
        <v>20</v>
      </c>
      <c r="F16" s="6">
        <f>AVERAGE(F11:F14)</f>
        <v>57.875</v>
      </c>
      <c r="G16" s="6">
        <f>AVERAGE(G11:G14)</f>
        <v>26.375</v>
      </c>
      <c r="H16" s="6">
        <f>AVERAGE(H11:H14)</f>
        <v>1.4473806946719656</v>
      </c>
      <c r="I16" s="6">
        <f>AVERAGE(I11:I14)</f>
        <v>6.0124987662320559E-3</v>
      </c>
      <c r="J16" s="6"/>
      <c r="K16" s="6">
        <f>AVERAGE(K8:K14)</f>
        <v>8.983743590066533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21</v>
      </c>
      <c r="F17" s="2">
        <f>MAX(F11:F14)-MIN(F11:F14)</f>
        <v>0.60000000000000142</v>
      </c>
      <c r="G17" s="2">
        <f>MAX(G11:G14)-MIN(G11:G14)</f>
        <v>9.9999999999997868E-2</v>
      </c>
      <c r="H17" s="2">
        <f>MAX(H11:H14)-MIN(H11:H14)</f>
        <v>2.2279245638675782E-2</v>
      </c>
      <c r="I17" s="2">
        <f>MAX(I11:I14)-MIN(I11:I14)</f>
        <v>1.7182805597493189E-4</v>
      </c>
      <c r="J17" s="2"/>
      <c r="K17" s="1">
        <f>-SLOPE(E7:E14,D7:D14)/60/AVERAGE(I11:I14)*1000/18/(C20*2/10000)</f>
        <v>8.7166466246586882</v>
      </c>
      <c r="L17" t="s">
        <v>22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23</v>
      </c>
      <c r="B18" s="2"/>
      <c r="C18" s="8">
        <v>8.3456408842612841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24</v>
      </c>
      <c r="B19" s="2"/>
      <c r="C19" s="8">
        <v>8.3456408842612841</v>
      </c>
      <c r="E19" s="2" t="s">
        <v>25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26</v>
      </c>
      <c r="B20" s="2"/>
      <c r="C20" s="9">
        <f>AVERAGE(C18,C19)</f>
        <v>8.3456408842612841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618F-3C07-406A-BF4B-9E15C3C747A5}">
  <dimension ref="A1:CJ58"/>
  <sheetViews>
    <sheetView tabSelected="1" topLeftCell="A6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/>
      <c r="K5" s="1" t="s">
        <v>11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/>
      <c r="K6" s="1" t="s">
        <v>18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52</v>
      </c>
      <c r="C7" s="7">
        <v>0</v>
      </c>
      <c r="D7" s="2">
        <f>((A7-A$7)*60*60+(B7-B$7)*60+(C7-C$7))/60</f>
        <v>0</v>
      </c>
      <c r="E7" s="7">
        <v>8.5999999999999993E-2</v>
      </c>
      <c r="F7" s="8">
        <v>61.9</v>
      </c>
      <c r="G7" s="8">
        <v>26.5</v>
      </c>
      <c r="H7" s="7">
        <f>((100-F7)/100)*(610.7*10^(7.5*G7/(237.3+G7)))/1000</f>
        <v>1.3187563723081068</v>
      </c>
      <c r="I7" s="2">
        <f t="shared" ref="I7:I14" si="0">(1-(F7/100))*(H7/C$16)</f>
        <v>4.954601891819236E-3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10</v>
      </c>
      <c r="B8" s="7">
        <v>12</v>
      </c>
      <c r="C8" s="7">
        <v>0</v>
      </c>
      <c r="D8" s="2">
        <f t="shared" ref="D8:D14" si="1">((A8-A$7)*60*60+(B8-B$7)*60+(C8-C$7))/60</f>
        <v>20</v>
      </c>
      <c r="E8" s="7">
        <v>8.5999999999999993E-2</v>
      </c>
      <c r="F8" s="8">
        <v>65.2</v>
      </c>
      <c r="G8" s="7">
        <v>25.7</v>
      </c>
      <c r="H8" s="7">
        <f t="shared" ref="H8:H14" si="2">((100-F8)/100)*(610.7*10^(7.5*G8/(237.3+G8)))/1000</f>
        <v>1.1489388048805342</v>
      </c>
      <c r="I8" s="2">
        <f t="shared" si="0"/>
        <v>3.9427147628283785E-3</v>
      </c>
      <c r="J8" s="2"/>
      <c r="K8" s="2">
        <f t="shared" ref="K8:K14" si="3">-((E8-E7)/18*1000)/((D8-D7)*60)/I8/(C$20*2/10000)</f>
        <v>0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26</v>
      </c>
      <c r="C9" s="7">
        <v>0</v>
      </c>
      <c r="D9" s="2">
        <f t="shared" si="1"/>
        <v>34</v>
      </c>
      <c r="E9" s="7">
        <v>8.5999999999999993E-2</v>
      </c>
      <c r="F9" s="8">
        <v>59.2</v>
      </c>
      <c r="G9" s="8">
        <v>25.8</v>
      </c>
      <c r="H9" s="7">
        <f t="shared" si="2"/>
        <v>1.3550330395840817</v>
      </c>
      <c r="I9" s="2">
        <f t="shared" si="0"/>
        <v>5.4516663065802707E-3</v>
      </c>
      <c r="J9" s="2"/>
      <c r="K9" s="2">
        <f t="shared" si="3"/>
        <v>0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44</v>
      </c>
      <c r="C10" s="7">
        <v>0</v>
      </c>
      <c r="D10" s="2">
        <f t="shared" si="1"/>
        <v>52</v>
      </c>
      <c r="E10" s="7">
        <v>8.5999999999999993E-2</v>
      </c>
      <c r="F10" s="8">
        <v>59.5</v>
      </c>
      <c r="G10" s="8">
        <v>25.8</v>
      </c>
      <c r="H10" s="7">
        <f t="shared" si="2"/>
        <v>1.345069561351846</v>
      </c>
      <c r="I10" s="2">
        <f t="shared" si="0"/>
        <v>5.3717894916428133E-3</v>
      </c>
      <c r="J10" s="2"/>
      <c r="K10" s="2">
        <f t="shared" si="3"/>
        <v>0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59</v>
      </c>
      <c r="C11" s="7">
        <v>0</v>
      </c>
      <c r="D11" s="2">
        <f t="shared" si="1"/>
        <v>67</v>
      </c>
      <c r="E11" s="7">
        <v>8.3000000000000004E-2</v>
      </c>
      <c r="F11" s="8">
        <v>58.1</v>
      </c>
      <c r="G11" s="8">
        <v>26.4</v>
      </c>
      <c r="H11" s="7">
        <f t="shared" si="2"/>
        <v>1.4417673464729541</v>
      </c>
      <c r="I11" s="2">
        <f t="shared" si="0"/>
        <v>5.9570113220803458E-3</v>
      </c>
      <c r="J11" s="2"/>
      <c r="K11" s="2">
        <f t="shared" si="3"/>
        <v>42.238770137983494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11</v>
      </c>
      <c r="B12" s="7">
        <v>15</v>
      </c>
      <c r="C12" s="7">
        <v>0</v>
      </c>
      <c r="D12" s="2">
        <f t="shared" si="1"/>
        <v>83</v>
      </c>
      <c r="E12" s="7">
        <v>8.3000000000000004E-2</v>
      </c>
      <c r="F12" s="8">
        <v>58</v>
      </c>
      <c r="G12" s="8">
        <v>26.4</v>
      </c>
      <c r="H12" s="7">
        <f t="shared" si="2"/>
        <v>1.4452083186602405</v>
      </c>
      <c r="I12" s="2">
        <f t="shared" si="0"/>
        <v>5.9854796749561293E-3</v>
      </c>
      <c r="J12" s="2"/>
      <c r="K12" s="2">
        <f t="shared" si="3"/>
        <v>0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29</v>
      </c>
      <c r="C13" s="7">
        <v>0</v>
      </c>
      <c r="D13" s="2">
        <f t="shared" si="1"/>
        <v>97</v>
      </c>
      <c r="E13" s="7">
        <v>8.3000000000000004E-2</v>
      </c>
      <c r="F13" s="8">
        <v>57.9</v>
      </c>
      <c r="G13" s="8">
        <v>26.3</v>
      </c>
      <c r="H13" s="7">
        <f t="shared" si="2"/>
        <v>1.4401339339579962</v>
      </c>
      <c r="I13" s="2">
        <f t="shared" si="0"/>
        <v>5.9786646898364699E-3</v>
      </c>
      <c r="J13" s="2"/>
      <c r="K13" s="2">
        <f t="shared" si="3"/>
        <v>0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47</v>
      </c>
      <c r="C14" s="7">
        <v>0</v>
      </c>
      <c r="D14" s="2">
        <f t="shared" si="1"/>
        <v>115</v>
      </c>
      <c r="E14" s="7">
        <v>8.3000000000000004E-2</v>
      </c>
      <c r="F14" s="8">
        <v>57.5</v>
      </c>
      <c r="G14" s="8">
        <v>26.4</v>
      </c>
      <c r="H14" s="7">
        <f t="shared" si="2"/>
        <v>1.4624131795966719</v>
      </c>
      <c r="I14" s="2">
        <f t="shared" si="0"/>
        <v>6.1288393780552777E-3</v>
      </c>
      <c r="J14" s="2"/>
      <c r="K14" s="2">
        <f t="shared" si="3"/>
        <v>0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19</v>
      </c>
      <c r="B16" s="2"/>
      <c r="C16" s="8">
        <v>101.41</v>
      </c>
      <c r="D16" s="2"/>
      <c r="E16" s="5" t="s">
        <v>20</v>
      </c>
      <c r="F16" s="6">
        <f>AVERAGE(F11:F14)</f>
        <v>57.875</v>
      </c>
      <c r="G16" s="6">
        <f>AVERAGE(G11:G14)</f>
        <v>26.375</v>
      </c>
      <c r="H16" s="6">
        <f>AVERAGE(H11:H14)</f>
        <v>1.4473806946719656</v>
      </c>
      <c r="I16" s="6">
        <f>AVERAGE(I11:I14)</f>
        <v>6.0124987662320559E-3</v>
      </c>
      <c r="J16" s="6"/>
      <c r="K16" s="6">
        <f>AVERAGE(K8:K14)</f>
        <v>6.0341100197119273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21</v>
      </c>
      <c r="F17" s="2">
        <f>MAX(F11:F14)-MIN(F11:F14)</f>
        <v>0.60000000000000142</v>
      </c>
      <c r="G17" s="2">
        <f>MAX(G11:G14)-MIN(G11:G14)</f>
        <v>9.9999999999997868E-2</v>
      </c>
      <c r="H17" s="2">
        <f>MAX(H11:H14)-MIN(H11:H14)</f>
        <v>2.2279245638675782E-2</v>
      </c>
      <c r="I17" s="2">
        <f>MAX(I11:I14)-MIN(I11:I14)</f>
        <v>1.7182805597493189E-4</v>
      </c>
      <c r="J17" s="2"/>
      <c r="K17" s="1">
        <f>-SLOPE(E7:E14,D7:D14)/60/AVERAGE(I11:I14)*1000/18/(C20*2/10000)</f>
        <v>7.3756202401486579</v>
      </c>
      <c r="L17" t="s">
        <v>22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23</v>
      </c>
      <c r="B18" s="2"/>
      <c r="C18" s="8">
        <v>3.6799045547824041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24</v>
      </c>
      <c r="B19" s="2"/>
      <c r="C19" s="8">
        <v>3.6799045547824041</v>
      </c>
      <c r="E19" s="2" t="s">
        <v>25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26</v>
      </c>
      <c r="B20" s="2"/>
      <c r="C20" s="9">
        <f>AVERAGE(C18,C19)</f>
        <v>3.6799045547824041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07_1</vt:lpstr>
      <vt:lpstr>07_2</vt:lpstr>
      <vt:lpstr>07_3</vt:lpstr>
      <vt:lpstr>07_4</vt:lpstr>
      <vt:lpstr>07_5</vt:lpstr>
      <vt:lpstr>07_6</vt:lpstr>
      <vt:lpstr>08_1</vt:lpstr>
      <vt:lpstr>08_2</vt:lpstr>
      <vt:lpstr>08_3</vt:lpstr>
      <vt:lpstr>08_4</vt:lpstr>
      <vt:lpstr>08_5</vt:lpstr>
      <vt:lpstr>08_6</vt:lpstr>
      <vt:lpstr>surfaces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Vaea Lefeuvre</cp:lastModifiedBy>
  <cp:revision/>
  <dcterms:created xsi:type="dcterms:W3CDTF">2008-08-13T18:40:40Z</dcterms:created>
  <dcterms:modified xsi:type="dcterms:W3CDTF">2025-04-04T05:07:49Z</dcterms:modified>
  <cp:category/>
  <cp:contentStatus/>
</cp:coreProperties>
</file>