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/>
  </bookViews>
  <sheets>
    <sheet name="Tabela Ativos" sheetId="1" r:id="rId1"/>
    <sheet name="Tabela Aportes" sheetId="2" r:id="rId2"/>
    <sheet name="Tabela Proventos" sheetId="5" r:id="rId3"/>
    <sheet name="Relatorio Aportes" sheetId="6" r:id="rId4"/>
    <sheet name="Relatorio Proventos" sheetId="8" r:id="rId5"/>
    <sheet name="Relatorio Carteira" sheetId="9" r:id="rId6"/>
  </sheets>
  <definedNames>
    <definedName name="pubhtml" localSheetId="0">'Tabela Ativos'!$A$1:$D$13</definedName>
  </definedNames>
  <calcPr calcId="152511"/>
  <pivotCaches>
    <pivotCache cacheId="9" r:id="rId7"/>
    <pivotCache cacheId="1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E3" i="9"/>
  <c r="E4" i="9"/>
  <c r="E5" i="9"/>
  <c r="E6" i="9"/>
  <c r="E7" i="9"/>
  <c r="E8" i="9"/>
  <c r="E9" i="9"/>
  <c r="E10" i="9"/>
  <c r="D2" i="9"/>
  <c r="F2" i="9" s="1"/>
  <c r="D3" i="9"/>
  <c r="F3" i="9" s="1"/>
  <c r="D4" i="9"/>
  <c r="F4" i="9" s="1"/>
  <c r="D5" i="9"/>
  <c r="F5" i="9" s="1"/>
  <c r="D6" i="9"/>
  <c r="F6" i="9" s="1"/>
  <c r="D7" i="9"/>
  <c r="F7" i="9" s="1"/>
  <c r="D8" i="9"/>
  <c r="F8" i="9" s="1"/>
  <c r="D9" i="9"/>
  <c r="F9" i="9" s="1"/>
  <c r="D10" i="9"/>
  <c r="F10" i="9" s="1"/>
  <c r="C2" i="9"/>
  <c r="C3" i="9"/>
  <c r="C4" i="9"/>
  <c r="C5" i="9"/>
  <c r="C6" i="9"/>
  <c r="C7" i="9"/>
  <c r="C8" i="9"/>
  <c r="C9" i="9"/>
  <c r="C10" i="9"/>
  <c r="B2" i="9"/>
  <c r="B3" i="9"/>
  <c r="B4" i="9"/>
  <c r="B5" i="9"/>
  <c r="B6" i="9"/>
  <c r="B7" i="9"/>
  <c r="B8" i="9"/>
  <c r="B9" i="9"/>
  <c r="B10" i="9"/>
  <c r="D11" i="9" l="1"/>
  <c r="G10" i="9"/>
  <c r="G9" i="9"/>
  <c r="G8" i="9"/>
  <c r="G7" i="9"/>
  <c r="G6" i="9"/>
  <c r="G5" i="9"/>
  <c r="G4" i="9"/>
  <c r="G3" i="9"/>
  <c r="G2" i="9"/>
  <c r="G11" i="9" s="1"/>
  <c r="H10" i="9"/>
  <c r="H9" i="9"/>
  <c r="H8" i="9"/>
  <c r="H7" i="9"/>
  <c r="H6" i="9"/>
  <c r="H5" i="9"/>
  <c r="H4" i="9"/>
  <c r="H3" i="9"/>
  <c r="H2" i="9"/>
  <c r="H11" i="9" s="1"/>
  <c r="I10" i="9"/>
  <c r="I9" i="9"/>
  <c r="I8" i="9"/>
  <c r="I7" i="9"/>
  <c r="I6" i="9"/>
  <c r="I5" i="9"/>
  <c r="I4" i="9"/>
  <c r="I3" i="9"/>
  <c r="I2" i="9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mments1.xml><?xml version="1.0" encoding="utf-8"?>
<comments xmlns="http://schemas.openxmlformats.org/spreadsheetml/2006/main">
  <authors>
    <author>Windows User</author>
  </authors>
  <commentList>
    <comment ref="K2" authorId="0" shapeId="0">
      <text>
        <r>
          <rPr>
            <b/>
            <sz val="9"/>
            <color indexed="81"/>
            <rFont val="Segoe UI"/>
            <family val="2"/>
          </rPr>
          <t>Deixe em branco para data de hoje.</t>
        </r>
      </text>
    </comment>
  </commentList>
</comments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<sst xmlns="http://schemas.openxmlformats.org/spreadsheetml/2006/main" count="219" uniqueCount="58">
  <si>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</si>
  <si>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</si>
  <si>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</si>
  <si>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</si>
  <si>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</si>
  <si>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</si>
  <si>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</si>
  <si>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</si>
  <si>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</si>
  <si>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</si>
  <si>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Fundo Investimento Imobiliario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</si>
  <si>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</si>
  <si>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</si>
  <si>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</si>
  <si>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</si>
  <si>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</si>
  <si>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</si>
  <si>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</si>
  <si>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</si>
  <si>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</si>
  <si>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</si>
  <si>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</si>
  <si>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</si>
  <si>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</si>
  <si>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</si>
  <si>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</si>
  <si>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</si>
  <si>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</si>
  <si>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</si>
  <si>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</si>
  <si>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</si>
  <si>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</si>
  <si>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</si>
  <si>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</si>
  <si>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</si>
  <si>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</si>
  <si>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</si>
  <si>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</si>
  <si>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</si>
  <si>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</si>
  <si>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</si>
  <si>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</si>
  <si>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</si>
  <si>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</si>
  <si>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</si>
  <si>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</si>
  <si>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</si>
  <si>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</si>
  <si>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</si>
  <si>
    <t>Soma de Valor Liquido</t>
  </si>
  <si>
    <t>Cotação</t>
  </si>
  <si>
    <t>Total Aportado</t>
  </si>
  <si>
    <t>Total Quantidade</t>
  </si>
  <si>
    <t>Preço Médio</t>
  </si>
  <si>
    <t>Valorização</t>
  </si>
  <si>
    <t>Valorização (%)</t>
  </si>
  <si>
    <t>Total Atual</t>
  </si>
  <si>
    <t>Até Qual Data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</si>
</sst>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  <numFmt numFmtId="170" formatCode="&quot;R$&quot;\ #,##0.00;[Red]\-&quot;R$&quot;\ #,##0.00"/>
  </numFmts>
  <fonts count="6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Segoe UI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70" fontId="5" fillId="0" borderId="0" xfId="0" applyNumberFormat="1" applyFont="1" applyAlignment="1">
      <alignment horizontal="right" vertical="center"/>
    </xf>
    <xf numFmtId="10" fontId="0" fillId="0" borderId="0" xfId="0" applyNumberFormat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4">
    <dxf>
      <font>
        <color rgb="FFFF0000"/>
      </font>
      <numFmt numFmtId="14" formatCode="0.00%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FF0000"/>
      </font>
      <numFmt numFmtId="170" formatCode="&quot;R$&quot;\ #,##0.00;[Red]\-&quot;R$&quot;\ #,##0.00"/>
    </dxf>
    <dxf>
      <font>
        <b/>
        <i/>
        <color rgb="FFFF0000"/>
      </font>
    </dxf>
    <dxf>
      <numFmt numFmtId="14" formatCode="0.00%"/>
      <alignment horizontal="center" vertical="center" textRotation="0" wrapText="0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170" formatCode="&quot;R$&quot;\ #,##0.00;[Red]\-&quot;R$&quot;\ #,##0.00"/>
      <alignment horizontal="right" vertical="center" textRotation="0" wrapText="0" indent="0" justifyLastLine="0" shrinkToFit="0" readingOrder="0"/>
    </dxf>
    <dxf>
      <font>
        <color rgb="FFFF0000"/>
      </font>
      <numFmt numFmtId="170" formatCode="&quot;R$&quot;\ #,##0.00;[Red]\-&quot;R$&quot;\ #,##0.00"/>
    </dxf>
    <dxf>
      <font>
        <b/>
        <i/>
        <color rgb="FFFF0000"/>
      </font>
    </dxf>
    <dxf>
      <font>
        <b/>
        <i/>
        <color rgb="FFFF0000"/>
      </font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firstRowStripe" dxfId="48"/>
      <tableStyleElement type="firstColumnStripe" dxfId="4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3.376707986114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Windows User" refreshedDate="45133.378409375" createdVersion="5" refreshedVersion="5" minRefreshableVersion="3" recordCount="71">
  <cacheSource type="worksheet">
    <worksheetSource name="TblProventos"/>
  </cacheSource>
  <cacheFields count="9">
    <cacheField name="Codigo" numFmtId="0">
      <sharedItems containsSemiMixedTypes="0" containsString="0" containsNumber="1" containsInteger="1" minValue="13" maxValue="50"/>
    </cacheField>
    <cacheField name="Ativo" numFmtId="0">
      <sharedItems count="10">
        <s v="ITSA4"/>
        <s v="HGBS11"/>
        <s v="HGLG11"/>
        <s v="HGRE11"/>
        <s v="KNRI11"/>
        <s v="PETR4"/>
        <s v="HGBS12"/>
        <s v="FLRY3"/>
        <s v="TAEE4"/>
        <s v="CSNA3"/>
      </sharedItems>
    </cacheField>
    <cacheField name="Quantidade" numFmtId="0">
      <sharedItems containsSemiMixedTypes="0" containsString="0" containsNumber="1" containsInteger="1" minValue="100" maxValue="100"/>
    </cacheField>
    <cacheField name="Valor Bruto" numFmtId="164">
      <sharedItems containsSemiMixedTypes="0" containsString="0" containsNumber="1" minValue="0" maxValue="180.6"/>
    </cacheField>
    <cacheField name="IR" numFmtId="164">
      <sharedItems containsSemiMixedTypes="0" containsString="0" containsNumber="1" minValue="0" maxValue="6"/>
    </cacheField>
    <cacheField name="Valor Liquido" numFmtId="164">
      <sharedItems containsSemiMixedTypes="0" containsString="0" containsNumber="1" minValue="0" maxValue="180.6"/>
    </cacheField>
    <cacheField name="Data" numFmtId="14">
      <sharedItems containsSemiMixedTypes="0" containsNonDate="0" containsDate="1" containsString="0" minDate="2018-12-15T00:00:00" maxDate="2020-01-18T00:00:00"/>
    </cacheField>
    <cacheField name="Ano/Mês" numFmtId="0">
      <sharedItems count="12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20/01"/>
      </sharedItems>
    </cacheField>
    <cacheField name="Tipo" numFmtId="0">
      <sharedItems count="3">
        <s v="EMPRESA"/>
        <s v="Fundo Investimento Imobiliario"/>
        <e v="#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1">
  <r>
    <n v="13"/>
    <x v="0"/>
    <n v="100"/>
    <n v="39.479999999999997"/>
    <n v="0"/>
    <n v="39.479999999999997"/>
    <d v="2018-12-15T00:00:00"/>
    <x v="0"/>
    <x v="0"/>
  </r>
  <r>
    <n v="14"/>
    <x v="1"/>
    <n v="100"/>
    <n v="63"/>
    <n v="0"/>
    <n v="63"/>
    <d v="2018-12-17T00:00:00"/>
    <x v="0"/>
    <x v="1"/>
  </r>
  <r>
    <n v="14"/>
    <x v="2"/>
    <n v="100"/>
    <n v="81"/>
    <n v="0"/>
    <n v="81"/>
    <d v="2018-12-17T00:00:00"/>
    <x v="0"/>
    <x v="1"/>
  </r>
  <r>
    <n v="14"/>
    <x v="3"/>
    <n v="100"/>
    <n v="38.89"/>
    <n v="0"/>
    <n v="38.89"/>
    <d v="2018-12-17T00:00:00"/>
    <x v="0"/>
    <x v="1"/>
  </r>
  <r>
    <n v="14"/>
    <x v="4"/>
    <n v="100"/>
    <n v="34.770000000000003"/>
    <n v="0"/>
    <n v="34.770000000000003"/>
    <d v="2018-12-17T00:00:00"/>
    <x v="0"/>
    <x v="1"/>
  </r>
  <r>
    <n v="13"/>
    <x v="5"/>
    <n v="100"/>
    <n v="67"/>
    <n v="6"/>
    <n v="61"/>
    <d v="2019-01-15T00:00:00"/>
    <x v="1"/>
    <x v="0"/>
  </r>
  <r>
    <n v="14"/>
    <x v="1"/>
    <n v="100"/>
    <n v="75.709999999999994"/>
    <n v="0"/>
    <n v="75.709999999999994"/>
    <d v="2019-01-17T00:00:00"/>
    <x v="1"/>
    <x v="1"/>
  </r>
  <r>
    <n v="14"/>
    <x v="2"/>
    <n v="100"/>
    <n v="39.36"/>
    <n v="0"/>
    <n v="39.36"/>
    <d v="2019-01-17T00:00:00"/>
    <x v="1"/>
    <x v="1"/>
  </r>
  <r>
    <n v="14"/>
    <x v="3"/>
    <n v="100"/>
    <n v="51.8"/>
    <n v="0"/>
    <n v="51.8"/>
    <d v="2019-01-17T00:00:00"/>
    <x v="1"/>
    <x v="1"/>
  </r>
  <r>
    <n v="14"/>
    <x v="4"/>
    <n v="100"/>
    <n v="61.75"/>
    <n v="0"/>
    <n v="61.75"/>
    <d v="2019-01-17T00:00:00"/>
    <x v="1"/>
    <x v="1"/>
  </r>
  <r>
    <n v="13"/>
    <x v="0"/>
    <n v="100"/>
    <n v="65.430000000000007"/>
    <n v="0"/>
    <n v="65.430000000000007"/>
    <d v="2019-02-15T00:00:00"/>
    <x v="2"/>
    <x v="0"/>
  </r>
  <r>
    <n v="50"/>
    <x v="6"/>
    <n v="100"/>
    <n v="0"/>
    <n v="0"/>
    <n v="0"/>
    <d v="2019-02-15T00:00:00"/>
    <x v="2"/>
    <x v="2"/>
  </r>
  <r>
    <n v="14"/>
    <x v="1"/>
    <n v="100"/>
    <n v="61"/>
    <n v="0"/>
    <n v="61"/>
    <d v="2019-02-17T00:00:00"/>
    <x v="2"/>
    <x v="1"/>
  </r>
  <r>
    <n v="14"/>
    <x v="2"/>
    <n v="100"/>
    <n v="99"/>
    <n v="0"/>
    <n v="99"/>
    <d v="2019-02-17T00:00:00"/>
    <x v="2"/>
    <x v="1"/>
  </r>
  <r>
    <n v="14"/>
    <x v="3"/>
    <n v="100"/>
    <n v="99.9"/>
    <n v="0"/>
    <n v="99.9"/>
    <d v="2019-02-17T00:00:00"/>
    <x v="2"/>
    <x v="1"/>
  </r>
  <r>
    <n v="14"/>
    <x v="4"/>
    <n v="100"/>
    <n v="98.42"/>
    <n v="0"/>
    <n v="98.42"/>
    <d v="2019-02-17T00:00:00"/>
    <x v="2"/>
    <x v="1"/>
  </r>
  <r>
    <n v="13"/>
    <x v="7"/>
    <n v="100"/>
    <n v="166"/>
    <n v="2.34"/>
    <n v="163.66"/>
    <d v="2019-03-15T00:00:00"/>
    <x v="3"/>
    <x v="0"/>
  </r>
  <r>
    <n v="14"/>
    <x v="1"/>
    <n v="100"/>
    <n v="37.44"/>
    <n v="0"/>
    <n v="37.44"/>
    <d v="2019-03-17T00:00:00"/>
    <x v="3"/>
    <x v="1"/>
  </r>
  <r>
    <n v="14"/>
    <x v="2"/>
    <n v="100"/>
    <n v="52.02"/>
    <n v="0"/>
    <n v="52.02"/>
    <d v="2019-03-17T00:00:00"/>
    <x v="3"/>
    <x v="1"/>
  </r>
  <r>
    <n v="14"/>
    <x v="3"/>
    <n v="100"/>
    <n v="42.14"/>
    <n v="0"/>
    <n v="42.14"/>
    <d v="2019-03-17T00:00:00"/>
    <x v="3"/>
    <x v="1"/>
  </r>
  <r>
    <n v="14"/>
    <x v="4"/>
    <n v="100"/>
    <n v="177.12"/>
    <n v="0"/>
    <n v="177.12"/>
    <d v="2019-03-17T00:00:00"/>
    <x v="3"/>
    <x v="1"/>
  </r>
  <r>
    <n v="13"/>
    <x v="0"/>
    <n v="100"/>
    <n v="162.75"/>
    <n v="0"/>
    <n v="162.75"/>
    <d v="2019-04-15T00:00:00"/>
    <x v="4"/>
    <x v="0"/>
  </r>
  <r>
    <n v="14"/>
    <x v="1"/>
    <n v="100"/>
    <n v="61"/>
    <n v="0"/>
    <n v="61"/>
    <d v="2019-04-17T00:00:00"/>
    <x v="4"/>
    <x v="1"/>
  </r>
  <r>
    <n v="14"/>
    <x v="2"/>
    <n v="100"/>
    <n v="180.6"/>
    <n v="0"/>
    <n v="180.6"/>
    <d v="2019-04-17T00:00:00"/>
    <x v="4"/>
    <x v="1"/>
  </r>
  <r>
    <n v="14"/>
    <x v="3"/>
    <n v="100"/>
    <n v="38.4"/>
    <n v="0"/>
    <n v="38.4"/>
    <d v="2019-04-17T00:00:00"/>
    <x v="4"/>
    <x v="1"/>
  </r>
  <r>
    <n v="14"/>
    <x v="4"/>
    <n v="100"/>
    <n v="153.18"/>
    <n v="0"/>
    <n v="153.18"/>
    <d v="2019-04-17T00:00:00"/>
    <x v="4"/>
    <x v="1"/>
  </r>
  <r>
    <n v="13"/>
    <x v="8"/>
    <n v="100"/>
    <n v="156.13999999999999"/>
    <n v="0"/>
    <n v="156.13999999999999"/>
    <d v="2019-05-15T00:00:00"/>
    <x v="5"/>
    <x v="0"/>
  </r>
  <r>
    <n v="14"/>
    <x v="1"/>
    <n v="100"/>
    <n v="61"/>
    <n v="0"/>
    <n v="61"/>
    <d v="2019-05-17T00:00:00"/>
    <x v="5"/>
    <x v="1"/>
  </r>
  <r>
    <n v="14"/>
    <x v="2"/>
    <n v="100"/>
    <n v="99"/>
    <n v="0"/>
    <n v="99"/>
    <d v="2019-05-17T00:00:00"/>
    <x v="5"/>
    <x v="1"/>
  </r>
  <r>
    <n v="14"/>
    <x v="3"/>
    <n v="100"/>
    <n v="99.9"/>
    <n v="0"/>
    <n v="99.9"/>
    <d v="2019-05-17T00:00:00"/>
    <x v="5"/>
    <x v="1"/>
  </r>
  <r>
    <n v="14"/>
    <x v="4"/>
    <n v="100"/>
    <n v="98.42"/>
    <n v="0"/>
    <n v="98.42"/>
    <d v="2019-05-17T00:00:00"/>
    <x v="5"/>
    <x v="1"/>
  </r>
  <r>
    <n v="13"/>
    <x v="0"/>
    <n v="100"/>
    <n v="166"/>
    <n v="0"/>
    <n v="166"/>
    <d v="2019-06-15T00:00:00"/>
    <x v="6"/>
    <x v="0"/>
  </r>
  <r>
    <n v="14"/>
    <x v="1"/>
    <n v="100"/>
    <n v="37.44"/>
    <n v="0"/>
    <n v="37.44"/>
    <d v="2019-06-17T00:00:00"/>
    <x v="6"/>
    <x v="1"/>
  </r>
  <r>
    <n v="14"/>
    <x v="2"/>
    <n v="100"/>
    <n v="52.02"/>
    <n v="0"/>
    <n v="52.02"/>
    <d v="2019-06-17T00:00:00"/>
    <x v="6"/>
    <x v="1"/>
  </r>
  <r>
    <n v="14"/>
    <x v="3"/>
    <n v="100"/>
    <n v="42.14"/>
    <n v="0"/>
    <n v="42.14"/>
    <d v="2019-06-17T00:00:00"/>
    <x v="6"/>
    <x v="1"/>
  </r>
  <r>
    <n v="14"/>
    <x v="4"/>
    <n v="100"/>
    <n v="177.12"/>
    <n v="0"/>
    <n v="177.12"/>
    <d v="2019-06-17T00:00:00"/>
    <x v="6"/>
    <x v="1"/>
  </r>
  <r>
    <n v="13"/>
    <x v="5"/>
    <n v="100"/>
    <n v="162.75"/>
    <n v="0"/>
    <n v="162.75"/>
    <d v="2019-07-15T00:00:00"/>
    <x v="7"/>
    <x v="0"/>
  </r>
  <r>
    <n v="14"/>
    <x v="1"/>
    <n v="100"/>
    <n v="61"/>
    <n v="0"/>
    <n v="61"/>
    <d v="2019-07-17T00:00:00"/>
    <x v="7"/>
    <x v="1"/>
  </r>
  <r>
    <n v="14"/>
    <x v="2"/>
    <n v="100"/>
    <n v="180.6"/>
    <n v="0"/>
    <n v="180.6"/>
    <d v="2019-07-17T00:00:00"/>
    <x v="7"/>
    <x v="1"/>
  </r>
  <r>
    <n v="14"/>
    <x v="3"/>
    <n v="100"/>
    <n v="38.4"/>
    <n v="0"/>
    <n v="38.4"/>
    <d v="2019-07-17T00:00:00"/>
    <x v="7"/>
    <x v="1"/>
  </r>
  <r>
    <n v="14"/>
    <x v="4"/>
    <n v="100"/>
    <n v="153.18"/>
    <n v="0"/>
    <n v="153.18"/>
    <d v="2019-07-17T00:00:00"/>
    <x v="7"/>
    <x v="1"/>
  </r>
  <r>
    <n v="13"/>
    <x v="7"/>
    <n v="100"/>
    <n v="156.13999999999999"/>
    <n v="0"/>
    <n v="156.13999999999999"/>
    <d v="2019-08-15T00:00:00"/>
    <x v="8"/>
    <x v="0"/>
  </r>
  <r>
    <n v="14"/>
    <x v="1"/>
    <n v="100"/>
    <n v="61"/>
    <n v="1.03"/>
    <n v="59.97"/>
    <d v="2019-08-17T00:00:00"/>
    <x v="8"/>
    <x v="1"/>
  </r>
  <r>
    <n v="14"/>
    <x v="2"/>
    <n v="100"/>
    <n v="99"/>
    <n v="0"/>
    <n v="99"/>
    <d v="2019-08-17T00:00:00"/>
    <x v="8"/>
    <x v="1"/>
  </r>
  <r>
    <n v="14"/>
    <x v="3"/>
    <n v="100"/>
    <n v="99.9"/>
    <n v="0"/>
    <n v="99.9"/>
    <d v="2019-08-17T00:00:00"/>
    <x v="8"/>
    <x v="1"/>
  </r>
  <r>
    <n v="14"/>
    <x v="4"/>
    <n v="100"/>
    <n v="98.42"/>
    <n v="0"/>
    <n v="98.42"/>
    <d v="2019-08-17T00:00:00"/>
    <x v="8"/>
    <x v="1"/>
  </r>
  <r>
    <n v="13"/>
    <x v="9"/>
    <n v="100"/>
    <n v="166"/>
    <n v="0"/>
    <n v="166"/>
    <d v="2019-09-15T00:00:00"/>
    <x v="9"/>
    <x v="0"/>
  </r>
  <r>
    <n v="14"/>
    <x v="1"/>
    <n v="100"/>
    <n v="37.44"/>
    <n v="0"/>
    <n v="37.44"/>
    <d v="2019-09-17T00:00:00"/>
    <x v="9"/>
    <x v="1"/>
  </r>
  <r>
    <n v="14"/>
    <x v="2"/>
    <n v="100"/>
    <n v="52.02"/>
    <n v="0"/>
    <n v="52.02"/>
    <d v="2019-09-17T00:00:00"/>
    <x v="9"/>
    <x v="1"/>
  </r>
  <r>
    <n v="14"/>
    <x v="3"/>
    <n v="100"/>
    <n v="42.14"/>
    <n v="0"/>
    <n v="42.14"/>
    <d v="2019-09-17T00:00:00"/>
    <x v="9"/>
    <x v="1"/>
  </r>
  <r>
    <n v="14"/>
    <x v="4"/>
    <n v="100"/>
    <n v="177.12"/>
    <n v="0"/>
    <n v="177.12"/>
    <d v="2019-09-17T00:00:00"/>
    <x v="9"/>
    <x v="1"/>
  </r>
  <r>
    <n v="13"/>
    <x v="0"/>
    <n v="100"/>
    <n v="162.75"/>
    <n v="0"/>
    <n v="162.75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180.6"/>
    <n v="0"/>
    <n v="180.6"/>
    <d v="2019-10-17T00:00:00"/>
    <x v="10"/>
    <x v="1"/>
  </r>
  <r>
    <n v="14"/>
    <x v="3"/>
    <n v="100"/>
    <n v="38.4"/>
    <n v="0"/>
    <n v="38.4"/>
    <d v="2019-10-17T00:00:00"/>
    <x v="10"/>
    <x v="1"/>
  </r>
  <r>
    <n v="14"/>
    <x v="4"/>
    <n v="100"/>
    <n v="153.18"/>
    <n v="0"/>
    <n v="153.18"/>
    <d v="2019-10-17T00:00:00"/>
    <x v="10"/>
    <x v="1"/>
  </r>
  <r>
    <n v="13"/>
    <x v="8"/>
    <n v="100"/>
    <n v="156.13999999999999"/>
    <n v="0"/>
    <n v="156.13999999999999"/>
    <d v="2019-10-15T00:00:00"/>
    <x v="10"/>
    <x v="0"/>
  </r>
  <r>
    <n v="14"/>
    <x v="1"/>
    <n v="100"/>
    <n v="61"/>
    <n v="0"/>
    <n v="61"/>
    <d v="2019-10-17T00:00:00"/>
    <x v="10"/>
    <x v="1"/>
  </r>
  <r>
    <n v="14"/>
    <x v="2"/>
    <n v="100"/>
    <n v="99"/>
    <n v="0"/>
    <n v="99"/>
    <d v="2019-10-17T00:00:00"/>
    <x v="10"/>
    <x v="1"/>
  </r>
  <r>
    <n v="14"/>
    <x v="3"/>
    <n v="100"/>
    <n v="99.9"/>
    <n v="0"/>
    <n v="99.9"/>
    <d v="2019-10-17T00:00:00"/>
    <x v="10"/>
    <x v="1"/>
  </r>
  <r>
    <n v="14"/>
    <x v="4"/>
    <n v="100"/>
    <n v="98.42"/>
    <n v="0"/>
    <n v="98.42"/>
    <d v="2019-10-17T00:00:00"/>
    <x v="10"/>
    <x v="1"/>
  </r>
  <r>
    <n v="13"/>
    <x v="0"/>
    <n v="100"/>
    <n v="166"/>
    <n v="0"/>
    <n v="166"/>
    <d v="2019-10-15T00:00:00"/>
    <x v="10"/>
    <x v="0"/>
  </r>
  <r>
    <n v="14"/>
    <x v="1"/>
    <n v="100"/>
    <n v="37.44"/>
    <n v="0"/>
    <n v="37.44"/>
    <d v="2019-10-17T00:00:00"/>
    <x v="10"/>
    <x v="1"/>
  </r>
  <r>
    <n v="14"/>
    <x v="2"/>
    <n v="100"/>
    <n v="52.02"/>
    <n v="0"/>
    <n v="52.02"/>
    <d v="2019-10-17T00:00:00"/>
    <x v="10"/>
    <x v="1"/>
  </r>
  <r>
    <n v="14"/>
    <x v="3"/>
    <n v="100"/>
    <n v="42.14"/>
    <n v="0"/>
    <n v="42.14"/>
    <d v="2019-10-17T00:00:00"/>
    <x v="10"/>
    <x v="1"/>
  </r>
  <r>
    <n v="14"/>
    <x v="4"/>
    <n v="100"/>
    <n v="177.12"/>
    <n v="0"/>
    <n v="177.12"/>
    <d v="2019-10-17T00:00:00"/>
    <x v="10"/>
    <x v="1"/>
  </r>
  <r>
    <n v="14"/>
    <x v="8"/>
    <n v="100"/>
    <n v="162.75"/>
    <n v="0"/>
    <n v="162.75"/>
    <d v="2020-01-15T00:00:00"/>
    <x v="11"/>
    <x v="0"/>
  </r>
  <r>
    <n v="14"/>
    <x v="1"/>
    <n v="100"/>
    <n v="61"/>
    <n v="0"/>
    <n v="61"/>
    <d v="2020-01-17T00:00:00"/>
    <x v="11"/>
    <x v="1"/>
  </r>
  <r>
    <n v="14"/>
    <x v="2"/>
    <n v="100"/>
    <n v="180.6"/>
    <n v="0"/>
    <n v="180.6"/>
    <d v="2020-01-17T00:00:00"/>
    <x v="11"/>
    <x v="1"/>
  </r>
  <r>
    <n v="14"/>
    <x v="3"/>
    <n v="100"/>
    <n v="38.4"/>
    <n v="0"/>
    <n v="38.4"/>
    <d v="2020-01-17T00:00:00"/>
    <x v="11"/>
    <x v="1"/>
  </r>
  <r>
    <n v="14"/>
    <x v="4"/>
    <n v="100"/>
    <n v="153.18"/>
    <n v="0"/>
    <n v="153.18"/>
    <d v="2020-01-17T00:00:00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N16" firstHeaderRow="1" firstDataRow="2" firstDataCol="1"/>
  <pivotFields count="9">
    <pivotField showAll="0"/>
    <pivotField axis="axisRow" showAll="0">
      <items count="11">
        <item x="9"/>
        <item x="7"/>
        <item x="1"/>
        <item x="6"/>
        <item x="2"/>
        <item x="3"/>
        <item x="0"/>
        <item x="4"/>
        <item x="5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numFmtId="14" showAll="0"/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4">
        <item x="0"/>
        <item x="1"/>
        <item h="1" x="2"/>
        <item t="default"/>
      </items>
    </pivotField>
  </pivotFields>
  <rowFields count="2">
    <field x="8"/>
    <field x="1"/>
  </rowFields>
  <rowItems count="12">
    <i>
      <x/>
    </i>
    <i r="1">
      <x/>
    </i>
    <i r="1">
      <x v="1"/>
    </i>
    <i r="1">
      <x v="6"/>
    </i>
    <i r="1">
      <x v="8"/>
    </i>
    <i r="1">
      <x v="9"/>
    </i>
    <i>
      <x v="1"/>
    </i>
    <i r="1">
      <x v="2"/>
    </i>
    <i r="1">
      <x v="4"/>
    </i>
    <i r="1">
      <x v="5"/>
    </i>
    <i r="1">
      <x v="7"/>
    </i>
    <i t="grand">
      <x/>
    </i>
  </rowItems>
  <colFields count="1">
    <field x="7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Valor Liquido" fld="5" baseField="8" baseItem="1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46"/>
    <tableColumn id="2" name="Ativo" dataDxfId="45"/>
    <tableColumn id="3" name="Quantidade" dataDxfId="44"/>
    <tableColumn id="4" name="Valor Unitário" dataDxfId="43"/>
    <tableColumn id="5" name="Custo" dataDxfId="42"/>
    <tableColumn id="6" name="Total" dataDxfId="41">
      <calculatedColumnFormula>(TblAportes[[#This Row],[Valor Unitário]] * TblAportes[[#This Row],[Quantidade]]) + TblAportes[[#This Row],[Custo]]</calculatedColumnFormula>
    </tableColumn>
    <tableColumn id="7" name="Tipo" dataDxfId="40">
      <calculatedColumnFormula>VLOOKUP(TblAportes[[#This Row],[Ativo]], 'Tabela Ativos'!$B$4:$D$500, 2, FALSE)</calculatedColumnFormula>
    </tableColumn>
    <tableColumn id="8" name="Ano" dataDxfId="39">
      <calculatedColumnFormula>YEAR(TblAportes[[#This Row],[Data]])</calculatedColumnFormula>
    </tableColumn>
    <tableColumn id="9" name="Mês" dataDxfId="38">
      <calculatedColumnFormula>MONTH(TblAportes[[#This Row],[Data]])</calculatedColumnFormula>
    </tableColumn>
    <tableColumn id="10" name="Ano/Mês" dataDxfId="37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36" dataDxfId="35">
  <autoFilter ref="A1:I72"/>
  <tableColumns count="9">
    <tableColumn id="1" name="Codigo" dataDxfId="34"/>
    <tableColumn id="2" name="Ativo" dataDxfId="33"/>
    <tableColumn id="3" name="Quantidade" dataDxfId="32"/>
    <tableColumn id="4" name="Valor Bruto" dataDxfId="31"/>
    <tableColumn id="5" name="IR" dataDxfId="30"/>
    <tableColumn id="6" name="Valor Liquido" dataDxfId="29"/>
    <tableColumn id="7" name="Data" dataDxfId="28"/>
    <tableColumn id="8" name="Ano/Mês" dataDxfId="27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26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Carteira" displayName="TblCarteira" ref="A1:I11" totalsRowCount="1" headerRowDxfId="25" dataDxfId="24">
  <autoFilter ref="A1:I10"/>
  <tableColumns count="9">
    <tableColumn id="1" name="Ativo" totalsRowLabel="Total" dataDxfId="23" totalsRowDxfId="9"/>
    <tableColumn id="2" name="Tipo" dataDxfId="22" totalsRowDxfId="8">
      <calculatedColumnFormula>VLOOKUP(TblCarteira[[#This Row],[Ativo]], 'Tabela Ativos'!$B$4:$D$500, 2, FALSE)</calculatedColumnFormula>
    </tableColumn>
    <tableColumn id="3" name="Cotação" dataDxfId="21" totalsRowDxfId="7">
      <calculatedColumnFormula>VLOOKUP(TblCarteira[[#This Row],[Ativo]], 'Tabela Ativos'!$B$4:$D$500, 3, FALSE)</calculatedColumnFormula>
    </tableColumn>
    <tableColumn id="4" name="Total Aportado" totalsRowFunction="sum" dataDxfId="20" totalsRowDxfId="1">
      <calculatedColumnFormula>SUMIFS(TblAportes[Total], TblAportes[Ativo],TblCarteira[[#This Row],[Ativo]], TblAportes[Data], "&lt;="&amp;IF($K$2 = "", TODAY(), $K$2))</calculatedColumnFormula>
    </tableColumn>
    <tableColumn id="5" name="Total Quantidade" dataDxfId="19" totalsRowDxfId="6">
      <calculatedColumnFormula>SUMIFS(TblAportes[Quantidade], TblAportes[Ativo],TblCarteira[[#This Row],[Ativo]], TblAportes[Data], "&lt;="&amp;IF($K$2 = "", TODAY(), $K$2))</calculatedColumnFormula>
    </tableColumn>
    <tableColumn id="6" name="Preço Médio" dataDxfId="18" totalsRowDxfId="5">
      <calculatedColumnFormula>(TblCarteira[[#This Row],[Total Aportado]] / TblCarteira[[#This Row],[Total Quantidade]])</calculatedColumnFormula>
    </tableColumn>
    <tableColumn id="7" name="Total Atual" totalsRowFunction="sum" dataDxfId="17" totalsRowDxfId="2">
      <calculatedColumnFormula>(TblCarteira[[#This Row],[Total Quantidade]] * TblCarteira[[#This Row],[Cotação]])</calculatedColumnFormula>
    </tableColumn>
    <tableColumn id="8" name="Valorização" totalsRowFunction="sum" dataDxfId="13" totalsRowDxfId="3">
      <calculatedColumnFormula>(TblCarteira[[#This Row],[Total Atual]] - TblCarteira[[#This Row],[Total Aportado]])</calculatedColumnFormula>
    </tableColumn>
    <tableColumn id="9" name="Valorização (%)" dataDxfId="12" totalsRowDxfId="4">
      <calculatedColumnFormula>(TblCarteira[[#This Row],[Total Atual]] / TblCarteira[[#This Row],[Total Aportado]]) 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18.5429687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13.82</v>
      </c>
    </row>
    <row r="5" spans="1:4" x14ac:dyDescent="0.25">
      <c r="A5">
        <v>3</v>
      </c>
      <c r="B5" t="s">
        <v>6</v>
      </c>
      <c r="C5" t="s">
        <v>5</v>
      </c>
      <c r="D5">
        <v>15.8</v>
      </c>
    </row>
    <row r="6" spans="1:4" x14ac:dyDescent="0.25">
      <c r="A6">
        <v>4</v>
      </c>
      <c r="B6" t="s">
        <v>7</v>
      </c>
      <c r="C6" t="s">
        <v>5</v>
      </c>
      <c r="D6">
        <v>9.9</v>
      </c>
    </row>
    <row r="7" spans="1:4" x14ac:dyDescent="0.25">
      <c r="A7">
        <v>5</v>
      </c>
      <c r="B7" t="s">
        <v>8</v>
      </c>
      <c r="C7" t="s">
        <v>5</v>
      </c>
      <c r="D7">
        <v>31</v>
      </c>
    </row>
    <row r="8" spans="1:4" x14ac:dyDescent="0.25">
      <c r="A8">
        <v>6</v>
      </c>
      <c r="B8" t="s">
        <v>9</v>
      </c>
      <c r="C8" t="s">
        <v>10</v>
      </c>
      <c r="D8">
        <v>223.79</v>
      </c>
    </row>
    <row r="9" spans="1:4" x14ac:dyDescent="0.25">
      <c r="A9">
        <v>7</v>
      </c>
      <c r="B9" t="s">
        <v>11</v>
      </c>
      <c r="C9" t="s">
        <v>10</v>
      </c>
      <c r="D9">
        <v>164.64</v>
      </c>
    </row>
    <row r="10" spans="1:4" x14ac:dyDescent="0.25">
      <c r="A10">
        <v>8</v>
      </c>
      <c r="B10" t="s">
        <v>12</v>
      </c>
      <c r="C10" t="s">
        <v>10</v>
      </c>
      <c r="D10">
        <v>139.32</v>
      </c>
    </row>
    <row r="11" spans="1:4" x14ac:dyDescent="0.25">
      <c r="A11">
        <v>9</v>
      </c>
      <c r="B11" t="s">
        <v>13</v>
      </c>
      <c r="C11" t="s">
        <v>10</v>
      </c>
      <c r="D11">
        <v>162.09</v>
      </c>
    </row>
    <row r="12" spans="1:4" x14ac:dyDescent="0.25">
      <c r="A12">
        <v>10</v>
      </c>
      <c r="B12" t="s">
        <v>15</v>
      </c>
      <c r="C12" t="s">
        <v>5</v>
      </c>
      <c r="D12">
        <v>12.14</v>
      </c>
    </row>
    <row r="13" spans="1:4" x14ac:dyDescent="0.25">
      <c r="A13" t="s">
        <v>14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/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5" t="s">
        <v>21</v>
      </c>
      <c r="G1" s="6" t="s">
        <v>22</v>
      </c>
      <c r="H1" s="6" t="s">
        <v>23</v>
      </c>
      <c r="I1" s="6" t="s">
        <v>24</v>
      </c>
      <c r="J1" s="6" t="s">
        <v>25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11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12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11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13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15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12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11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12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11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13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15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13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12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29</v>
      </c>
      <c r="B1" s="2" t="s">
        <v>17</v>
      </c>
      <c r="C1" s="2" t="s">
        <v>18</v>
      </c>
      <c r="D1" s="4" t="s">
        <v>26</v>
      </c>
      <c r="E1" s="4" t="s">
        <v>27</v>
      </c>
      <c r="F1" s="5" t="s">
        <v>30</v>
      </c>
      <c r="G1" s="6" t="s">
        <v>16</v>
      </c>
      <c r="H1" s="6" t="s">
        <v>25</v>
      </c>
      <c r="I1" s="6" t="s">
        <v>22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 Investimento Imobiliario</v>
      </c>
    </row>
    <row r="4" spans="1:9" ht="19.95" customHeight="1" x14ac:dyDescent="0.25">
      <c r="A4" s="2">
        <v>14</v>
      </c>
      <c r="B4" s="2" t="s">
        <v>11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 Investimento Imobiliario</v>
      </c>
    </row>
    <row r="5" spans="1:9" ht="19.95" customHeight="1" x14ac:dyDescent="0.25">
      <c r="A5" s="2">
        <v>14</v>
      </c>
      <c r="B5" s="2" t="s">
        <v>12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 Investimento Imobiliario</v>
      </c>
    </row>
    <row r="6" spans="1:9" ht="19.95" customHeight="1" x14ac:dyDescent="0.25">
      <c r="A6" s="2">
        <v>14</v>
      </c>
      <c r="B6" s="2" t="s">
        <v>13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 Investimento Imobiliario</v>
      </c>
    </row>
    <row r="9" spans="1:9" ht="19.95" customHeight="1" x14ac:dyDescent="0.25">
      <c r="A9" s="2">
        <v>14</v>
      </c>
      <c r="B9" s="2" t="s">
        <v>11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 Investimento Imobiliario</v>
      </c>
    </row>
    <row r="10" spans="1:9" ht="19.95" customHeight="1" x14ac:dyDescent="0.25">
      <c r="A10" s="2">
        <v>14</v>
      </c>
      <c r="B10" s="2" t="s">
        <v>12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 Investimento Imobiliario</v>
      </c>
    </row>
    <row r="11" spans="1:9" ht="19.95" customHeight="1" x14ac:dyDescent="0.25">
      <c r="A11" s="2">
        <v>14</v>
      </c>
      <c r="B11" s="2" t="s">
        <v>13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28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e">
        <f>VLOOKUP(TblProventos[[#This Row],[Ativo]], 'Tabela Ativos'!$B$4:$D$500, 2, FALSE)</f>
        <v>#N/A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 Investimento Imobiliario</v>
      </c>
    </row>
    <row r="15" spans="1:9" ht="19.95" customHeight="1" x14ac:dyDescent="0.25">
      <c r="A15" s="2">
        <v>14</v>
      </c>
      <c r="B15" s="2" t="s">
        <v>11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 Investimento Imobiliario</v>
      </c>
    </row>
    <row r="16" spans="1:9" ht="19.95" customHeight="1" x14ac:dyDescent="0.25">
      <c r="A16" s="2">
        <v>14</v>
      </c>
      <c r="B16" s="2" t="s">
        <v>12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 Investimento Imobiliario</v>
      </c>
    </row>
    <row r="17" spans="1:9" ht="19.95" customHeight="1" x14ac:dyDescent="0.25">
      <c r="A17" s="2">
        <v>14</v>
      </c>
      <c r="B17" s="2" t="s">
        <v>13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 Investimento Imobiliario</v>
      </c>
    </row>
    <row r="20" spans="1:9" ht="19.95" customHeight="1" x14ac:dyDescent="0.25">
      <c r="A20" s="2">
        <v>14</v>
      </c>
      <c r="B20" s="2" t="s">
        <v>11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 Investimento Imobiliario</v>
      </c>
    </row>
    <row r="21" spans="1:9" ht="19.95" customHeight="1" x14ac:dyDescent="0.25">
      <c r="A21" s="2">
        <v>14</v>
      </c>
      <c r="B21" s="2" t="s">
        <v>12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 Investimento Imobiliario</v>
      </c>
    </row>
    <row r="22" spans="1:9" ht="19.95" customHeight="1" x14ac:dyDescent="0.25">
      <c r="A22" s="2">
        <v>14</v>
      </c>
      <c r="B22" s="2" t="s">
        <v>13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 Investimento Imobiliario</v>
      </c>
    </row>
    <row r="25" spans="1:9" ht="19.95" customHeight="1" x14ac:dyDescent="0.25">
      <c r="A25" s="2">
        <v>14</v>
      </c>
      <c r="B25" s="2" t="s">
        <v>11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 Investimento Imobiliario</v>
      </c>
    </row>
    <row r="26" spans="1:9" ht="19.95" customHeight="1" x14ac:dyDescent="0.25">
      <c r="A26" s="2">
        <v>14</v>
      </c>
      <c r="B26" s="2" t="s">
        <v>12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 Investimento Imobiliario</v>
      </c>
    </row>
    <row r="27" spans="1:9" ht="19.95" customHeight="1" x14ac:dyDescent="0.25">
      <c r="A27" s="2">
        <v>14</v>
      </c>
      <c r="B27" s="2" t="s">
        <v>13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 Investimento Imobiliario</v>
      </c>
    </row>
    <row r="28" spans="1:9" ht="19.95" customHeight="1" x14ac:dyDescent="0.25">
      <c r="A28" s="2">
        <v>13</v>
      </c>
      <c r="B28" s="2" t="s">
        <v>15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 Investimento Imobiliario</v>
      </c>
    </row>
    <row r="30" spans="1:9" ht="19.95" customHeight="1" x14ac:dyDescent="0.25">
      <c r="A30" s="2">
        <v>14</v>
      </c>
      <c r="B30" s="2" t="s">
        <v>11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 Investimento Imobiliario</v>
      </c>
    </row>
    <row r="31" spans="1:9" ht="19.95" customHeight="1" x14ac:dyDescent="0.25">
      <c r="A31" s="2">
        <v>14</v>
      </c>
      <c r="B31" s="2" t="s">
        <v>12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 Investimento Imobiliario</v>
      </c>
    </row>
    <row r="32" spans="1:9" ht="19.95" customHeight="1" x14ac:dyDescent="0.25">
      <c r="A32" s="2">
        <v>14</v>
      </c>
      <c r="B32" s="2" t="s">
        <v>13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 Investimento Imobiliario</v>
      </c>
    </row>
    <row r="35" spans="1:9" ht="19.95" customHeight="1" x14ac:dyDescent="0.25">
      <c r="A35" s="2">
        <v>14</v>
      </c>
      <c r="B35" s="2" t="s">
        <v>11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 Investimento Imobiliario</v>
      </c>
    </row>
    <row r="36" spans="1:9" ht="19.95" customHeight="1" x14ac:dyDescent="0.25">
      <c r="A36" s="2">
        <v>14</v>
      </c>
      <c r="B36" s="2" t="s">
        <v>12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 Investimento Imobiliario</v>
      </c>
    </row>
    <row r="37" spans="1:9" ht="19.95" customHeight="1" x14ac:dyDescent="0.25">
      <c r="A37" s="2">
        <v>14</v>
      </c>
      <c r="B37" s="2" t="s">
        <v>13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 Investimento Imobiliario</v>
      </c>
    </row>
    <row r="40" spans="1:9" ht="19.95" customHeight="1" x14ac:dyDescent="0.25">
      <c r="A40" s="2">
        <v>14</v>
      </c>
      <c r="B40" s="2" t="s">
        <v>11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 Investimento Imobiliario</v>
      </c>
    </row>
    <row r="41" spans="1:9" ht="19.95" customHeight="1" x14ac:dyDescent="0.25">
      <c r="A41" s="2">
        <v>14</v>
      </c>
      <c r="B41" s="2" t="s">
        <v>12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 Investimento Imobiliario</v>
      </c>
    </row>
    <row r="42" spans="1:9" ht="19.95" customHeight="1" x14ac:dyDescent="0.25">
      <c r="A42" s="2">
        <v>14</v>
      </c>
      <c r="B42" s="2" t="s">
        <v>13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 Investimento Imobiliario</v>
      </c>
    </row>
    <row r="45" spans="1:9" ht="19.95" customHeight="1" x14ac:dyDescent="0.25">
      <c r="A45" s="2">
        <v>14</v>
      </c>
      <c r="B45" s="2" t="s">
        <v>11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 Investimento Imobiliario</v>
      </c>
    </row>
    <row r="46" spans="1:9" ht="19.95" customHeight="1" x14ac:dyDescent="0.25">
      <c r="A46" s="2">
        <v>14</v>
      </c>
      <c r="B46" s="2" t="s">
        <v>12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 Investimento Imobiliario</v>
      </c>
    </row>
    <row r="47" spans="1:9" ht="19.95" customHeight="1" x14ac:dyDescent="0.25">
      <c r="A47" s="2">
        <v>14</v>
      </c>
      <c r="B47" s="2" t="s">
        <v>13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 Investimento Imobiliario</v>
      </c>
    </row>
    <row r="50" spans="1:9" ht="19.95" customHeight="1" x14ac:dyDescent="0.25">
      <c r="A50" s="2">
        <v>14</v>
      </c>
      <c r="B50" s="2" t="s">
        <v>11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 Investimento Imobiliario</v>
      </c>
    </row>
    <row r="51" spans="1:9" ht="19.95" customHeight="1" x14ac:dyDescent="0.25">
      <c r="A51" s="2">
        <v>14</v>
      </c>
      <c r="B51" s="2" t="s">
        <v>12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 Investimento Imobiliario</v>
      </c>
    </row>
    <row r="52" spans="1:9" ht="19.95" customHeight="1" x14ac:dyDescent="0.25">
      <c r="A52" s="2">
        <v>14</v>
      </c>
      <c r="B52" s="2" t="s">
        <v>13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 Investimento Imobiliario</v>
      </c>
    </row>
    <row r="55" spans="1:9" ht="19.95" customHeight="1" x14ac:dyDescent="0.25">
      <c r="A55" s="2">
        <v>14</v>
      </c>
      <c r="B55" s="2" t="s">
        <v>11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 Investimento Imobiliario</v>
      </c>
    </row>
    <row r="56" spans="1:9" ht="19.95" customHeight="1" x14ac:dyDescent="0.25">
      <c r="A56" s="2">
        <v>14</v>
      </c>
      <c r="B56" s="2" t="s">
        <v>12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 Investimento Imobiliario</v>
      </c>
    </row>
    <row r="57" spans="1:9" ht="19.95" customHeight="1" x14ac:dyDescent="0.25">
      <c r="A57" s="2">
        <v>14</v>
      </c>
      <c r="B57" s="2" t="s">
        <v>13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 Investimento Imobiliario</v>
      </c>
    </row>
    <row r="58" spans="1:9" ht="19.95" customHeight="1" x14ac:dyDescent="0.25">
      <c r="A58" s="2">
        <v>13</v>
      </c>
      <c r="B58" s="2" t="s">
        <v>15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 Investimento Imobiliario</v>
      </c>
    </row>
    <row r="60" spans="1:9" ht="19.95" customHeight="1" x14ac:dyDescent="0.25">
      <c r="A60" s="2">
        <v>14</v>
      </c>
      <c r="B60" s="2" t="s">
        <v>11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 Investimento Imobiliario</v>
      </c>
    </row>
    <row r="61" spans="1:9" ht="19.95" customHeight="1" x14ac:dyDescent="0.25">
      <c r="A61" s="2">
        <v>14</v>
      </c>
      <c r="B61" s="2" t="s">
        <v>12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 Investimento Imobiliario</v>
      </c>
    </row>
    <row r="62" spans="1:9" ht="19.95" customHeight="1" x14ac:dyDescent="0.25">
      <c r="A62" s="2">
        <v>14</v>
      </c>
      <c r="B62" s="2" t="s">
        <v>13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 Investimento Imobiliario</v>
      </c>
    </row>
    <row r="65" spans="1:9" ht="19.95" customHeight="1" x14ac:dyDescent="0.25">
      <c r="A65" s="2">
        <v>14</v>
      </c>
      <c r="B65" s="2" t="s">
        <v>11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 Investimento Imobiliario</v>
      </c>
    </row>
    <row r="66" spans="1:9" ht="19.95" customHeight="1" x14ac:dyDescent="0.25">
      <c r="A66" s="2">
        <v>14</v>
      </c>
      <c r="B66" s="2" t="s">
        <v>12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 Investimento Imobiliario</v>
      </c>
    </row>
    <row r="67" spans="1:9" ht="19.95" customHeight="1" x14ac:dyDescent="0.25">
      <c r="A67" s="2">
        <v>14</v>
      </c>
      <c r="B67" s="2" t="s">
        <v>13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 Investimento Imobiliario</v>
      </c>
    </row>
    <row r="68" spans="1:9" ht="19.95" customHeight="1" x14ac:dyDescent="0.25">
      <c r="A68" s="2">
        <v>14</v>
      </c>
      <c r="B68" s="2" t="s">
        <v>15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 Investimento Imobiliario</v>
      </c>
    </row>
    <row r="70" spans="1:9" ht="19.95" customHeight="1" x14ac:dyDescent="0.25">
      <c r="A70" s="2">
        <v>14</v>
      </c>
      <c r="B70" s="2" t="s">
        <v>11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 Investimento Imobiliario</v>
      </c>
    </row>
    <row r="71" spans="1:9" ht="19.95" customHeight="1" x14ac:dyDescent="0.25">
      <c r="A71" s="2">
        <v>14</v>
      </c>
      <c r="B71" s="2" t="s">
        <v>12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 Investimento Imobiliario</v>
      </c>
    </row>
    <row r="72" spans="1:9" ht="19.95" customHeight="1" x14ac:dyDescent="0.25">
      <c r="A72" s="2">
        <v>14</v>
      </c>
      <c r="B72" s="2" t="s">
        <v>13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29.17968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10" t="s">
        <v>48</v>
      </c>
      <c r="B3" s="10" t="s">
        <v>33</v>
      </c>
    </row>
    <row r="4" spans="1:16" x14ac:dyDescent="0.25">
      <c r="A4" s="10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11" t="s">
        <v>5</v>
      </c>
      <c r="B5" s="13">
        <v>1594</v>
      </c>
      <c r="C5" s="13">
        <v>1644</v>
      </c>
      <c r="D5" s="13">
        <v>788</v>
      </c>
      <c r="E5" s="13">
        <v>12394</v>
      </c>
      <c r="F5" s="13"/>
      <c r="G5" s="13">
        <v>3034</v>
      </c>
      <c r="H5" s="13">
        <v>1697</v>
      </c>
      <c r="I5" s="13">
        <v>1769</v>
      </c>
      <c r="J5" s="13">
        <v>1985</v>
      </c>
      <c r="K5" s="13">
        <v>2057</v>
      </c>
      <c r="L5" s="13">
        <v>2201</v>
      </c>
      <c r="M5" s="13">
        <v>2345</v>
      </c>
      <c r="N5" s="13">
        <v>2561</v>
      </c>
      <c r="O5" s="13"/>
      <c r="P5" s="13">
        <v>34069</v>
      </c>
    </row>
    <row r="6" spans="1:16" x14ac:dyDescent="0.25">
      <c r="A6" s="12" t="s">
        <v>4</v>
      </c>
      <c r="B6" s="13">
        <v>833</v>
      </c>
      <c r="C6" s="13"/>
      <c r="D6" s="13"/>
      <c r="E6" s="13"/>
      <c r="F6" s="13"/>
      <c r="G6" s="13">
        <v>1481</v>
      </c>
      <c r="H6" s="13"/>
      <c r="I6" s="13"/>
      <c r="J6" s="13"/>
      <c r="K6" s="13">
        <v>2057</v>
      </c>
      <c r="L6" s="13"/>
      <c r="M6" s="13"/>
      <c r="N6" s="13"/>
      <c r="O6" s="13"/>
      <c r="P6" s="13">
        <v>4371</v>
      </c>
    </row>
    <row r="7" spans="1:16" x14ac:dyDescent="0.25">
      <c r="A7" s="12" t="s">
        <v>6</v>
      </c>
      <c r="B7" s="13"/>
      <c r="C7" s="13"/>
      <c r="D7" s="13"/>
      <c r="E7" s="13">
        <v>12394</v>
      </c>
      <c r="F7" s="13"/>
      <c r="G7" s="13"/>
      <c r="H7" s="13"/>
      <c r="I7" s="13">
        <v>1769</v>
      </c>
      <c r="J7" s="13"/>
      <c r="K7" s="13"/>
      <c r="L7" s="13"/>
      <c r="M7" s="13"/>
      <c r="N7" s="13"/>
      <c r="O7" s="13"/>
      <c r="P7" s="13">
        <v>14163</v>
      </c>
    </row>
    <row r="8" spans="1:16" x14ac:dyDescent="0.25">
      <c r="A8" s="12" t="s">
        <v>7</v>
      </c>
      <c r="B8" s="13">
        <v>761</v>
      </c>
      <c r="C8" s="13"/>
      <c r="D8" s="13">
        <v>788</v>
      </c>
      <c r="E8" s="13"/>
      <c r="F8" s="13"/>
      <c r="G8" s="13"/>
      <c r="H8" s="13"/>
      <c r="I8" s="13"/>
      <c r="J8" s="13"/>
      <c r="K8" s="13"/>
      <c r="L8" s="13"/>
      <c r="M8" s="13">
        <v>2345</v>
      </c>
      <c r="N8" s="13"/>
      <c r="O8" s="13"/>
      <c r="P8" s="13">
        <v>3894</v>
      </c>
    </row>
    <row r="9" spans="1:16" x14ac:dyDescent="0.25">
      <c r="A9" s="12" t="s">
        <v>8</v>
      </c>
      <c r="B9" s="13"/>
      <c r="C9" s="13">
        <v>1644</v>
      </c>
      <c r="D9" s="13"/>
      <c r="E9" s="13"/>
      <c r="F9" s="13"/>
      <c r="G9" s="13"/>
      <c r="H9" s="13">
        <v>1697</v>
      </c>
      <c r="I9" s="13"/>
      <c r="J9" s="13">
        <v>1985</v>
      </c>
      <c r="K9" s="13"/>
      <c r="L9" s="13">
        <v>2201</v>
      </c>
      <c r="M9" s="13"/>
      <c r="N9" s="13"/>
      <c r="O9" s="13"/>
      <c r="P9" s="13">
        <v>7527</v>
      </c>
    </row>
    <row r="10" spans="1:16" x14ac:dyDescent="0.25">
      <c r="A10" s="12" t="s">
        <v>15</v>
      </c>
      <c r="B10" s="13"/>
      <c r="C10" s="13"/>
      <c r="D10" s="13"/>
      <c r="E10" s="13"/>
      <c r="F10" s="13"/>
      <c r="G10" s="13">
        <v>1553</v>
      </c>
      <c r="H10" s="13"/>
      <c r="I10" s="13"/>
      <c r="J10" s="13"/>
      <c r="K10" s="13"/>
      <c r="L10" s="13"/>
      <c r="M10" s="13"/>
      <c r="N10" s="13">
        <v>2561</v>
      </c>
      <c r="O10" s="13"/>
      <c r="P10" s="13">
        <v>4114</v>
      </c>
    </row>
    <row r="11" spans="1:16" x14ac:dyDescent="0.25">
      <c r="A11" s="11" t="s">
        <v>10</v>
      </c>
      <c r="B11" s="13"/>
      <c r="C11" s="13">
        <v>704.9</v>
      </c>
      <c r="D11" s="13">
        <v>98.88</v>
      </c>
      <c r="E11" s="13">
        <v>47.650000000000006</v>
      </c>
      <c r="F11" s="13">
        <v>88.509999999999991</v>
      </c>
      <c r="G11" s="13"/>
      <c r="H11" s="13">
        <v>90.75</v>
      </c>
      <c r="I11" s="13">
        <v>28.31</v>
      </c>
      <c r="J11" s="13">
        <v>143.21</v>
      </c>
      <c r="K11" s="13">
        <v>52.38</v>
      </c>
      <c r="L11" s="13">
        <v>123.14999999999999</v>
      </c>
      <c r="M11" s="13">
        <v>82.210000000000008</v>
      </c>
      <c r="N11" s="13">
        <v>133.94999999999999</v>
      </c>
      <c r="O11" s="13">
        <v>390.1</v>
      </c>
      <c r="P11" s="13">
        <v>1984</v>
      </c>
    </row>
    <row r="12" spans="1:16" x14ac:dyDescent="0.25">
      <c r="A12" s="12" t="s">
        <v>9</v>
      </c>
      <c r="B12" s="13"/>
      <c r="C12" s="13"/>
      <c r="D12" s="13"/>
      <c r="E12" s="13">
        <v>47.650000000000006</v>
      </c>
      <c r="F12" s="13"/>
      <c r="G12" s="13"/>
      <c r="H12" s="13"/>
      <c r="I12" s="13">
        <v>28.31</v>
      </c>
      <c r="J12" s="13"/>
      <c r="K12" s="13"/>
      <c r="L12" s="13">
        <v>123.14999999999999</v>
      </c>
      <c r="M12" s="13"/>
      <c r="N12" s="13"/>
      <c r="O12" s="13"/>
      <c r="P12" s="13">
        <v>199.11</v>
      </c>
    </row>
    <row r="13" spans="1:16" x14ac:dyDescent="0.25">
      <c r="A13" s="12" t="s">
        <v>11</v>
      </c>
      <c r="B13" s="13"/>
      <c r="C13" s="13">
        <v>704.9</v>
      </c>
      <c r="D13" s="13"/>
      <c r="E13" s="13"/>
      <c r="F13" s="13">
        <v>36.54</v>
      </c>
      <c r="G13" s="13"/>
      <c r="H13" s="13"/>
      <c r="I13" s="13"/>
      <c r="J13" s="13">
        <v>143.21</v>
      </c>
      <c r="K13" s="13"/>
      <c r="L13" s="13"/>
      <c r="M13" s="13">
        <v>82.210000000000008</v>
      </c>
      <c r="N13" s="13"/>
      <c r="O13" s="13"/>
      <c r="P13" s="13">
        <v>966.86</v>
      </c>
    </row>
    <row r="14" spans="1:16" x14ac:dyDescent="0.25">
      <c r="A14" s="12" t="s">
        <v>12</v>
      </c>
      <c r="B14" s="13"/>
      <c r="C14" s="13"/>
      <c r="D14" s="13">
        <v>98.88</v>
      </c>
      <c r="E14" s="13"/>
      <c r="F14" s="13"/>
      <c r="G14" s="13"/>
      <c r="H14" s="13">
        <v>90.75</v>
      </c>
      <c r="I14" s="13"/>
      <c r="J14" s="13"/>
      <c r="K14" s="13">
        <v>52.38</v>
      </c>
      <c r="L14" s="13"/>
      <c r="M14" s="13"/>
      <c r="N14" s="13"/>
      <c r="O14" s="13">
        <v>117.8</v>
      </c>
      <c r="P14" s="13">
        <v>359.81</v>
      </c>
    </row>
    <row r="15" spans="1:16" x14ac:dyDescent="0.25">
      <c r="A15" s="12" t="s">
        <v>13</v>
      </c>
      <c r="B15" s="13"/>
      <c r="C15" s="13"/>
      <c r="D15" s="13"/>
      <c r="E15" s="13"/>
      <c r="F15" s="13">
        <v>51.97</v>
      </c>
      <c r="G15" s="13"/>
      <c r="H15" s="13"/>
      <c r="I15" s="13"/>
      <c r="J15" s="13"/>
      <c r="K15" s="13"/>
      <c r="L15" s="13"/>
      <c r="M15" s="13"/>
      <c r="N15" s="13">
        <v>133.94999999999999</v>
      </c>
      <c r="O15" s="13">
        <v>272.3</v>
      </c>
      <c r="P15" s="13">
        <v>458.22</v>
      </c>
    </row>
    <row r="16" spans="1:16" x14ac:dyDescent="0.25">
      <c r="A16" s="11" t="s">
        <v>32</v>
      </c>
      <c r="B16" s="13">
        <v>1594</v>
      </c>
      <c r="C16" s="13">
        <v>2348.9</v>
      </c>
      <c r="D16" s="13">
        <v>886.88</v>
      </c>
      <c r="E16" s="13">
        <v>12441.65</v>
      </c>
      <c r="F16" s="13">
        <v>88.509999999999991</v>
      </c>
      <c r="G16" s="13">
        <v>3034</v>
      </c>
      <c r="H16" s="13">
        <v>1787.75</v>
      </c>
      <c r="I16" s="13">
        <v>1797.31</v>
      </c>
      <c r="J16" s="13">
        <v>2128.21</v>
      </c>
      <c r="K16" s="13">
        <v>2109.38</v>
      </c>
      <c r="L16" s="13">
        <v>2324.15</v>
      </c>
      <c r="M16" s="13">
        <v>2427.21</v>
      </c>
      <c r="N16" s="13">
        <v>2694.95</v>
      </c>
      <c r="O16" s="13">
        <v>390.1</v>
      </c>
      <c r="P16" s="13">
        <v>36053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6"/>
  <sheetViews>
    <sheetView workbookViewId="0"/>
  </sheetViews>
  <sheetFormatPr defaultRowHeight="15" x14ac:dyDescent="0.25"/>
  <cols>
    <col min="1" max="1" width="29.1796875" bestFit="1" customWidth="1"/>
    <col min="2" max="2" width="18.54296875" bestFit="1" customWidth="1"/>
    <col min="3" max="11" width="7.36328125" customWidth="1"/>
    <col min="12" max="12" width="8.453125" bestFit="1" customWidth="1"/>
    <col min="13" max="13" width="7.36328125" customWidth="1"/>
    <col min="14" max="14" width="10.36328125" bestFit="1" customWidth="1"/>
  </cols>
  <sheetData>
    <row r="3" spans="1:14" x14ac:dyDescent="0.25">
      <c r="A3" s="10" t="s">
        <v>49</v>
      </c>
      <c r="B3" s="10" t="s">
        <v>33</v>
      </c>
    </row>
    <row r="4" spans="1:14" x14ac:dyDescent="0.25">
      <c r="A4" s="10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47</v>
      </c>
      <c r="N4" t="s">
        <v>32</v>
      </c>
    </row>
    <row r="5" spans="1:14" x14ac:dyDescent="0.25">
      <c r="A5" s="11" t="s">
        <v>5</v>
      </c>
      <c r="B5" s="13">
        <v>39.479999999999997</v>
      </c>
      <c r="C5" s="13">
        <v>61</v>
      </c>
      <c r="D5" s="13">
        <v>65.430000000000007</v>
      </c>
      <c r="E5" s="13">
        <v>163.66</v>
      </c>
      <c r="F5" s="13">
        <v>162.75</v>
      </c>
      <c r="G5" s="13">
        <v>156.13999999999999</v>
      </c>
      <c r="H5" s="13">
        <v>166</v>
      </c>
      <c r="I5" s="13">
        <v>162.75</v>
      </c>
      <c r="J5" s="13">
        <v>156.13999999999999</v>
      </c>
      <c r="K5" s="13">
        <v>166</v>
      </c>
      <c r="L5" s="13">
        <v>484.89</v>
      </c>
      <c r="M5" s="13">
        <v>162.75</v>
      </c>
      <c r="N5" s="13">
        <v>1946.99</v>
      </c>
    </row>
    <row r="6" spans="1:14" x14ac:dyDescent="0.25">
      <c r="A6" s="12" t="s">
        <v>4</v>
      </c>
      <c r="B6" s="13"/>
      <c r="C6" s="13"/>
      <c r="D6" s="13"/>
      <c r="E6" s="13"/>
      <c r="F6" s="13"/>
      <c r="G6" s="13"/>
      <c r="H6" s="13"/>
      <c r="I6" s="13"/>
      <c r="J6" s="13"/>
      <c r="K6" s="13">
        <v>166</v>
      </c>
      <c r="L6" s="13"/>
      <c r="M6" s="13"/>
      <c r="N6" s="13">
        <v>166</v>
      </c>
    </row>
    <row r="7" spans="1:14" x14ac:dyDescent="0.25">
      <c r="A7" s="12" t="s">
        <v>6</v>
      </c>
      <c r="B7" s="13"/>
      <c r="C7" s="13"/>
      <c r="D7" s="13"/>
      <c r="E7" s="13">
        <v>163.66</v>
      </c>
      <c r="F7" s="13"/>
      <c r="G7" s="13"/>
      <c r="H7" s="13"/>
      <c r="I7" s="13"/>
      <c r="J7" s="13">
        <v>156.13999999999999</v>
      </c>
      <c r="K7" s="13"/>
      <c r="L7" s="13"/>
      <c r="M7" s="13"/>
      <c r="N7" s="13">
        <v>319.79999999999995</v>
      </c>
    </row>
    <row r="8" spans="1:14" x14ac:dyDescent="0.25">
      <c r="A8" s="12" t="s">
        <v>7</v>
      </c>
      <c r="B8" s="13">
        <v>39.479999999999997</v>
      </c>
      <c r="C8" s="13"/>
      <c r="D8" s="13">
        <v>65.430000000000007</v>
      </c>
      <c r="E8" s="13"/>
      <c r="F8" s="13">
        <v>162.75</v>
      </c>
      <c r="G8" s="13"/>
      <c r="H8" s="13">
        <v>166</v>
      </c>
      <c r="I8" s="13"/>
      <c r="J8" s="13"/>
      <c r="K8" s="13"/>
      <c r="L8" s="13">
        <v>328.75</v>
      </c>
      <c r="M8" s="13"/>
      <c r="N8" s="13">
        <v>762.41</v>
      </c>
    </row>
    <row r="9" spans="1:14" x14ac:dyDescent="0.25">
      <c r="A9" s="12" t="s">
        <v>8</v>
      </c>
      <c r="B9" s="13"/>
      <c r="C9" s="13">
        <v>61</v>
      </c>
      <c r="D9" s="13"/>
      <c r="E9" s="13"/>
      <c r="F9" s="13"/>
      <c r="G9" s="13"/>
      <c r="H9" s="13"/>
      <c r="I9" s="13">
        <v>162.75</v>
      </c>
      <c r="J9" s="13"/>
      <c r="K9" s="13"/>
      <c r="L9" s="13"/>
      <c r="M9" s="13"/>
      <c r="N9" s="13">
        <v>223.75</v>
      </c>
    </row>
    <row r="10" spans="1:14" x14ac:dyDescent="0.25">
      <c r="A10" s="12" t="s">
        <v>15</v>
      </c>
      <c r="B10" s="13"/>
      <c r="C10" s="13"/>
      <c r="D10" s="13"/>
      <c r="E10" s="13"/>
      <c r="F10" s="13"/>
      <c r="G10" s="13">
        <v>156.13999999999999</v>
      </c>
      <c r="H10" s="13"/>
      <c r="I10" s="13"/>
      <c r="J10" s="13"/>
      <c r="K10" s="13"/>
      <c r="L10" s="13">
        <v>156.13999999999999</v>
      </c>
      <c r="M10" s="13">
        <v>162.75</v>
      </c>
      <c r="N10" s="13">
        <v>475.03</v>
      </c>
    </row>
    <row r="11" spans="1:14" x14ac:dyDescent="0.25">
      <c r="A11" s="11" t="s">
        <v>10</v>
      </c>
      <c r="B11" s="13">
        <v>217.66</v>
      </c>
      <c r="C11" s="13">
        <v>228.62</v>
      </c>
      <c r="D11" s="13">
        <v>358.32</v>
      </c>
      <c r="E11" s="13">
        <v>308.72000000000003</v>
      </c>
      <c r="F11" s="13">
        <v>433.18</v>
      </c>
      <c r="G11" s="13">
        <v>358.32</v>
      </c>
      <c r="H11" s="13">
        <v>308.72000000000003</v>
      </c>
      <c r="I11" s="13">
        <v>433.18</v>
      </c>
      <c r="J11" s="13">
        <v>357.29</v>
      </c>
      <c r="K11" s="13">
        <v>308.72000000000003</v>
      </c>
      <c r="L11" s="13">
        <v>1100.22</v>
      </c>
      <c r="M11" s="13">
        <v>433.18</v>
      </c>
      <c r="N11" s="13">
        <v>4846.1299999999992</v>
      </c>
    </row>
    <row r="12" spans="1:14" x14ac:dyDescent="0.25">
      <c r="A12" s="12" t="s">
        <v>9</v>
      </c>
      <c r="B12" s="13">
        <v>63</v>
      </c>
      <c r="C12" s="13">
        <v>75.709999999999994</v>
      </c>
      <c r="D12" s="13">
        <v>61</v>
      </c>
      <c r="E12" s="13">
        <v>37.44</v>
      </c>
      <c r="F12" s="13">
        <v>61</v>
      </c>
      <c r="G12" s="13">
        <v>61</v>
      </c>
      <c r="H12" s="13">
        <v>37.44</v>
      </c>
      <c r="I12" s="13">
        <v>61</v>
      </c>
      <c r="J12" s="13">
        <v>59.97</v>
      </c>
      <c r="K12" s="13">
        <v>37.44</v>
      </c>
      <c r="L12" s="13">
        <v>159.44</v>
      </c>
      <c r="M12" s="13">
        <v>61</v>
      </c>
      <c r="N12" s="13">
        <v>775.44</v>
      </c>
    </row>
    <row r="13" spans="1:14" x14ac:dyDescent="0.25">
      <c r="A13" s="12" t="s">
        <v>11</v>
      </c>
      <c r="B13" s="13">
        <v>81</v>
      </c>
      <c r="C13" s="13">
        <v>39.36</v>
      </c>
      <c r="D13" s="13">
        <v>99</v>
      </c>
      <c r="E13" s="13">
        <v>52.02</v>
      </c>
      <c r="F13" s="13">
        <v>180.6</v>
      </c>
      <c r="G13" s="13">
        <v>99</v>
      </c>
      <c r="H13" s="13">
        <v>52.02</v>
      </c>
      <c r="I13" s="13">
        <v>180.6</v>
      </c>
      <c r="J13" s="13">
        <v>99</v>
      </c>
      <c r="K13" s="13">
        <v>52.02</v>
      </c>
      <c r="L13" s="13">
        <v>331.62</v>
      </c>
      <c r="M13" s="13">
        <v>180.6</v>
      </c>
      <c r="N13" s="13">
        <v>1446.84</v>
      </c>
    </row>
    <row r="14" spans="1:14" x14ac:dyDescent="0.25">
      <c r="A14" s="12" t="s">
        <v>12</v>
      </c>
      <c r="B14" s="13">
        <v>38.89</v>
      </c>
      <c r="C14" s="13">
        <v>51.8</v>
      </c>
      <c r="D14" s="13">
        <v>99.9</v>
      </c>
      <c r="E14" s="13">
        <v>42.14</v>
      </c>
      <c r="F14" s="13">
        <v>38.4</v>
      </c>
      <c r="G14" s="13">
        <v>99.9</v>
      </c>
      <c r="H14" s="13">
        <v>42.14</v>
      </c>
      <c r="I14" s="13">
        <v>38.4</v>
      </c>
      <c r="J14" s="13">
        <v>99.9</v>
      </c>
      <c r="K14" s="13">
        <v>42.14</v>
      </c>
      <c r="L14" s="13">
        <v>180.44</v>
      </c>
      <c r="M14" s="13">
        <v>38.4</v>
      </c>
      <c r="N14" s="13">
        <v>812.44999999999993</v>
      </c>
    </row>
    <row r="15" spans="1:14" x14ac:dyDescent="0.25">
      <c r="A15" s="12" t="s">
        <v>13</v>
      </c>
      <c r="B15" s="13">
        <v>34.770000000000003</v>
      </c>
      <c r="C15" s="13">
        <v>61.75</v>
      </c>
      <c r="D15" s="13">
        <v>98.42</v>
      </c>
      <c r="E15" s="13">
        <v>177.12</v>
      </c>
      <c r="F15" s="13">
        <v>153.18</v>
      </c>
      <c r="G15" s="13">
        <v>98.42</v>
      </c>
      <c r="H15" s="13">
        <v>177.12</v>
      </c>
      <c r="I15" s="13">
        <v>153.18</v>
      </c>
      <c r="J15" s="13">
        <v>98.42</v>
      </c>
      <c r="K15" s="13">
        <v>177.12</v>
      </c>
      <c r="L15" s="13">
        <v>428.72</v>
      </c>
      <c r="M15" s="13">
        <v>153.18</v>
      </c>
      <c r="N15" s="13">
        <v>1811.4</v>
      </c>
    </row>
    <row r="16" spans="1:14" x14ac:dyDescent="0.25">
      <c r="A16" s="11" t="s">
        <v>32</v>
      </c>
      <c r="B16" s="13">
        <v>257.14</v>
      </c>
      <c r="C16" s="13">
        <v>289.62</v>
      </c>
      <c r="D16" s="13">
        <v>423.75000000000006</v>
      </c>
      <c r="E16" s="13">
        <v>472.38</v>
      </c>
      <c r="F16" s="13">
        <v>595.93000000000006</v>
      </c>
      <c r="G16" s="13">
        <v>514.45999999999992</v>
      </c>
      <c r="H16" s="13">
        <v>474.72</v>
      </c>
      <c r="I16" s="13">
        <v>595.93000000000006</v>
      </c>
      <c r="J16" s="13">
        <v>513.42999999999995</v>
      </c>
      <c r="K16" s="13">
        <v>474.72</v>
      </c>
      <c r="L16" s="13">
        <v>1585.11</v>
      </c>
      <c r="M16" s="13">
        <v>595.93000000000006</v>
      </c>
      <c r="N16" s="13">
        <v>6793.1200000000008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/>
  </sheetViews>
  <sheetFormatPr defaultRowHeight="15" x14ac:dyDescent="0.25"/>
  <cols>
    <col min="1" max="1" width="17.453125" style="14" customWidth="1"/>
    <col min="2" max="2" width="27.81640625" style="14" customWidth="1"/>
    <col min="3" max="3" width="11.81640625" style="15" customWidth="1"/>
    <col min="4" max="4" width="15.7265625" style="16" customWidth="1"/>
    <col min="5" max="5" width="17.1796875" style="2" customWidth="1"/>
    <col min="6" max="6" width="14.54296875" style="16" customWidth="1"/>
    <col min="7" max="7" width="15.26953125" style="16" customWidth="1"/>
    <col min="8" max="8" width="15" style="16" customWidth="1"/>
    <col min="9" max="9" width="15.6328125" style="18" customWidth="1"/>
    <col min="10" max="10" width="1.81640625" customWidth="1"/>
    <col min="11" max="11" width="18.08984375" customWidth="1"/>
    <col min="12" max="12" width="11.453125" customWidth="1"/>
  </cols>
  <sheetData>
    <row r="1" spans="1:11" ht="15.6" x14ac:dyDescent="0.25">
      <c r="A1" s="2" t="s">
        <v>17</v>
      </c>
      <c r="B1" s="2" t="s">
        <v>22</v>
      </c>
      <c r="C1" s="2" t="s">
        <v>50</v>
      </c>
      <c r="D1" s="4" t="s">
        <v>51</v>
      </c>
      <c r="E1" s="2" t="s">
        <v>52</v>
      </c>
      <c r="F1" s="4" t="s">
        <v>53</v>
      </c>
      <c r="G1" s="4" t="s">
        <v>56</v>
      </c>
      <c r="H1" s="4" t="s">
        <v>54</v>
      </c>
      <c r="I1" s="18" t="s">
        <v>55</v>
      </c>
      <c r="K1" s="9" t="s">
        <v>57</v>
      </c>
    </row>
    <row r="2" spans="1:11" ht="15.6" x14ac:dyDescent="0.25">
      <c r="A2" s="14" t="s">
        <v>4</v>
      </c>
      <c r="B2" s="14" t="str">
        <f>VLOOKUP(TblCarteira[[#This Row],[Ativo]], 'Tabela Ativos'!$B$4:$D$500, 2, FALSE)</f>
        <v>EMPRESA</v>
      </c>
      <c r="C2" s="15">
        <f>VLOOKUP(TblCarteira[[#This Row],[Ativo]], 'Tabela Ativos'!$B$4:$D$500, 3, FALSE)</f>
        <v>13.82</v>
      </c>
      <c r="D2" s="16">
        <f ca="1">SUMIFS(TblAportes[Total], TblAportes[Ativo],TblCarteira[[#This Row],[Ativo]], TblAportes[Data], "&lt;="&amp;IF($K$2 = "", TODAY(), $K$2))</f>
        <v>4371</v>
      </c>
      <c r="E2" s="2">
        <f ca="1">SUMIFS(TblAportes[Quantidade], TblAportes[Ativo],TblCarteira[[#This Row],[Ativo]], TblAportes[Data], "&lt;="&amp;IF($K$2 = "", TODAY(), $K$2))</f>
        <v>300</v>
      </c>
      <c r="F2" s="16">
        <f ca="1">(TblCarteira[[#This Row],[Total Aportado]] / TblCarteira[[#This Row],[Total Quantidade]])</f>
        <v>14.57</v>
      </c>
      <c r="G2" s="16">
        <f ca="1">(TblCarteira[[#This Row],[Total Quantidade]] * TblCarteira[[#This Row],[Cotação]])</f>
        <v>4146</v>
      </c>
      <c r="H2" s="17">
        <f ca="1">(TblCarteira[[#This Row],[Total Atual]] - TblCarteira[[#This Row],[Total Aportado]])</f>
        <v>-225</v>
      </c>
      <c r="I2" s="18">
        <f ca="1">(TblCarteira[[#This Row],[Total Atual]] / TblCarteira[[#This Row],[Total Aportado]]) -1</f>
        <v>-5.1475634866163356E-2</v>
      </c>
      <c r="K2" s="19"/>
    </row>
    <row r="3" spans="1:11" ht="15.6" x14ac:dyDescent="0.25">
      <c r="A3" s="14" t="s">
        <v>6</v>
      </c>
      <c r="B3" s="14" t="str">
        <f>VLOOKUP(TblCarteira[[#This Row],[Ativo]], 'Tabela Ativos'!$B$4:$D$500, 2, FALSE)</f>
        <v>EMPRESA</v>
      </c>
      <c r="C3" s="15">
        <f>VLOOKUP(TblCarteira[[#This Row],[Ativo]], 'Tabela Ativos'!$B$4:$D$500, 3, FALSE)</f>
        <v>15.8</v>
      </c>
      <c r="D3" s="16">
        <f ca="1">SUMIFS(TblAportes[Total], TblAportes[Ativo],TblCarteira[[#This Row],[Ativo]], TblAportes[Data], "&lt;="&amp;IF($K$2 = "", TODAY(), $K$2))</f>
        <v>14163</v>
      </c>
      <c r="E3" s="2">
        <f ca="1">SUMIFS(TblAportes[Quantidade], TblAportes[Ativo],TblCarteira[[#This Row],[Ativo]], TblAportes[Data], "&lt;="&amp;IF($K$2 = "", TODAY(), $K$2))</f>
        <v>200</v>
      </c>
      <c r="F3" s="16">
        <f ca="1">(TblCarteira[[#This Row],[Total Aportado]] / TblCarteira[[#This Row],[Total Quantidade]])</f>
        <v>70.814999999999998</v>
      </c>
      <c r="G3" s="16">
        <f ca="1">(TblCarteira[[#This Row],[Total Quantidade]] * TblCarteira[[#This Row],[Cotação]])</f>
        <v>3160</v>
      </c>
      <c r="H3" s="17">
        <f ca="1">(TblCarteira[[#This Row],[Total Atual]] - TblCarteira[[#This Row],[Total Aportado]])</f>
        <v>-11003</v>
      </c>
      <c r="I3" s="18">
        <f ca="1">(TblCarteira[[#This Row],[Total Atual]] / TblCarteira[[#This Row],[Total Aportado]]) -1</f>
        <v>-0.77688342865212179</v>
      </c>
    </row>
    <row r="4" spans="1:11" ht="15.6" x14ac:dyDescent="0.25">
      <c r="A4" s="14" t="s">
        <v>7</v>
      </c>
      <c r="B4" s="14" t="str">
        <f>VLOOKUP(TblCarteira[[#This Row],[Ativo]], 'Tabela Ativos'!$B$4:$D$500, 2, FALSE)</f>
        <v>EMPRESA</v>
      </c>
      <c r="C4" s="15">
        <f>VLOOKUP(TblCarteira[[#This Row],[Ativo]], 'Tabela Ativos'!$B$4:$D$500, 3, FALSE)</f>
        <v>9.9</v>
      </c>
      <c r="D4" s="16">
        <f ca="1">SUMIFS(TblAportes[Total], TblAportes[Ativo],TblCarteira[[#This Row],[Ativo]], TblAportes[Data], "&lt;="&amp;IF($K$2 = "", TODAY(), $K$2))</f>
        <v>3894</v>
      </c>
      <c r="E4" s="2">
        <f ca="1">SUMIFS(TblAportes[Quantidade], TblAportes[Ativo],TblCarteira[[#This Row],[Ativo]], TblAportes[Data], "&lt;="&amp;IF($K$2 = "", TODAY(), $K$2))</f>
        <v>300</v>
      </c>
      <c r="F4" s="16">
        <f ca="1">(TblCarteira[[#This Row],[Total Aportado]] / TblCarteira[[#This Row],[Total Quantidade]])</f>
        <v>12.98</v>
      </c>
      <c r="G4" s="16">
        <f ca="1">(TblCarteira[[#This Row],[Total Quantidade]] * TblCarteira[[#This Row],[Cotação]])</f>
        <v>2970</v>
      </c>
      <c r="H4" s="17">
        <f ca="1">(TblCarteira[[#This Row],[Total Atual]] - TblCarteira[[#This Row],[Total Aportado]])</f>
        <v>-924</v>
      </c>
      <c r="I4" s="18">
        <f ca="1">(TblCarteira[[#This Row],[Total Atual]] / TblCarteira[[#This Row],[Total Aportado]]) -1</f>
        <v>-0.23728813559322037</v>
      </c>
    </row>
    <row r="5" spans="1:11" ht="15.6" x14ac:dyDescent="0.25">
      <c r="A5" s="14" t="s">
        <v>8</v>
      </c>
      <c r="B5" s="14" t="str">
        <f>VLOOKUP(TblCarteira[[#This Row],[Ativo]], 'Tabela Ativos'!$B$4:$D$500, 2, FALSE)</f>
        <v>EMPRESA</v>
      </c>
      <c r="C5" s="15">
        <f>VLOOKUP(TblCarteira[[#This Row],[Ativo]], 'Tabela Ativos'!$B$4:$D$500, 3, FALSE)</f>
        <v>31</v>
      </c>
      <c r="D5" s="16">
        <f ca="1">SUMIFS(TblAportes[Total], TblAportes[Ativo],TblCarteira[[#This Row],[Ativo]], TblAportes[Data], "&lt;="&amp;IF($K$2 = "", TODAY(), $K$2))</f>
        <v>7527</v>
      </c>
      <c r="E5" s="2">
        <f ca="1">SUMIFS(TblAportes[Quantidade], TblAportes[Ativo],TblCarteira[[#This Row],[Ativo]], TblAportes[Data], "&lt;="&amp;IF($K$2 = "", TODAY(), $K$2))</f>
        <v>400</v>
      </c>
      <c r="F5" s="16">
        <f ca="1">(TblCarteira[[#This Row],[Total Aportado]] / TblCarteira[[#This Row],[Total Quantidade]])</f>
        <v>18.817499999999999</v>
      </c>
      <c r="G5" s="16">
        <f ca="1">(TblCarteira[[#This Row],[Total Quantidade]] * TblCarteira[[#This Row],[Cotação]])</f>
        <v>12400</v>
      </c>
      <c r="H5" s="17">
        <f ca="1">(TblCarteira[[#This Row],[Total Atual]] - TblCarteira[[#This Row],[Total Aportado]])</f>
        <v>4873</v>
      </c>
      <c r="I5" s="18">
        <f ca="1">(TblCarteira[[#This Row],[Total Atual]] / TblCarteira[[#This Row],[Total Aportado]]) -1</f>
        <v>0.64740268367211362</v>
      </c>
    </row>
    <row r="6" spans="1:11" ht="15.6" x14ac:dyDescent="0.25">
      <c r="A6" s="14" t="s">
        <v>9</v>
      </c>
      <c r="B6" s="14" t="str">
        <f>VLOOKUP(TblCarteira[[#This Row],[Ativo]], 'Tabela Ativos'!$B$4:$D$500, 2, FALSE)</f>
        <v>Fundo Investimento Imobiliario</v>
      </c>
      <c r="C6" s="15">
        <f>VLOOKUP(TblCarteira[[#This Row],[Ativo]], 'Tabela Ativos'!$B$4:$D$500, 3, FALSE)</f>
        <v>223.79</v>
      </c>
      <c r="D6" s="16">
        <f ca="1">SUMIFS(TblAportes[Total], TblAportes[Ativo],TblCarteira[[#This Row],[Ativo]], TblAportes[Data], "&lt;="&amp;IF($K$2 = "", TODAY(), $K$2))</f>
        <v>199.11</v>
      </c>
      <c r="E6" s="2">
        <f ca="1">SUMIFS(TblAportes[Quantidade], TblAportes[Ativo],TblCarteira[[#This Row],[Ativo]], TblAportes[Data], "&lt;="&amp;IF($K$2 = "", TODAY(), $K$2))</f>
        <v>9</v>
      </c>
      <c r="F6" s="16">
        <f ca="1">(TblCarteira[[#This Row],[Total Aportado]] / TblCarteira[[#This Row],[Total Quantidade]])</f>
        <v>22.123333333333335</v>
      </c>
      <c r="G6" s="16">
        <f ca="1">(TblCarteira[[#This Row],[Total Quantidade]] * TblCarteira[[#This Row],[Cotação]])</f>
        <v>2014.11</v>
      </c>
      <c r="H6" s="17">
        <f ca="1">(TblCarteira[[#This Row],[Total Atual]] - TblCarteira[[#This Row],[Total Aportado]])</f>
        <v>1815</v>
      </c>
      <c r="I6" s="18">
        <f ca="1">(TblCarteira[[#This Row],[Total Atual]] / TblCarteira[[#This Row],[Total Aportado]]) -1</f>
        <v>9.1155642609612766</v>
      </c>
    </row>
    <row r="7" spans="1:11" ht="15.6" x14ac:dyDescent="0.25">
      <c r="A7" s="14" t="s">
        <v>11</v>
      </c>
      <c r="B7" s="14" t="str">
        <f>VLOOKUP(TblCarteira[[#This Row],[Ativo]], 'Tabela Ativos'!$B$4:$D$500, 2, FALSE)</f>
        <v>Fundo Investimento Imobiliario</v>
      </c>
      <c r="C7" s="15">
        <f>VLOOKUP(TblCarteira[[#This Row],[Ativo]], 'Tabela Ativos'!$B$4:$D$500, 3, FALSE)</f>
        <v>164.64</v>
      </c>
      <c r="D7" s="16">
        <f ca="1">SUMIFS(TblAportes[Total], TblAportes[Ativo],TblCarteira[[#This Row],[Ativo]], TblAportes[Data], "&lt;="&amp;IF($K$2 = "", TODAY(), $K$2))</f>
        <v>966.86</v>
      </c>
      <c r="E7" s="2">
        <f ca="1">SUMIFS(TblAportes[Quantidade], TblAportes[Ativo],TblCarteira[[#This Row],[Ativo]], TblAportes[Data], "&lt;="&amp;IF($K$2 = "", TODAY(), $K$2))</f>
        <v>17</v>
      </c>
      <c r="F7" s="16">
        <f ca="1">(TblCarteira[[#This Row],[Total Aportado]] / TblCarteira[[#This Row],[Total Quantidade]])</f>
        <v>56.874117647058824</v>
      </c>
      <c r="G7" s="16">
        <f ca="1">(TblCarteira[[#This Row],[Total Quantidade]] * TblCarteira[[#This Row],[Cotação]])</f>
        <v>2798.8799999999997</v>
      </c>
      <c r="H7" s="17">
        <f ca="1">(TblCarteira[[#This Row],[Total Atual]] - TblCarteira[[#This Row],[Total Aportado]])</f>
        <v>1832.0199999999995</v>
      </c>
      <c r="I7" s="18">
        <f ca="1">(TblCarteira[[#This Row],[Total Atual]] / TblCarteira[[#This Row],[Total Aportado]]) -1</f>
        <v>1.8948141406201513</v>
      </c>
    </row>
    <row r="8" spans="1:11" ht="15.6" x14ac:dyDescent="0.25">
      <c r="A8" s="14" t="s">
        <v>12</v>
      </c>
      <c r="B8" s="14" t="str">
        <f>VLOOKUP(TblCarteira[[#This Row],[Ativo]], 'Tabela Ativos'!$B$4:$D$500, 2, FALSE)</f>
        <v>Fundo Investimento Imobiliario</v>
      </c>
      <c r="C8" s="15">
        <f>VLOOKUP(TblCarteira[[#This Row],[Ativo]], 'Tabela Ativos'!$B$4:$D$500, 3, FALSE)</f>
        <v>139.32</v>
      </c>
      <c r="D8" s="16">
        <f ca="1">SUMIFS(TblAportes[Total], TblAportes[Ativo],TblCarteira[[#This Row],[Ativo]], TblAportes[Data], "&lt;="&amp;IF($K$2 = "", TODAY(), $K$2))</f>
        <v>359.81</v>
      </c>
      <c r="E8" s="2">
        <f ca="1">SUMIFS(TblAportes[Quantidade], TblAportes[Ativo],TblCarteira[[#This Row],[Ativo]], TblAportes[Data], "&lt;="&amp;IF($K$2 = "", TODAY(), $K$2))</f>
        <v>19</v>
      </c>
      <c r="F8" s="16">
        <f ca="1">(TblCarteira[[#This Row],[Total Aportado]] / TblCarteira[[#This Row],[Total Quantidade]])</f>
        <v>18.937368421052632</v>
      </c>
      <c r="G8" s="16">
        <f ca="1">(TblCarteira[[#This Row],[Total Quantidade]] * TblCarteira[[#This Row],[Cotação]])</f>
        <v>2647.08</v>
      </c>
      <c r="H8" s="17">
        <f ca="1">(TblCarteira[[#This Row],[Total Atual]] - TblCarteira[[#This Row],[Total Aportado]])</f>
        <v>2287.27</v>
      </c>
      <c r="I8" s="18">
        <f ca="1">(TblCarteira[[#This Row],[Total Atual]] / TblCarteira[[#This Row],[Total Aportado]]) -1</f>
        <v>6.3568827992551622</v>
      </c>
    </row>
    <row r="9" spans="1:11" ht="15.6" x14ac:dyDescent="0.25">
      <c r="A9" s="14" t="s">
        <v>13</v>
      </c>
      <c r="B9" s="14" t="str">
        <f>VLOOKUP(TblCarteira[[#This Row],[Ativo]], 'Tabela Ativos'!$B$4:$D$500, 2, FALSE)</f>
        <v>Fundo Investimento Imobiliario</v>
      </c>
      <c r="C9" s="15">
        <f>VLOOKUP(TblCarteira[[#This Row],[Ativo]], 'Tabela Ativos'!$B$4:$D$500, 3, FALSE)</f>
        <v>162.09</v>
      </c>
      <c r="D9" s="16">
        <f ca="1">SUMIFS(TblAportes[Total], TblAportes[Ativo],TblCarteira[[#This Row],[Ativo]], TblAportes[Data], "&lt;="&amp;IF($K$2 = "", TODAY(), $K$2))</f>
        <v>458.22</v>
      </c>
      <c r="E9" s="2">
        <f ca="1">SUMIFS(TblAportes[Quantidade], TblAportes[Ativo],TblCarteira[[#This Row],[Ativo]], TblAportes[Data], "&lt;="&amp;IF($K$2 = "", TODAY(), $K$2))</f>
        <v>18</v>
      </c>
      <c r="F9" s="16">
        <f ca="1">(TblCarteira[[#This Row],[Total Aportado]] / TblCarteira[[#This Row],[Total Quantidade]])</f>
        <v>25.456666666666667</v>
      </c>
      <c r="G9" s="16">
        <f ca="1">(TblCarteira[[#This Row],[Total Quantidade]] * TblCarteira[[#This Row],[Cotação]])</f>
        <v>2917.62</v>
      </c>
      <c r="H9" s="17">
        <f ca="1">(TblCarteira[[#This Row],[Total Atual]] - TblCarteira[[#This Row],[Total Aportado]])</f>
        <v>2459.3999999999996</v>
      </c>
      <c r="I9" s="18">
        <f ca="1">(TblCarteira[[#This Row],[Total Atual]] / TblCarteira[[#This Row],[Total Aportado]]) -1</f>
        <v>5.367290821003011</v>
      </c>
    </row>
    <row r="10" spans="1:11" ht="15.6" x14ac:dyDescent="0.25">
      <c r="A10" s="14" t="s">
        <v>15</v>
      </c>
      <c r="B10" s="14" t="str">
        <f>VLOOKUP(TblCarteira[[#This Row],[Ativo]], 'Tabela Ativos'!$B$4:$D$500, 2, FALSE)</f>
        <v>EMPRESA</v>
      </c>
      <c r="C10" s="15">
        <f>VLOOKUP(TblCarteira[[#This Row],[Ativo]], 'Tabela Ativos'!$B$4:$D$500, 3, FALSE)</f>
        <v>12.14</v>
      </c>
      <c r="D10" s="16">
        <f ca="1">SUMIFS(TblAportes[Total], TblAportes[Ativo],TblCarteira[[#This Row],[Ativo]], TblAportes[Data], "&lt;="&amp;IF($K$2 = "", TODAY(), $K$2))</f>
        <v>4114</v>
      </c>
      <c r="E10" s="2">
        <f ca="1">SUMIFS(TblAportes[Quantidade], TblAportes[Ativo],TblCarteira[[#This Row],[Ativo]], TblAportes[Data], "&lt;="&amp;IF($K$2 = "", TODAY(), $K$2))</f>
        <v>200</v>
      </c>
      <c r="F10" s="16">
        <f ca="1">(TblCarteira[[#This Row],[Total Aportado]] / TblCarteira[[#This Row],[Total Quantidade]])</f>
        <v>20.57</v>
      </c>
      <c r="G10" s="16">
        <f ca="1">(TblCarteira[[#This Row],[Total Quantidade]] * TblCarteira[[#This Row],[Cotação]])</f>
        <v>2428</v>
      </c>
      <c r="H10" s="17">
        <f ca="1">(TblCarteira[[#This Row],[Total Atual]] - TblCarteira[[#This Row],[Total Aportado]])</f>
        <v>-1686</v>
      </c>
      <c r="I10" s="18">
        <f ca="1">(TblCarteira[[#This Row],[Total Atual]] / TblCarteira[[#This Row],[Total Aportado]]) -1</f>
        <v>-0.40982012639766652</v>
      </c>
    </row>
    <row r="11" spans="1:11" ht="15.6" x14ac:dyDescent="0.25">
      <c r="A11" s="14" t="s">
        <v>21</v>
      </c>
      <c r="D11" s="16">
        <f ca="1">SUBTOTAL(109,TblCarteira[Total Aportado])</f>
        <v>36053</v>
      </c>
      <c r="F11" s="15"/>
      <c r="G11" s="16">
        <f ca="1">SUBTOTAL(109,TblCarteira[Total Atual])</f>
        <v>35481.69</v>
      </c>
      <c r="H11" s="17">
        <f ca="1">SUBTOTAL(109,TblCarteira[Valorização])</f>
        <v>-571.31000000000085</v>
      </c>
    </row>
  </sheetData>
  <conditionalFormatting sqref="I2:I10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Tabela Ativos</vt:lpstr>
      <vt:lpstr>Tabela Aportes</vt:lpstr>
      <vt:lpstr>Tabela Proventos</vt:lpstr>
      <vt:lpstr>Relatorio Aportes</vt:lpstr>
      <vt:lpstr>Relatorio Proventos</vt:lpstr>
      <vt:lpstr>Relatorio Carteira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2023-07-26T13:16:24Z</dcterms:modified>
</cp:coreProperties>
</file>