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 firstSheet="2" activeTab="7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  <sheet name="Dashboard Auxiliar" sheetId="11" r:id="rId7"/>
    <sheet name="Dashboard" sheetId="10" r:id="rId8"/>
  </sheets>
  <definedNames>
    <definedName name="pubhtml" localSheetId="0">'Tabela Ativos'!$A$1:$D$13</definedName>
  </definedNames>
  <calcPr calcId="152511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1" l="1"/>
  <c r="B9" i="11"/>
  <c r="H1" i="10" l="1"/>
  <c r="E2" i="9" l="1"/>
  <c r="E3" i="9"/>
  <c r="E4" i="9"/>
  <c r="E5" i="9"/>
  <c r="E6" i="9"/>
  <c r="E7" i="9"/>
  <c r="E8" i="9"/>
  <c r="E9" i="9"/>
  <c r="E10" i="9"/>
  <c r="D2" i="9"/>
  <c r="D3" i="9"/>
  <c r="F3" i="9" s="1"/>
  <c r="D4" i="9"/>
  <c r="F4" i="9" s="1"/>
  <c r="D5" i="9"/>
  <c r="F5" i="9" s="1"/>
  <c r="D6" i="9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F5" i="11" l="1"/>
  <c r="H5" i="11"/>
  <c r="F6" i="9"/>
  <c r="G5" i="11"/>
  <c r="B12" i="11" s="1"/>
  <c r="B8" i="10" s="1"/>
  <c r="F2" i="9"/>
  <c r="D11" i="9"/>
  <c r="G10" i="9"/>
  <c r="G9" i="9"/>
  <c r="G8" i="9"/>
  <c r="G7" i="9"/>
  <c r="G6" i="9"/>
  <c r="G6" i="11" s="1"/>
  <c r="E13" i="11" s="1"/>
  <c r="G5" i="9"/>
  <c r="G4" i="9"/>
  <c r="G3" i="9"/>
  <c r="G2" i="9"/>
  <c r="F6" i="11" s="1"/>
  <c r="E11" i="11" s="1"/>
  <c r="H10" i="9"/>
  <c r="H9" i="9"/>
  <c r="H8" i="9"/>
  <c r="H7" i="9"/>
  <c r="H6" i="9"/>
  <c r="G7" i="11" s="1"/>
  <c r="H5" i="9"/>
  <c r="H4" i="9"/>
  <c r="H3" i="9"/>
  <c r="H2" i="9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G8" i="11" l="1"/>
  <c r="H7" i="11"/>
  <c r="F7" i="11"/>
  <c r="B14" i="11" s="1"/>
  <c r="B11" i="10" s="1"/>
  <c r="G11" i="9"/>
  <c r="H6" i="11"/>
  <c r="F8" i="11" s="1"/>
  <c r="H11" i="9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B13" i="11" l="1"/>
  <c r="B5" i="10" s="1"/>
  <c r="H8" i="11"/>
  <c r="B15" i="11" s="1"/>
  <c r="B14" i="10" s="1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<sst xmlns="http://schemas.openxmlformats.org/spreadsheetml/2006/main" count="249" uniqueCount="73">
  <si>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</si>
  <si>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</si>
  <si>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</si>
  <si>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</si>
  <si>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</si>
  <si>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</si>
  <si>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</si>
  <si>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</si>
  <si>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</si>
  <si>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</si>
  <si>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</si>
  <si>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</si>
  <si>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</si>
  <si>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</si>
  <si>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</si>
  <si>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</si>
  <si>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</si>
  <si>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</si>
  <si>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</si>
  <si>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</si>
  <si>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</si>
  <si>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</si>
  <si>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</si>
  <si>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</si>
  <si>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</si>
  <si>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</si>
  <si>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</si>
  <si>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</si>
  <si>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</si>
  <si>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</si>
  <si>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</si>
  <si>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</si>
  <si>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</si>
  <si>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</si>
  <si>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</si>
  <si>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</si>
  <si>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</si>
  <si>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</si>
  <si>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</si>
  <si>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</si>
  <si>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</si>
  <si>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</si>
  <si>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</si>
  <si>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</si>
  <si>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</si>
  <si>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</si>
  <si>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</si>
  <si>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</si>
  <si>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</si>
  <si>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</si>
  <si>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</si>
  <si>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</si>
  <si>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</si>
  <si>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</si>
  <si>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</si>
  <si>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</si>
  <si>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</si>
  <si>
    <t>Carteira Atual</t>
  </si>
  <si>
    <t>Caixa:</t>
  </si>
  <si>
    <t>Até:</t>
  </si>
  <si>
    <t>Valores para Caixa de Combinação</t>
  </si>
  <si>
    <t>Entradas do Usuário</t>
  </si>
  <si>
    <t>Caixa de Combinação</t>
  </si>
  <si>
    <t>Valor em Caixa</t>
  </si>
  <si>
    <t>AÇÕES</t>
  </si>
  <si>
    <t>FUNDOS IMOBILIÁRIOS</t>
  </si>
  <si>
    <t>TUDO</t>
  </si>
  <si>
    <t>Matriz Auxiliar: Somatório por Tipo de Ativo</t>
  </si>
  <si>
    <t>FUNDO INVESTIMENTO IMOBILIARIO</t>
  </si>
  <si>
    <t>FUNDOS INVESTIMENTO IMOBILIARIO</t>
  </si>
  <si>
    <t>Indicadores Chave de Desempenho (kpi´s)</t>
  </si>
  <si>
    <t>Gráfico Rosca: Composição do Patrimônio</t>
  </si>
  <si>
    <t>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</si>
</sst>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66" formatCode="&quot;R$&quot;\ #,##0.00;[Red]\-&quot;R$&quot;\ #,##0.00"/>
  </numFmts>
  <fonts count="11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8" fillId="4" borderId="5" xfId="0" applyFont="1" applyFill="1" applyBorder="1" applyAlignment="1">
      <alignment horizontal="left" vertical="center"/>
    </xf>
    <xf numFmtId="14" fontId="8" fillId="4" borderId="3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0" fillId="4" borderId="7" xfId="0" applyFont="1" applyFill="1" applyBorder="1"/>
    <xf numFmtId="166" fontId="9" fillId="5" borderId="3" xfId="0" applyNumberFormat="1" applyFont="1" applyFill="1" applyBorder="1" applyAlignment="1">
      <alignment horizontal="center" vertical="center"/>
    </xf>
    <xf numFmtId="10" fontId="7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6" borderId="0" xfId="0" applyFill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0" fontId="0" fillId="0" borderId="0" xfId="0" applyNumberFormat="1"/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5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numFmt numFmtId="14" formatCode="0.00%"/>
    </dxf>
    <dxf>
      <font>
        <color rgb="FFFF0000"/>
      </font>
      <numFmt numFmtId="14" formatCode="0.00%"/>
    </dxf>
    <dxf>
      <font>
        <color rgb="FFFF0000"/>
      </font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&quot;R$&quot;\ #,##0.00;[Red]\-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0000"/>
      </font>
      <numFmt numFmtId="14" formatCode="0.00%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Composição do Patrimônio</a:t>
            </a:r>
          </a:p>
        </c:rich>
      </c:tx>
      <c:layout>
        <c:manualLayout>
          <c:xMode val="edge"/>
          <c:yMode val="edge"/>
          <c:x val="0.25218188125486807"/>
          <c:y val="1.9700551615445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AE0BE34-C8A9-4077-8C79-B7DCB154BFF4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 baseline="0"/>
                  </a:p>
                  <a:p>
                    <a:fld id="{33AD7144-408A-4740-8F91-CA2DF9F960D3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6E8729A-A237-4F40-BFCE-EDFB601BE3CF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'Dashboard Auxiliar'!$D$11:$D$13</c:f>
              <c:strCache>
                <c:ptCount val="3"/>
                <c:pt idx="0">
                  <c:v>AÇÕES</c:v>
                </c:pt>
                <c:pt idx="1">
                  <c:v>CAIXA</c:v>
                </c:pt>
                <c:pt idx="2">
                  <c:v>FUNDO INVESTIMENTO IMOBILIARIO</c:v>
                </c:pt>
              </c:strCache>
            </c:strRef>
          </c:cat>
          <c:val>
            <c:numRef>
              <c:f>'Dashboard Auxiliar'!$E$11:$E$13</c:f>
              <c:numCache>
                <c:formatCode>"R$"\ #,##0.00;[Red]\-"R$"\ #,##0.00</c:formatCode>
                <c:ptCount val="3"/>
                <c:pt idx="0">
                  <c:v>24368</c:v>
                </c:pt>
                <c:pt idx="1">
                  <c:v>10000</c:v>
                </c:pt>
                <c:pt idx="2">
                  <c:v>10372.050000000001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1"/>
        <c:holeSize val="54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8575">
      <a:solidFill>
        <a:schemeClr val="accent1">
          <a:lumMod val="50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0" fmlaLink="'Dashboard Auxiliar'!$B$8" fmlaRange="'Dashboard Auxiliar'!$B$3:$B$5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7620</xdr:rowOff>
        </xdr:from>
        <xdr:to>
          <xdr:col>2</xdr:col>
          <xdr:colOff>7620</xdr:colOff>
          <xdr:row>1</xdr:row>
          <xdr:rowOff>7620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121920</xdr:colOff>
      <xdr:row>2</xdr:row>
      <xdr:rowOff>53340</xdr:rowOff>
    </xdr:from>
    <xdr:to>
      <xdr:col>4</xdr:col>
      <xdr:colOff>1493520</xdr:colOff>
      <xdr:row>13</xdr:row>
      <xdr:rowOff>457200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5.406619791669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5.40662060185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47"/>
    <tableColumn id="2" name="Ativo" dataDxfId="46"/>
    <tableColumn id="3" name="Quantidade" dataDxfId="45"/>
    <tableColumn id="4" name="Valor Unitário" dataDxfId="44"/>
    <tableColumn id="5" name="Custo" dataDxfId="43"/>
    <tableColumn id="6" name="Total" dataDxfId="42">
      <calculatedColumnFormula>(TblAportes[[#This Row],[Valor Unitário]] * TblAportes[[#This Row],[Quantidade]]) + TblAportes[[#This Row],[Custo]]</calculatedColumnFormula>
    </tableColumn>
    <tableColumn id="7" name="Tipo" dataDxfId="41">
      <calculatedColumnFormula>VLOOKUP(TblAportes[[#This Row],[Ativo]], 'Tabela Ativos'!$B$4:$D$500, 2, FALSE)</calculatedColumnFormula>
    </tableColumn>
    <tableColumn id="8" name="Ano" dataDxfId="40">
      <calculatedColumnFormula>YEAR(TblAportes[[#This Row],[Data]])</calculatedColumnFormula>
    </tableColumn>
    <tableColumn id="9" name="Mês" dataDxfId="39">
      <calculatedColumnFormula>MONTH(TblAportes[[#This Row],[Data]])</calculatedColumnFormula>
    </tableColumn>
    <tableColumn id="10" name="Ano/Mês" dataDxfId="38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37" dataDxfId="36">
  <autoFilter ref="A1:I72"/>
  <tableColumns count="9">
    <tableColumn id="1" name="Codigo" dataDxfId="35"/>
    <tableColumn id="2" name="Ativo" dataDxfId="34"/>
    <tableColumn id="3" name="Quantidade" dataDxfId="33"/>
    <tableColumn id="4" name="Valor Bruto" dataDxfId="32"/>
    <tableColumn id="5" name="IR" dataDxfId="31"/>
    <tableColumn id="6" name="Valor Liquido" dataDxfId="30"/>
    <tableColumn id="7" name="Data" dataDxfId="29"/>
    <tableColumn id="8" name="Ano/Mês" dataDxfId="28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27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25" dataDxfId="24">
  <autoFilter ref="A1:I10"/>
  <tableColumns count="9">
    <tableColumn id="1" name="Ativo" totalsRowLabel="Total" dataDxfId="23" totalsRowDxfId="22"/>
    <tableColumn id="2" name="Tipo" dataDxfId="21" totalsRowDxfId="20">
      <calculatedColumnFormula>VLOOKUP(TblCarteira[[#This Row],[Ativo]], 'Tabela Ativos'!$B$4:$D$500, 2, FALSE)</calculatedColumnFormula>
    </tableColumn>
    <tableColumn id="3" name="Cotação" dataDxfId="19" totalsRowDxfId="18">
      <calculatedColumnFormula>VLOOKUP(TblCarteira[[#This Row],[Ativo]], 'Tabela Ativos'!$B$4:$D$500, 3, FALSE)</calculatedColumnFormula>
    </tableColumn>
    <tableColumn id="4" name="Total Aportado" totalsRowFunction="sum" dataDxfId="17" totalsRowDxfId="16">
      <calculatedColumnFormula>SUMIFS(TblAportes[Total], TblAportes[Ativo],TblCarteira[[#This Row],[Ativo]], TblAportes[Data], "&lt;="&amp;IF($K$2 = "", TODAY(), $K$2))</calculatedColumnFormula>
    </tableColumn>
    <tableColumn id="5" name="Total Quantidade" dataDxfId="15" totalsRowDxfId="14">
      <calculatedColumnFormula>SUMIFS(TblAportes[Quantidade], TblAportes[Ativo],TblCarteira[[#This Row],[Ativo]], TblAportes[Data], "&lt;="&amp;IF($K$2 = "", TODAY(), $K$2))</calculatedColumnFormula>
    </tableColumn>
    <tableColumn id="6" name="Preço Médio" dataDxfId="13" totalsRowDxfId="12">
      <calculatedColumnFormula>(TblCarteira[[#This Row],[Total Aportado]] / TblCarteira[[#This Row],[Total Quantidade]])</calculatedColumnFormula>
    </tableColumn>
    <tableColumn id="7" name="Total Atual" totalsRowFunction="sum" dataDxfId="11" totalsRowDxfId="10">
      <calculatedColumnFormula>(TblCarteira[[#This Row],[Total Quantidade]] * TblCarteira[[#This Row],[Cotação]])</calculatedColumnFormula>
    </tableColumn>
    <tableColumn id="8" name="Valorização" totalsRowFunction="sum" dataDxfId="9" totalsRowDxfId="8">
      <calculatedColumnFormula>(TblCarteira[[#This Row],[Total Atual]] - TblCarteira[[#This Row],[Total Aportado]])</calculatedColumnFormula>
    </tableColumn>
    <tableColumn id="9" name="Valorização (%)" dataDxfId="7" totalsRowDxfId="6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36.8164062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13.76</v>
      </c>
    </row>
    <row r="5" spans="1:4" x14ac:dyDescent="0.25">
      <c r="A5">
        <v>3</v>
      </c>
      <c r="B5" t="s">
        <v>6</v>
      </c>
      <c r="C5" t="s">
        <v>5</v>
      </c>
      <c r="D5">
        <v>15.82</v>
      </c>
    </row>
    <row r="6" spans="1:4" x14ac:dyDescent="0.25">
      <c r="A6">
        <v>4</v>
      </c>
      <c r="B6" t="s">
        <v>7</v>
      </c>
      <c r="C6" t="s">
        <v>5</v>
      </c>
      <c r="D6">
        <v>9.68</v>
      </c>
    </row>
    <row r="7" spans="1:4" x14ac:dyDescent="0.25">
      <c r="A7">
        <v>5</v>
      </c>
      <c r="B7" t="s">
        <v>8</v>
      </c>
      <c r="C7" t="s">
        <v>5</v>
      </c>
      <c r="D7">
        <v>29.39</v>
      </c>
    </row>
    <row r="8" spans="1:4" x14ac:dyDescent="0.25">
      <c r="A8">
        <v>6</v>
      </c>
      <c r="B8" t="s">
        <v>9</v>
      </c>
      <c r="C8" t="s">
        <v>69</v>
      </c>
      <c r="D8">
        <v>222.61</v>
      </c>
    </row>
    <row r="9" spans="1:4" x14ac:dyDescent="0.25">
      <c r="A9">
        <v>7</v>
      </c>
      <c r="B9" t="s">
        <v>10</v>
      </c>
      <c r="C9" t="s">
        <v>69</v>
      </c>
      <c r="D9">
        <v>163.65</v>
      </c>
    </row>
    <row r="10" spans="1:4" x14ac:dyDescent="0.25">
      <c r="A10">
        <v>8</v>
      </c>
      <c r="B10" t="s">
        <v>11</v>
      </c>
      <c r="C10" t="s">
        <v>69</v>
      </c>
      <c r="D10">
        <v>141.51</v>
      </c>
    </row>
    <row r="11" spans="1:4" x14ac:dyDescent="0.25">
      <c r="A11">
        <v>9</v>
      </c>
      <c r="B11" t="s">
        <v>12</v>
      </c>
      <c r="C11" t="s">
        <v>69</v>
      </c>
      <c r="D11">
        <v>160.99</v>
      </c>
    </row>
    <row r="12" spans="1:4" x14ac:dyDescent="0.25">
      <c r="A12">
        <v>10</v>
      </c>
      <c r="B12" t="s">
        <v>14</v>
      </c>
      <c r="C12" t="s">
        <v>5</v>
      </c>
      <c r="D12">
        <v>12.08</v>
      </c>
    </row>
    <row r="13" spans="1:4" x14ac:dyDescent="0.25">
      <c r="A1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5" t="s">
        <v>20</v>
      </c>
      <c r="G1" s="6" t="s">
        <v>21</v>
      </c>
      <c r="H1" s="6" t="s">
        <v>22</v>
      </c>
      <c r="I1" s="6" t="s">
        <v>23</v>
      </c>
      <c r="J1" s="6" t="s">
        <v>24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10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FUNDOS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11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FUNDOS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FUNDOS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10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FUNDOS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12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FUNDOS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14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11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FUNDOS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FUNDOS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10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FUNDOS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11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FUNDOS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FUNDOS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10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FUNDOS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12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FUNDOS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14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12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FUNDOS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11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FUNDOS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28</v>
      </c>
      <c r="B1" s="2" t="s">
        <v>16</v>
      </c>
      <c r="C1" s="2" t="s">
        <v>17</v>
      </c>
      <c r="D1" s="4" t="s">
        <v>25</v>
      </c>
      <c r="E1" s="4" t="s">
        <v>26</v>
      </c>
      <c r="F1" s="5" t="s">
        <v>29</v>
      </c>
      <c r="G1" s="6" t="s">
        <v>15</v>
      </c>
      <c r="H1" s="6" t="s">
        <v>24</v>
      </c>
      <c r="I1" s="6" t="s">
        <v>21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FUNDOS INVESTIMENTO IMOBILIARIO</v>
      </c>
    </row>
    <row r="4" spans="1:9" ht="19.95" customHeight="1" x14ac:dyDescent="0.25">
      <c r="A4" s="2">
        <v>14</v>
      </c>
      <c r="B4" s="2" t="s">
        <v>10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FUNDOS INVESTIMENTO IMOBILIARIO</v>
      </c>
    </row>
    <row r="5" spans="1:9" ht="19.95" customHeight="1" x14ac:dyDescent="0.25">
      <c r="A5" s="2">
        <v>14</v>
      </c>
      <c r="B5" s="2" t="s">
        <v>11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FUNDOS INVESTIMENTO IMOBILIARIO</v>
      </c>
    </row>
    <row r="6" spans="1:9" ht="19.95" customHeight="1" x14ac:dyDescent="0.25">
      <c r="A6" s="2">
        <v>14</v>
      </c>
      <c r="B6" s="2" t="s">
        <v>12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FUNDOS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FUNDOS INVESTIMENTO IMOBILIARIO</v>
      </c>
    </row>
    <row r="9" spans="1:9" ht="19.95" customHeight="1" x14ac:dyDescent="0.25">
      <c r="A9" s="2">
        <v>14</v>
      </c>
      <c r="B9" s="2" t="s">
        <v>10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FUNDOS INVESTIMENTO IMOBILIARIO</v>
      </c>
    </row>
    <row r="10" spans="1:9" ht="19.95" customHeight="1" x14ac:dyDescent="0.25">
      <c r="A10" s="2">
        <v>14</v>
      </c>
      <c r="B10" s="2" t="s">
        <v>11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FUNDOS INVESTIMENTO IMOBILIARIO</v>
      </c>
    </row>
    <row r="11" spans="1:9" ht="19.95" customHeight="1" x14ac:dyDescent="0.25">
      <c r="A11" s="2">
        <v>14</v>
      </c>
      <c r="B11" s="2" t="s">
        <v>12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FUNDOS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27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FUNDOS INVESTIMENTO IMOBILIARIO</v>
      </c>
    </row>
    <row r="15" spans="1:9" ht="19.95" customHeight="1" x14ac:dyDescent="0.25">
      <c r="A15" s="2">
        <v>14</v>
      </c>
      <c r="B15" s="2" t="s">
        <v>10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FUNDOS INVESTIMENTO IMOBILIARIO</v>
      </c>
    </row>
    <row r="16" spans="1:9" ht="19.95" customHeight="1" x14ac:dyDescent="0.25">
      <c r="A16" s="2">
        <v>14</v>
      </c>
      <c r="B16" s="2" t="s">
        <v>11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FUNDOS INVESTIMENTO IMOBILIARIO</v>
      </c>
    </row>
    <row r="17" spans="1:9" ht="19.95" customHeight="1" x14ac:dyDescent="0.25">
      <c r="A17" s="2">
        <v>14</v>
      </c>
      <c r="B17" s="2" t="s">
        <v>12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FUNDOS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FUNDOS INVESTIMENTO IMOBILIARIO</v>
      </c>
    </row>
    <row r="20" spans="1:9" ht="19.95" customHeight="1" x14ac:dyDescent="0.25">
      <c r="A20" s="2">
        <v>14</v>
      </c>
      <c r="B20" s="2" t="s">
        <v>10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FUNDOS INVESTIMENTO IMOBILIARIO</v>
      </c>
    </row>
    <row r="21" spans="1:9" ht="19.95" customHeight="1" x14ac:dyDescent="0.25">
      <c r="A21" s="2">
        <v>14</v>
      </c>
      <c r="B21" s="2" t="s">
        <v>11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FUNDOS INVESTIMENTO IMOBILIARIO</v>
      </c>
    </row>
    <row r="22" spans="1:9" ht="19.95" customHeight="1" x14ac:dyDescent="0.25">
      <c r="A22" s="2">
        <v>14</v>
      </c>
      <c r="B22" s="2" t="s">
        <v>12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FUNDOS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FUNDOS INVESTIMENTO IMOBILIARIO</v>
      </c>
    </row>
    <row r="25" spans="1:9" ht="19.95" customHeight="1" x14ac:dyDescent="0.25">
      <c r="A25" s="2">
        <v>14</v>
      </c>
      <c r="B25" s="2" t="s">
        <v>10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FUNDOS INVESTIMENTO IMOBILIARIO</v>
      </c>
    </row>
    <row r="26" spans="1:9" ht="19.95" customHeight="1" x14ac:dyDescent="0.25">
      <c r="A26" s="2">
        <v>14</v>
      </c>
      <c r="B26" s="2" t="s">
        <v>11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FUNDOS INVESTIMENTO IMOBILIARIO</v>
      </c>
    </row>
    <row r="27" spans="1:9" ht="19.95" customHeight="1" x14ac:dyDescent="0.25">
      <c r="A27" s="2">
        <v>14</v>
      </c>
      <c r="B27" s="2" t="s">
        <v>12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FUNDOS INVESTIMENTO IMOBILIARIO</v>
      </c>
    </row>
    <row r="28" spans="1:9" ht="19.95" customHeight="1" x14ac:dyDescent="0.25">
      <c r="A28" s="2">
        <v>13</v>
      </c>
      <c r="B28" s="2" t="s">
        <v>14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FUNDOS INVESTIMENTO IMOBILIARIO</v>
      </c>
    </row>
    <row r="30" spans="1:9" ht="19.95" customHeight="1" x14ac:dyDescent="0.25">
      <c r="A30" s="2">
        <v>14</v>
      </c>
      <c r="B30" s="2" t="s">
        <v>10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FUNDOS INVESTIMENTO IMOBILIARIO</v>
      </c>
    </row>
    <row r="31" spans="1:9" ht="19.95" customHeight="1" x14ac:dyDescent="0.25">
      <c r="A31" s="2">
        <v>14</v>
      </c>
      <c r="B31" s="2" t="s">
        <v>11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FUNDOS INVESTIMENTO IMOBILIARIO</v>
      </c>
    </row>
    <row r="32" spans="1:9" ht="19.95" customHeight="1" x14ac:dyDescent="0.25">
      <c r="A32" s="2">
        <v>14</v>
      </c>
      <c r="B32" s="2" t="s">
        <v>12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FUNDOS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FUNDOS INVESTIMENTO IMOBILIARIO</v>
      </c>
    </row>
    <row r="35" spans="1:9" ht="19.95" customHeight="1" x14ac:dyDescent="0.25">
      <c r="A35" s="2">
        <v>14</v>
      </c>
      <c r="B35" s="2" t="s">
        <v>10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FUNDOS INVESTIMENTO IMOBILIARIO</v>
      </c>
    </row>
    <row r="36" spans="1:9" ht="19.95" customHeight="1" x14ac:dyDescent="0.25">
      <c r="A36" s="2">
        <v>14</v>
      </c>
      <c r="B36" s="2" t="s">
        <v>11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FUNDOS INVESTIMENTO IMOBILIARIO</v>
      </c>
    </row>
    <row r="37" spans="1:9" ht="19.95" customHeight="1" x14ac:dyDescent="0.25">
      <c r="A37" s="2">
        <v>14</v>
      </c>
      <c r="B37" s="2" t="s">
        <v>12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FUNDOS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FUNDOS INVESTIMENTO IMOBILIARIO</v>
      </c>
    </row>
    <row r="40" spans="1:9" ht="19.95" customHeight="1" x14ac:dyDescent="0.25">
      <c r="A40" s="2">
        <v>14</v>
      </c>
      <c r="B40" s="2" t="s">
        <v>10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FUNDOS INVESTIMENTO IMOBILIARIO</v>
      </c>
    </row>
    <row r="41" spans="1:9" ht="19.95" customHeight="1" x14ac:dyDescent="0.25">
      <c r="A41" s="2">
        <v>14</v>
      </c>
      <c r="B41" s="2" t="s">
        <v>11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FUNDOS INVESTIMENTO IMOBILIARIO</v>
      </c>
    </row>
    <row r="42" spans="1:9" ht="19.95" customHeight="1" x14ac:dyDescent="0.25">
      <c r="A42" s="2">
        <v>14</v>
      </c>
      <c r="B42" s="2" t="s">
        <v>12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FUNDOS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FUNDOS INVESTIMENTO IMOBILIARIO</v>
      </c>
    </row>
    <row r="45" spans="1:9" ht="19.95" customHeight="1" x14ac:dyDescent="0.25">
      <c r="A45" s="2">
        <v>14</v>
      </c>
      <c r="B45" s="2" t="s">
        <v>10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FUNDOS INVESTIMENTO IMOBILIARIO</v>
      </c>
    </row>
    <row r="46" spans="1:9" ht="19.95" customHeight="1" x14ac:dyDescent="0.25">
      <c r="A46" s="2">
        <v>14</v>
      </c>
      <c r="B46" s="2" t="s">
        <v>11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FUNDOS INVESTIMENTO IMOBILIARIO</v>
      </c>
    </row>
    <row r="47" spans="1:9" ht="19.95" customHeight="1" x14ac:dyDescent="0.25">
      <c r="A47" s="2">
        <v>14</v>
      </c>
      <c r="B47" s="2" t="s">
        <v>12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FUNDOS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FUNDOS INVESTIMENTO IMOBILIARIO</v>
      </c>
    </row>
    <row r="50" spans="1:9" ht="19.95" customHeight="1" x14ac:dyDescent="0.25">
      <c r="A50" s="2">
        <v>14</v>
      </c>
      <c r="B50" s="2" t="s">
        <v>10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FUNDOS INVESTIMENTO IMOBILIARIO</v>
      </c>
    </row>
    <row r="51" spans="1:9" ht="19.95" customHeight="1" x14ac:dyDescent="0.25">
      <c r="A51" s="2">
        <v>14</v>
      </c>
      <c r="B51" s="2" t="s">
        <v>11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FUNDOS INVESTIMENTO IMOBILIARIO</v>
      </c>
    </row>
    <row r="52" spans="1:9" ht="19.95" customHeight="1" x14ac:dyDescent="0.25">
      <c r="A52" s="2">
        <v>14</v>
      </c>
      <c r="B52" s="2" t="s">
        <v>12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FUNDOS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FUNDOS INVESTIMENTO IMOBILIARIO</v>
      </c>
    </row>
    <row r="55" spans="1:9" ht="19.95" customHeight="1" x14ac:dyDescent="0.25">
      <c r="A55" s="2">
        <v>14</v>
      </c>
      <c r="B55" s="2" t="s">
        <v>10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FUNDOS INVESTIMENTO IMOBILIARIO</v>
      </c>
    </row>
    <row r="56" spans="1:9" ht="19.95" customHeight="1" x14ac:dyDescent="0.25">
      <c r="A56" s="2">
        <v>14</v>
      </c>
      <c r="B56" s="2" t="s">
        <v>11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FUNDOS INVESTIMENTO IMOBILIARIO</v>
      </c>
    </row>
    <row r="57" spans="1:9" ht="19.95" customHeight="1" x14ac:dyDescent="0.25">
      <c r="A57" s="2">
        <v>14</v>
      </c>
      <c r="B57" s="2" t="s">
        <v>12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FUNDOS INVESTIMENTO IMOBILIARIO</v>
      </c>
    </row>
    <row r="58" spans="1:9" ht="19.95" customHeight="1" x14ac:dyDescent="0.25">
      <c r="A58" s="2">
        <v>13</v>
      </c>
      <c r="B58" s="2" t="s">
        <v>14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FUNDOS INVESTIMENTO IMOBILIARIO</v>
      </c>
    </row>
    <row r="60" spans="1:9" ht="19.95" customHeight="1" x14ac:dyDescent="0.25">
      <c r="A60" s="2">
        <v>14</v>
      </c>
      <c r="B60" s="2" t="s">
        <v>10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FUNDOS INVESTIMENTO IMOBILIARIO</v>
      </c>
    </row>
    <row r="61" spans="1:9" ht="19.95" customHeight="1" x14ac:dyDescent="0.25">
      <c r="A61" s="2">
        <v>14</v>
      </c>
      <c r="B61" s="2" t="s">
        <v>11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FUNDOS INVESTIMENTO IMOBILIARIO</v>
      </c>
    </row>
    <row r="62" spans="1:9" ht="19.95" customHeight="1" x14ac:dyDescent="0.25">
      <c r="A62" s="2">
        <v>14</v>
      </c>
      <c r="B62" s="2" t="s">
        <v>12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FUNDOS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FUNDOS INVESTIMENTO IMOBILIARIO</v>
      </c>
    </row>
    <row r="65" spans="1:9" ht="19.95" customHeight="1" x14ac:dyDescent="0.25">
      <c r="A65" s="2">
        <v>14</v>
      </c>
      <c r="B65" s="2" t="s">
        <v>10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FUNDOS INVESTIMENTO IMOBILIARIO</v>
      </c>
    </row>
    <row r="66" spans="1:9" ht="19.95" customHeight="1" x14ac:dyDescent="0.25">
      <c r="A66" s="2">
        <v>14</v>
      </c>
      <c r="B66" s="2" t="s">
        <v>11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FUNDOS INVESTIMENTO IMOBILIARIO</v>
      </c>
    </row>
    <row r="67" spans="1:9" ht="19.95" customHeight="1" x14ac:dyDescent="0.25">
      <c r="A67" s="2">
        <v>14</v>
      </c>
      <c r="B67" s="2" t="s">
        <v>12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FUNDOS INVESTIMENTO IMOBILIARIO</v>
      </c>
    </row>
    <row r="68" spans="1:9" ht="19.95" customHeight="1" x14ac:dyDescent="0.25">
      <c r="A68" s="2">
        <v>14</v>
      </c>
      <c r="B68" s="2" t="s">
        <v>14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FUNDOS INVESTIMENTO IMOBILIARIO</v>
      </c>
    </row>
    <row r="70" spans="1:9" ht="19.95" customHeight="1" x14ac:dyDescent="0.25">
      <c r="A70" s="2">
        <v>14</v>
      </c>
      <c r="B70" s="2" t="s">
        <v>10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FUNDOS INVESTIMENTO IMOBILIARIO</v>
      </c>
    </row>
    <row r="71" spans="1:9" ht="19.95" customHeight="1" x14ac:dyDescent="0.25">
      <c r="A71" s="2">
        <v>14</v>
      </c>
      <c r="B71" s="2" t="s">
        <v>11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FUNDOS INVESTIMENTO IMOBILIARIO</v>
      </c>
    </row>
    <row r="72" spans="1:9" ht="19.95" customHeight="1" x14ac:dyDescent="0.25">
      <c r="A72" s="2">
        <v>14</v>
      </c>
      <c r="B72" s="2" t="s">
        <v>12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FUNDOS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47</v>
      </c>
      <c r="B3" s="10" t="s">
        <v>32</v>
      </c>
    </row>
    <row r="4" spans="1:16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31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14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68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10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11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12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31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35.089843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48</v>
      </c>
      <c r="B3" s="10" t="s">
        <v>32</v>
      </c>
    </row>
    <row r="4" spans="1:14" x14ac:dyDescent="0.25">
      <c r="A4" s="10" t="s">
        <v>30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46</v>
      </c>
      <c r="N4" t="s">
        <v>31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14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68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10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11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12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31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opLeftCell="B1" workbookViewId="0">
      <selection activeCell="B1" sqref="B1"/>
    </sheetView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16</v>
      </c>
      <c r="B1" s="2" t="s">
        <v>21</v>
      </c>
      <c r="C1" s="2" t="s">
        <v>49</v>
      </c>
      <c r="D1" s="4" t="s">
        <v>50</v>
      </c>
      <c r="E1" s="2" t="s">
        <v>51</v>
      </c>
      <c r="F1" s="4" t="s">
        <v>52</v>
      </c>
      <c r="G1" s="4" t="s">
        <v>55</v>
      </c>
      <c r="H1" s="4" t="s">
        <v>53</v>
      </c>
      <c r="I1" s="18" t="s">
        <v>54</v>
      </c>
      <c r="K1" s="9" t="s">
        <v>56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13.76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4128</v>
      </c>
      <c r="H2" s="17">
        <f ca="1">(TblCarteira[[#This Row],[Total Atual]] - TblCarteira[[#This Row],[Total Aportado]])</f>
        <v>-243</v>
      </c>
      <c r="I2" s="18">
        <f ca="1">(TblCarteira[[#This Row],[Total Atual]] / TblCarteira[[#This Row],[Total Aportado]]) -1</f>
        <v>-5.5593685655456415E-2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15.82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3164</v>
      </c>
      <c r="H3" s="17">
        <f ca="1">(TblCarteira[[#This Row],[Total Atual]] - TblCarteira[[#This Row],[Total Aportado]])</f>
        <v>-10999</v>
      </c>
      <c r="I3" s="18">
        <f ca="1">(TblCarteira[[#This Row],[Total Atual]] / TblCarteira[[#This Row],[Total Aportado]]) -1</f>
        <v>-0.7766010026124408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9.68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2904</v>
      </c>
      <c r="H4" s="17">
        <f ca="1">(TblCarteira[[#This Row],[Total Atual]] - TblCarteira[[#This Row],[Total Aportado]])</f>
        <v>-990</v>
      </c>
      <c r="I4" s="18">
        <f ca="1">(TblCarteira[[#This Row],[Total Atual]] / TblCarteira[[#This Row],[Total Aportado]]) -1</f>
        <v>-0.25423728813559321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29.39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11756</v>
      </c>
      <c r="H5" s="17">
        <f ca="1">(TblCarteira[[#This Row],[Total Atual]] - TblCarteira[[#This Row],[Total Aportado]])</f>
        <v>4229</v>
      </c>
      <c r="I5" s="18">
        <f ca="1">(TblCarteira[[#This Row],[Total Atual]] / TblCarteira[[#This Row],[Total Aportado]]) -1</f>
        <v>0.56184402816527168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FUNDOS INVESTIMENTO IMOBILIARIO</v>
      </c>
      <c r="C6" s="15">
        <f>VLOOKUP(TblCarteira[[#This Row],[Ativo]], 'Tabela Ativos'!$B$4:$D$500, 3, FALSE)</f>
        <v>222.61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2003.4900000000002</v>
      </c>
      <c r="H6" s="17">
        <f ca="1">(TblCarteira[[#This Row],[Total Atual]] - TblCarteira[[#This Row],[Total Aportado]])</f>
        <v>1804.38</v>
      </c>
      <c r="I6" s="18">
        <f ca="1">(TblCarteira[[#This Row],[Total Atual]] / TblCarteira[[#This Row],[Total Aportado]]) -1</f>
        <v>9.0622269097483805</v>
      </c>
    </row>
    <row r="7" spans="1:11" ht="15.6" x14ac:dyDescent="0.25">
      <c r="A7" s="14" t="s">
        <v>10</v>
      </c>
      <c r="B7" s="14" t="str">
        <f>VLOOKUP(TblCarteira[[#This Row],[Ativo]], 'Tabela Ativos'!$B$4:$D$500, 2, FALSE)</f>
        <v>FUNDOS INVESTIMENTO IMOBILIARIO</v>
      </c>
      <c r="C7" s="15">
        <f>VLOOKUP(TblCarteira[[#This Row],[Ativo]], 'Tabela Ativos'!$B$4:$D$500, 3, FALSE)</f>
        <v>163.65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2782.05</v>
      </c>
      <c r="H7" s="17">
        <f ca="1">(TblCarteira[[#This Row],[Total Atual]] - TblCarteira[[#This Row],[Total Aportado]])</f>
        <v>1815.19</v>
      </c>
      <c r="I7" s="18">
        <f ca="1">(TblCarteira[[#This Row],[Total Atual]] / TblCarteira[[#This Row],[Total Aportado]]) -1</f>
        <v>1.8774072771652568</v>
      </c>
    </row>
    <row r="8" spans="1:11" ht="15.6" x14ac:dyDescent="0.25">
      <c r="A8" s="14" t="s">
        <v>11</v>
      </c>
      <c r="B8" s="14" t="str">
        <f>VLOOKUP(TblCarteira[[#This Row],[Ativo]], 'Tabela Ativos'!$B$4:$D$500, 2, FALSE)</f>
        <v>FUNDOS INVESTIMENTO IMOBILIARIO</v>
      </c>
      <c r="C8" s="15">
        <f>VLOOKUP(TblCarteira[[#This Row],[Ativo]], 'Tabela Ativos'!$B$4:$D$500, 3, FALSE)</f>
        <v>141.51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2688.6899999999996</v>
      </c>
      <c r="H8" s="17">
        <f ca="1">(TblCarteira[[#This Row],[Total Atual]] - TblCarteira[[#This Row],[Total Aportado]])</f>
        <v>2328.8799999999997</v>
      </c>
      <c r="I8" s="18">
        <f ca="1">(TblCarteira[[#This Row],[Total Atual]] / TblCarteira[[#This Row],[Total Aportado]]) -1</f>
        <v>6.4725271671159765</v>
      </c>
    </row>
    <row r="9" spans="1:11" ht="15.6" x14ac:dyDescent="0.25">
      <c r="A9" s="14" t="s">
        <v>12</v>
      </c>
      <c r="B9" s="14" t="str">
        <f>VLOOKUP(TblCarteira[[#This Row],[Ativo]], 'Tabela Ativos'!$B$4:$D$500, 2, FALSE)</f>
        <v>FUNDOS INVESTIMENTO IMOBILIARIO</v>
      </c>
      <c r="C9" s="15">
        <f>VLOOKUP(TblCarteira[[#This Row],[Ativo]], 'Tabela Ativos'!$B$4:$D$500, 3, FALSE)</f>
        <v>160.99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2897.82</v>
      </c>
      <c r="H9" s="17">
        <f ca="1">(TblCarteira[[#This Row],[Total Atual]] - TblCarteira[[#This Row],[Total Aportado]])</f>
        <v>2439.6000000000004</v>
      </c>
      <c r="I9" s="18">
        <f ca="1">(TblCarteira[[#This Row],[Total Atual]] / TblCarteira[[#This Row],[Total Aportado]]) -1</f>
        <v>5.3240801361791279</v>
      </c>
    </row>
    <row r="10" spans="1:11" ht="15.6" x14ac:dyDescent="0.25">
      <c r="A10" s="14" t="s">
        <v>14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12.08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2416</v>
      </c>
      <c r="H10" s="17">
        <f ca="1">(TblCarteira[[#This Row],[Total Atual]] - TblCarteira[[#This Row],[Total Aportado]])</f>
        <v>-1698</v>
      </c>
      <c r="I10" s="18">
        <f ca="1">(TblCarteira[[#This Row],[Total Atual]] / TblCarteira[[#This Row],[Total Aportado]]) -1</f>
        <v>-0.41273699562469612</v>
      </c>
    </row>
    <row r="11" spans="1:11" ht="15.6" x14ac:dyDescent="0.25">
      <c r="A11" s="14" t="s">
        <v>20</v>
      </c>
      <c r="D11" s="16">
        <f ca="1">SUBTOTAL(109,TblCarteira[Total Aportado])</f>
        <v>36053</v>
      </c>
      <c r="F11" s="15"/>
      <c r="G11" s="16">
        <f ca="1">SUBTOTAL(109,TblCarteira[Total Atual])</f>
        <v>34740.050000000003</v>
      </c>
      <c r="H11" s="17">
        <f ca="1">SUBTOTAL(109,TblCarteira[Valorização])</f>
        <v>-1312.9500000000003</v>
      </c>
    </row>
  </sheetData>
  <conditionalFormatting sqref="I2:I10">
    <cfRule type="cellIs" dxfId="26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>
      <selection activeCell="D11" sqref="D11:E13"/>
    </sheetView>
  </sheetViews>
  <sheetFormatPr defaultRowHeight="15" x14ac:dyDescent="0.25"/>
  <cols>
    <col min="1" max="1" width="16.1796875" customWidth="1"/>
    <col min="2" max="2" width="21.1796875" customWidth="1"/>
    <col min="3" max="3" width="5.453125" customWidth="1"/>
    <col min="5" max="5" width="14.54296875" customWidth="1"/>
    <col min="6" max="6" width="14.6328125" customWidth="1"/>
    <col min="7" max="7" width="23.1796875" customWidth="1"/>
    <col min="8" max="8" width="19.453125" customWidth="1"/>
  </cols>
  <sheetData>
    <row r="2" spans="1:8" x14ac:dyDescent="0.25">
      <c r="A2" s="33" t="s">
        <v>60</v>
      </c>
      <c r="B2" s="33"/>
      <c r="D2" s="33" t="s">
        <v>67</v>
      </c>
      <c r="E2" s="33"/>
      <c r="F2" s="33"/>
      <c r="G2" s="33"/>
      <c r="H2" s="33"/>
    </row>
    <row r="3" spans="1:8" x14ac:dyDescent="0.25">
      <c r="A3" s="2">
        <v>1</v>
      </c>
      <c r="B3" t="s">
        <v>64</v>
      </c>
      <c r="D3" s="33"/>
      <c r="E3" s="33"/>
      <c r="F3" s="37">
        <v>1</v>
      </c>
      <c r="G3" s="37">
        <v>2</v>
      </c>
      <c r="H3" s="37">
        <v>3</v>
      </c>
    </row>
    <row r="4" spans="1:8" x14ac:dyDescent="0.25">
      <c r="A4" s="2">
        <v>2</v>
      </c>
      <c r="B4" t="s">
        <v>65</v>
      </c>
      <c r="F4" s="2" t="s">
        <v>64</v>
      </c>
      <c r="G4" s="2" t="s">
        <v>65</v>
      </c>
      <c r="H4" s="2" t="s">
        <v>66</v>
      </c>
    </row>
    <row r="5" spans="1:8" x14ac:dyDescent="0.25">
      <c r="A5" s="2">
        <v>3</v>
      </c>
      <c r="B5" t="s">
        <v>66</v>
      </c>
      <c r="D5" s="2">
        <v>1</v>
      </c>
      <c r="E5" s="11" t="s">
        <v>50</v>
      </c>
      <c r="F5" s="35">
        <f ca="1">SUMIF(TblCarteira[Tipo], "EMPRESA", TblCarteira[Total Aportado])</f>
        <v>34069</v>
      </c>
      <c r="G5" s="35">
        <f ca="1">SUMIF(TblCarteira[Tipo], "FUNDOS INVESTIMENTO IMOBILIARIO", TblCarteira[Total Aportado])</f>
        <v>1984</v>
      </c>
      <c r="H5" s="35">
        <f ca="1">SUM(TblCarteira[Total Aportado])</f>
        <v>36053</v>
      </c>
    </row>
    <row r="6" spans="1:8" x14ac:dyDescent="0.25">
      <c r="D6" s="2">
        <v>2</v>
      </c>
      <c r="E6" s="11" t="s">
        <v>57</v>
      </c>
      <c r="F6" s="35">
        <f ca="1">SUMIF(TblCarteira[Tipo], "EMPRESA", TblCarteira[Total Atual])</f>
        <v>24368</v>
      </c>
      <c r="G6" s="35">
        <f ca="1">SUMIF(TblCarteira[Tipo], "FUNDOS INVESTIMENTO IMOBILIARIO", TblCarteira[Total Atual])</f>
        <v>10372.050000000001</v>
      </c>
      <c r="H6" s="35">
        <f ca="1">SUM(TblCarteira[Total Atual])</f>
        <v>34740.050000000003</v>
      </c>
    </row>
    <row r="7" spans="1:8" x14ac:dyDescent="0.25">
      <c r="A7" s="33" t="s">
        <v>61</v>
      </c>
      <c r="B7" s="33"/>
      <c r="D7" s="2">
        <v>3</v>
      </c>
      <c r="E7" s="11" t="s">
        <v>53</v>
      </c>
      <c r="F7" s="35">
        <f ca="1">SUMIF(TblCarteira[Tipo], "EMPRESA", TblCarteira[Valorização])</f>
        <v>-9701</v>
      </c>
      <c r="G7" s="35">
        <f ca="1">SUMIF(TblCarteira[Tipo], "FUNDOS INVESTIMENTO IMOBILIARIO", TblCarteira[Valorização])</f>
        <v>8388.0499999999993</v>
      </c>
      <c r="H7" s="35">
        <f ca="1">SUM(TblCarteira[Valorização])</f>
        <v>-1312.9500000000003</v>
      </c>
    </row>
    <row r="8" spans="1:8" x14ac:dyDescent="0.25">
      <c r="A8" t="s">
        <v>62</v>
      </c>
      <c r="B8" s="2">
        <v>3</v>
      </c>
      <c r="D8" s="2">
        <v>4</v>
      </c>
      <c r="E8" s="11" t="s">
        <v>54</v>
      </c>
      <c r="F8" s="36">
        <f ca="1">(H6 / F5) - 1</f>
        <v>1.969679180486672E-2</v>
      </c>
      <c r="G8" s="36">
        <f ca="1">(G6 / G5) - 1</f>
        <v>4.2278477822580651</v>
      </c>
      <c r="H8" s="36">
        <f ca="1">(H6 / H5) - 1</f>
        <v>-3.6417219094111331E-2</v>
      </c>
    </row>
    <row r="9" spans="1:8" x14ac:dyDescent="0.25">
      <c r="A9" t="s">
        <v>63</v>
      </c>
      <c r="B9" s="34">
        <f>Dashboard!E1</f>
        <v>10000</v>
      </c>
    </row>
    <row r="10" spans="1:8" x14ac:dyDescent="0.25">
      <c r="D10" s="33" t="s">
        <v>71</v>
      </c>
      <c r="E10" s="33"/>
      <c r="F10" s="33"/>
    </row>
    <row r="11" spans="1:8" x14ac:dyDescent="0.25">
      <c r="A11" s="33" t="s">
        <v>70</v>
      </c>
      <c r="B11" s="33"/>
      <c r="D11" t="s">
        <v>64</v>
      </c>
      <c r="E11" s="35">
        <f ca="1">F6</f>
        <v>24368</v>
      </c>
    </row>
    <row r="12" spans="1:8" x14ac:dyDescent="0.25">
      <c r="A12" s="11" t="s">
        <v>50</v>
      </c>
      <c r="B12" s="35">
        <f ca="1">INDEX($F$5:$H$8, D5, $B$8)</f>
        <v>36053</v>
      </c>
      <c r="D12" t="s">
        <v>72</v>
      </c>
      <c r="E12" s="35">
        <f>B9</f>
        <v>10000</v>
      </c>
    </row>
    <row r="13" spans="1:8" x14ac:dyDescent="0.25">
      <c r="A13" s="11" t="s">
        <v>57</v>
      </c>
      <c r="B13" s="35">
        <f t="shared" ref="B13:B15" ca="1" si="0">INDEX($F$5:$H$8, D6, $B$8)</f>
        <v>34740.050000000003</v>
      </c>
      <c r="D13" t="s">
        <v>68</v>
      </c>
      <c r="E13" s="35">
        <f ca="1">G6</f>
        <v>10372.050000000001</v>
      </c>
    </row>
    <row r="14" spans="1:8" x14ac:dyDescent="0.25">
      <c r="A14" s="11" t="s">
        <v>53</v>
      </c>
      <c r="B14" s="35">
        <f t="shared" ca="1" si="0"/>
        <v>-1312.9500000000003</v>
      </c>
    </row>
    <row r="15" spans="1:8" x14ac:dyDescent="0.25">
      <c r="A15" s="11" t="s">
        <v>54</v>
      </c>
      <c r="B15" s="36">
        <f t="shared" ca="1" si="0"/>
        <v>-3.6417219094111331E-2</v>
      </c>
    </row>
  </sheetData>
  <conditionalFormatting sqref="F8">
    <cfRule type="cellIs" dxfId="5" priority="5" operator="lessThan">
      <formula>0</formula>
    </cfRule>
  </conditionalFormatting>
  <conditionalFormatting sqref="G8">
    <cfRule type="cellIs" dxfId="4" priority="4" operator="lessThan">
      <formula>0</formula>
    </cfRule>
  </conditionalFormatting>
  <conditionalFormatting sqref="H8">
    <cfRule type="cellIs" dxfId="3" priority="3" operator="lessThan">
      <formula>0</formula>
    </cfRule>
  </conditionalFormatting>
  <conditionalFormatting sqref="E11:E13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5" x14ac:dyDescent="0.25"/>
  <cols>
    <col min="1" max="1" width="5.6328125" customWidth="1"/>
    <col min="2" max="2" width="35.7265625" customWidth="1"/>
    <col min="3" max="3" width="5.6328125" customWidth="1"/>
    <col min="4" max="4" width="10" customWidth="1"/>
    <col min="5" max="5" width="27.453125" customWidth="1"/>
    <col min="6" max="6" width="47.453125" customWidth="1"/>
    <col min="7" max="7" width="10" customWidth="1"/>
    <col min="8" max="8" width="18.54296875" customWidth="1"/>
  </cols>
  <sheetData>
    <row r="1" spans="1:8" ht="30" customHeight="1" thickTop="1" thickBot="1" x14ac:dyDescent="0.3">
      <c r="A1" s="21"/>
      <c r="B1" s="22"/>
      <c r="C1" s="22"/>
      <c r="D1" s="26" t="s">
        <v>58</v>
      </c>
      <c r="E1" s="30">
        <v>10000</v>
      </c>
      <c r="F1" s="22"/>
      <c r="G1" s="26" t="s">
        <v>59</v>
      </c>
      <c r="H1" s="27">
        <f ca="1">IF('Relatorio Carteira'!K2 = "", TODAY(), 'Relatorio Carteira'!K2)</f>
        <v>45136</v>
      </c>
    </row>
    <row r="2" spans="1:8" ht="30" customHeight="1" thickTop="1" thickBot="1" x14ac:dyDescent="0.45">
      <c r="A2" s="23"/>
      <c r="B2" s="24"/>
      <c r="C2" s="24"/>
      <c r="D2" s="24"/>
      <c r="E2" s="29"/>
      <c r="F2" s="24"/>
      <c r="G2" s="24"/>
      <c r="H2" s="25"/>
    </row>
    <row r="3" spans="1:8" ht="15.6" thickTop="1" x14ac:dyDescent="0.25"/>
    <row r="4" spans="1:8" ht="16.2" thickBot="1" x14ac:dyDescent="0.35">
      <c r="B4" s="20" t="s">
        <v>57</v>
      </c>
    </row>
    <row r="5" spans="1:8" ht="40.049999999999997" customHeight="1" thickTop="1" thickBot="1" x14ac:dyDescent="0.3">
      <c r="B5" s="28">
        <f ca="1">'Dashboard Auxiliar'!B13</f>
        <v>34740.050000000003</v>
      </c>
    </row>
    <row r="6" spans="1:8" ht="15.6" thickTop="1" x14ac:dyDescent="0.25"/>
    <row r="7" spans="1:8" ht="16.2" thickBot="1" x14ac:dyDescent="0.35">
      <c r="B7" s="20" t="s">
        <v>50</v>
      </c>
    </row>
    <row r="8" spans="1:8" ht="40.049999999999997" customHeight="1" thickTop="1" thickBot="1" x14ac:dyDescent="0.3">
      <c r="B8" s="28">
        <f ca="1">'Dashboard Auxiliar'!B12</f>
        <v>36053</v>
      </c>
    </row>
    <row r="9" spans="1:8" ht="15.6" thickTop="1" x14ac:dyDescent="0.25"/>
    <row r="10" spans="1:8" ht="16.2" thickBot="1" x14ac:dyDescent="0.35">
      <c r="B10" s="20" t="s">
        <v>53</v>
      </c>
    </row>
    <row r="11" spans="1:8" ht="40.049999999999997" customHeight="1" thickTop="1" thickBot="1" x14ac:dyDescent="0.3">
      <c r="B11" s="28">
        <f ca="1">'Dashboard Auxiliar'!B14</f>
        <v>-1312.9500000000003</v>
      </c>
    </row>
    <row r="12" spans="1:8" ht="15.6" thickTop="1" x14ac:dyDescent="0.25"/>
    <row r="13" spans="1:8" ht="16.2" thickBot="1" x14ac:dyDescent="0.35">
      <c r="B13" s="20" t="s">
        <v>54</v>
      </c>
    </row>
    <row r="14" spans="1:8" ht="40.049999999999997" customHeight="1" thickTop="1" thickBot="1" x14ac:dyDescent="0.3">
      <c r="B14" s="31">
        <f ca="1">'Dashboard Auxiliar'!B15</f>
        <v>-3.6417219094111331E-2</v>
      </c>
    </row>
    <row r="15" spans="1:8" s="32" customFormat="1" ht="15.6" thickTop="1" x14ac:dyDescent="0.25"/>
  </sheetData>
  <conditionalFormatting sqref="B14">
    <cfRule type="cellIs" dxfId="1" priority="2" operator="lessThan">
      <formula>0</formula>
    </cfRule>
  </conditionalFormatting>
  <conditionalFormatting sqref="B5 B8 B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Drop Down 2">
              <controlPr defaultSize="0" autoLine="0" autoPict="0">
                <anchor moveWithCells="1">
                  <from>
                    <xdr:col>1</xdr:col>
                    <xdr:colOff>7620</xdr:colOff>
                    <xdr:row>0</xdr:row>
                    <xdr:rowOff>7620</xdr:rowOff>
                  </from>
                  <to>
                    <xdr:col>2</xdr:col>
                    <xdr:colOff>7620</xdr:colOff>
                    <xdr:row>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Dashboard Auxiliar</vt:lpstr>
      <vt:lpstr>Dashboard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2023-07-29T23:12:46Z</dcterms:modified>
</cp:coreProperties>
</file>