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 firstSheet="5" activeTab="8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  <sheet name="Relatorio Carteira" sheetId="9" r:id="rId6"/>
    <sheet name="Relatorio Carteira FII" sheetId="13" r:id="rId7"/>
    <sheet name="Relatorio Carteira Ações" sheetId="12" r:id="rId8"/>
    <sheet name="Dashboard Auxiliar" sheetId="11" r:id="rId9"/>
    <sheet name="Dashboard" sheetId="10" r:id="rId10"/>
  </sheets>
  <definedNames>
    <definedName name="pubhtml" localSheetId="0">'Tabela Ativos'!$A$1:$D$13</definedName>
  </definedNames>
  <calcPr calcId="152511"/>
  <pivotCaches>
    <pivotCache cacheId="30" r:id="rId11"/>
    <pivotCache cacheId="3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3" l="1"/>
  <c r="D5" i="13"/>
  <c r="F5" i="13" s="1"/>
  <c r="C5" i="13"/>
  <c r="B5" i="13"/>
  <c r="E4" i="13"/>
  <c r="D4" i="13"/>
  <c r="F4" i="13" s="1"/>
  <c r="C4" i="13"/>
  <c r="B4" i="13"/>
  <c r="E3" i="13"/>
  <c r="D3" i="13"/>
  <c r="F3" i="13" s="1"/>
  <c r="C3" i="13"/>
  <c r="B3" i="13"/>
  <c r="E2" i="13"/>
  <c r="D2" i="13"/>
  <c r="F2" i="13" s="1"/>
  <c r="C2" i="13"/>
  <c r="B2" i="13"/>
  <c r="D6" i="13"/>
  <c r="E6" i="12"/>
  <c r="D6" i="12"/>
  <c r="F6" i="12" s="1"/>
  <c r="C6" i="12"/>
  <c r="B6" i="12"/>
  <c r="E5" i="12"/>
  <c r="D5" i="12"/>
  <c r="F5" i="12" s="1"/>
  <c r="C5" i="12"/>
  <c r="B5" i="12"/>
  <c r="E4" i="12"/>
  <c r="D4" i="12"/>
  <c r="F4" i="12" s="1"/>
  <c r="C4" i="12"/>
  <c r="B4" i="12"/>
  <c r="E3" i="12"/>
  <c r="D3" i="12"/>
  <c r="F3" i="12" s="1"/>
  <c r="C3" i="12"/>
  <c r="B3" i="12"/>
  <c r="E2" i="12"/>
  <c r="D2" i="12"/>
  <c r="D7" i="12" s="1"/>
  <c r="C2" i="12"/>
  <c r="B2" i="12"/>
  <c r="G2" i="13" l="1"/>
  <c r="G3" i="13"/>
  <c r="G4" i="13"/>
  <c r="G5" i="13"/>
  <c r="G6" i="13"/>
  <c r="I2" i="13"/>
  <c r="H2" i="13"/>
  <c r="I3" i="13"/>
  <c r="H3" i="13"/>
  <c r="I4" i="13"/>
  <c r="H4" i="13"/>
  <c r="I5" i="13"/>
  <c r="H5" i="13"/>
  <c r="G2" i="12"/>
  <c r="G3" i="12"/>
  <c r="G4" i="12"/>
  <c r="G5" i="12"/>
  <c r="G6" i="12"/>
  <c r="G7" i="12"/>
  <c r="I2" i="12"/>
  <c r="H2" i="12"/>
  <c r="I3" i="12"/>
  <c r="H3" i="12"/>
  <c r="I4" i="12"/>
  <c r="H4" i="12"/>
  <c r="I5" i="12"/>
  <c r="H5" i="12"/>
  <c r="I6" i="12"/>
  <c r="H6" i="12"/>
  <c r="F2" i="12"/>
  <c r="B9" i="11"/>
  <c r="E12" i="11" s="1"/>
  <c r="I84" i="11" l="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83" i="11"/>
  <c r="J83" i="11" s="1"/>
  <c r="I71" i="11"/>
  <c r="J71" i="11" s="1"/>
  <c r="I72" i="11"/>
  <c r="J72" i="11" s="1"/>
  <c r="I73" i="11"/>
  <c r="J73" i="11" s="1"/>
  <c r="I74" i="11"/>
  <c r="J74" i="11" s="1"/>
  <c r="I75" i="11"/>
  <c r="J75" i="11" s="1"/>
  <c r="I76" i="11"/>
  <c r="J76" i="11" s="1"/>
  <c r="I77" i="11"/>
  <c r="J77" i="11" s="1"/>
  <c r="I78" i="11"/>
  <c r="J78" i="11" s="1"/>
  <c r="I79" i="11"/>
  <c r="J79" i="11" s="1"/>
  <c r="I70" i="11"/>
  <c r="J70" i="11" s="1"/>
  <c r="H79" i="11"/>
  <c r="H78" i="11"/>
  <c r="H77" i="11"/>
  <c r="H76" i="11"/>
  <c r="H75" i="11"/>
  <c r="H74" i="11"/>
  <c r="H73" i="11"/>
  <c r="H72" i="11"/>
  <c r="H71" i="11"/>
  <c r="H70" i="11"/>
  <c r="H92" i="11"/>
  <c r="H91" i="11"/>
  <c r="H90" i="11"/>
  <c r="H89" i="11"/>
  <c r="H88" i="11"/>
  <c r="H87" i="11"/>
  <c r="H86" i="11"/>
  <c r="H85" i="11"/>
  <c r="H84" i="11"/>
  <c r="H83" i="1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44" i="11"/>
  <c r="J44" i="11" s="1"/>
  <c r="I32" i="11"/>
  <c r="I33" i="11"/>
  <c r="I34" i="11"/>
  <c r="I35" i="11"/>
  <c r="I36" i="11"/>
  <c r="I37" i="11"/>
  <c r="I38" i="11"/>
  <c r="I39" i="11"/>
  <c r="I40" i="11"/>
  <c r="I31" i="11"/>
  <c r="H6" i="13"/>
  <c r="H7" i="12"/>
  <c r="J40" i="11" l="1"/>
  <c r="J39" i="11"/>
  <c r="J38" i="11"/>
  <c r="J37" i="11"/>
  <c r="J36" i="11"/>
  <c r="J35" i="11"/>
  <c r="J34" i="11"/>
  <c r="J33" i="11"/>
  <c r="J32" i="11"/>
  <c r="J31" i="11"/>
  <c r="E2" i="9"/>
  <c r="E3" i="9"/>
  <c r="E4" i="9"/>
  <c r="E5" i="9"/>
  <c r="E6" i="9"/>
  <c r="E7" i="9"/>
  <c r="E8" i="9"/>
  <c r="E9" i="9"/>
  <c r="E10" i="9"/>
  <c r="D2" i="9"/>
  <c r="D3" i="9"/>
  <c r="F3" i="9" s="1"/>
  <c r="D4" i="9"/>
  <c r="F4" i="9" s="1"/>
  <c r="D5" i="9"/>
  <c r="F5" i="9" s="1"/>
  <c r="D6" i="9"/>
  <c r="D7" i="9"/>
  <c r="F7" i="9" s="1"/>
  <c r="D8" i="9"/>
  <c r="F8" i="9" s="1"/>
  <c r="D9" i="9"/>
  <c r="F9" i="9" s="1"/>
  <c r="D10" i="9"/>
  <c r="F10" i="9" s="1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F5" i="11" l="1"/>
  <c r="H5" i="11"/>
  <c r="F6" i="9"/>
  <c r="G5" i="11"/>
  <c r="B12" i="11" s="1"/>
  <c r="B8" i="10" s="1"/>
  <c r="F2" i="9"/>
  <c r="D11" i="9"/>
  <c r="G10" i="9"/>
  <c r="G9" i="9"/>
  <c r="G8" i="9"/>
  <c r="G7" i="9"/>
  <c r="G6" i="9"/>
  <c r="G6" i="11" s="1"/>
  <c r="E13" i="11" s="1"/>
  <c r="G5" i="9"/>
  <c r="G4" i="9"/>
  <c r="G3" i="9"/>
  <c r="G2" i="9"/>
  <c r="H10" i="9"/>
  <c r="H9" i="9"/>
  <c r="H8" i="9"/>
  <c r="H7" i="9"/>
  <c r="H6" i="9"/>
  <c r="G7" i="11" s="1"/>
  <c r="H5" i="9"/>
  <c r="H4" i="9"/>
  <c r="H3" i="9"/>
  <c r="H2" i="9"/>
  <c r="I10" i="9"/>
  <c r="I9" i="9"/>
  <c r="I8" i="9"/>
  <c r="I7" i="9"/>
  <c r="I6" i="9"/>
  <c r="I5" i="9"/>
  <c r="I4" i="9"/>
  <c r="I3" i="9"/>
  <c r="I2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I57" i="11" l="1"/>
  <c r="J57" i="11" s="1"/>
  <c r="I58" i="11"/>
  <c r="I59" i="11"/>
  <c r="I60" i="11"/>
  <c r="I61" i="11"/>
  <c r="I62" i="11"/>
  <c r="I63" i="11"/>
  <c r="I64" i="11"/>
  <c r="I65" i="11"/>
  <c r="I66" i="11"/>
  <c r="H53" i="11"/>
  <c r="H52" i="11"/>
  <c r="H51" i="11"/>
  <c r="H50" i="11"/>
  <c r="H49" i="11"/>
  <c r="H48" i="11"/>
  <c r="H47" i="11"/>
  <c r="H46" i="11"/>
  <c r="H45" i="11"/>
  <c r="H44" i="11"/>
  <c r="H40" i="11"/>
  <c r="H39" i="11"/>
  <c r="H38" i="11"/>
  <c r="H37" i="11"/>
  <c r="H36" i="11"/>
  <c r="H35" i="11"/>
  <c r="H34" i="11"/>
  <c r="H33" i="11"/>
  <c r="H32" i="11"/>
  <c r="H31" i="11"/>
  <c r="I18" i="11"/>
  <c r="F18" i="11" s="1"/>
  <c r="I19" i="11"/>
  <c r="I20" i="11"/>
  <c r="I21" i="11"/>
  <c r="I22" i="11"/>
  <c r="I23" i="11"/>
  <c r="I24" i="11"/>
  <c r="I25" i="11"/>
  <c r="I26" i="11"/>
  <c r="I27" i="11"/>
  <c r="F6" i="11"/>
  <c r="E11" i="11" s="1"/>
  <c r="G8" i="11"/>
  <c r="H7" i="11"/>
  <c r="F7" i="11"/>
  <c r="B14" i="11" s="1"/>
  <c r="B11" i="10" s="1"/>
  <c r="G11" i="9"/>
  <c r="H6" i="11"/>
  <c r="F8" i="11" s="1"/>
  <c r="H11" i="9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J66" i="11" l="1"/>
  <c r="F66" i="11"/>
  <c r="J65" i="11"/>
  <c r="F65" i="11"/>
  <c r="J64" i="11"/>
  <c r="F64" i="11"/>
  <c r="J63" i="11"/>
  <c r="F63" i="11"/>
  <c r="J62" i="11"/>
  <c r="F62" i="11"/>
  <c r="J61" i="11"/>
  <c r="F61" i="11"/>
  <c r="J60" i="11"/>
  <c r="F60" i="11"/>
  <c r="J59" i="11"/>
  <c r="F59" i="11"/>
  <c r="J58" i="11"/>
  <c r="F58" i="11"/>
  <c r="H57" i="11"/>
  <c r="E57" i="11" s="1"/>
  <c r="F57" i="11"/>
  <c r="H58" i="11"/>
  <c r="E58" i="11" s="1"/>
  <c r="H59" i="11"/>
  <c r="E59" i="11" s="1"/>
  <c r="H60" i="11"/>
  <c r="E60" i="11" s="1"/>
  <c r="H61" i="11"/>
  <c r="E61" i="11" s="1"/>
  <c r="H62" i="11"/>
  <c r="E62" i="11" s="1"/>
  <c r="H63" i="11"/>
  <c r="E63" i="11" s="1"/>
  <c r="H64" i="11"/>
  <c r="E64" i="11" s="1"/>
  <c r="H65" i="11"/>
  <c r="E65" i="11" s="1"/>
  <c r="H66" i="11"/>
  <c r="E66" i="11" s="1"/>
  <c r="J27" i="11"/>
  <c r="H27" i="11" s="1"/>
  <c r="E27" i="11" s="1"/>
  <c r="F27" i="11"/>
  <c r="J26" i="11"/>
  <c r="H26" i="11" s="1"/>
  <c r="E26" i="11" s="1"/>
  <c r="F26" i="11"/>
  <c r="J25" i="11"/>
  <c r="H25" i="11" s="1"/>
  <c r="E25" i="11" s="1"/>
  <c r="F25" i="11"/>
  <c r="J24" i="11"/>
  <c r="H24" i="11" s="1"/>
  <c r="E24" i="11" s="1"/>
  <c r="F24" i="11"/>
  <c r="J23" i="11"/>
  <c r="H23" i="11" s="1"/>
  <c r="E23" i="11" s="1"/>
  <c r="F23" i="11"/>
  <c r="J22" i="11"/>
  <c r="H22" i="11" s="1"/>
  <c r="E22" i="11" s="1"/>
  <c r="F22" i="11"/>
  <c r="J21" i="11"/>
  <c r="H21" i="11" s="1"/>
  <c r="E21" i="11" s="1"/>
  <c r="F21" i="11"/>
  <c r="J20" i="11"/>
  <c r="H20" i="11" s="1"/>
  <c r="E20" i="11" s="1"/>
  <c r="F20" i="11"/>
  <c r="J19" i="11"/>
  <c r="H19" i="11" s="1"/>
  <c r="E19" i="11" s="1"/>
  <c r="F19" i="11"/>
  <c r="J18" i="11"/>
  <c r="H18" i="11" s="1"/>
  <c r="E18" i="11" s="1"/>
  <c r="B13" i="11"/>
  <c r="B5" i="10" s="1"/>
  <c r="H8" i="11"/>
  <c r="B15" i="11" s="1"/>
  <c r="B14" i="10" s="1"/>
</calcChain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<sst xmlns="http://schemas.openxmlformats.org/spreadsheetml/2006/main" count="318" uniqueCount="85">
  <si>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</si>
  <si>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</si>
  <si>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</si>
  <si>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</si>
  <si>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</si>
  <si>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</si>
  <si>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</si>
  <si>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</si>
  <si>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</si>
  <si>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</si>
  <si>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</si>
  <si>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</si>
  <si>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</si>
  <si>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</si>
  <si>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</si>
  <si>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</si>
  <si>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</si>
  <si>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</si>
  <si>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</si>
  <si>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</si>
  <si>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</si>
  <si>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</si>
  <si>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</si>
  <si>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</si>
  <si>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</si>
  <si>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</si>
  <si>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</si>
  <si>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</si>
  <si>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</si>
  <si>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</si>
  <si>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</si>
  <si>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</si>
  <si>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</si>
  <si>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</si>
  <si>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</si>
  <si>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</si>
  <si>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</si>
  <si>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</si>
  <si>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</si>
  <si>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</si>
  <si>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</si>
  <si>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</si>
  <si>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</si>
  <si>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</si>
  <si>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</si>
  <si>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</si>
  <si>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</si>
  <si>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</si>
  <si>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</si>
  <si>
    <t>Cotação</t>
  </si>
  <si>
    <t>Total Aportado</t>
  </si>
  <si>
    <t>Total Quantidade</t>
  </si>
  <si>
    <t>Preço Médio</t>
  </si>
  <si>
    <t>Valorização</t>
  </si>
  <si>
    <t>Valorização (%)</t>
  </si>
  <si>
    <t>Total Atual</t>
  </si>
  <si>
    <t>Até Qual Data ?</t>
  </si>
  <si>
    <t>Carteira Atual</t>
  </si>
  <si>
    <t>Caixa:</t>
  </si>
  <si>
    <t>Até:</t>
  </si>
  <si>
    <t>Valores para Caixa de Combinação</t>
  </si>
  <si>
    <t>Entradas do Usuário</t>
  </si>
  <si>
    <t>Caixa de Combinação</t>
  </si>
  <si>
    <t>Valor em Caixa</t>
  </si>
  <si>
    <t>AÇÕES</t>
  </si>
  <si>
    <t>FUNDOS IMOBILIÁRIOS</t>
  </si>
  <si>
    <t>TUDO</t>
  </si>
  <si>
    <t>Matriz Auxiliar: Somatório por Tipo de Ativo</t>
  </si>
  <si>
    <t>FUNDO INVESTIMENTO IMOBILIARIO</t>
  </si>
  <si>
    <t>Indicadores Chave de Desempenho (kpi´s)</t>
  </si>
  <si>
    <t>Gráfico Rosca: Composição do Patrimônio</t>
  </si>
  <si>
    <t>CAIXA</t>
  </si>
  <si>
    <t>Ordem</t>
  </si>
  <si>
    <t>Gráfico: Maiores Valores</t>
  </si>
  <si>
    <t xml:space="preserve">Ativo </t>
  </si>
  <si>
    <t>Valor</t>
  </si>
  <si>
    <t>Maiores valores (Tudo)</t>
  </si>
  <si>
    <t>Corresp</t>
  </si>
  <si>
    <t>Maiores valores (Ações)</t>
  </si>
  <si>
    <t>Maiores valores (Fundo Investimento Imobiliário)</t>
  </si>
  <si>
    <t>Gráfico: Maiores Valorizações</t>
  </si>
  <si>
    <t>Maiores valorizações (Tudo)</t>
  </si>
  <si>
    <t>Maiores valorizações (Ações)</t>
  </si>
  <si>
    <t>Maiores valorizações (Fundo Investimento Imobiliário)</t>
  </si>
  <si>
    <t>Fundo Investimento Imobiliario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</si>
</sst>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  <numFmt numFmtId="166" formatCode="&quot;R$&quot;\ #,##0.00;[Red]\-&quot;R$&quot;\ #,##0.00"/>
    <numFmt numFmtId="167" formatCode="0.0%"/>
  </numFmts>
  <fonts count="11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Segoe UI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theme="9" tint="-0.499984740745262"/>
      </left>
      <right/>
      <top style="double">
        <color theme="9" tint="-0.499984740745262"/>
      </top>
      <bottom/>
      <diagonal/>
    </border>
    <border>
      <left/>
      <right/>
      <top style="double">
        <color theme="9" tint="-0.499984740745262"/>
      </top>
      <bottom/>
      <diagonal/>
    </border>
    <border>
      <left/>
      <right style="thick">
        <color auto="1"/>
      </right>
      <top style="double">
        <color theme="9" tint="-0.499984740745262"/>
      </top>
      <bottom/>
      <diagonal/>
    </border>
    <border>
      <left/>
      <right style="double">
        <color theme="9" tint="-0.499984740745262"/>
      </right>
      <top style="double">
        <color theme="9" tint="-0.499984740745262"/>
      </top>
      <bottom/>
      <diagonal/>
    </border>
    <border>
      <left style="double">
        <color theme="9" tint="-0.499984740745262"/>
      </left>
      <right/>
      <top/>
      <bottom/>
      <diagonal/>
    </border>
    <border>
      <left/>
      <right style="double">
        <color theme="9" tint="-0.499984740745262"/>
      </right>
      <top/>
      <bottom/>
      <diagonal/>
    </border>
    <border>
      <left/>
      <right style="double">
        <color theme="9" tint="-0.499984740745262"/>
      </right>
      <top style="hair">
        <color auto="1"/>
      </top>
      <bottom/>
      <diagonal/>
    </border>
    <border>
      <left style="double">
        <color theme="9" tint="-0.499984740745262"/>
      </left>
      <right/>
      <top/>
      <bottom style="double">
        <color theme="9" tint="-0.499984740745262"/>
      </bottom>
      <diagonal/>
    </border>
    <border>
      <left/>
      <right/>
      <top/>
      <bottom style="double">
        <color theme="9" tint="-0.499984740745262"/>
      </bottom>
      <diagonal/>
    </border>
    <border>
      <left/>
      <right style="double">
        <color theme="9" tint="-0.499984740745262"/>
      </right>
      <top/>
      <bottom style="double">
        <color theme="9" tint="-0.499984740745262"/>
      </bottom>
      <diagonal/>
    </border>
    <border>
      <left style="double">
        <color theme="7" tint="-0.499984740745262"/>
      </left>
      <right/>
      <top style="double">
        <color theme="7" tint="-0.499984740745262"/>
      </top>
      <bottom/>
      <diagonal/>
    </border>
    <border>
      <left/>
      <right/>
      <top style="double">
        <color theme="7" tint="-0.499984740745262"/>
      </top>
      <bottom/>
      <diagonal/>
    </border>
    <border>
      <left/>
      <right style="thick">
        <color auto="1"/>
      </right>
      <top style="double">
        <color theme="7" tint="-0.499984740745262"/>
      </top>
      <bottom/>
      <diagonal/>
    </border>
    <border>
      <left/>
      <right style="double">
        <color theme="7" tint="-0.499984740745262"/>
      </right>
      <top style="double">
        <color theme="7" tint="-0.499984740745262"/>
      </top>
      <bottom/>
      <diagonal/>
    </border>
    <border>
      <left style="double">
        <color theme="7" tint="-0.499984740745262"/>
      </left>
      <right/>
      <top/>
      <bottom/>
      <diagonal/>
    </border>
    <border>
      <left/>
      <right style="double">
        <color theme="7" tint="-0.499984740745262"/>
      </right>
      <top/>
      <bottom/>
      <diagonal/>
    </border>
    <border>
      <left style="double">
        <color theme="7" tint="-0.499984740745262"/>
      </left>
      <right/>
      <top/>
      <bottom style="thick">
        <color auto="1"/>
      </bottom>
      <diagonal/>
    </border>
    <border>
      <left/>
      <right style="double">
        <color theme="7" tint="-0.499984740745262"/>
      </right>
      <top/>
      <bottom style="hair">
        <color auto="1"/>
      </bottom>
      <diagonal/>
    </border>
    <border>
      <left/>
      <right style="double">
        <color theme="7" tint="-0.499984740745262"/>
      </right>
      <top style="hair">
        <color auto="1"/>
      </top>
      <bottom/>
      <diagonal/>
    </border>
    <border>
      <left style="double">
        <color theme="7" tint="-0.499984740745262"/>
      </left>
      <right/>
      <top/>
      <bottom style="double">
        <color theme="7" tint="-0.499984740745262"/>
      </bottom>
      <diagonal/>
    </border>
    <border>
      <left/>
      <right/>
      <top/>
      <bottom style="double">
        <color theme="7" tint="-0.499984740745262"/>
      </bottom>
      <diagonal/>
    </border>
    <border>
      <left/>
      <right style="double">
        <color theme="7" tint="-0.499984740745262"/>
      </right>
      <top/>
      <bottom style="double">
        <color theme="7" tint="-0.499984740745262"/>
      </bottom>
      <diagonal/>
    </border>
    <border>
      <left style="double">
        <color theme="9" tint="-0.499984740745262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8" fillId="4" borderId="5" xfId="0" applyFont="1" applyFill="1" applyBorder="1" applyAlignment="1">
      <alignment horizontal="left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10" fillId="4" borderId="7" xfId="0" applyFont="1" applyFill="1" applyBorder="1"/>
    <xf numFmtId="10" fontId="7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6" borderId="10" xfId="0" applyFill="1" applyBorder="1"/>
    <xf numFmtId="0" fontId="0" fillId="6" borderId="11" xfId="0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19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6" fontId="0" fillId="0" borderId="0" xfId="0" applyNumberFormat="1" applyBorder="1"/>
    <xf numFmtId="166" fontId="0" fillId="0" borderId="20" xfId="0" applyNumberFormat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10" fontId="0" fillId="0" borderId="22" xfId="0" applyNumberFormat="1" applyBorder="1"/>
    <xf numFmtId="10" fontId="0" fillId="0" borderId="23" xfId="0" applyNumberFormat="1" applyBorder="1"/>
    <xf numFmtId="0" fontId="0" fillId="0" borderId="21" xfId="0" applyBorder="1"/>
    <xf numFmtId="166" fontId="0" fillId="0" borderId="23" xfId="0" applyNumberFormat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/>
    <xf numFmtId="166" fontId="0" fillId="0" borderId="22" xfId="0" applyNumberFormat="1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6" fontId="0" fillId="0" borderId="24" xfId="0" applyNumberFormat="1" applyBorder="1"/>
    <xf numFmtId="166" fontId="0" fillId="0" borderId="26" xfId="0" applyNumberFormat="1" applyBorder="1"/>
    <xf numFmtId="10" fontId="0" fillId="0" borderId="0" xfId="0" applyNumberFormat="1" applyBorder="1"/>
    <xf numFmtId="167" fontId="0" fillId="0" borderId="0" xfId="0" applyNumberFormat="1" applyBorder="1"/>
    <xf numFmtId="0" fontId="0" fillId="6" borderId="27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6" borderId="33" xfId="0" applyFill="1" applyBorder="1"/>
    <xf numFmtId="0" fontId="0" fillId="0" borderId="34" xfId="0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0" fontId="0" fillId="0" borderId="35" xfId="0" applyNumberFormat="1" applyBorder="1"/>
    <xf numFmtId="0" fontId="0" fillId="0" borderId="36" xfId="0" applyBorder="1" applyAlignment="1">
      <alignment horizontal="center" vertical="center"/>
    </xf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6" borderId="45" xfId="0" applyFill="1" applyBorder="1"/>
    <xf numFmtId="0" fontId="0" fillId="0" borderId="46" xfId="0" applyBorder="1"/>
    <xf numFmtId="0" fontId="0" fillId="0" borderId="47" xfId="0" applyBorder="1"/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166" fontId="0" fillId="0" borderId="47" xfId="0" applyNumberFormat="1" applyBorder="1"/>
    <xf numFmtId="0" fontId="0" fillId="0" borderId="48" xfId="0" applyBorder="1" applyAlignment="1">
      <alignment horizontal="center" vertical="center"/>
    </xf>
    <xf numFmtId="10" fontId="0" fillId="0" borderId="24" xfId="0" applyNumberFormat="1" applyBorder="1"/>
    <xf numFmtId="0" fontId="0" fillId="0" borderId="49" xfId="0" applyBorder="1" applyAlignment="1">
      <alignment horizontal="center" vertical="center"/>
    </xf>
    <xf numFmtId="0" fontId="0" fillId="0" borderId="50" xfId="0" applyBorder="1"/>
    <xf numFmtId="10" fontId="0" fillId="0" borderId="51" xfId="0" applyNumberFormat="1" applyBorder="1"/>
    <xf numFmtId="166" fontId="9" fillId="5" borderId="3" xfId="0" applyNumberFormat="1" applyFont="1" applyFill="1" applyBorder="1" applyAlignment="1" applyProtection="1">
      <alignment horizontal="center" vertical="center"/>
      <protection locked="0"/>
    </xf>
    <xf numFmtId="14" fontId="8" fillId="4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01"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100"/>
      <tableStyleElement type="headerRow" dxfId="99"/>
      <tableStyleElement type="totalRow" dxfId="98"/>
      <tableStyleElement type="firstColumn" dxfId="97"/>
      <tableStyleElement type="lastColumn" dxfId="96"/>
      <tableStyleElement type="firstRowStripe" dxfId="95"/>
      <tableStyleElement type="firstColumnStripe" dxfId="9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Composição do Patrimônio</a:t>
            </a:r>
          </a:p>
        </c:rich>
      </c:tx>
      <c:layout>
        <c:manualLayout>
          <c:xMode val="edge"/>
          <c:yMode val="edge"/>
          <c:x val="0.25218188125486807"/>
          <c:y val="1.9700551615445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AE0BE34-C8A9-4077-8C79-B7DCB154BFF4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 baseline="0"/>
                  </a:p>
                  <a:p>
                    <a:fld id="{33AD7144-408A-4740-8F91-CA2DF9F960D3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6E8729A-A237-4F40-BFCE-EDFB601BE3CF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Auxiliar'!$D$11:$D$13</c:f>
              <c:strCache>
                <c:ptCount val="3"/>
                <c:pt idx="0">
                  <c:v>AÇÕES</c:v>
                </c:pt>
                <c:pt idx="1">
                  <c:v>CAIXA</c:v>
                </c:pt>
                <c:pt idx="2">
                  <c:v>FUNDO INVESTIMENTO IMOBILIARIO</c:v>
                </c:pt>
              </c:strCache>
            </c:strRef>
          </c:cat>
          <c:val>
            <c:numRef>
              <c:f>'Dashboard Auxiliar'!$E$11:$E$13</c:f>
              <c:numCache>
                <c:formatCode>"R$"\ #,##0.00;[Red]\-"R$"\ #,##0.00</c:formatCode>
                <c:ptCount val="3"/>
                <c:pt idx="0">
                  <c:v>24523</c:v>
                </c:pt>
                <c:pt idx="1">
                  <c:v>15000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1"/>
        <c:holeSize val="54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Maiores Valores Atuais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Auxiliar'!$F$17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Auxiliar'!$E$18:$E$27</c:f>
              <c:strCache>
                <c:ptCount val="10"/>
                <c:pt idx="0">
                  <c:v> - </c:v>
                </c:pt>
                <c:pt idx="1">
                  <c:v>HGBS11</c:v>
                </c:pt>
                <c:pt idx="2">
                  <c:v>TAEE4</c:v>
                </c:pt>
                <c:pt idx="3">
                  <c:v>HGRE11</c:v>
                </c:pt>
                <c:pt idx="4">
                  <c:v>HGLG11</c:v>
                </c:pt>
                <c:pt idx="5">
                  <c:v>KNRI11</c:v>
                </c:pt>
                <c:pt idx="6">
                  <c:v>ITSA4</c:v>
                </c:pt>
                <c:pt idx="7">
                  <c:v>FLRY3</c:v>
                </c:pt>
                <c:pt idx="8">
                  <c:v>CSNA3</c:v>
                </c:pt>
                <c:pt idx="9">
                  <c:v>PETR4</c:v>
                </c:pt>
              </c:strCache>
            </c:strRef>
          </c:cat>
          <c:val>
            <c:numRef>
              <c:f>'Dashboard Auxiliar'!$F$18:$F$27</c:f>
              <c:numCache>
                <c:formatCode>"R$"\ #,##0.00;[Red]\-"R$"\ #,##0.00</c:formatCode>
                <c:ptCount val="10"/>
                <c:pt idx="0">
                  <c:v>0</c:v>
                </c:pt>
                <c:pt idx="1">
                  <c:v>2017.8</c:v>
                </c:pt>
                <c:pt idx="2">
                  <c:v>2424</c:v>
                </c:pt>
                <c:pt idx="3">
                  <c:v>2701.2299999999996</c:v>
                </c:pt>
                <c:pt idx="4">
                  <c:v>2782.73</c:v>
                </c:pt>
                <c:pt idx="5">
                  <c:v>2896.92</c:v>
                </c:pt>
                <c:pt idx="6">
                  <c:v>2943</c:v>
                </c:pt>
                <c:pt idx="7">
                  <c:v>3214</c:v>
                </c:pt>
                <c:pt idx="8">
                  <c:v>4038.0000000000005</c:v>
                </c:pt>
                <c:pt idx="9">
                  <c:v>11904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0"/>
        <c:axId val="-1965692368"/>
        <c:axId val="-1965698896"/>
      </c:barChart>
      <c:catAx>
        <c:axId val="-1965692368"/>
        <c:scaling>
          <c:orientation val="minMax"/>
        </c:scaling>
        <c:delete val="0"/>
        <c:axPos val="l"/>
        <c:numFmt formatCode="#,##0.00_ ;[Red]\-#,##0.00\ 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5698896"/>
        <c:crosses val="autoZero"/>
        <c:auto val="1"/>
        <c:lblAlgn val="ctr"/>
        <c:lblOffset val="100"/>
        <c:noMultiLvlLbl val="0"/>
      </c:catAx>
      <c:valAx>
        <c:axId val="-1965698896"/>
        <c:scaling>
          <c:orientation val="minMax"/>
        </c:scaling>
        <c:delete val="1"/>
        <c:axPos val="b"/>
        <c:numFmt formatCode="&quot;R$&quot;\ #,##0.00;[Red]\-&quot;R$&quot;\ #,##0.00" sourceLinked="1"/>
        <c:majorTickMark val="none"/>
        <c:minorTickMark val="none"/>
        <c:tickLblPos val="nextTo"/>
        <c:crossAx val="-19656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>
                <a:latin typeface="Arial" panose="020B0604020202020204" pitchFamily="34" charset="0"/>
                <a:cs typeface="Arial" panose="020B0604020202020204" pitchFamily="34" charset="0"/>
              </a:rPr>
              <a:t>Maiores Valorizações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Auxiliar'!$E$57:$E$66</c:f>
              <c:strCache>
                <c:ptCount val="10"/>
                <c:pt idx="0">
                  <c:v> - </c:v>
                </c:pt>
                <c:pt idx="1">
                  <c:v>FLRY3</c:v>
                </c:pt>
                <c:pt idx="2">
                  <c:v>TAEE4</c:v>
                </c:pt>
                <c:pt idx="3">
                  <c:v>ITSA4</c:v>
                </c:pt>
                <c:pt idx="4">
                  <c:v>CSNA3</c:v>
                </c:pt>
                <c:pt idx="5">
                  <c:v>PETR4</c:v>
                </c:pt>
                <c:pt idx="6">
                  <c:v>HGLG11</c:v>
                </c:pt>
                <c:pt idx="7">
                  <c:v>KNRI11</c:v>
                </c:pt>
                <c:pt idx="8">
                  <c:v>HGRE11</c:v>
                </c:pt>
                <c:pt idx="9">
                  <c:v>HGBS11</c:v>
                </c:pt>
              </c:strCache>
            </c:strRef>
          </c:cat>
          <c:val>
            <c:numRef>
              <c:f>'Dashboard Auxiliar'!$F$57:$F$66</c:f>
              <c:numCache>
                <c:formatCode>0.00%</c:formatCode>
                <c:ptCount val="10"/>
                <c:pt idx="0">
                  <c:v>0</c:v>
                </c:pt>
                <c:pt idx="1">
                  <c:v>-0.77307067711643018</c:v>
                </c:pt>
                <c:pt idx="2">
                  <c:v>-0.41079241614000972</c:v>
                </c:pt>
                <c:pt idx="3">
                  <c:v>-0.24422187981510013</c:v>
                </c:pt>
                <c:pt idx="4">
                  <c:v>-7.6183939601921602E-2</c:v>
                </c:pt>
                <c:pt idx="5">
                  <c:v>0.58150657632522917</c:v>
                </c:pt>
                <c:pt idx="6">
                  <c:v>1.8781105847795958</c:v>
                </c:pt>
                <c:pt idx="7">
                  <c:v>5.3221160141416783</c:v>
                </c:pt>
                <c:pt idx="8">
                  <c:v>6.5073788944164965</c:v>
                </c:pt>
                <c:pt idx="9">
                  <c:v>9.1340967304505032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0"/>
        <c:axId val="-1965695632"/>
        <c:axId val="-1965695088"/>
      </c:barChart>
      <c:catAx>
        <c:axId val="-196569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5695088"/>
        <c:crosses val="autoZero"/>
        <c:auto val="1"/>
        <c:lblAlgn val="ctr"/>
        <c:lblOffset val="100"/>
        <c:noMultiLvlLbl val="0"/>
      </c:catAx>
      <c:valAx>
        <c:axId val="-196569508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-1965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5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0" fmlaLink="'Dashboard Auxiliar'!$B$8" fmlaRange="'Dashboard Auxiliar'!$B$3:$B$5" noThreeD="1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7620</xdr:rowOff>
        </xdr:from>
        <xdr:to>
          <xdr:col>2</xdr:col>
          <xdr:colOff>7620</xdr:colOff>
          <xdr:row>1</xdr:row>
          <xdr:rowOff>7620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121920</xdr:colOff>
      <xdr:row>2</xdr:row>
      <xdr:rowOff>38100</xdr:rowOff>
    </xdr:from>
    <xdr:to>
      <xdr:col>4</xdr:col>
      <xdr:colOff>1493520</xdr:colOff>
      <xdr:row>13</xdr:row>
      <xdr:rowOff>459900</xdr:rowOff>
    </xdr:to>
    <xdr:graphicFrame macro="">
      <xdr:nvGraphicFramePr>
        <xdr:cNvPr id="3" name="Gráfico Composicao Patrimoni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1565910</xdr:colOff>
      <xdr:row>2</xdr:row>
      <xdr:rowOff>38100</xdr:rowOff>
    </xdr:from>
    <xdr:to>
      <xdr:col>5</xdr:col>
      <xdr:colOff>2823210</xdr:colOff>
      <xdr:row>13</xdr:row>
      <xdr:rowOff>459900</xdr:rowOff>
    </xdr:to>
    <xdr:graphicFrame macro="">
      <xdr:nvGraphicFramePr>
        <xdr:cNvPr id="4" name="Gráfico Maiores Valores Atuai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2895600</xdr:colOff>
      <xdr:row>2</xdr:row>
      <xdr:rowOff>38100</xdr:rowOff>
    </xdr:from>
    <xdr:to>
      <xdr:col>7</xdr:col>
      <xdr:colOff>1539240</xdr:colOff>
      <xdr:row>13</xdr:row>
      <xdr:rowOff>459900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7.753349074075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3">
        <s v="EMPRESA"/>
        <s v="Fundo Investimento Imobiliario"/>
        <s v="FUNDOS INVESTIMENTO IMOBILIARIO" u="1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7.753349305553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4">
        <s v="EMPRESA"/>
        <s v="Fundo Investimento Imobiliario"/>
        <e v="#N/A"/>
        <s v="FUNDOS INVESTIMENTO IMOBILIARI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3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4">
        <item x="0"/>
        <item x="1"/>
        <item m="1" x="2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3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h="1" x="2"/>
        <item h="1" m="1" x="3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93"/>
    <tableColumn id="2" name="Ativo" dataDxfId="92"/>
    <tableColumn id="3" name="Quantidade" dataDxfId="91"/>
    <tableColumn id="4" name="Valor Unitário" dataDxfId="90"/>
    <tableColumn id="5" name="Custo" dataDxfId="89"/>
    <tableColumn id="6" name="Total" dataDxfId="88">
      <calculatedColumnFormula>(TblAportes[[#This Row],[Valor Unitário]] * TblAportes[[#This Row],[Quantidade]]) + TblAportes[[#This Row],[Custo]]</calculatedColumnFormula>
    </tableColumn>
    <tableColumn id="7" name="Tipo" dataDxfId="87">
      <calculatedColumnFormula>VLOOKUP(TblAportes[[#This Row],[Ativo]], 'Tabela Ativos'!$B$4:$D$500, 2, FALSE)</calculatedColumnFormula>
    </tableColumn>
    <tableColumn id="8" name="Ano" dataDxfId="86">
      <calculatedColumnFormula>YEAR(TblAportes[[#This Row],[Data]])</calculatedColumnFormula>
    </tableColumn>
    <tableColumn id="9" name="Mês" dataDxfId="85">
      <calculatedColumnFormula>MONTH(TblAportes[[#This Row],[Data]])</calculatedColumnFormula>
    </tableColumn>
    <tableColumn id="10" name="Ano/Mês" dataDxfId="84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83" dataDxfId="82">
  <autoFilter ref="A1:I72"/>
  <tableColumns count="9">
    <tableColumn id="1" name="Codigo" dataDxfId="81"/>
    <tableColumn id="2" name="Ativo" dataDxfId="80"/>
    <tableColumn id="3" name="Quantidade" dataDxfId="79"/>
    <tableColumn id="4" name="Valor Bruto" dataDxfId="78"/>
    <tableColumn id="5" name="IR" dataDxfId="77"/>
    <tableColumn id="6" name="Valor Liquido" dataDxfId="76"/>
    <tableColumn id="7" name="Data" dataDxfId="75"/>
    <tableColumn id="8" name="Ano/Mês" dataDxfId="74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73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Carteira" displayName="TblCarteira" ref="A1:I11" totalsRowCount="1" headerRowDxfId="71" dataDxfId="70">
  <autoFilter ref="A1:I10"/>
  <tableColumns count="9">
    <tableColumn id="1" name="Ativo" totalsRowLabel="Total" dataDxfId="69" totalsRowDxfId="68"/>
    <tableColumn id="2" name="Tipo" dataDxfId="67" totalsRowDxfId="66">
      <calculatedColumnFormula>VLOOKUP(TblCarteira[[#This Row],[Ativo]], 'Tabela Ativos'!$B$4:$D$500, 2, FALSE)</calculatedColumnFormula>
    </tableColumn>
    <tableColumn id="3" name="Cotação" dataDxfId="65" totalsRowDxfId="64">
      <calculatedColumnFormula>VLOOKUP(TblCarteira[[#This Row],[Ativo]], 'Tabela Ativos'!$B$4:$D$500, 3, FALSE)</calculatedColumnFormula>
    </tableColumn>
    <tableColumn id="4" name="Total Aportado" totalsRowFunction="sum" dataDxfId="63" totalsRowDxfId="62">
      <calculatedColumnFormula>SUMIFS(TblAportes[Total], TblAportes[Ativo],TblCarteira[[#This Row],[Ativo]], TblAportes[Data], "&lt;="&amp;IF($K$2 = "", TODAY(), $K$2))</calculatedColumnFormula>
    </tableColumn>
    <tableColumn id="5" name="Total Quantidade" dataDxfId="61" totalsRowDxfId="60">
      <calculatedColumnFormula>SUMIFS(TblAportes[Quantidade], TblAportes[Ativo],TblCarteira[[#This Row],[Ativo]], TblAportes[Data], "&lt;="&amp;IF($K$2 = "", TODAY(), $K$2))</calculatedColumnFormula>
    </tableColumn>
    <tableColumn id="6" name="Preço Médio" dataDxfId="59" totalsRowDxfId="58">
      <calculatedColumnFormula>(TblCarteira[[#This Row],[Total Aportado]] / TblCarteira[[#This Row],[Total Quantidade]])</calculatedColumnFormula>
    </tableColumn>
    <tableColumn id="7" name="Total Atual" totalsRowFunction="sum" dataDxfId="57" totalsRowDxfId="56">
      <calculatedColumnFormula>(TblCarteira[[#This Row],[Total Quantidade]] * TblCarteira[[#This Row],[Cotação]])</calculatedColumnFormula>
    </tableColumn>
    <tableColumn id="8" name="Valorização" totalsRowFunction="sum" dataDxfId="55" totalsRowDxfId="54">
      <calculatedColumnFormula>(TblCarteira[[#This Row],[Total Atual]] - TblCarteira[[#This Row],[Total Aportado]])</calculatedColumnFormula>
    </tableColumn>
    <tableColumn id="9" name="Valorização (%)" dataDxfId="53" totalsRowDxfId="52">
      <calculatedColumnFormula>(TblCarteira[[#This Row],[Total Atual]] / TblCarteira[[#This Row],[Total Aportado]]) 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blCarteiraFII" displayName="TblCarteiraFII" ref="A1:I6" totalsRowCount="1" headerRowDxfId="50" dataDxfId="49">
  <autoFilter ref="A1:I5"/>
  <sortState ref="A2:I10">
    <sortCondition ref="B1:B10"/>
  </sortState>
  <tableColumns count="9">
    <tableColumn id="1" name="Ativo" totalsRowLabel="Total" dataDxfId="48" totalsRowDxfId="47"/>
    <tableColumn id="2" name="Tipo" dataDxfId="46" totalsRowDxfId="45">
      <calculatedColumnFormula>VLOOKUP(TblCarteiraFII[[#This Row],[Ativo]], 'Tabela Ativos'!$B$4:$D$500, 2, FALSE)</calculatedColumnFormula>
    </tableColumn>
    <tableColumn id="3" name="Cotação" dataDxfId="44" totalsRowDxfId="43">
      <calculatedColumnFormula>VLOOKUP(TblCarteiraFII[[#This Row],[Ativo]], 'Tabela Ativos'!$B$4:$D$500, 3, FALSE)</calculatedColumnFormula>
    </tableColumn>
    <tableColumn id="4" name="Total Aportado" totalsRowFunction="sum" dataDxfId="42" totalsRowDxfId="41">
      <calculatedColumnFormula>SUMIFS(TblAportes[Total], TblAportes[Ativo],TblCarteiraFII[[#This Row],[Ativo]], TblAportes[Data], "&lt;="&amp;IF($K$2 = "", TODAY(), $K$2))</calculatedColumnFormula>
    </tableColumn>
    <tableColumn id="5" name="Total Quantidade" dataDxfId="40" totalsRowDxfId="39">
      <calculatedColumnFormula>SUMIFS(TblAportes[Quantidade], TblAportes[Ativo],TblCarteiraFII[[#This Row],[Ativo]], TblAportes[Data], "&lt;="&amp;IF($K$2 = "", TODAY(), $K$2))</calculatedColumnFormula>
    </tableColumn>
    <tableColumn id="6" name="Preço Médio" dataDxfId="38" totalsRowDxfId="37">
      <calculatedColumnFormula>(TblCarteiraFII[[#This Row],[Total Aportado]] / TblCarteiraFII[[#This Row],[Total Quantidade]])</calculatedColumnFormula>
    </tableColumn>
    <tableColumn id="7" name="Total Atual" totalsRowFunction="sum" dataDxfId="36" totalsRowDxfId="35">
      <calculatedColumnFormula>(TblCarteiraFII[[#This Row],[Total Quantidade]] * TblCarteiraFII[[#This Row],[Cotação]])</calculatedColumnFormula>
    </tableColumn>
    <tableColumn id="8" name="Valorização" totalsRowFunction="sum" dataDxfId="34" totalsRowDxfId="33">
      <calculatedColumnFormula>(TblCarteiraFII[[#This Row],[Total Atual]] - TblCarteiraFII[[#This Row],[Total Aportado]])</calculatedColumnFormula>
    </tableColumn>
    <tableColumn id="9" name="Valorização (%)" dataDxfId="32" totalsRowDxfId="31">
      <calculatedColumnFormula>(TblCarteiraFII[[#This Row],[Total Atual]] / TblCarteiraFII[[#This Row],[Total Aportado]]) 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CarteiraAcoes" displayName="TblCarteiraAcoes" ref="A1:I7" totalsRowCount="1" headerRowDxfId="29" dataDxfId="28">
  <autoFilter ref="A1:I6"/>
  <sortState ref="A2:I10">
    <sortCondition ref="B1:B10"/>
  </sortState>
  <tableColumns count="9">
    <tableColumn id="1" name="Ativo" totalsRowLabel="Total" dataDxfId="27" totalsRowDxfId="26"/>
    <tableColumn id="2" name="Tipo" dataDxfId="25" totalsRowDxfId="24">
      <calculatedColumnFormula>VLOOKUP(TblCarteiraAcoes[[#This Row],[Ativo]], 'Tabela Ativos'!$B$4:$D$500, 2, FALSE)</calculatedColumnFormula>
    </tableColumn>
    <tableColumn id="3" name="Cotação" dataDxfId="23" totalsRowDxfId="22">
      <calculatedColumnFormula>VLOOKUP(TblCarteiraAcoes[[#This Row],[Ativo]], 'Tabela Ativos'!$B$4:$D$500, 3, FALSE)</calculatedColumnFormula>
    </tableColumn>
    <tableColumn id="4" name="Total Aportado" totalsRowFunction="sum" dataDxfId="21" totalsRowDxfId="20">
      <calculatedColumnFormula>SUMIFS(TblAportes[Total], TblAportes[Ativo],TblCarteiraAcoes[[#This Row],[Ativo]], TblAportes[Data], "&lt;="&amp;IF($K$2 = "", TODAY(), $K$2))</calculatedColumnFormula>
    </tableColumn>
    <tableColumn id="5" name="Total Quantidade" dataDxfId="19" totalsRowDxfId="18">
      <calculatedColumnFormula>SUMIFS(TblAportes[Quantidade], TblAportes[Ativo],TblCarteiraAcoes[[#This Row],[Ativo]], TblAportes[Data], "&lt;="&amp;IF($K$2 = "", TODAY(), $K$2))</calculatedColumnFormula>
    </tableColumn>
    <tableColumn id="6" name="Preço Médio" dataDxfId="17" totalsRowDxfId="16">
      <calculatedColumnFormula>(TblCarteiraAcoes[[#This Row],[Total Aportado]] / TblCarteiraAcoes[[#This Row],[Total Quantidade]])</calculatedColumnFormula>
    </tableColumn>
    <tableColumn id="7" name="Total Atual" totalsRowFunction="sum" dataDxfId="15" totalsRowDxfId="14">
      <calculatedColumnFormula>(TblCarteiraAcoes[[#This Row],[Total Quantidade]] * TblCarteiraAcoes[[#This Row],[Cotação]])</calculatedColumnFormula>
    </tableColumn>
    <tableColumn id="8" name="Valorização" totalsRowFunction="sum" dataDxfId="13" totalsRowDxfId="12">
      <calculatedColumnFormula>(TblCarteiraAcoes[[#This Row],[Total Atual]] - TblCarteiraAcoes[[#This Row],[Total Aportado]])</calculatedColumnFormula>
    </tableColumn>
    <tableColumn id="9" name="Valorização (%)" dataDxfId="11" totalsRowDxfId="10">
      <calculatedColumnFormula>(TblCarteiraAcoes[[#This Row],[Total Atual]] / TblCarteiraAcoes[[#This Row],[Total Aportado]]) 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23.5429687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13.46</v>
      </c>
    </row>
    <row r="5" spans="1:4" x14ac:dyDescent="0.25">
      <c r="A5">
        <v>3</v>
      </c>
      <c r="B5" t="s">
        <v>6</v>
      </c>
      <c r="C5" t="s">
        <v>5</v>
      </c>
      <c r="D5">
        <v>16.07</v>
      </c>
    </row>
    <row r="6" spans="1:4" x14ac:dyDescent="0.25">
      <c r="A6">
        <v>4</v>
      </c>
      <c r="B6" t="s">
        <v>7</v>
      </c>
      <c r="C6" t="s">
        <v>5</v>
      </c>
      <c r="D6">
        <v>9.81</v>
      </c>
    </row>
    <row r="7" spans="1:4" x14ac:dyDescent="0.25">
      <c r="A7">
        <v>5</v>
      </c>
      <c r="B7" t="s">
        <v>8</v>
      </c>
      <c r="C7" t="s">
        <v>5</v>
      </c>
      <c r="D7">
        <v>29.76</v>
      </c>
    </row>
    <row r="8" spans="1:4" x14ac:dyDescent="0.25">
      <c r="A8">
        <v>6</v>
      </c>
      <c r="B8" t="s">
        <v>9</v>
      </c>
      <c r="C8" t="s">
        <v>68</v>
      </c>
      <c r="D8">
        <v>224.2</v>
      </c>
    </row>
    <row r="9" spans="1:4" x14ac:dyDescent="0.25">
      <c r="A9">
        <v>7</v>
      </c>
      <c r="B9" t="s">
        <v>10</v>
      </c>
      <c r="C9" t="s">
        <v>68</v>
      </c>
      <c r="D9">
        <v>163.69</v>
      </c>
    </row>
    <row r="10" spans="1:4" x14ac:dyDescent="0.25">
      <c r="A10">
        <v>8</v>
      </c>
      <c r="B10" t="s">
        <v>11</v>
      </c>
      <c r="C10" t="s">
        <v>68</v>
      </c>
      <c r="D10">
        <v>142.16999999999999</v>
      </c>
    </row>
    <row r="11" spans="1:4" x14ac:dyDescent="0.25">
      <c r="A11">
        <v>9</v>
      </c>
      <c r="B11" t="s">
        <v>12</v>
      </c>
      <c r="C11" t="s">
        <v>68</v>
      </c>
      <c r="D11">
        <v>160.94</v>
      </c>
    </row>
    <row r="12" spans="1:4" x14ac:dyDescent="0.25">
      <c r="A12">
        <v>10</v>
      </c>
      <c r="B12" t="s">
        <v>14</v>
      </c>
      <c r="C12" t="s">
        <v>5</v>
      </c>
      <c r="D12">
        <v>12.12</v>
      </c>
    </row>
    <row r="13" spans="1:4" x14ac:dyDescent="0.25">
      <c r="A13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>
      <selection activeCell="H1" sqref="H1"/>
    </sheetView>
  </sheetViews>
  <sheetFormatPr defaultRowHeight="15" x14ac:dyDescent="0.25"/>
  <cols>
    <col min="1" max="1" width="5.6328125" customWidth="1"/>
    <col min="2" max="2" width="35.7265625" customWidth="1"/>
    <col min="3" max="3" width="5.6328125" customWidth="1"/>
    <col min="4" max="4" width="10" customWidth="1"/>
    <col min="5" max="5" width="27.453125" customWidth="1"/>
    <col min="6" max="6" width="47.453125" customWidth="1"/>
    <col min="7" max="7" width="10" customWidth="1"/>
    <col min="8" max="8" width="18.54296875" customWidth="1"/>
  </cols>
  <sheetData>
    <row r="1" spans="1:8" ht="30" customHeight="1" thickTop="1" thickBot="1" x14ac:dyDescent="0.3">
      <c r="A1" s="21"/>
      <c r="B1" s="22"/>
      <c r="C1" s="22"/>
      <c r="D1" s="26" t="s">
        <v>58</v>
      </c>
      <c r="E1" s="107">
        <v>15000</v>
      </c>
      <c r="F1" s="22"/>
      <c r="G1" s="26" t="s">
        <v>59</v>
      </c>
      <c r="H1" s="108">
        <v>43830</v>
      </c>
    </row>
    <row r="2" spans="1:8" ht="30" customHeight="1" thickTop="1" thickBot="1" x14ac:dyDescent="0.45">
      <c r="A2" s="23"/>
      <c r="B2" s="24"/>
      <c r="C2" s="24"/>
      <c r="D2" s="24"/>
      <c r="E2" s="28"/>
      <c r="F2" s="24"/>
      <c r="G2" s="24"/>
      <c r="H2" s="25"/>
    </row>
    <row r="3" spans="1:8" ht="15.6" thickTop="1" x14ac:dyDescent="0.25"/>
    <row r="4" spans="1:8" ht="16.2" thickBot="1" x14ac:dyDescent="0.35">
      <c r="B4" s="20" t="s">
        <v>57</v>
      </c>
    </row>
    <row r="5" spans="1:8" ht="40.049999999999997" customHeight="1" thickTop="1" thickBot="1" x14ac:dyDescent="0.3">
      <c r="B5" s="27">
        <f ca="1">'Dashboard Auxiliar'!B13</f>
        <v>34921.68</v>
      </c>
    </row>
    <row r="6" spans="1:8" ht="15.6" thickTop="1" x14ac:dyDescent="0.25"/>
    <row r="7" spans="1:8" ht="16.2" thickBot="1" x14ac:dyDescent="0.35">
      <c r="B7" s="20" t="s">
        <v>50</v>
      </c>
    </row>
    <row r="8" spans="1:8" ht="40.049999999999997" customHeight="1" thickTop="1" thickBot="1" x14ac:dyDescent="0.3">
      <c r="B8" s="27">
        <f ca="1">'Dashboard Auxiliar'!B12</f>
        <v>36053</v>
      </c>
    </row>
    <row r="9" spans="1:8" ht="15.6" thickTop="1" x14ac:dyDescent="0.25"/>
    <row r="10" spans="1:8" ht="16.2" thickBot="1" x14ac:dyDescent="0.35">
      <c r="B10" s="20" t="s">
        <v>53</v>
      </c>
    </row>
    <row r="11" spans="1:8" ht="40.049999999999997" customHeight="1" thickTop="1" thickBot="1" x14ac:dyDescent="0.3">
      <c r="B11" s="27">
        <f ca="1">'Dashboard Auxiliar'!B14</f>
        <v>-1131.3200000000002</v>
      </c>
    </row>
    <row r="12" spans="1:8" ht="15.6" thickTop="1" x14ac:dyDescent="0.25"/>
    <row r="13" spans="1:8" ht="16.2" thickBot="1" x14ac:dyDescent="0.35">
      <c r="B13" s="20" t="s">
        <v>54</v>
      </c>
    </row>
    <row r="14" spans="1:8" ht="40.049999999999997" customHeight="1" thickTop="1" thickBot="1" x14ac:dyDescent="0.3">
      <c r="B14" s="29">
        <f ca="1">'Dashboard Auxiliar'!B15</f>
        <v>-3.1379358167142768E-2</v>
      </c>
    </row>
    <row r="15" spans="1:8" s="30" customFormat="1" ht="15.6" thickTop="1" x14ac:dyDescent="0.25"/>
  </sheetData>
  <sheetProtection sheet="1" objects="1" scenarios="1" selectLockedCells="1"/>
  <conditionalFormatting sqref="B14">
    <cfRule type="cellIs" dxfId="9" priority="2" operator="lessThan">
      <formula>0</formula>
    </cfRule>
  </conditionalFormatting>
  <conditionalFormatting sqref="B5 B8 B11">
    <cfRule type="cellIs" dxfId="8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Drop Down 2">
              <controlPr defaultSize="0" autoLine="0" autoPict="0">
                <anchor moveWithCells="1">
                  <from>
                    <xdr:col>1</xdr:col>
                    <xdr:colOff>7620</xdr:colOff>
                    <xdr:row>0</xdr:row>
                    <xdr:rowOff>7620</xdr:rowOff>
                  </from>
                  <to>
                    <xdr:col>2</xdr:col>
                    <xdr:colOff>7620</xdr:colOff>
                    <xdr:row>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15</v>
      </c>
      <c r="B1" s="2" t="s">
        <v>16</v>
      </c>
      <c r="C1" s="2" t="s">
        <v>17</v>
      </c>
      <c r="D1" s="3" t="s">
        <v>18</v>
      </c>
      <c r="E1" s="3" t="s">
        <v>19</v>
      </c>
      <c r="F1" s="5" t="s">
        <v>20</v>
      </c>
      <c r="G1" s="6" t="s">
        <v>21</v>
      </c>
      <c r="H1" s="6" t="s">
        <v>22</v>
      </c>
      <c r="I1" s="6" t="s">
        <v>23</v>
      </c>
      <c r="J1" s="6" t="s">
        <v>24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10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11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10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12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14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11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10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11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10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12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14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12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11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28</v>
      </c>
      <c r="B1" s="2" t="s">
        <v>16</v>
      </c>
      <c r="C1" s="2" t="s">
        <v>17</v>
      </c>
      <c r="D1" s="4" t="s">
        <v>25</v>
      </c>
      <c r="E1" s="4" t="s">
        <v>26</v>
      </c>
      <c r="F1" s="5" t="s">
        <v>29</v>
      </c>
      <c r="G1" s="6" t="s">
        <v>15</v>
      </c>
      <c r="H1" s="6" t="s">
        <v>24</v>
      </c>
      <c r="I1" s="6" t="s">
        <v>21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 INVESTIMENTO IMOBILIARIO</v>
      </c>
    </row>
    <row r="4" spans="1:9" ht="19.95" customHeight="1" x14ac:dyDescent="0.25">
      <c r="A4" s="2">
        <v>14</v>
      </c>
      <c r="B4" s="2" t="s">
        <v>10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 INVESTIMENTO IMOBILIARIO</v>
      </c>
    </row>
    <row r="5" spans="1:9" ht="19.95" customHeight="1" x14ac:dyDescent="0.25">
      <c r="A5" s="2">
        <v>14</v>
      </c>
      <c r="B5" s="2" t="s">
        <v>11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 INVESTIMENTO IMOBILIARIO</v>
      </c>
    </row>
    <row r="6" spans="1:9" ht="19.95" customHeight="1" x14ac:dyDescent="0.25">
      <c r="A6" s="2">
        <v>14</v>
      </c>
      <c r="B6" s="2" t="s">
        <v>12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 INVESTIMENTO IMOBILIARIO</v>
      </c>
    </row>
    <row r="9" spans="1:9" ht="19.95" customHeight="1" x14ac:dyDescent="0.25">
      <c r="A9" s="2">
        <v>14</v>
      </c>
      <c r="B9" s="2" t="s">
        <v>10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 INVESTIMENTO IMOBILIARIO</v>
      </c>
    </row>
    <row r="10" spans="1:9" ht="19.95" customHeight="1" x14ac:dyDescent="0.25">
      <c r="A10" s="2">
        <v>14</v>
      </c>
      <c r="B10" s="2" t="s">
        <v>11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 INVESTIMENTO IMOBILIARIO</v>
      </c>
    </row>
    <row r="11" spans="1:9" ht="19.95" customHeight="1" x14ac:dyDescent="0.25">
      <c r="A11" s="2">
        <v>14</v>
      </c>
      <c r="B11" s="2" t="s">
        <v>12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27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 INVESTIMENTO IMOBILIARIO</v>
      </c>
    </row>
    <row r="15" spans="1:9" ht="19.95" customHeight="1" x14ac:dyDescent="0.25">
      <c r="A15" s="2">
        <v>14</v>
      </c>
      <c r="B15" s="2" t="s">
        <v>10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 INVESTIMENTO IMOBILIARIO</v>
      </c>
    </row>
    <row r="16" spans="1:9" ht="19.95" customHeight="1" x14ac:dyDescent="0.25">
      <c r="A16" s="2">
        <v>14</v>
      </c>
      <c r="B16" s="2" t="s">
        <v>11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 INVESTIMENTO IMOBILIARIO</v>
      </c>
    </row>
    <row r="17" spans="1:9" ht="19.95" customHeight="1" x14ac:dyDescent="0.25">
      <c r="A17" s="2">
        <v>14</v>
      </c>
      <c r="B17" s="2" t="s">
        <v>12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 INVESTIMENTO IMOBILIARIO</v>
      </c>
    </row>
    <row r="20" spans="1:9" ht="19.95" customHeight="1" x14ac:dyDescent="0.25">
      <c r="A20" s="2">
        <v>14</v>
      </c>
      <c r="B20" s="2" t="s">
        <v>10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 INVESTIMENTO IMOBILIARIO</v>
      </c>
    </row>
    <row r="21" spans="1:9" ht="19.95" customHeight="1" x14ac:dyDescent="0.25">
      <c r="A21" s="2">
        <v>14</v>
      </c>
      <c r="B21" s="2" t="s">
        <v>11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 INVESTIMENTO IMOBILIARIO</v>
      </c>
    </row>
    <row r="22" spans="1:9" ht="19.95" customHeight="1" x14ac:dyDescent="0.25">
      <c r="A22" s="2">
        <v>14</v>
      </c>
      <c r="B22" s="2" t="s">
        <v>12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 INVESTIMENTO IMOBILIARIO</v>
      </c>
    </row>
    <row r="25" spans="1:9" ht="19.95" customHeight="1" x14ac:dyDescent="0.25">
      <c r="A25" s="2">
        <v>14</v>
      </c>
      <c r="B25" s="2" t="s">
        <v>10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 INVESTIMENTO IMOBILIARIO</v>
      </c>
    </row>
    <row r="26" spans="1:9" ht="19.95" customHeight="1" x14ac:dyDescent="0.25">
      <c r="A26" s="2">
        <v>14</v>
      </c>
      <c r="B26" s="2" t="s">
        <v>11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 INVESTIMENTO IMOBILIARIO</v>
      </c>
    </row>
    <row r="27" spans="1:9" ht="19.95" customHeight="1" x14ac:dyDescent="0.25">
      <c r="A27" s="2">
        <v>14</v>
      </c>
      <c r="B27" s="2" t="s">
        <v>12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 INVESTIMENTO IMOBILIARIO</v>
      </c>
    </row>
    <row r="28" spans="1:9" ht="19.95" customHeight="1" x14ac:dyDescent="0.25">
      <c r="A28" s="2">
        <v>13</v>
      </c>
      <c r="B28" s="2" t="s">
        <v>14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 INVESTIMENTO IMOBILIARIO</v>
      </c>
    </row>
    <row r="30" spans="1:9" ht="19.95" customHeight="1" x14ac:dyDescent="0.25">
      <c r="A30" s="2">
        <v>14</v>
      </c>
      <c r="B30" s="2" t="s">
        <v>10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 INVESTIMENTO IMOBILIARIO</v>
      </c>
    </row>
    <row r="31" spans="1:9" ht="19.95" customHeight="1" x14ac:dyDescent="0.25">
      <c r="A31" s="2">
        <v>14</v>
      </c>
      <c r="B31" s="2" t="s">
        <v>11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 INVESTIMENTO IMOBILIARIO</v>
      </c>
    </row>
    <row r="32" spans="1:9" ht="19.95" customHeight="1" x14ac:dyDescent="0.25">
      <c r="A32" s="2">
        <v>14</v>
      </c>
      <c r="B32" s="2" t="s">
        <v>12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 INVESTIMENTO IMOBILIARIO</v>
      </c>
    </row>
    <row r="35" spans="1:9" ht="19.95" customHeight="1" x14ac:dyDescent="0.25">
      <c r="A35" s="2">
        <v>14</v>
      </c>
      <c r="B35" s="2" t="s">
        <v>10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 INVESTIMENTO IMOBILIARIO</v>
      </c>
    </row>
    <row r="36" spans="1:9" ht="19.95" customHeight="1" x14ac:dyDescent="0.25">
      <c r="A36" s="2">
        <v>14</v>
      </c>
      <c r="B36" s="2" t="s">
        <v>11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 INVESTIMENTO IMOBILIARIO</v>
      </c>
    </row>
    <row r="37" spans="1:9" ht="19.95" customHeight="1" x14ac:dyDescent="0.25">
      <c r="A37" s="2">
        <v>14</v>
      </c>
      <c r="B37" s="2" t="s">
        <v>12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 INVESTIMENTO IMOBILIARIO</v>
      </c>
    </row>
    <row r="40" spans="1:9" ht="19.95" customHeight="1" x14ac:dyDescent="0.25">
      <c r="A40" s="2">
        <v>14</v>
      </c>
      <c r="B40" s="2" t="s">
        <v>10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 INVESTIMENTO IMOBILIARIO</v>
      </c>
    </row>
    <row r="41" spans="1:9" ht="19.95" customHeight="1" x14ac:dyDescent="0.25">
      <c r="A41" s="2">
        <v>14</v>
      </c>
      <c r="B41" s="2" t="s">
        <v>11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 INVESTIMENTO IMOBILIARIO</v>
      </c>
    </row>
    <row r="42" spans="1:9" ht="19.95" customHeight="1" x14ac:dyDescent="0.25">
      <c r="A42" s="2">
        <v>14</v>
      </c>
      <c r="B42" s="2" t="s">
        <v>12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 INVESTIMENTO IMOBILIARIO</v>
      </c>
    </row>
    <row r="45" spans="1:9" ht="19.95" customHeight="1" x14ac:dyDescent="0.25">
      <c r="A45" s="2">
        <v>14</v>
      </c>
      <c r="B45" s="2" t="s">
        <v>10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 INVESTIMENTO IMOBILIARIO</v>
      </c>
    </row>
    <row r="46" spans="1:9" ht="19.95" customHeight="1" x14ac:dyDescent="0.25">
      <c r="A46" s="2">
        <v>14</v>
      </c>
      <c r="B46" s="2" t="s">
        <v>11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 INVESTIMENTO IMOBILIARIO</v>
      </c>
    </row>
    <row r="47" spans="1:9" ht="19.95" customHeight="1" x14ac:dyDescent="0.25">
      <c r="A47" s="2">
        <v>14</v>
      </c>
      <c r="B47" s="2" t="s">
        <v>12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 INVESTIMENTO IMOBILIARIO</v>
      </c>
    </row>
    <row r="50" spans="1:9" ht="19.95" customHeight="1" x14ac:dyDescent="0.25">
      <c r="A50" s="2">
        <v>14</v>
      </c>
      <c r="B50" s="2" t="s">
        <v>10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 INVESTIMENTO IMOBILIARIO</v>
      </c>
    </row>
    <row r="51" spans="1:9" ht="19.95" customHeight="1" x14ac:dyDescent="0.25">
      <c r="A51" s="2">
        <v>14</v>
      </c>
      <c r="B51" s="2" t="s">
        <v>11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 INVESTIMENTO IMOBILIARIO</v>
      </c>
    </row>
    <row r="52" spans="1:9" ht="19.95" customHeight="1" x14ac:dyDescent="0.25">
      <c r="A52" s="2">
        <v>14</v>
      </c>
      <c r="B52" s="2" t="s">
        <v>12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 INVESTIMENTO IMOBILIARIO</v>
      </c>
    </row>
    <row r="55" spans="1:9" ht="19.95" customHeight="1" x14ac:dyDescent="0.25">
      <c r="A55" s="2">
        <v>14</v>
      </c>
      <c r="B55" s="2" t="s">
        <v>10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 INVESTIMENTO IMOBILIARIO</v>
      </c>
    </row>
    <row r="56" spans="1:9" ht="19.95" customHeight="1" x14ac:dyDescent="0.25">
      <c r="A56" s="2">
        <v>14</v>
      </c>
      <c r="B56" s="2" t="s">
        <v>11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 INVESTIMENTO IMOBILIARIO</v>
      </c>
    </row>
    <row r="57" spans="1:9" ht="19.95" customHeight="1" x14ac:dyDescent="0.25">
      <c r="A57" s="2">
        <v>14</v>
      </c>
      <c r="B57" s="2" t="s">
        <v>12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 INVESTIMENTO IMOBILIARIO</v>
      </c>
    </row>
    <row r="58" spans="1:9" ht="19.95" customHeight="1" x14ac:dyDescent="0.25">
      <c r="A58" s="2">
        <v>13</v>
      </c>
      <c r="B58" s="2" t="s">
        <v>14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 INVESTIMENTO IMOBILIARIO</v>
      </c>
    </row>
    <row r="60" spans="1:9" ht="19.95" customHeight="1" x14ac:dyDescent="0.25">
      <c r="A60" s="2">
        <v>14</v>
      </c>
      <c r="B60" s="2" t="s">
        <v>10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 INVESTIMENTO IMOBILIARIO</v>
      </c>
    </row>
    <row r="61" spans="1:9" ht="19.95" customHeight="1" x14ac:dyDescent="0.25">
      <c r="A61" s="2">
        <v>14</v>
      </c>
      <c r="B61" s="2" t="s">
        <v>11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 INVESTIMENTO IMOBILIARIO</v>
      </c>
    </row>
    <row r="62" spans="1:9" ht="19.95" customHeight="1" x14ac:dyDescent="0.25">
      <c r="A62" s="2">
        <v>14</v>
      </c>
      <c r="B62" s="2" t="s">
        <v>12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 INVESTIMENTO IMOBILIARIO</v>
      </c>
    </row>
    <row r="65" spans="1:9" ht="19.95" customHeight="1" x14ac:dyDescent="0.25">
      <c r="A65" s="2">
        <v>14</v>
      </c>
      <c r="B65" s="2" t="s">
        <v>10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 INVESTIMENTO IMOBILIARIO</v>
      </c>
    </row>
    <row r="66" spans="1:9" ht="19.95" customHeight="1" x14ac:dyDescent="0.25">
      <c r="A66" s="2">
        <v>14</v>
      </c>
      <c r="B66" s="2" t="s">
        <v>11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 INVESTIMENTO IMOBILIARIO</v>
      </c>
    </row>
    <row r="67" spans="1:9" ht="19.95" customHeight="1" x14ac:dyDescent="0.25">
      <c r="A67" s="2">
        <v>14</v>
      </c>
      <c r="B67" s="2" t="s">
        <v>12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 INVESTIMENTO IMOBILIARIO</v>
      </c>
    </row>
    <row r="68" spans="1:9" ht="19.95" customHeight="1" x14ac:dyDescent="0.25">
      <c r="A68" s="2">
        <v>14</v>
      </c>
      <c r="B68" s="2" t="s">
        <v>14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 INVESTIMENTO IMOBILIARIO</v>
      </c>
    </row>
    <row r="70" spans="1:9" ht="19.95" customHeight="1" x14ac:dyDescent="0.25">
      <c r="A70" s="2">
        <v>14</v>
      </c>
      <c r="B70" s="2" t="s">
        <v>10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 INVESTIMENTO IMOBILIARIO</v>
      </c>
    </row>
    <row r="71" spans="1:9" ht="19.95" customHeight="1" x14ac:dyDescent="0.25">
      <c r="A71" s="2">
        <v>14</v>
      </c>
      <c r="B71" s="2" t="s">
        <v>11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 INVESTIMENTO IMOBILIARIO</v>
      </c>
    </row>
    <row r="72" spans="1:9" ht="19.95" customHeight="1" x14ac:dyDescent="0.25">
      <c r="A72" s="2">
        <v>14</v>
      </c>
      <c r="B72" s="2" t="s">
        <v>12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29.17968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10" t="s">
        <v>47</v>
      </c>
      <c r="B3" s="10" t="s">
        <v>32</v>
      </c>
    </row>
    <row r="4" spans="1:16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31</v>
      </c>
    </row>
    <row r="5" spans="1:16" x14ac:dyDescent="0.25">
      <c r="A5" s="11" t="s">
        <v>5</v>
      </c>
      <c r="B5" s="13">
        <v>1594</v>
      </c>
      <c r="C5" s="13">
        <v>1644</v>
      </c>
      <c r="D5" s="13">
        <v>788</v>
      </c>
      <c r="E5" s="13">
        <v>12394</v>
      </c>
      <c r="F5" s="13"/>
      <c r="G5" s="13">
        <v>3034</v>
      </c>
      <c r="H5" s="13">
        <v>1697</v>
      </c>
      <c r="I5" s="13">
        <v>1769</v>
      </c>
      <c r="J5" s="13">
        <v>1985</v>
      </c>
      <c r="K5" s="13">
        <v>2057</v>
      </c>
      <c r="L5" s="13">
        <v>2201</v>
      </c>
      <c r="M5" s="13">
        <v>2345</v>
      </c>
      <c r="N5" s="13">
        <v>2561</v>
      </c>
      <c r="O5" s="13"/>
      <c r="P5" s="13">
        <v>34069</v>
      </c>
    </row>
    <row r="6" spans="1:16" x14ac:dyDescent="0.25">
      <c r="A6" s="12" t="s">
        <v>4</v>
      </c>
      <c r="B6" s="13">
        <v>833</v>
      </c>
      <c r="C6" s="13"/>
      <c r="D6" s="13"/>
      <c r="E6" s="13"/>
      <c r="F6" s="13"/>
      <c r="G6" s="13">
        <v>1481</v>
      </c>
      <c r="H6" s="13"/>
      <c r="I6" s="13"/>
      <c r="J6" s="13"/>
      <c r="K6" s="13">
        <v>2057</v>
      </c>
      <c r="L6" s="13"/>
      <c r="M6" s="13"/>
      <c r="N6" s="13"/>
      <c r="O6" s="13"/>
      <c r="P6" s="13">
        <v>4371</v>
      </c>
    </row>
    <row r="7" spans="1:16" x14ac:dyDescent="0.25">
      <c r="A7" s="12" t="s">
        <v>6</v>
      </c>
      <c r="B7" s="13"/>
      <c r="C7" s="13"/>
      <c r="D7" s="13"/>
      <c r="E7" s="13">
        <v>12394</v>
      </c>
      <c r="F7" s="13"/>
      <c r="G7" s="13"/>
      <c r="H7" s="13"/>
      <c r="I7" s="13">
        <v>1769</v>
      </c>
      <c r="J7" s="13"/>
      <c r="K7" s="13"/>
      <c r="L7" s="13"/>
      <c r="M7" s="13"/>
      <c r="N7" s="13"/>
      <c r="O7" s="13"/>
      <c r="P7" s="13">
        <v>14163</v>
      </c>
    </row>
    <row r="8" spans="1:16" x14ac:dyDescent="0.25">
      <c r="A8" s="12" t="s">
        <v>7</v>
      </c>
      <c r="B8" s="13">
        <v>761</v>
      </c>
      <c r="C8" s="13"/>
      <c r="D8" s="13">
        <v>788</v>
      </c>
      <c r="E8" s="13"/>
      <c r="F8" s="13"/>
      <c r="G8" s="13"/>
      <c r="H8" s="13"/>
      <c r="I8" s="13"/>
      <c r="J8" s="13"/>
      <c r="K8" s="13"/>
      <c r="L8" s="13"/>
      <c r="M8" s="13">
        <v>2345</v>
      </c>
      <c r="N8" s="13"/>
      <c r="O8" s="13"/>
      <c r="P8" s="13">
        <v>3894</v>
      </c>
    </row>
    <row r="9" spans="1:16" x14ac:dyDescent="0.25">
      <c r="A9" s="12" t="s">
        <v>8</v>
      </c>
      <c r="B9" s="13"/>
      <c r="C9" s="13">
        <v>1644</v>
      </c>
      <c r="D9" s="13"/>
      <c r="E9" s="13"/>
      <c r="F9" s="13"/>
      <c r="G9" s="13"/>
      <c r="H9" s="13">
        <v>1697</v>
      </c>
      <c r="I9" s="13"/>
      <c r="J9" s="13">
        <v>1985</v>
      </c>
      <c r="K9" s="13"/>
      <c r="L9" s="13">
        <v>2201</v>
      </c>
      <c r="M9" s="13"/>
      <c r="N9" s="13"/>
      <c r="O9" s="13"/>
      <c r="P9" s="13">
        <v>7527</v>
      </c>
    </row>
    <row r="10" spans="1:16" x14ac:dyDescent="0.25">
      <c r="A10" s="12" t="s">
        <v>14</v>
      </c>
      <c r="B10" s="13"/>
      <c r="C10" s="13"/>
      <c r="D10" s="13"/>
      <c r="E10" s="13"/>
      <c r="F10" s="13"/>
      <c r="G10" s="13">
        <v>1553</v>
      </c>
      <c r="H10" s="13"/>
      <c r="I10" s="13"/>
      <c r="J10" s="13"/>
      <c r="K10" s="13"/>
      <c r="L10" s="13"/>
      <c r="M10" s="13"/>
      <c r="N10" s="13">
        <v>2561</v>
      </c>
      <c r="O10" s="13"/>
      <c r="P10" s="13">
        <v>4114</v>
      </c>
    </row>
    <row r="11" spans="1:16" x14ac:dyDescent="0.25">
      <c r="A11" s="11" t="s">
        <v>84</v>
      </c>
      <c r="B11" s="13"/>
      <c r="C11" s="13">
        <v>704.9</v>
      </c>
      <c r="D11" s="13">
        <v>98.88</v>
      </c>
      <c r="E11" s="13">
        <v>47.650000000000006</v>
      </c>
      <c r="F11" s="13">
        <v>88.509999999999991</v>
      </c>
      <c r="G11" s="13"/>
      <c r="H11" s="13">
        <v>90.75</v>
      </c>
      <c r="I11" s="13">
        <v>28.31</v>
      </c>
      <c r="J11" s="13">
        <v>143.21</v>
      </c>
      <c r="K11" s="13">
        <v>52.38</v>
      </c>
      <c r="L11" s="13">
        <v>123.14999999999999</v>
      </c>
      <c r="M11" s="13">
        <v>82.210000000000008</v>
      </c>
      <c r="N11" s="13">
        <v>133.94999999999999</v>
      </c>
      <c r="O11" s="13">
        <v>390.1</v>
      </c>
      <c r="P11" s="13">
        <v>1984</v>
      </c>
    </row>
    <row r="12" spans="1:16" x14ac:dyDescent="0.25">
      <c r="A12" s="12" t="s">
        <v>9</v>
      </c>
      <c r="B12" s="13"/>
      <c r="C12" s="13"/>
      <c r="D12" s="13"/>
      <c r="E12" s="13">
        <v>47.650000000000006</v>
      </c>
      <c r="F12" s="13"/>
      <c r="G12" s="13"/>
      <c r="H12" s="13"/>
      <c r="I12" s="13">
        <v>28.31</v>
      </c>
      <c r="J12" s="13"/>
      <c r="K12" s="13"/>
      <c r="L12" s="13">
        <v>123.14999999999999</v>
      </c>
      <c r="M12" s="13"/>
      <c r="N12" s="13"/>
      <c r="O12" s="13"/>
      <c r="P12" s="13">
        <v>199.11</v>
      </c>
    </row>
    <row r="13" spans="1:16" x14ac:dyDescent="0.25">
      <c r="A13" s="12" t="s">
        <v>10</v>
      </c>
      <c r="B13" s="13"/>
      <c r="C13" s="13">
        <v>704.9</v>
      </c>
      <c r="D13" s="13"/>
      <c r="E13" s="13"/>
      <c r="F13" s="13">
        <v>36.54</v>
      </c>
      <c r="G13" s="13"/>
      <c r="H13" s="13"/>
      <c r="I13" s="13"/>
      <c r="J13" s="13">
        <v>143.21</v>
      </c>
      <c r="K13" s="13"/>
      <c r="L13" s="13"/>
      <c r="M13" s="13">
        <v>82.210000000000008</v>
      </c>
      <c r="N13" s="13"/>
      <c r="O13" s="13"/>
      <c r="P13" s="13">
        <v>966.86</v>
      </c>
    </row>
    <row r="14" spans="1:16" x14ac:dyDescent="0.25">
      <c r="A14" s="12" t="s">
        <v>11</v>
      </c>
      <c r="B14" s="13"/>
      <c r="C14" s="13"/>
      <c r="D14" s="13">
        <v>98.88</v>
      </c>
      <c r="E14" s="13"/>
      <c r="F14" s="13"/>
      <c r="G14" s="13"/>
      <c r="H14" s="13">
        <v>90.75</v>
      </c>
      <c r="I14" s="13"/>
      <c r="J14" s="13"/>
      <c r="K14" s="13">
        <v>52.38</v>
      </c>
      <c r="L14" s="13"/>
      <c r="M14" s="13"/>
      <c r="N14" s="13"/>
      <c r="O14" s="13">
        <v>117.8</v>
      </c>
      <c r="P14" s="13">
        <v>359.81</v>
      </c>
    </row>
    <row r="15" spans="1:16" x14ac:dyDescent="0.25">
      <c r="A15" s="12" t="s">
        <v>12</v>
      </c>
      <c r="B15" s="13"/>
      <c r="C15" s="13"/>
      <c r="D15" s="13"/>
      <c r="E15" s="13"/>
      <c r="F15" s="13">
        <v>51.97</v>
      </c>
      <c r="G15" s="13"/>
      <c r="H15" s="13"/>
      <c r="I15" s="13"/>
      <c r="J15" s="13"/>
      <c r="K15" s="13"/>
      <c r="L15" s="13"/>
      <c r="M15" s="13"/>
      <c r="N15" s="13">
        <v>133.94999999999999</v>
      </c>
      <c r="O15" s="13">
        <v>272.3</v>
      </c>
      <c r="P15" s="13">
        <v>458.22</v>
      </c>
    </row>
    <row r="16" spans="1:16" x14ac:dyDescent="0.25">
      <c r="A16" s="11" t="s">
        <v>31</v>
      </c>
      <c r="B16" s="13">
        <v>1594</v>
      </c>
      <c r="C16" s="13">
        <v>2348.9</v>
      </c>
      <c r="D16" s="13">
        <v>886.88</v>
      </c>
      <c r="E16" s="13">
        <v>12441.65</v>
      </c>
      <c r="F16" s="13">
        <v>88.509999999999991</v>
      </c>
      <c r="G16" s="13">
        <v>3034</v>
      </c>
      <c r="H16" s="13">
        <v>1787.75</v>
      </c>
      <c r="I16" s="13">
        <v>1797.31</v>
      </c>
      <c r="J16" s="13">
        <v>2128.21</v>
      </c>
      <c r="K16" s="13">
        <v>2109.38</v>
      </c>
      <c r="L16" s="13">
        <v>2324.15</v>
      </c>
      <c r="M16" s="13">
        <v>2427.21</v>
      </c>
      <c r="N16" s="13">
        <v>2694.95</v>
      </c>
      <c r="O16" s="13">
        <v>390.1</v>
      </c>
      <c r="P16" s="13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9.17968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10" t="s">
        <v>48</v>
      </c>
      <c r="B3" s="10" t="s">
        <v>32</v>
      </c>
    </row>
    <row r="4" spans="1:14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46</v>
      </c>
      <c r="N4" t="s">
        <v>31</v>
      </c>
    </row>
    <row r="5" spans="1:14" x14ac:dyDescent="0.25">
      <c r="A5" s="11" t="s">
        <v>5</v>
      </c>
      <c r="B5" s="13">
        <v>39.479999999999997</v>
      </c>
      <c r="C5" s="13">
        <v>61</v>
      </c>
      <c r="D5" s="13">
        <v>65.430000000000007</v>
      </c>
      <c r="E5" s="13">
        <v>163.66</v>
      </c>
      <c r="F5" s="13">
        <v>162.75</v>
      </c>
      <c r="G5" s="13">
        <v>156.13999999999999</v>
      </c>
      <c r="H5" s="13">
        <v>166</v>
      </c>
      <c r="I5" s="13">
        <v>162.75</v>
      </c>
      <c r="J5" s="13">
        <v>156.13999999999999</v>
      </c>
      <c r="K5" s="13">
        <v>166</v>
      </c>
      <c r="L5" s="13">
        <v>484.89</v>
      </c>
      <c r="M5" s="13">
        <v>162.75</v>
      </c>
      <c r="N5" s="13">
        <v>1946.99</v>
      </c>
    </row>
    <row r="6" spans="1:14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>
        <v>166</v>
      </c>
      <c r="L6" s="13"/>
      <c r="M6" s="13"/>
      <c r="N6" s="13">
        <v>166</v>
      </c>
    </row>
    <row r="7" spans="1:14" x14ac:dyDescent="0.25">
      <c r="A7" s="12" t="s">
        <v>6</v>
      </c>
      <c r="B7" s="13"/>
      <c r="C7" s="13"/>
      <c r="D7" s="13"/>
      <c r="E7" s="13">
        <v>163.66</v>
      </c>
      <c r="F7" s="13"/>
      <c r="G7" s="13"/>
      <c r="H7" s="13"/>
      <c r="I7" s="13"/>
      <c r="J7" s="13">
        <v>156.13999999999999</v>
      </c>
      <c r="K7" s="13"/>
      <c r="L7" s="13"/>
      <c r="M7" s="13"/>
      <c r="N7" s="13">
        <v>319.79999999999995</v>
      </c>
    </row>
    <row r="8" spans="1:14" x14ac:dyDescent="0.25">
      <c r="A8" s="12" t="s">
        <v>7</v>
      </c>
      <c r="B8" s="13">
        <v>39.479999999999997</v>
      </c>
      <c r="C8" s="13"/>
      <c r="D8" s="13">
        <v>65.430000000000007</v>
      </c>
      <c r="E8" s="13"/>
      <c r="F8" s="13">
        <v>162.75</v>
      </c>
      <c r="G8" s="13"/>
      <c r="H8" s="13">
        <v>166</v>
      </c>
      <c r="I8" s="13"/>
      <c r="J8" s="13"/>
      <c r="K8" s="13"/>
      <c r="L8" s="13">
        <v>328.75</v>
      </c>
      <c r="M8" s="13"/>
      <c r="N8" s="13">
        <v>762.41</v>
      </c>
    </row>
    <row r="9" spans="1:14" x14ac:dyDescent="0.25">
      <c r="A9" s="12" t="s">
        <v>8</v>
      </c>
      <c r="B9" s="13"/>
      <c r="C9" s="13">
        <v>61</v>
      </c>
      <c r="D9" s="13"/>
      <c r="E9" s="13"/>
      <c r="F9" s="13"/>
      <c r="G9" s="13"/>
      <c r="H9" s="13"/>
      <c r="I9" s="13">
        <v>162.75</v>
      </c>
      <c r="J9" s="13"/>
      <c r="K9" s="13"/>
      <c r="L9" s="13"/>
      <c r="M9" s="13"/>
      <c r="N9" s="13">
        <v>223.75</v>
      </c>
    </row>
    <row r="10" spans="1:14" x14ac:dyDescent="0.25">
      <c r="A10" s="12" t="s">
        <v>14</v>
      </c>
      <c r="B10" s="13"/>
      <c r="C10" s="13"/>
      <c r="D10" s="13"/>
      <c r="E10" s="13"/>
      <c r="F10" s="13"/>
      <c r="G10" s="13">
        <v>156.13999999999999</v>
      </c>
      <c r="H10" s="13"/>
      <c r="I10" s="13"/>
      <c r="J10" s="13"/>
      <c r="K10" s="13"/>
      <c r="L10" s="13">
        <v>156.13999999999999</v>
      </c>
      <c r="M10" s="13">
        <v>162.75</v>
      </c>
      <c r="N10" s="13">
        <v>475.03</v>
      </c>
    </row>
    <row r="11" spans="1:14" x14ac:dyDescent="0.25">
      <c r="A11" s="11" t="s">
        <v>84</v>
      </c>
      <c r="B11" s="13">
        <v>217.66</v>
      </c>
      <c r="C11" s="13">
        <v>228.62</v>
      </c>
      <c r="D11" s="13">
        <v>358.32</v>
      </c>
      <c r="E11" s="13">
        <v>308.72000000000003</v>
      </c>
      <c r="F11" s="13">
        <v>433.18</v>
      </c>
      <c r="G11" s="13">
        <v>358.32</v>
      </c>
      <c r="H11" s="13">
        <v>308.72000000000003</v>
      </c>
      <c r="I11" s="13">
        <v>433.18</v>
      </c>
      <c r="J11" s="13">
        <v>357.29</v>
      </c>
      <c r="K11" s="13">
        <v>308.72000000000003</v>
      </c>
      <c r="L11" s="13">
        <v>1100.22</v>
      </c>
      <c r="M11" s="13">
        <v>433.18</v>
      </c>
      <c r="N11" s="13">
        <v>4846.1299999999992</v>
      </c>
    </row>
    <row r="12" spans="1:14" x14ac:dyDescent="0.25">
      <c r="A12" s="12" t="s">
        <v>9</v>
      </c>
      <c r="B12" s="13">
        <v>63</v>
      </c>
      <c r="C12" s="13">
        <v>75.709999999999994</v>
      </c>
      <c r="D12" s="13">
        <v>61</v>
      </c>
      <c r="E12" s="13">
        <v>37.44</v>
      </c>
      <c r="F12" s="13">
        <v>61</v>
      </c>
      <c r="G12" s="13">
        <v>61</v>
      </c>
      <c r="H12" s="13">
        <v>37.44</v>
      </c>
      <c r="I12" s="13">
        <v>61</v>
      </c>
      <c r="J12" s="13">
        <v>59.97</v>
      </c>
      <c r="K12" s="13">
        <v>37.44</v>
      </c>
      <c r="L12" s="13">
        <v>159.44</v>
      </c>
      <c r="M12" s="13">
        <v>61</v>
      </c>
      <c r="N12" s="13">
        <v>775.44</v>
      </c>
    </row>
    <row r="13" spans="1:14" x14ac:dyDescent="0.25">
      <c r="A13" s="12" t="s">
        <v>10</v>
      </c>
      <c r="B13" s="13">
        <v>81</v>
      </c>
      <c r="C13" s="13">
        <v>39.36</v>
      </c>
      <c r="D13" s="13">
        <v>99</v>
      </c>
      <c r="E13" s="13">
        <v>52.02</v>
      </c>
      <c r="F13" s="13">
        <v>180.6</v>
      </c>
      <c r="G13" s="13">
        <v>99</v>
      </c>
      <c r="H13" s="13">
        <v>52.02</v>
      </c>
      <c r="I13" s="13">
        <v>180.6</v>
      </c>
      <c r="J13" s="13">
        <v>99</v>
      </c>
      <c r="K13" s="13">
        <v>52.02</v>
      </c>
      <c r="L13" s="13">
        <v>331.62</v>
      </c>
      <c r="M13" s="13">
        <v>180.6</v>
      </c>
      <c r="N13" s="13">
        <v>1446.84</v>
      </c>
    </row>
    <row r="14" spans="1:14" x14ac:dyDescent="0.25">
      <c r="A14" s="12" t="s">
        <v>11</v>
      </c>
      <c r="B14" s="13">
        <v>38.89</v>
      </c>
      <c r="C14" s="13">
        <v>51.8</v>
      </c>
      <c r="D14" s="13">
        <v>99.9</v>
      </c>
      <c r="E14" s="13">
        <v>42.14</v>
      </c>
      <c r="F14" s="13">
        <v>38.4</v>
      </c>
      <c r="G14" s="13">
        <v>99.9</v>
      </c>
      <c r="H14" s="13">
        <v>42.14</v>
      </c>
      <c r="I14" s="13">
        <v>38.4</v>
      </c>
      <c r="J14" s="13">
        <v>99.9</v>
      </c>
      <c r="K14" s="13">
        <v>42.14</v>
      </c>
      <c r="L14" s="13">
        <v>180.44</v>
      </c>
      <c r="M14" s="13">
        <v>38.4</v>
      </c>
      <c r="N14" s="13">
        <v>812.44999999999993</v>
      </c>
    </row>
    <row r="15" spans="1:14" x14ac:dyDescent="0.25">
      <c r="A15" s="12" t="s">
        <v>12</v>
      </c>
      <c r="B15" s="13">
        <v>34.770000000000003</v>
      </c>
      <c r="C15" s="13">
        <v>61.75</v>
      </c>
      <c r="D15" s="13">
        <v>98.42</v>
      </c>
      <c r="E15" s="13">
        <v>177.12</v>
      </c>
      <c r="F15" s="13">
        <v>153.18</v>
      </c>
      <c r="G15" s="13">
        <v>98.42</v>
      </c>
      <c r="H15" s="13">
        <v>177.12</v>
      </c>
      <c r="I15" s="13">
        <v>153.18</v>
      </c>
      <c r="J15" s="13">
        <v>98.42</v>
      </c>
      <c r="K15" s="13">
        <v>177.12</v>
      </c>
      <c r="L15" s="13">
        <v>428.72</v>
      </c>
      <c r="M15" s="13">
        <v>153.18</v>
      </c>
      <c r="N15" s="13">
        <v>1811.4</v>
      </c>
    </row>
    <row r="16" spans="1:14" x14ac:dyDescent="0.25">
      <c r="A16" s="11" t="s">
        <v>31</v>
      </c>
      <c r="B16" s="13">
        <v>257.14</v>
      </c>
      <c r="C16" s="13">
        <v>289.62</v>
      </c>
      <c r="D16" s="13">
        <v>423.75000000000006</v>
      </c>
      <c r="E16" s="13">
        <v>472.38</v>
      </c>
      <c r="F16" s="13">
        <v>595.93000000000006</v>
      </c>
      <c r="G16" s="13">
        <v>514.45999999999992</v>
      </c>
      <c r="H16" s="13">
        <v>474.72</v>
      </c>
      <c r="I16" s="13">
        <v>595.93000000000006</v>
      </c>
      <c r="J16" s="13">
        <v>513.42999999999995</v>
      </c>
      <c r="K16" s="13">
        <v>474.72</v>
      </c>
      <c r="L16" s="13">
        <v>1585.11</v>
      </c>
      <c r="M16" s="13">
        <v>595.93000000000006</v>
      </c>
      <c r="N16" s="1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VLOOKUP(TblCarteira[[#This Row],[Ativo]], 'Tabela Ativos'!$B$4:$D$500, 2, FALSE)</f>
        <v>EMPRESA</v>
      </c>
      <c r="C2" s="15">
        <f>VLOOKUP(TblCarteira[[#This Row],[Ativo]], 'Tabela Ativos'!$B$4:$D$500, 3, FALSE)</f>
        <v>13.46</v>
      </c>
      <c r="D2" s="16">
        <f ca="1">SUMIFS(TblAportes[Total], TblAportes[Ativo],TblCarteira[[#This Row],[Ativo]], TblAportes[Data], "&lt;="&amp;IF($K$2 = "", TODAY(), $K$2))</f>
        <v>4371</v>
      </c>
      <c r="E2" s="2">
        <f ca="1">SUMIFS(TblAportes[Quantidade], TblAportes[Ativo],TblCarteira[[#This Row],[Ativo]], TblAportes[Data], "&lt;="&amp;IF($K$2 = "", TODAY(), $K$2))</f>
        <v>300</v>
      </c>
      <c r="F2" s="16">
        <f ca="1">(TblCarteira[[#This Row],[Total Aportado]] / TblCarteira[[#This Row],[Total Quantidade]])</f>
        <v>14.57</v>
      </c>
      <c r="G2" s="16">
        <f ca="1">(TblCarteira[[#This Row],[Total Quantidade]] * TblCarteira[[#This Row],[Cotação]])</f>
        <v>4038.0000000000005</v>
      </c>
      <c r="H2" s="17">
        <f ca="1">(TblCarteira[[#This Row],[Total Atual]] - TblCarteira[[#This Row],[Total Aportado]])</f>
        <v>-332.99999999999955</v>
      </c>
      <c r="I2" s="18">
        <f ca="1">(TblCarteira[[#This Row],[Total Atual]] / TblCarteira[[#This Row],[Total Aportado]]) -1</f>
        <v>-7.6183939601921602E-2</v>
      </c>
      <c r="K2" s="19"/>
    </row>
    <row r="3" spans="1:11" ht="15.6" x14ac:dyDescent="0.25">
      <c r="A3" s="14" t="s">
        <v>6</v>
      </c>
      <c r="B3" s="14" t="str">
        <f>VLOOKUP(TblCarteira[[#This Row],[Ativo]], 'Tabela Ativos'!$B$4:$D$500, 2, FALSE)</f>
        <v>EMPRESA</v>
      </c>
      <c r="C3" s="15">
        <f>VLOOKUP(TblCarteira[[#This Row],[Ativo]], 'Tabela Ativos'!$B$4:$D$500, 3, FALSE)</f>
        <v>16.07</v>
      </c>
      <c r="D3" s="16">
        <f ca="1">SUMIFS(TblAportes[Total], TblAportes[Ativo],TblCarteira[[#This Row],[Ativo]], TblAportes[Data], "&lt;="&amp;IF($K$2 = "", TODAY(), $K$2))</f>
        <v>14163</v>
      </c>
      <c r="E3" s="2">
        <f ca="1">SUMIFS(TblAportes[Quantidade], TblAportes[Ativo],TblCarteira[[#This Row],[Ativo]], TblAportes[Data], "&lt;="&amp;IF($K$2 = "", TODAY(), $K$2))</f>
        <v>200</v>
      </c>
      <c r="F3" s="16">
        <f ca="1">(TblCarteira[[#This Row],[Total Aportado]] / TblCarteira[[#This Row],[Total Quantidade]])</f>
        <v>70.814999999999998</v>
      </c>
      <c r="G3" s="16">
        <f ca="1">(TblCarteira[[#This Row],[Total Quantidade]] * TblCarteira[[#This Row],[Cotação]])</f>
        <v>3214</v>
      </c>
      <c r="H3" s="17">
        <f ca="1">(TblCarteira[[#This Row],[Total Atual]] - TblCarteira[[#This Row],[Total Aportado]])</f>
        <v>-10949</v>
      </c>
      <c r="I3" s="18">
        <f ca="1">(TblCarteira[[#This Row],[Total Atual]] / TblCarteira[[#This Row],[Total Aportado]]) -1</f>
        <v>-0.77307067711643018</v>
      </c>
    </row>
    <row r="4" spans="1:11" ht="15.6" x14ac:dyDescent="0.25">
      <c r="A4" s="14" t="s">
        <v>7</v>
      </c>
      <c r="B4" s="14" t="str">
        <f>VLOOKUP(TblCarteira[[#This Row],[Ativo]], 'Tabela Ativos'!$B$4:$D$500, 2, FALSE)</f>
        <v>EMPRESA</v>
      </c>
      <c r="C4" s="15">
        <f>VLOOKUP(TblCarteira[[#This Row],[Ativo]], 'Tabela Ativos'!$B$4:$D$500, 3, FALSE)</f>
        <v>9.81</v>
      </c>
      <c r="D4" s="16">
        <f ca="1">SUMIFS(TblAportes[Total], TblAportes[Ativo],TblCarteira[[#This Row],[Ativo]], TblAportes[Data], "&lt;="&amp;IF($K$2 = "", TODAY(), $K$2))</f>
        <v>3894</v>
      </c>
      <c r="E4" s="2">
        <f ca="1">SUMIFS(TblAportes[Quantidade], TblAportes[Ativo],TblCarteira[[#This Row],[Ativo]], TblAportes[Data], "&lt;="&amp;IF($K$2 = "", TODAY(), $K$2))</f>
        <v>300</v>
      </c>
      <c r="F4" s="16">
        <f ca="1">(TblCarteira[[#This Row],[Total Aportado]] / TblCarteira[[#This Row],[Total Quantidade]])</f>
        <v>12.98</v>
      </c>
      <c r="G4" s="16">
        <f ca="1">(TblCarteira[[#This Row],[Total Quantidade]] * TblCarteira[[#This Row],[Cotação]])</f>
        <v>2943</v>
      </c>
      <c r="H4" s="17">
        <f ca="1">(TblCarteira[[#This Row],[Total Atual]] - TblCarteira[[#This Row],[Total Aportado]])</f>
        <v>-951</v>
      </c>
      <c r="I4" s="18">
        <f ca="1">(TblCarteira[[#This Row],[Total Atual]] / TblCarteira[[#This Row],[Total Aportado]]) -1</f>
        <v>-0.24422187981510013</v>
      </c>
    </row>
    <row r="5" spans="1:11" ht="15.6" x14ac:dyDescent="0.25">
      <c r="A5" s="14" t="s">
        <v>8</v>
      </c>
      <c r="B5" s="14" t="str">
        <f>VLOOKUP(TblCarteira[[#This Row],[Ativo]], 'Tabela Ativos'!$B$4:$D$500, 2, FALSE)</f>
        <v>EMPRESA</v>
      </c>
      <c r="C5" s="15">
        <f>VLOOKUP(TblCarteira[[#This Row],[Ativo]], 'Tabela Ativos'!$B$4:$D$500, 3, FALSE)</f>
        <v>29.76</v>
      </c>
      <c r="D5" s="16">
        <f ca="1">SUMIFS(TblAportes[Total], TblAportes[Ativo],TblCarteira[[#This Row],[Ativo]], TblAportes[Data], "&lt;="&amp;IF($K$2 = "", TODAY(), $K$2))</f>
        <v>7527</v>
      </c>
      <c r="E5" s="2">
        <f ca="1">SUMIFS(TblAportes[Quantidade], TblAportes[Ativo],TblCarteira[[#This Row],[Ativo]], TblAportes[Data], "&lt;="&amp;IF($K$2 = "", TODAY(), $K$2))</f>
        <v>400</v>
      </c>
      <c r="F5" s="16">
        <f ca="1">(TblCarteira[[#This Row],[Total Aportado]] / TblCarteira[[#This Row],[Total Quantidade]])</f>
        <v>18.817499999999999</v>
      </c>
      <c r="G5" s="16">
        <f ca="1">(TblCarteira[[#This Row],[Total Quantidade]] * TblCarteira[[#This Row],[Cotação]])</f>
        <v>11904</v>
      </c>
      <c r="H5" s="17">
        <f ca="1">(TblCarteira[[#This Row],[Total Atual]] - TblCarteira[[#This Row],[Total Aportado]])</f>
        <v>4377</v>
      </c>
      <c r="I5" s="18">
        <f ca="1">(TblCarteira[[#This Row],[Total Atual]] / TblCarteira[[#This Row],[Total Aportado]]) -1</f>
        <v>0.58150657632522917</v>
      </c>
    </row>
    <row r="6" spans="1:11" ht="15.6" x14ac:dyDescent="0.25">
      <c r="A6" s="14" t="s">
        <v>9</v>
      </c>
      <c r="B6" s="14" t="str">
        <f>VLOOKUP(TblCarteira[[#This Row],[Ativo]], 'Tabela Ativos'!$B$4:$D$500, 2, FALSE)</f>
        <v>FUNDO INVESTIMENTO IMOBILIARIO</v>
      </c>
      <c r="C6" s="15">
        <f>VLOOKUP(TblCarteira[[#This Row],[Ativo]], 'Tabela Ativos'!$B$4:$D$500, 3, FALSE)</f>
        <v>224.2</v>
      </c>
      <c r="D6" s="16">
        <f ca="1">SUMIFS(TblAportes[Total], TblAportes[Ativo],TblCarteira[[#This Row],[Ativo]], TblAportes[Data], "&lt;="&amp;IF($K$2 = "", TODAY(), $K$2))</f>
        <v>199.11</v>
      </c>
      <c r="E6" s="2">
        <f ca="1">SUMIFS(TblAportes[Quantidade], TblAportes[Ativo],TblCarteira[[#This Row],[Ativo]], TblAportes[Data], "&lt;="&amp;IF($K$2 = "", TODAY(), $K$2))</f>
        <v>9</v>
      </c>
      <c r="F6" s="16">
        <f ca="1">(TblCarteira[[#This Row],[Total Aportado]] / TblCarteira[[#This Row],[Total Quantidade]])</f>
        <v>22.123333333333335</v>
      </c>
      <c r="G6" s="16">
        <f ca="1">(TblCarteira[[#This Row],[Total Quantidade]] * TblCarteira[[#This Row],[Cotação]])</f>
        <v>2017.8</v>
      </c>
      <c r="H6" s="17">
        <f ca="1">(TblCarteira[[#This Row],[Total Atual]] - TblCarteira[[#This Row],[Total Aportado]])</f>
        <v>1818.69</v>
      </c>
      <c r="I6" s="18">
        <f ca="1">(TblCarteira[[#This Row],[Total Atual]] / TblCarteira[[#This Row],[Total Aportado]]) -1</f>
        <v>9.1340967304505032</v>
      </c>
    </row>
    <row r="7" spans="1:11" ht="15.6" x14ac:dyDescent="0.25">
      <c r="A7" s="14" t="s">
        <v>10</v>
      </c>
      <c r="B7" s="14" t="str">
        <f>VLOOKUP(TblCarteira[[#This Row],[Ativo]], 'Tabela Ativos'!$B$4:$D$500, 2, FALSE)</f>
        <v>FUNDO INVESTIMENTO IMOBILIARIO</v>
      </c>
      <c r="C7" s="15">
        <f>VLOOKUP(TblCarteira[[#This Row],[Ativo]], 'Tabela Ativos'!$B$4:$D$500, 3, FALSE)</f>
        <v>163.69</v>
      </c>
      <c r="D7" s="16">
        <f ca="1">SUMIFS(TblAportes[Total], TblAportes[Ativo],TblCarteira[[#This Row],[Ativo]], TblAportes[Data], "&lt;="&amp;IF($K$2 = "", TODAY(), $K$2))</f>
        <v>966.86</v>
      </c>
      <c r="E7" s="2">
        <f ca="1">SUMIFS(TblAportes[Quantidade], TblAportes[Ativo],TblCarteira[[#This Row],[Ativo]], TblAportes[Data], "&lt;="&amp;IF($K$2 = "", TODAY(), $K$2))</f>
        <v>17</v>
      </c>
      <c r="F7" s="16">
        <f ca="1">(TblCarteira[[#This Row],[Total Aportado]] / TblCarteira[[#This Row],[Total Quantidade]])</f>
        <v>56.874117647058824</v>
      </c>
      <c r="G7" s="16">
        <f ca="1">(TblCarteira[[#This Row],[Total Quantidade]] * TblCarteira[[#This Row],[Cotação]])</f>
        <v>2782.73</v>
      </c>
      <c r="H7" s="17">
        <f ca="1">(TblCarteira[[#This Row],[Total Atual]] - TblCarteira[[#This Row],[Total Aportado]])</f>
        <v>1815.87</v>
      </c>
      <c r="I7" s="18">
        <f ca="1">(TblCarteira[[#This Row],[Total Atual]] / TblCarteira[[#This Row],[Total Aportado]]) -1</f>
        <v>1.8781105847795958</v>
      </c>
    </row>
    <row r="8" spans="1:11" ht="15.6" x14ac:dyDescent="0.25">
      <c r="A8" s="14" t="s">
        <v>11</v>
      </c>
      <c r="B8" s="14" t="str">
        <f>VLOOKUP(TblCarteira[[#This Row],[Ativo]], 'Tabela Ativos'!$B$4:$D$500, 2, FALSE)</f>
        <v>FUNDO INVESTIMENTO IMOBILIARIO</v>
      </c>
      <c r="C8" s="15">
        <f>VLOOKUP(TblCarteira[[#This Row],[Ativo]], 'Tabela Ativos'!$B$4:$D$500, 3, FALSE)</f>
        <v>142.16999999999999</v>
      </c>
      <c r="D8" s="16">
        <f ca="1">SUMIFS(TblAportes[Total], TblAportes[Ativo],TblCarteira[[#This Row],[Ativo]], TblAportes[Data], "&lt;="&amp;IF($K$2 = "", TODAY(), $K$2))</f>
        <v>359.81</v>
      </c>
      <c r="E8" s="2">
        <f ca="1">SUMIFS(TblAportes[Quantidade], TblAportes[Ativo],TblCarteira[[#This Row],[Ativo]], TblAportes[Data], "&lt;="&amp;IF($K$2 = "", TODAY(), $K$2))</f>
        <v>19</v>
      </c>
      <c r="F8" s="16">
        <f ca="1">(TblCarteira[[#This Row],[Total Aportado]] / TblCarteira[[#This Row],[Total Quantidade]])</f>
        <v>18.937368421052632</v>
      </c>
      <c r="G8" s="16">
        <f ca="1">(TblCarteira[[#This Row],[Total Quantidade]] * TblCarteira[[#This Row],[Cotação]])</f>
        <v>2701.2299999999996</v>
      </c>
      <c r="H8" s="17">
        <f ca="1">(TblCarteira[[#This Row],[Total Atual]] - TblCarteira[[#This Row],[Total Aportado]])</f>
        <v>2341.4199999999996</v>
      </c>
      <c r="I8" s="18">
        <f ca="1">(TblCarteira[[#This Row],[Total Atual]] / TblCarteira[[#This Row],[Total Aportado]]) -1</f>
        <v>6.5073788944164965</v>
      </c>
    </row>
    <row r="9" spans="1:11" ht="15.6" x14ac:dyDescent="0.25">
      <c r="A9" s="14" t="s">
        <v>12</v>
      </c>
      <c r="B9" s="14" t="str">
        <f>VLOOKUP(TblCarteira[[#This Row],[Ativo]], 'Tabela Ativos'!$B$4:$D$500, 2, FALSE)</f>
        <v>FUNDO INVESTIMENTO IMOBILIARIO</v>
      </c>
      <c r="C9" s="15">
        <f>VLOOKUP(TblCarteira[[#This Row],[Ativo]], 'Tabela Ativos'!$B$4:$D$500, 3, FALSE)</f>
        <v>160.94</v>
      </c>
      <c r="D9" s="16">
        <f ca="1">SUMIFS(TblAportes[Total], TblAportes[Ativo],TblCarteira[[#This Row],[Ativo]], TblAportes[Data], "&lt;="&amp;IF($K$2 = "", TODAY(), $K$2))</f>
        <v>458.22</v>
      </c>
      <c r="E9" s="2">
        <f ca="1">SUMIFS(TblAportes[Quantidade], TblAportes[Ativo],TblCarteira[[#This Row],[Ativo]], TblAportes[Data], "&lt;="&amp;IF($K$2 = "", TODAY(), $K$2))</f>
        <v>18</v>
      </c>
      <c r="F9" s="16">
        <f ca="1">(TblCarteira[[#This Row],[Total Aportado]] / TblCarteira[[#This Row],[Total Quantidade]])</f>
        <v>25.456666666666667</v>
      </c>
      <c r="G9" s="16">
        <f ca="1">(TblCarteira[[#This Row],[Total Quantidade]] * TblCarteira[[#This Row],[Cotação]])</f>
        <v>2896.92</v>
      </c>
      <c r="H9" s="17">
        <f ca="1">(TblCarteira[[#This Row],[Total Atual]] - TblCarteira[[#This Row],[Total Aportado]])</f>
        <v>2438.6999999999998</v>
      </c>
      <c r="I9" s="18">
        <f ca="1">(TblCarteira[[#This Row],[Total Atual]] / TblCarteira[[#This Row],[Total Aportado]]) -1</f>
        <v>5.3221160141416783</v>
      </c>
    </row>
    <row r="10" spans="1:11" ht="15.6" x14ac:dyDescent="0.25">
      <c r="A10" s="14" t="s">
        <v>14</v>
      </c>
      <c r="B10" s="14" t="str">
        <f>VLOOKUP(TblCarteira[[#This Row],[Ativo]], 'Tabela Ativos'!$B$4:$D$500, 2, FALSE)</f>
        <v>EMPRESA</v>
      </c>
      <c r="C10" s="15">
        <f>VLOOKUP(TblCarteira[[#This Row],[Ativo]], 'Tabela Ativos'!$B$4:$D$500, 3, FALSE)</f>
        <v>12.12</v>
      </c>
      <c r="D10" s="16">
        <f ca="1">SUMIFS(TblAportes[Total], TblAportes[Ativo],TblCarteira[[#This Row],[Ativo]], TblAportes[Data], "&lt;="&amp;IF($K$2 = "", TODAY(), $K$2))</f>
        <v>4114</v>
      </c>
      <c r="E10" s="2">
        <f ca="1">SUMIFS(TblAportes[Quantidade], TblAportes[Ativo],TblCarteira[[#This Row],[Ativo]], TblAportes[Data], "&lt;="&amp;IF($K$2 = "", TODAY(), $K$2))</f>
        <v>200</v>
      </c>
      <c r="F10" s="16">
        <f ca="1">(TblCarteira[[#This Row],[Total Aportado]] / TblCarteira[[#This Row],[Total Quantidade]])</f>
        <v>20.57</v>
      </c>
      <c r="G10" s="16">
        <f ca="1">(TblCarteira[[#This Row],[Total Quantidade]] * TblCarteira[[#This Row],[Cotação]])</f>
        <v>2424</v>
      </c>
      <c r="H10" s="17">
        <f ca="1">(TblCarteira[[#This Row],[Total Atual]] - TblCarteira[[#This Row],[Total Aportado]])</f>
        <v>-1690</v>
      </c>
      <c r="I10" s="18">
        <f ca="1">(TblCarteira[[#This Row],[Total Atual]] / TblCarteira[[#This Row],[Total Aportado]]) -1</f>
        <v>-0.41079241614000972</v>
      </c>
    </row>
    <row r="11" spans="1:11" ht="15.6" x14ac:dyDescent="0.25">
      <c r="A11" s="14" t="s">
        <v>20</v>
      </c>
      <c r="D11" s="16">
        <f ca="1">SUBTOTAL(109,TblCarteira[Total Aportado])</f>
        <v>36053</v>
      </c>
      <c r="F11" s="15"/>
      <c r="G11" s="16">
        <f ca="1">SUBTOTAL(109,TblCarteira[Total Atual])</f>
        <v>34921.68</v>
      </c>
      <c r="H11" s="17">
        <f ca="1">SUBTOTAL(109,TblCarteira[Valorização])</f>
        <v>-1131.3200000000002</v>
      </c>
    </row>
  </sheetData>
  <conditionalFormatting sqref="I2:I10">
    <cfRule type="cellIs" dxfId="7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9</v>
      </c>
      <c r="B2" s="14" t="str">
        <f>VLOOKUP(TblCarteiraFII[[#This Row],[Ativo]], 'Tabela Ativos'!$B$4:$D$500, 2, FALSE)</f>
        <v>FUNDO INVESTIMENTO IMOBILIARIO</v>
      </c>
      <c r="C2" s="15">
        <f>VLOOKUP(TblCarteiraFII[[#This Row],[Ativo]], 'Tabela Ativos'!$B$4:$D$500, 3, FALSE)</f>
        <v>224.2</v>
      </c>
      <c r="D2" s="16">
        <f ca="1">SUMIFS(TblAportes[Total], TblAportes[Ativo],TblCarteiraFII[[#This Row],[Ativo]], TblAportes[Data], "&lt;="&amp;IF($K$2 = "", TODAY(), $K$2))</f>
        <v>199.11</v>
      </c>
      <c r="E2" s="2">
        <f ca="1">SUMIFS(TblAportes[Quantidade], TblAportes[Ativo],TblCarteiraFII[[#This Row],[Ativo]], TblAportes[Data], "&lt;="&amp;IF($K$2 = "", TODAY(), $K$2))</f>
        <v>9</v>
      </c>
      <c r="F2" s="16">
        <f ca="1">(TblCarteiraFII[[#This Row],[Total Aportado]] / TblCarteiraFII[[#This Row],[Total Quantidade]])</f>
        <v>22.123333333333335</v>
      </c>
      <c r="G2" s="16">
        <f ca="1">(TblCarteiraFII[[#This Row],[Total Quantidade]] * TblCarteiraFII[[#This Row],[Cotação]])</f>
        <v>2017.8</v>
      </c>
      <c r="H2" s="17">
        <f ca="1">(TblCarteiraFII[[#This Row],[Total Atual]] - TblCarteiraFII[[#This Row],[Total Aportado]])</f>
        <v>1818.69</v>
      </c>
      <c r="I2" s="18">
        <f ca="1">(TblCarteiraFII[[#This Row],[Total Atual]] / TblCarteiraFII[[#This Row],[Total Aportado]]) -1</f>
        <v>9.1340967304505032</v>
      </c>
      <c r="K2" s="19"/>
    </row>
    <row r="3" spans="1:11" ht="15.6" x14ac:dyDescent="0.25">
      <c r="A3" s="14" t="s">
        <v>10</v>
      </c>
      <c r="B3" s="14" t="str">
        <f>VLOOKUP(TblCarteiraFII[[#This Row],[Ativo]], 'Tabela Ativos'!$B$4:$D$500, 2, FALSE)</f>
        <v>FUNDO INVESTIMENTO IMOBILIARIO</v>
      </c>
      <c r="C3" s="15">
        <f>VLOOKUP(TblCarteiraFII[[#This Row],[Ativo]], 'Tabela Ativos'!$B$4:$D$500, 3, FALSE)</f>
        <v>163.69</v>
      </c>
      <c r="D3" s="16">
        <f ca="1">SUMIFS(TblAportes[Total], TblAportes[Ativo],TblCarteiraFII[[#This Row],[Ativo]], TblAportes[Data], "&lt;="&amp;IF($K$2 = "", TODAY(), $K$2))</f>
        <v>966.86</v>
      </c>
      <c r="E3" s="2">
        <f ca="1">SUMIFS(TblAportes[Quantidade], TblAportes[Ativo],TblCarteiraFII[[#This Row],[Ativo]], TblAportes[Data], "&lt;="&amp;IF($K$2 = "", TODAY(), $K$2))</f>
        <v>17</v>
      </c>
      <c r="F3" s="16">
        <f ca="1">(TblCarteiraFII[[#This Row],[Total Aportado]] / TblCarteiraFII[[#This Row],[Total Quantidade]])</f>
        <v>56.874117647058824</v>
      </c>
      <c r="G3" s="16">
        <f ca="1">(TblCarteiraFII[[#This Row],[Total Quantidade]] * TblCarteiraFII[[#This Row],[Cotação]])</f>
        <v>2782.73</v>
      </c>
      <c r="H3" s="17">
        <f ca="1">(TblCarteiraFII[[#This Row],[Total Atual]] - TblCarteiraFII[[#This Row],[Total Aportado]])</f>
        <v>1815.87</v>
      </c>
      <c r="I3" s="18">
        <f ca="1">(TblCarteiraFII[[#This Row],[Total Atual]] / TblCarteiraFII[[#This Row],[Total Aportado]]) -1</f>
        <v>1.8781105847795958</v>
      </c>
    </row>
    <row r="4" spans="1:11" ht="15.6" x14ac:dyDescent="0.25">
      <c r="A4" s="14" t="s">
        <v>11</v>
      </c>
      <c r="B4" s="14" t="str">
        <f>VLOOKUP(TblCarteiraFII[[#This Row],[Ativo]], 'Tabela Ativos'!$B$4:$D$500, 2, FALSE)</f>
        <v>FUNDO INVESTIMENTO IMOBILIARIO</v>
      </c>
      <c r="C4" s="15">
        <f>VLOOKUP(TblCarteiraFII[[#This Row],[Ativo]], 'Tabela Ativos'!$B$4:$D$500, 3, FALSE)</f>
        <v>142.16999999999999</v>
      </c>
      <c r="D4" s="16">
        <f ca="1">SUMIFS(TblAportes[Total], TblAportes[Ativo],TblCarteiraFII[[#This Row],[Ativo]], TblAportes[Data], "&lt;="&amp;IF($K$2 = "", TODAY(), $K$2))</f>
        <v>359.81</v>
      </c>
      <c r="E4" s="2">
        <f ca="1">SUMIFS(TblAportes[Quantidade], TblAportes[Ativo],TblCarteiraFII[[#This Row],[Ativo]], TblAportes[Data], "&lt;="&amp;IF($K$2 = "", TODAY(), $K$2))</f>
        <v>19</v>
      </c>
      <c r="F4" s="16">
        <f ca="1">(TblCarteiraFII[[#This Row],[Total Aportado]] / TblCarteiraFII[[#This Row],[Total Quantidade]])</f>
        <v>18.937368421052632</v>
      </c>
      <c r="G4" s="16">
        <f ca="1">(TblCarteiraFII[[#This Row],[Total Quantidade]] * TblCarteiraFII[[#This Row],[Cotação]])</f>
        <v>2701.2299999999996</v>
      </c>
      <c r="H4" s="17">
        <f ca="1">(TblCarteiraFII[[#This Row],[Total Atual]] - TblCarteiraFII[[#This Row],[Total Aportado]])</f>
        <v>2341.4199999999996</v>
      </c>
      <c r="I4" s="18">
        <f ca="1">(TblCarteiraFII[[#This Row],[Total Atual]] / TblCarteiraFII[[#This Row],[Total Aportado]]) -1</f>
        <v>6.5073788944164965</v>
      </c>
    </row>
    <row r="5" spans="1:11" ht="15.6" x14ac:dyDescent="0.25">
      <c r="A5" s="14" t="s">
        <v>12</v>
      </c>
      <c r="B5" s="14" t="str">
        <f>VLOOKUP(TblCarteiraFII[[#This Row],[Ativo]], 'Tabela Ativos'!$B$4:$D$500, 2, FALSE)</f>
        <v>FUNDO INVESTIMENTO IMOBILIARIO</v>
      </c>
      <c r="C5" s="15">
        <f>VLOOKUP(TblCarteiraFII[[#This Row],[Ativo]], 'Tabela Ativos'!$B$4:$D$500, 3, FALSE)</f>
        <v>160.94</v>
      </c>
      <c r="D5" s="16">
        <f ca="1">SUMIFS(TblAportes[Total], TblAportes[Ativo],TblCarteiraFII[[#This Row],[Ativo]], TblAportes[Data], "&lt;="&amp;IF($K$2 = "", TODAY(), $K$2))</f>
        <v>458.22</v>
      </c>
      <c r="E5" s="2">
        <f ca="1">SUMIFS(TblAportes[Quantidade], TblAportes[Ativo],TblCarteiraFII[[#This Row],[Ativo]], TblAportes[Data], "&lt;="&amp;IF($K$2 = "", TODAY(), $K$2))</f>
        <v>18</v>
      </c>
      <c r="F5" s="16">
        <f ca="1">(TblCarteiraFII[[#This Row],[Total Aportado]] / TblCarteiraFII[[#This Row],[Total Quantidade]])</f>
        <v>25.456666666666667</v>
      </c>
      <c r="G5" s="16">
        <f ca="1">(TblCarteiraFII[[#This Row],[Total Quantidade]] * TblCarteiraFII[[#This Row],[Cotação]])</f>
        <v>2896.92</v>
      </c>
      <c r="H5" s="17">
        <f ca="1">(TblCarteiraFII[[#This Row],[Total Atual]] - TblCarteiraFII[[#This Row],[Total Aportado]])</f>
        <v>2438.6999999999998</v>
      </c>
      <c r="I5" s="18">
        <f ca="1">(TblCarteiraFII[[#This Row],[Total Atual]] / TblCarteiraFII[[#This Row],[Total Aportado]]) -1</f>
        <v>5.3221160141416783</v>
      </c>
    </row>
    <row r="6" spans="1:11" ht="15.6" x14ac:dyDescent="0.25">
      <c r="A6" s="14" t="s">
        <v>20</v>
      </c>
      <c r="D6" s="16">
        <f ca="1">SUBTOTAL(109,TblCarteiraFII[Total Aportado])</f>
        <v>1984</v>
      </c>
      <c r="F6" s="15"/>
      <c r="G6" s="16">
        <f ca="1">SUBTOTAL(109,TblCarteiraFII[Total Atual])</f>
        <v>10398.68</v>
      </c>
      <c r="H6" s="17">
        <f ca="1">SUBTOTAL(109,TblCarteiraFII[Valorização])</f>
        <v>8414.68</v>
      </c>
    </row>
  </sheetData>
  <conditionalFormatting sqref="I2:I5">
    <cfRule type="cellIs" dxfId="51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VLOOKUP(TblCarteiraAcoes[[#This Row],[Ativo]], 'Tabela Ativos'!$B$4:$D$500, 2, FALSE)</f>
        <v>EMPRESA</v>
      </c>
      <c r="C2" s="15">
        <f>VLOOKUP(TblCarteiraAcoes[[#This Row],[Ativo]], 'Tabela Ativos'!$B$4:$D$500, 3, FALSE)</f>
        <v>13.46</v>
      </c>
      <c r="D2" s="16">
        <f ca="1">SUMIFS(TblAportes[Total], TblAportes[Ativo],TblCarteiraAcoes[[#This Row],[Ativo]], TblAportes[Data], "&lt;="&amp;IF($K$2 = "", TODAY(), $K$2))</f>
        <v>4371</v>
      </c>
      <c r="E2" s="2">
        <f ca="1">SUMIFS(TblAportes[Quantidade], TblAportes[Ativo],TblCarteiraAcoes[[#This Row],[Ativo]], TblAportes[Data], "&lt;="&amp;IF($K$2 = "", TODAY(), $K$2))</f>
        <v>300</v>
      </c>
      <c r="F2" s="16">
        <f ca="1">(TblCarteiraAcoes[[#This Row],[Total Aportado]] / TblCarteiraAcoes[[#This Row],[Total Quantidade]])</f>
        <v>14.57</v>
      </c>
      <c r="G2" s="16">
        <f ca="1">(TblCarteiraAcoes[[#This Row],[Total Quantidade]] * TblCarteiraAcoes[[#This Row],[Cotação]])</f>
        <v>4038.0000000000005</v>
      </c>
      <c r="H2" s="17">
        <f ca="1">(TblCarteiraAcoes[[#This Row],[Total Atual]] - TblCarteiraAcoes[[#This Row],[Total Aportado]])</f>
        <v>-332.99999999999955</v>
      </c>
      <c r="I2" s="18">
        <f ca="1">(TblCarteiraAcoes[[#This Row],[Total Atual]] / TblCarteiraAcoes[[#This Row],[Total Aportado]]) -1</f>
        <v>-7.6183939601921602E-2</v>
      </c>
      <c r="K2" s="19"/>
    </row>
    <row r="3" spans="1:11" ht="15.6" x14ac:dyDescent="0.25">
      <c r="A3" s="14" t="s">
        <v>6</v>
      </c>
      <c r="B3" s="14" t="str">
        <f>VLOOKUP(TblCarteiraAcoes[[#This Row],[Ativo]], 'Tabela Ativos'!$B$4:$D$500, 2, FALSE)</f>
        <v>EMPRESA</v>
      </c>
      <c r="C3" s="15">
        <f>VLOOKUP(TblCarteiraAcoes[[#This Row],[Ativo]], 'Tabela Ativos'!$B$4:$D$500, 3, FALSE)</f>
        <v>16.07</v>
      </c>
      <c r="D3" s="16">
        <f ca="1">SUMIFS(TblAportes[Total], TblAportes[Ativo],TblCarteiraAcoes[[#This Row],[Ativo]], TblAportes[Data], "&lt;="&amp;IF($K$2 = "", TODAY(), $K$2))</f>
        <v>14163</v>
      </c>
      <c r="E3" s="2">
        <f ca="1">SUMIFS(TblAportes[Quantidade], TblAportes[Ativo],TblCarteiraAcoes[[#This Row],[Ativo]], TblAportes[Data], "&lt;="&amp;IF($K$2 = "", TODAY(), $K$2))</f>
        <v>200</v>
      </c>
      <c r="F3" s="16">
        <f ca="1">(TblCarteiraAcoes[[#This Row],[Total Aportado]] / TblCarteiraAcoes[[#This Row],[Total Quantidade]])</f>
        <v>70.814999999999998</v>
      </c>
      <c r="G3" s="16">
        <f ca="1">(TblCarteiraAcoes[[#This Row],[Total Quantidade]] * TblCarteiraAcoes[[#This Row],[Cotação]])</f>
        <v>3214</v>
      </c>
      <c r="H3" s="17">
        <f ca="1">(TblCarteiraAcoes[[#This Row],[Total Atual]] - TblCarteiraAcoes[[#This Row],[Total Aportado]])</f>
        <v>-10949</v>
      </c>
      <c r="I3" s="18">
        <f ca="1">(TblCarteiraAcoes[[#This Row],[Total Atual]] / TblCarteiraAcoes[[#This Row],[Total Aportado]]) -1</f>
        <v>-0.77307067711643018</v>
      </c>
    </row>
    <row r="4" spans="1:11" ht="15.6" x14ac:dyDescent="0.25">
      <c r="A4" s="14" t="s">
        <v>7</v>
      </c>
      <c r="B4" s="14" t="str">
        <f>VLOOKUP(TblCarteiraAcoes[[#This Row],[Ativo]], 'Tabela Ativos'!$B$4:$D$500, 2, FALSE)</f>
        <v>EMPRESA</v>
      </c>
      <c r="C4" s="15">
        <f>VLOOKUP(TblCarteiraAcoes[[#This Row],[Ativo]], 'Tabela Ativos'!$B$4:$D$500, 3, FALSE)</f>
        <v>9.81</v>
      </c>
      <c r="D4" s="16">
        <f ca="1">SUMIFS(TblAportes[Total], TblAportes[Ativo],TblCarteiraAcoes[[#This Row],[Ativo]], TblAportes[Data], "&lt;="&amp;IF($K$2 = "", TODAY(), $K$2))</f>
        <v>3894</v>
      </c>
      <c r="E4" s="2">
        <f ca="1">SUMIFS(TblAportes[Quantidade], TblAportes[Ativo],TblCarteiraAcoes[[#This Row],[Ativo]], TblAportes[Data], "&lt;="&amp;IF($K$2 = "", TODAY(), $K$2))</f>
        <v>300</v>
      </c>
      <c r="F4" s="16">
        <f ca="1">(TblCarteiraAcoes[[#This Row],[Total Aportado]] / TblCarteiraAcoes[[#This Row],[Total Quantidade]])</f>
        <v>12.98</v>
      </c>
      <c r="G4" s="16">
        <f ca="1">(TblCarteiraAcoes[[#This Row],[Total Quantidade]] * TblCarteiraAcoes[[#This Row],[Cotação]])</f>
        <v>2943</v>
      </c>
      <c r="H4" s="17">
        <f ca="1">(TblCarteiraAcoes[[#This Row],[Total Atual]] - TblCarteiraAcoes[[#This Row],[Total Aportado]])</f>
        <v>-951</v>
      </c>
      <c r="I4" s="18">
        <f ca="1">(TblCarteiraAcoes[[#This Row],[Total Atual]] / TblCarteiraAcoes[[#This Row],[Total Aportado]]) -1</f>
        <v>-0.24422187981510013</v>
      </c>
    </row>
    <row r="5" spans="1:11" ht="15.6" x14ac:dyDescent="0.25">
      <c r="A5" s="14" t="s">
        <v>8</v>
      </c>
      <c r="B5" s="14" t="str">
        <f>VLOOKUP(TblCarteiraAcoes[[#This Row],[Ativo]], 'Tabela Ativos'!$B$4:$D$500, 2, FALSE)</f>
        <v>EMPRESA</v>
      </c>
      <c r="C5" s="15">
        <f>VLOOKUP(TblCarteiraAcoes[[#This Row],[Ativo]], 'Tabela Ativos'!$B$4:$D$500, 3, FALSE)</f>
        <v>29.76</v>
      </c>
      <c r="D5" s="16">
        <f ca="1">SUMIFS(TblAportes[Total], TblAportes[Ativo],TblCarteiraAcoes[[#This Row],[Ativo]], TblAportes[Data], "&lt;="&amp;IF($K$2 = "", TODAY(), $K$2))</f>
        <v>7527</v>
      </c>
      <c r="E5" s="2">
        <f ca="1">SUMIFS(TblAportes[Quantidade], TblAportes[Ativo],TblCarteiraAcoes[[#This Row],[Ativo]], TblAportes[Data], "&lt;="&amp;IF($K$2 = "", TODAY(), $K$2))</f>
        <v>400</v>
      </c>
      <c r="F5" s="16">
        <f ca="1">(TblCarteiraAcoes[[#This Row],[Total Aportado]] / TblCarteiraAcoes[[#This Row],[Total Quantidade]])</f>
        <v>18.817499999999999</v>
      </c>
      <c r="G5" s="16">
        <f ca="1">(TblCarteiraAcoes[[#This Row],[Total Quantidade]] * TblCarteiraAcoes[[#This Row],[Cotação]])</f>
        <v>11904</v>
      </c>
      <c r="H5" s="17">
        <f ca="1">(TblCarteiraAcoes[[#This Row],[Total Atual]] - TblCarteiraAcoes[[#This Row],[Total Aportado]])</f>
        <v>4377</v>
      </c>
      <c r="I5" s="18">
        <f ca="1">(TblCarteiraAcoes[[#This Row],[Total Atual]] / TblCarteiraAcoes[[#This Row],[Total Aportado]]) -1</f>
        <v>0.58150657632522917</v>
      </c>
    </row>
    <row r="6" spans="1:11" ht="15.6" x14ac:dyDescent="0.25">
      <c r="A6" s="14" t="s">
        <v>14</v>
      </c>
      <c r="B6" s="14" t="str">
        <f>VLOOKUP(TblCarteiraAcoes[[#This Row],[Ativo]], 'Tabela Ativos'!$B$4:$D$500, 2, FALSE)</f>
        <v>EMPRESA</v>
      </c>
      <c r="C6" s="15">
        <f>VLOOKUP(TblCarteiraAcoes[[#This Row],[Ativo]], 'Tabela Ativos'!$B$4:$D$500, 3, FALSE)</f>
        <v>12.12</v>
      </c>
      <c r="D6" s="16">
        <f ca="1">SUMIFS(TblAportes[Total], TblAportes[Ativo],TblCarteiraAcoes[[#This Row],[Ativo]], TblAportes[Data], "&lt;="&amp;IF($K$2 = "", TODAY(), $K$2))</f>
        <v>4114</v>
      </c>
      <c r="E6" s="2">
        <f ca="1">SUMIFS(TblAportes[Quantidade], TblAportes[Ativo],TblCarteiraAcoes[[#This Row],[Ativo]], TblAportes[Data], "&lt;="&amp;IF($K$2 = "", TODAY(), $K$2))</f>
        <v>200</v>
      </c>
      <c r="F6" s="16">
        <f ca="1">(TblCarteiraAcoes[[#This Row],[Total Aportado]] / TblCarteiraAcoes[[#This Row],[Total Quantidade]])</f>
        <v>20.57</v>
      </c>
      <c r="G6" s="16">
        <f ca="1">(TblCarteiraAcoes[[#This Row],[Total Quantidade]] * TblCarteiraAcoes[[#This Row],[Cotação]])</f>
        <v>2424</v>
      </c>
      <c r="H6" s="17">
        <f ca="1">(TblCarteiraAcoes[[#This Row],[Total Atual]] - TblCarteiraAcoes[[#This Row],[Total Aportado]])</f>
        <v>-1690</v>
      </c>
      <c r="I6" s="18">
        <f ca="1">(TblCarteiraAcoes[[#This Row],[Total Atual]] / TblCarteiraAcoes[[#This Row],[Total Aportado]]) -1</f>
        <v>-0.41079241614000972</v>
      </c>
    </row>
    <row r="7" spans="1:11" ht="15.6" x14ac:dyDescent="0.25">
      <c r="A7" s="14" t="s">
        <v>20</v>
      </c>
      <c r="D7" s="16">
        <f ca="1">SUBTOTAL(109,TblCarteiraAcoes[Total Aportado])</f>
        <v>34069</v>
      </c>
      <c r="F7" s="15"/>
      <c r="G7" s="16">
        <f ca="1">SUBTOTAL(109,TblCarteiraAcoes[Total Atual])</f>
        <v>24523</v>
      </c>
      <c r="H7" s="17">
        <f ca="1">SUBTOTAL(109,TblCarteiraAcoes[Valorização])</f>
        <v>-9546</v>
      </c>
    </row>
  </sheetData>
  <conditionalFormatting sqref="I2:I6">
    <cfRule type="cellIs" dxfId="30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3"/>
  <sheetViews>
    <sheetView tabSelected="1" workbookViewId="0"/>
  </sheetViews>
  <sheetFormatPr defaultRowHeight="15" x14ac:dyDescent="0.25"/>
  <cols>
    <col min="1" max="1" width="16.1796875" customWidth="1"/>
    <col min="2" max="2" width="21.1796875" customWidth="1"/>
    <col min="3" max="3" width="5.453125" customWidth="1"/>
    <col min="4" max="5" width="14.54296875" customWidth="1"/>
    <col min="6" max="6" width="14.6328125" customWidth="1"/>
    <col min="7" max="7" width="23.1796875" customWidth="1"/>
    <col min="8" max="8" width="15.36328125" customWidth="1"/>
    <col min="9" max="9" width="15.90625" customWidth="1"/>
  </cols>
  <sheetData>
    <row r="2" spans="1:10" x14ac:dyDescent="0.25">
      <c r="A2" s="31" t="s">
        <v>60</v>
      </c>
      <c r="B2" s="32"/>
      <c r="D2" s="37" t="s">
        <v>67</v>
      </c>
      <c r="E2" s="38"/>
      <c r="F2" s="38"/>
      <c r="G2" s="38"/>
      <c r="H2" s="39"/>
    </row>
    <row r="3" spans="1:10" x14ac:dyDescent="0.25">
      <c r="A3" s="33">
        <v>1</v>
      </c>
      <c r="B3" s="34" t="s">
        <v>64</v>
      </c>
      <c r="D3" s="40"/>
      <c r="E3" s="41"/>
      <c r="F3" s="42">
        <v>1</v>
      </c>
      <c r="G3" s="42">
        <v>2</v>
      </c>
      <c r="H3" s="43">
        <v>3</v>
      </c>
    </row>
    <row r="4" spans="1:10" x14ac:dyDescent="0.25">
      <c r="A4" s="33">
        <v>2</v>
      </c>
      <c r="B4" s="34" t="s">
        <v>65</v>
      </c>
      <c r="D4" s="44"/>
      <c r="E4" s="45"/>
      <c r="F4" s="46" t="s">
        <v>64</v>
      </c>
      <c r="G4" s="46" t="s">
        <v>65</v>
      </c>
      <c r="H4" s="47" t="s">
        <v>66</v>
      </c>
    </row>
    <row r="5" spans="1:10" x14ac:dyDescent="0.25">
      <c r="A5" s="35">
        <v>3</v>
      </c>
      <c r="B5" s="36" t="s">
        <v>66</v>
      </c>
      <c r="D5" s="48">
        <v>1</v>
      </c>
      <c r="E5" s="49" t="s">
        <v>50</v>
      </c>
      <c r="F5" s="50">
        <f ca="1">SUMIF(TblCarteira[Tipo], "EMPRESA", TblCarteira[Total Aportado])</f>
        <v>34069</v>
      </c>
      <c r="G5" s="50">
        <f>SUMIF(TblCarteira[Tipo], "FUNDOS INVESTIMENTO IMOBILIARIO", TblCarteira[Total Aportado])</f>
        <v>0</v>
      </c>
      <c r="H5" s="51">
        <f ca="1">SUM(TblCarteira[Total Aportado])</f>
        <v>36053</v>
      </c>
    </row>
    <row r="6" spans="1:10" x14ac:dyDescent="0.25">
      <c r="D6" s="48">
        <v>2</v>
      </c>
      <c r="E6" s="49" t="s">
        <v>57</v>
      </c>
      <c r="F6" s="50">
        <f ca="1">SUMIF(TblCarteira[Tipo], "EMPRESA", TblCarteira[Total Atual])</f>
        <v>24523</v>
      </c>
      <c r="G6" s="50">
        <f>SUMIF(TblCarteira[Tipo], "FUNDOS INVESTIMENTO IMOBILIARIO", TblCarteira[Total Atual])</f>
        <v>0</v>
      </c>
      <c r="H6" s="51">
        <f ca="1">SUM(TblCarteira[Total Atual])</f>
        <v>34921.68</v>
      </c>
    </row>
    <row r="7" spans="1:10" x14ac:dyDescent="0.25">
      <c r="A7" s="37" t="s">
        <v>61</v>
      </c>
      <c r="B7" s="39"/>
      <c r="D7" s="48">
        <v>3</v>
      </c>
      <c r="E7" s="49" t="s">
        <v>53</v>
      </c>
      <c r="F7" s="50">
        <f ca="1">SUMIF(TblCarteira[Tipo], "EMPRESA", TblCarteira[Valorização])</f>
        <v>-9546</v>
      </c>
      <c r="G7" s="50">
        <f>SUMIF(TblCarteira[Tipo], "FUNDOS INVESTIMENTO IMOBILIARIO", TblCarteira[Valorização])</f>
        <v>0</v>
      </c>
      <c r="H7" s="51">
        <f ca="1">SUM(TblCarteira[Valorização])</f>
        <v>-1131.3200000000002</v>
      </c>
    </row>
    <row r="8" spans="1:10" x14ac:dyDescent="0.25">
      <c r="A8" s="44" t="s">
        <v>62</v>
      </c>
      <c r="B8" s="47">
        <v>3</v>
      </c>
      <c r="D8" s="52">
        <v>4</v>
      </c>
      <c r="E8" s="53" t="s">
        <v>54</v>
      </c>
      <c r="F8" s="54">
        <f ca="1">(H6 / F5) - 1</f>
        <v>2.5028031348146351E-2</v>
      </c>
      <c r="G8" s="54" t="e">
        <f>(G6 / G5) - 1</f>
        <v>#DIV/0!</v>
      </c>
      <c r="H8" s="55">
        <f ca="1">(H6 / H5) - 1</f>
        <v>-3.1379358167142768E-2</v>
      </c>
    </row>
    <row r="9" spans="1:10" x14ac:dyDescent="0.25">
      <c r="A9" s="56" t="s">
        <v>63</v>
      </c>
      <c r="B9" s="57">
        <f>Dashboard!E1</f>
        <v>15000</v>
      </c>
    </row>
    <row r="10" spans="1:10" x14ac:dyDescent="0.25">
      <c r="D10" s="37" t="s">
        <v>70</v>
      </c>
      <c r="E10" s="38"/>
      <c r="F10" s="39"/>
    </row>
    <row r="11" spans="1:10" x14ac:dyDescent="0.25">
      <c r="A11" s="37" t="s">
        <v>69</v>
      </c>
      <c r="B11" s="39"/>
      <c r="D11" s="44" t="s">
        <v>64</v>
      </c>
      <c r="E11" s="50">
        <f ca="1">F6</f>
        <v>24523</v>
      </c>
      <c r="F11" s="60"/>
    </row>
    <row r="12" spans="1:10" x14ac:dyDescent="0.25">
      <c r="A12" s="58" t="s">
        <v>50</v>
      </c>
      <c r="B12" s="51">
        <f ca="1">INDEX($F$5:$H$8, D5, $B$8)</f>
        <v>36053</v>
      </c>
      <c r="D12" s="44" t="s">
        <v>71</v>
      </c>
      <c r="E12" s="50">
        <f>B9</f>
        <v>15000</v>
      </c>
      <c r="F12" s="60"/>
    </row>
    <row r="13" spans="1:10" x14ac:dyDescent="0.25">
      <c r="A13" s="58" t="s">
        <v>57</v>
      </c>
      <c r="B13" s="51">
        <f t="shared" ref="B13:B15" ca="1" si="0">INDEX($F$5:$H$8, D6, $B$8)</f>
        <v>34921.68</v>
      </c>
      <c r="D13" s="56" t="s">
        <v>68</v>
      </c>
      <c r="E13" s="61">
        <f>G6</f>
        <v>0</v>
      </c>
      <c r="F13" s="62"/>
    </row>
    <row r="14" spans="1:10" x14ac:dyDescent="0.25">
      <c r="A14" s="58" t="s">
        <v>53</v>
      </c>
      <c r="B14" s="51">
        <f t="shared" ca="1" si="0"/>
        <v>-1131.3200000000002</v>
      </c>
    </row>
    <row r="15" spans="1:10" ht="15.6" thickBot="1" x14ac:dyDescent="0.3">
      <c r="A15" s="59" t="s">
        <v>54</v>
      </c>
      <c r="B15" s="55">
        <f t="shared" ca="1" si="0"/>
        <v>-3.1379358167142768E-2</v>
      </c>
    </row>
    <row r="16" spans="1:10" ht="15.6" thickTop="1" x14ac:dyDescent="0.25">
      <c r="D16" s="86" t="s">
        <v>73</v>
      </c>
      <c r="E16" s="87"/>
      <c r="F16" s="88"/>
      <c r="G16" s="87" t="s">
        <v>76</v>
      </c>
      <c r="H16" s="87"/>
      <c r="I16" s="87"/>
      <c r="J16" s="89"/>
    </row>
    <row r="17" spans="1:10" x14ac:dyDescent="0.25">
      <c r="A17" s="11"/>
      <c r="D17" s="90" t="s">
        <v>72</v>
      </c>
      <c r="E17" s="46" t="s">
        <v>74</v>
      </c>
      <c r="F17" s="63" t="s">
        <v>75</v>
      </c>
      <c r="G17" s="46" t="s">
        <v>72</v>
      </c>
      <c r="H17" s="46" t="s">
        <v>16</v>
      </c>
      <c r="I17" s="46" t="s">
        <v>75</v>
      </c>
      <c r="J17" s="91" t="s">
        <v>77</v>
      </c>
    </row>
    <row r="18" spans="1:10" x14ac:dyDescent="0.25">
      <c r="A18" s="11"/>
      <c r="D18" s="90">
        <v>10</v>
      </c>
      <c r="E18" s="45" t="str">
        <f ca="1">IF($B$8 = 3, H18, IF($B$8 = 2, H44, H31))</f>
        <v xml:space="preserve"> - </v>
      </c>
      <c r="F18" s="67">
        <f ca="1">IF($B$8 = 3, I18, IF($B$8 = 2, I44, I31))</f>
        <v>0</v>
      </c>
      <c r="G18" s="46">
        <v>10</v>
      </c>
      <c r="H18" s="66" t="str">
        <f ca="1">IF(ISNA(INDEX(TblCarteira[Ativo], J18, 1)), " - ", INDEX(TblCarteira[Ativo], J18, 1))</f>
        <v xml:space="preserve"> - </v>
      </c>
      <c r="I18" s="50">
        <f ca="1">IF(ISNUMBER(LARGE(TblCarteira[Total Atual], G18)), LARGE(TblCarteira[Total Atual], G18), 0)</f>
        <v>0</v>
      </c>
      <c r="J18" s="91" t="e">
        <f ca="1">MATCH(I18, TblCarteira[Total Atual], 0)</f>
        <v>#N/A</v>
      </c>
    </row>
    <row r="19" spans="1:10" x14ac:dyDescent="0.25">
      <c r="D19" s="90">
        <v>9</v>
      </c>
      <c r="E19" s="45" t="str">
        <f t="shared" ref="E19:E27" ca="1" si="1">IF($B$8 = 3, H19, IF($B$8 = 2, H45, H32))</f>
        <v>HGBS11</v>
      </c>
      <c r="F19" s="67">
        <f t="shared" ref="F19:F27" ca="1" si="2">IF($B$8 = 3, I19, IF($B$8 = 2, I45, I32))</f>
        <v>2017.8</v>
      </c>
      <c r="G19" s="46">
        <v>9</v>
      </c>
      <c r="H19" s="66" t="str">
        <f ca="1">INDEX(TblCarteira[Ativo], J19, 1)</f>
        <v>HGBS11</v>
      </c>
      <c r="I19" s="50">
        <f ca="1">IF(ISNUMBER(LARGE(TblCarteira[Total Atual], G19)), LARGE(TblCarteira[Total Atual], G19), 0)</f>
        <v>2017.8</v>
      </c>
      <c r="J19" s="91">
        <f ca="1">MATCH(I19, TblCarteira[Total Atual], 0)</f>
        <v>5</v>
      </c>
    </row>
    <row r="20" spans="1:10" x14ac:dyDescent="0.25">
      <c r="D20" s="90">
        <v>8</v>
      </c>
      <c r="E20" s="45" t="str">
        <f t="shared" ca="1" si="1"/>
        <v>TAEE4</v>
      </c>
      <c r="F20" s="67">
        <f t="shared" ca="1" si="2"/>
        <v>2424</v>
      </c>
      <c r="G20" s="46">
        <v>8</v>
      </c>
      <c r="H20" s="66" t="str">
        <f ca="1">INDEX(TblCarteira[Ativo], J20, 1)</f>
        <v>TAEE4</v>
      </c>
      <c r="I20" s="50">
        <f ca="1">IF(ISNUMBER(LARGE(TblCarteira[Total Atual], G20)), LARGE(TblCarteira[Total Atual], G20), 0)</f>
        <v>2424</v>
      </c>
      <c r="J20" s="91">
        <f ca="1">MATCH(I20, TblCarteira[Total Atual], 0)</f>
        <v>9</v>
      </c>
    </row>
    <row r="21" spans="1:10" x14ac:dyDescent="0.25">
      <c r="D21" s="90">
        <v>7</v>
      </c>
      <c r="E21" s="45" t="str">
        <f t="shared" ca="1" si="1"/>
        <v>HGRE11</v>
      </c>
      <c r="F21" s="67">
        <f t="shared" ca="1" si="2"/>
        <v>2701.2299999999996</v>
      </c>
      <c r="G21" s="46">
        <v>7</v>
      </c>
      <c r="H21" s="66" t="str">
        <f ca="1">INDEX(TblCarteira[Ativo], J21, 1)</f>
        <v>HGRE11</v>
      </c>
      <c r="I21" s="50">
        <f ca="1">IF(ISNUMBER(LARGE(TblCarteira[Total Atual], G21)), LARGE(TblCarteira[Total Atual], G21), 0)</f>
        <v>2701.2299999999996</v>
      </c>
      <c r="J21" s="91">
        <f ca="1">MATCH(I21, TblCarteira[Total Atual], 0)</f>
        <v>7</v>
      </c>
    </row>
    <row r="22" spans="1:10" x14ac:dyDescent="0.25">
      <c r="D22" s="90">
        <v>6</v>
      </c>
      <c r="E22" s="45" t="str">
        <f t="shared" ca="1" si="1"/>
        <v>HGLG11</v>
      </c>
      <c r="F22" s="67">
        <f t="shared" ca="1" si="2"/>
        <v>2782.73</v>
      </c>
      <c r="G22" s="46">
        <v>6</v>
      </c>
      <c r="H22" s="66" t="str">
        <f ca="1">INDEX(TblCarteira[Ativo], J22, 1)</f>
        <v>HGLG11</v>
      </c>
      <c r="I22" s="50">
        <f ca="1">IF(ISNUMBER(LARGE(TblCarteira[Total Atual], G22)), LARGE(TblCarteira[Total Atual], G22), 0)</f>
        <v>2782.73</v>
      </c>
      <c r="J22" s="91">
        <f ca="1">MATCH(I22, TblCarteira[Total Atual], 0)</f>
        <v>6</v>
      </c>
    </row>
    <row r="23" spans="1:10" x14ac:dyDescent="0.25">
      <c r="D23" s="90">
        <v>5</v>
      </c>
      <c r="E23" s="45" t="str">
        <f t="shared" ca="1" si="1"/>
        <v>KNRI11</v>
      </c>
      <c r="F23" s="67">
        <f t="shared" ca="1" si="2"/>
        <v>2896.92</v>
      </c>
      <c r="G23" s="46">
        <v>5</v>
      </c>
      <c r="H23" s="66" t="str">
        <f ca="1">INDEX(TblCarteira[Ativo], J23, 1)</f>
        <v>KNRI11</v>
      </c>
      <c r="I23" s="50">
        <f ca="1">IF(ISNUMBER(LARGE(TblCarteira[Total Atual], G23)), LARGE(TblCarteira[Total Atual], G23), 0)</f>
        <v>2896.92</v>
      </c>
      <c r="J23" s="91">
        <f ca="1">MATCH(I23, TblCarteira[Total Atual], 0)</f>
        <v>8</v>
      </c>
    </row>
    <row r="24" spans="1:10" x14ac:dyDescent="0.25">
      <c r="D24" s="90">
        <v>4</v>
      </c>
      <c r="E24" s="45" t="str">
        <f t="shared" ca="1" si="1"/>
        <v>ITSA4</v>
      </c>
      <c r="F24" s="67">
        <f t="shared" ca="1" si="2"/>
        <v>2943</v>
      </c>
      <c r="G24" s="46">
        <v>4</v>
      </c>
      <c r="H24" s="66" t="str">
        <f ca="1">INDEX(TblCarteira[Ativo], J24, 1)</f>
        <v>ITSA4</v>
      </c>
      <c r="I24" s="50">
        <f ca="1">IF(ISNUMBER(LARGE(TblCarteira[Total Atual], G24)), LARGE(TblCarteira[Total Atual], G24), 0)</f>
        <v>2943</v>
      </c>
      <c r="J24" s="91">
        <f ca="1">MATCH(I24, TblCarteira[Total Atual], 0)</f>
        <v>3</v>
      </c>
    </row>
    <row r="25" spans="1:10" x14ac:dyDescent="0.25">
      <c r="D25" s="90">
        <v>3</v>
      </c>
      <c r="E25" s="45" t="str">
        <f t="shared" ca="1" si="1"/>
        <v>FLRY3</v>
      </c>
      <c r="F25" s="67">
        <f t="shared" ca="1" si="2"/>
        <v>3214</v>
      </c>
      <c r="G25" s="46">
        <v>3</v>
      </c>
      <c r="H25" s="66" t="str">
        <f ca="1">INDEX(TblCarteira[Ativo], J25, 1)</f>
        <v>FLRY3</v>
      </c>
      <c r="I25" s="50">
        <f ca="1">IF(ISNUMBER(LARGE(TblCarteira[Total Atual], G25)), LARGE(TblCarteira[Total Atual], G25), 0)</f>
        <v>3214</v>
      </c>
      <c r="J25" s="91">
        <f ca="1">MATCH(I25, TblCarteira[Total Atual], 0)</f>
        <v>2</v>
      </c>
    </row>
    <row r="26" spans="1:10" x14ac:dyDescent="0.25">
      <c r="D26" s="90">
        <v>2</v>
      </c>
      <c r="E26" s="45" t="str">
        <f t="shared" ca="1" si="1"/>
        <v>CSNA3</v>
      </c>
      <c r="F26" s="67">
        <f t="shared" ca="1" si="2"/>
        <v>4038.0000000000005</v>
      </c>
      <c r="G26" s="46">
        <v>2</v>
      </c>
      <c r="H26" s="66" t="str">
        <f ca="1">INDEX(TblCarteira[Ativo], J26, 1)</f>
        <v>CSNA3</v>
      </c>
      <c r="I26" s="50">
        <f ca="1">IF(ISNUMBER(LARGE(TblCarteira[Total Atual], G26)), LARGE(TblCarteira[Total Atual], G26), 0)</f>
        <v>4038.0000000000005</v>
      </c>
      <c r="J26" s="91">
        <f ca="1">MATCH(I26, TblCarteira[Total Atual], 0)</f>
        <v>1</v>
      </c>
    </row>
    <row r="27" spans="1:10" ht="15.6" thickBot="1" x14ac:dyDescent="0.3">
      <c r="D27" s="92">
        <v>1</v>
      </c>
      <c r="E27" s="64" t="str">
        <f t="shared" ca="1" si="1"/>
        <v>PETR4</v>
      </c>
      <c r="F27" s="68">
        <f t="shared" ca="1" si="2"/>
        <v>11904</v>
      </c>
      <c r="G27" s="65">
        <v>1</v>
      </c>
      <c r="H27" s="66" t="str">
        <f ca="1">INDEX(TblCarteira[Ativo], J27, 1)</f>
        <v>PETR4</v>
      </c>
      <c r="I27" s="61">
        <f ca="1">IF(ISNUMBER(LARGE(TblCarteira[Total Atual], G27)), LARGE(TblCarteira[Total Atual], G27), 0)</f>
        <v>11904</v>
      </c>
      <c r="J27" s="93">
        <f ca="1">MATCH(I27, TblCarteira[Total Atual], 0)</f>
        <v>4</v>
      </c>
    </row>
    <row r="28" spans="1:10" ht="15.6" thickTop="1" x14ac:dyDescent="0.25">
      <c r="D28" s="94"/>
      <c r="E28" s="45"/>
      <c r="F28" s="45"/>
      <c r="G28" s="45"/>
      <c r="H28" s="45"/>
      <c r="I28" s="45"/>
      <c r="J28" s="95"/>
    </row>
    <row r="29" spans="1:10" x14ac:dyDescent="0.25">
      <c r="D29" s="94"/>
      <c r="E29" s="45"/>
      <c r="F29" s="45"/>
      <c r="G29" s="38" t="s">
        <v>78</v>
      </c>
      <c r="H29" s="38"/>
      <c r="I29" s="38"/>
      <c r="J29" s="96"/>
    </row>
    <row r="30" spans="1:10" x14ac:dyDescent="0.25">
      <c r="D30" s="94"/>
      <c r="E30" s="45"/>
      <c r="F30" s="45"/>
      <c r="G30" s="46" t="s">
        <v>72</v>
      </c>
      <c r="H30" s="46" t="s">
        <v>16</v>
      </c>
      <c r="I30" s="46" t="s">
        <v>75</v>
      </c>
      <c r="J30" s="91" t="s">
        <v>77</v>
      </c>
    </row>
    <row r="31" spans="1:10" x14ac:dyDescent="0.25">
      <c r="D31" s="94"/>
      <c r="E31" s="45"/>
      <c r="F31" s="45"/>
      <c r="G31" s="46">
        <v>10</v>
      </c>
      <c r="H31" s="66" t="str">
        <f ca="1">IF(ISNA(INDEX(TblCarteiraAcoes[Ativo], J31, 1)), " - ", INDEX(TblCarteiraAcoes[Ativo], J31, 1))</f>
        <v xml:space="preserve"> - </v>
      </c>
      <c r="I31" s="50">
        <f ca="1">IF(ISNUMBER(LARGE(TblCarteiraAcoes[Total Atual], G31)), LARGE(TblCarteiraAcoes[Total Atual], G31), 0)</f>
        <v>0</v>
      </c>
      <c r="J31" s="91" t="e">
        <f ca="1">MATCH(I31, TblCarteiraAcoes[Total Atual], 0)</f>
        <v>#N/A</v>
      </c>
    </row>
    <row r="32" spans="1:10" x14ac:dyDescent="0.25">
      <c r="D32" s="94"/>
      <c r="E32" s="45"/>
      <c r="F32" s="45"/>
      <c r="G32" s="46">
        <v>9</v>
      </c>
      <c r="H32" s="66" t="str">
        <f ca="1">IF(ISNA(INDEX(TblCarteiraAcoes[Ativo], J32, 1)), " - ", INDEX(TblCarteiraAcoes[Ativo], J32, 1))</f>
        <v xml:space="preserve"> - </v>
      </c>
      <c r="I32" s="50">
        <f ca="1">IF(ISNUMBER(LARGE(TblCarteiraAcoes[Total Atual], G32)), LARGE(TblCarteiraAcoes[Total Atual], G32), 0)</f>
        <v>0</v>
      </c>
      <c r="J32" s="91" t="e">
        <f ca="1">MATCH(I32, TblCarteiraAcoes[Total Atual], 0)</f>
        <v>#N/A</v>
      </c>
    </row>
    <row r="33" spans="4:10" x14ac:dyDescent="0.25">
      <c r="D33" s="94"/>
      <c r="E33" s="45"/>
      <c r="F33" s="45"/>
      <c r="G33" s="46">
        <v>8</v>
      </c>
      <c r="H33" s="66" t="str">
        <f ca="1">IF(ISNA(INDEX(TblCarteiraAcoes[Ativo], J33, 1)), " - ", INDEX(TblCarteiraAcoes[Ativo], J33, 1))</f>
        <v xml:space="preserve"> - </v>
      </c>
      <c r="I33" s="50">
        <f ca="1">IF(ISNUMBER(LARGE(TblCarteiraAcoes[Total Atual], G33)), LARGE(TblCarteiraAcoes[Total Atual], G33), 0)</f>
        <v>0</v>
      </c>
      <c r="J33" s="91" t="e">
        <f ca="1">MATCH(I33, TblCarteiraAcoes[Total Atual], 0)</f>
        <v>#N/A</v>
      </c>
    </row>
    <row r="34" spans="4:10" x14ac:dyDescent="0.25">
      <c r="D34" s="94"/>
      <c r="E34" s="45"/>
      <c r="F34" s="45"/>
      <c r="G34" s="46">
        <v>7</v>
      </c>
      <c r="H34" s="66" t="str">
        <f ca="1">IF(ISNA(INDEX(TblCarteiraAcoes[Ativo], J34, 1)), " - ", INDEX(TblCarteiraAcoes[Ativo], J34, 1))</f>
        <v xml:space="preserve"> - </v>
      </c>
      <c r="I34" s="50">
        <f ca="1">IF(ISNUMBER(LARGE(TblCarteiraAcoes[Total Atual], G34)), LARGE(TblCarteiraAcoes[Total Atual], G34), 0)</f>
        <v>0</v>
      </c>
      <c r="J34" s="91" t="e">
        <f ca="1">MATCH(I34, TblCarteiraAcoes[Total Atual], 0)</f>
        <v>#N/A</v>
      </c>
    </row>
    <row r="35" spans="4:10" x14ac:dyDescent="0.25">
      <c r="D35" s="94"/>
      <c r="E35" s="45"/>
      <c r="F35" s="45"/>
      <c r="G35" s="46">
        <v>6</v>
      </c>
      <c r="H35" s="66" t="str">
        <f ca="1">IF(ISNA(INDEX(TblCarteiraAcoes[Ativo], J35, 1)), " - ", INDEX(TblCarteiraAcoes[Ativo], J35, 1))</f>
        <v xml:space="preserve"> - </v>
      </c>
      <c r="I35" s="50">
        <f ca="1">IF(ISNUMBER(LARGE(TblCarteiraAcoes[Total Atual], G35)), LARGE(TblCarteiraAcoes[Total Atual], G35), 0)</f>
        <v>0</v>
      </c>
      <c r="J35" s="91" t="e">
        <f ca="1">MATCH(I35, TblCarteiraAcoes[Total Atual], 0)</f>
        <v>#N/A</v>
      </c>
    </row>
    <row r="36" spans="4:10" x14ac:dyDescent="0.25">
      <c r="D36" s="94"/>
      <c r="E36" s="45"/>
      <c r="F36" s="45"/>
      <c r="G36" s="46">
        <v>5</v>
      </c>
      <c r="H36" s="66" t="str">
        <f ca="1">IF(ISNA(INDEX(TblCarteiraAcoes[Ativo], J36, 1)), " - ", INDEX(TblCarteiraAcoes[Ativo], J36, 1))</f>
        <v>TAEE4</v>
      </c>
      <c r="I36" s="50">
        <f ca="1">IF(ISNUMBER(LARGE(TblCarteiraAcoes[Total Atual], G36)), LARGE(TblCarteiraAcoes[Total Atual], G36), 0)</f>
        <v>2424</v>
      </c>
      <c r="J36" s="91">
        <f ca="1">MATCH(I36, TblCarteiraAcoes[Total Atual], 0)</f>
        <v>5</v>
      </c>
    </row>
    <row r="37" spans="4:10" x14ac:dyDescent="0.25">
      <c r="D37" s="94"/>
      <c r="E37" s="45"/>
      <c r="F37" s="45"/>
      <c r="G37" s="46">
        <v>4</v>
      </c>
      <c r="H37" s="66" t="str">
        <f ca="1">IF(ISNA(INDEX(TblCarteiraAcoes[Ativo], J37, 1)), " - ", INDEX(TblCarteiraAcoes[Ativo], J37, 1))</f>
        <v>ITSA4</v>
      </c>
      <c r="I37" s="50">
        <f ca="1">IF(ISNUMBER(LARGE(TblCarteiraAcoes[Total Atual], G37)), LARGE(TblCarteiraAcoes[Total Atual], G37), 0)</f>
        <v>2943</v>
      </c>
      <c r="J37" s="91">
        <f ca="1">MATCH(I37, TblCarteiraAcoes[Total Atual], 0)</f>
        <v>3</v>
      </c>
    </row>
    <row r="38" spans="4:10" x14ac:dyDescent="0.25">
      <c r="D38" s="94"/>
      <c r="E38" s="45"/>
      <c r="F38" s="45"/>
      <c r="G38" s="46">
        <v>3</v>
      </c>
      <c r="H38" s="66" t="str">
        <f ca="1">IF(ISNA(INDEX(TblCarteiraAcoes[Ativo], J38, 1)), " - ", INDEX(TblCarteiraAcoes[Ativo], J38, 1))</f>
        <v>FLRY3</v>
      </c>
      <c r="I38" s="50">
        <f ca="1">IF(ISNUMBER(LARGE(TblCarteiraAcoes[Total Atual], G38)), LARGE(TblCarteiraAcoes[Total Atual], G38), 0)</f>
        <v>3214</v>
      </c>
      <c r="J38" s="91">
        <f ca="1">MATCH(I38, TblCarteiraAcoes[Total Atual], 0)</f>
        <v>2</v>
      </c>
    </row>
    <row r="39" spans="4:10" x14ac:dyDescent="0.25">
      <c r="D39" s="94"/>
      <c r="E39" s="45"/>
      <c r="F39" s="45"/>
      <c r="G39" s="46">
        <v>2</v>
      </c>
      <c r="H39" s="66" t="str">
        <f ca="1">IF(ISNA(INDEX(TblCarteiraAcoes[Ativo], J39, 1)), " - ", INDEX(TblCarteiraAcoes[Ativo], J39, 1))</f>
        <v>CSNA3</v>
      </c>
      <c r="I39" s="50">
        <f ca="1">IF(ISNUMBER(LARGE(TblCarteiraAcoes[Total Atual], G39)), LARGE(TblCarteiraAcoes[Total Atual], G39), 0)</f>
        <v>4038.0000000000005</v>
      </c>
      <c r="J39" s="91">
        <f ca="1">MATCH(I39, TblCarteiraAcoes[Total Atual], 0)</f>
        <v>1</v>
      </c>
    </row>
    <row r="40" spans="4:10" x14ac:dyDescent="0.25">
      <c r="D40" s="94"/>
      <c r="E40" s="45"/>
      <c r="F40" s="45"/>
      <c r="G40" s="65">
        <v>1</v>
      </c>
      <c r="H40" s="66" t="str">
        <f ca="1">IF(ISNA(INDEX(TblCarteiraAcoes[Ativo], J40, 1)), " - ", INDEX(TblCarteiraAcoes[Ativo], J40, 1))</f>
        <v>PETR4</v>
      </c>
      <c r="I40" s="50">
        <f ca="1">IF(ISNUMBER(LARGE(TblCarteiraAcoes[Total Atual], G40)), LARGE(TblCarteiraAcoes[Total Atual], G40), 0)</f>
        <v>11904</v>
      </c>
      <c r="J40" s="91">
        <f ca="1">MATCH(I40, TblCarteiraAcoes[Total Atual], 0)</f>
        <v>4</v>
      </c>
    </row>
    <row r="41" spans="4:10" x14ac:dyDescent="0.25">
      <c r="D41" s="94"/>
      <c r="E41" s="45"/>
      <c r="F41" s="45"/>
      <c r="G41" s="45"/>
      <c r="H41" s="45"/>
      <c r="I41" s="45"/>
      <c r="J41" s="95"/>
    </row>
    <row r="42" spans="4:10" x14ac:dyDescent="0.25">
      <c r="D42" s="94"/>
      <c r="E42" s="45"/>
      <c r="F42" s="45"/>
      <c r="G42" s="38" t="s">
        <v>79</v>
      </c>
      <c r="H42" s="38"/>
      <c r="I42" s="38"/>
      <c r="J42" s="96"/>
    </row>
    <row r="43" spans="4:10" x14ac:dyDescent="0.25">
      <c r="D43" s="94"/>
      <c r="E43" s="45"/>
      <c r="F43" s="45"/>
      <c r="G43" s="46" t="s">
        <v>72</v>
      </c>
      <c r="H43" s="46" t="s">
        <v>16</v>
      </c>
      <c r="I43" s="46" t="s">
        <v>75</v>
      </c>
      <c r="J43" s="91" t="s">
        <v>77</v>
      </c>
    </row>
    <row r="44" spans="4:10" x14ac:dyDescent="0.25">
      <c r="D44" s="94"/>
      <c r="E44" s="45"/>
      <c r="F44" s="45"/>
      <c r="G44" s="46">
        <v>10</v>
      </c>
      <c r="H44" s="66" t="str">
        <f ca="1">IF(ISNA(INDEX(TblCarteiraFII[Ativo], J44, 1)), " - ", INDEX(TblCarteiraFII[Ativo], J44, 1))</f>
        <v xml:space="preserve"> - </v>
      </c>
      <c r="I44" s="50">
        <f ca="1">IF(ISNUMBER(LARGE(TblCarteiraFII[Total Atual], G44)), LARGE(TblCarteiraFII[Total Atual], G44), 0)</f>
        <v>0</v>
      </c>
      <c r="J44" s="91" t="e">
        <f ca="1">MATCH(I44, TblCarteiraFII[Total Atual], 0)</f>
        <v>#N/A</v>
      </c>
    </row>
    <row r="45" spans="4:10" x14ac:dyDescent="0.25">
      <c r="D45" s="94"/>
      <c r="E45" s="45"/>
      <c r="F45" s="45"/>
      <c r="G45" s="46">
        <v>9</v>
      </c>
      <c r="H45" s="66" t="str">
        <f ca="1">IF(ISNA(INDEX(TblCarteiraFII[Ativo], J45, 1)), " - ", INDEX(TblCarteiraFII[Ativo], J45, 1))</f>
        <v xml:space="preserve"> - </v>
      </c>
      <c r="I45" s="50">
        <f ca="1">IF(ISNUMBER(LARGE(TblCarteiraFII[Total Atual], G45)), LARGE(TblCarteiraFII[Total Atual], G45), 0)</f>
        <v>0</v>
      </c>
      <c r="J45" s="91" t="e">
        <f ca="1">MATCH(I45, TblCarteiraFII[Total Atual], 0)</f>
        <v>#N/A</v>
      </c>
    </row>
    <row r="46" spans="4:10" x14ac:dyDescent="0.25">
      <c r="D46" s="94"/>
      <c r="E46" s="45"/>
      <c r="F46" s="45"/>
      <c r="G46" s="46">
        <v>8</v>
      </c>
      <c r="H46" s="66" t="str">
        <f ca="1">IF(ISNA(INDEX(TblCarteiraFII[Ativo], J46, 1)), " - ", INDEX(TblCarteiraFII[Ativo], J46, 1))</f>
        <v xml:space="preserve"> - </v>
      </c>
      <c r="I46" s="50">
        <f ca="1">IF(ISNUMBER(LARGE(TblCarteiraFII[Total Atual], G46)), LARGE(TblCarteiraFII[Total Atual], G46), 0)</f>
        <v>0</v>
      </c>
      <c r="J46" s="91" t="e">
        <f ca="1">MATCH(I46, TblCarteiraFII[Total Atual], 0)</f>
        <v>#N/A</v>
      </c>
    </row>
    <row r="47" spans="4:10" x14ac:dyDescent="0.25">
      <c r="D47" s="94"/>
      <c r="E47" s="45"/>
      <c r="F47" s="45"/>
      <c r="G47" s="46">
        <v>7</v>
      </c>
      <c r="H47" s="66" t="str">
        <f ca="1">IF(ISNA(INDEX(TblCarteiraFII[Ativo], J47, 1)), " - ", INDEX(TblCarteiraFII[Ativo], J47, 1))</f>
        <v xml:space="preserve"> - </v>
      </c>
      <c r="I47" s="50">
        <f ca="1">IF(ISNUMBER(LARGE(TblCarteiraFII[Total Atual], G47)), LARGE(TblCarteiraFII[Total Atual], G47), 0)</f>
        <v>0</v>
      </c>
      <c r="J47" s="91" t="e">
        <f ca="1">MATCH(I47, TblCarteiraFII[Total Atual], 0)</f>
        <v>#N/A</v>
      </c>
    </row>
    <row r="48" spans="4:10" x14ac:dyDescent="0.25">
      <c r="D48" s="94"/>
      <c r="E48" s="45"/>
      <c r="F48" s="45"/>
      <c r="G48" s="46">
        <v>6</v>
      </c>
      <c r="H48" s="66" t="str">
        <f ca="1">IF(ISNA(INDEX(TblCarteiraFII[Ativo], J48, 1)), " - ", INDEX(TblCarteiraFII[Ativo], J48, 1))</f>
        <v xml:space="preserve"> - </v>
      </c>
      <c r="I48" s="50">
        <f ca="1">IF(ISNUMBER(LARGE(TblCarteiraFII[Total Atual], G48)), LARGE(TblCarteiraFII[Total Atual], G48), 0)</f>
        <v>0</v>
      </c>
      <c r="J48" s="91" t="e">
        <f ca="1">MATCH(I48, TblCarteiraFII[Total Atual], 0)</f>
        <v>#N/A</v>
      </c>
    </row>
    <row r="49" spans="4:10" x14ac:dyDescent="0.25">
      <c r="D49" s="94"/>
      <c r="E49" s="45"/>
      <c r="F49" s="45"/>
      <c r="G49" s="46">
        <v>5</v>
      </c>
      <c r="H49" s="66" t="str">
        <f ca="1">IF(ISNA(INDEX(TblCarteiraFII[Ativo], J49, 1)), " - ", INDEX(TblCarteiraFII[Ativo], J49, 1))</f>
        <v xml:space="preserve"> - </v>
      </c>
      <c r="I49" s="50">
        <f ca="1">IF(ISNUMBER(LARGE(TblCarteiraFII[Total Atual], G49)), LARGE(TblCarteiraFII[Total Atual], G49), 0)</f>
        <v>0</v>
      </c>
      <c r="J49" s="91" t="e">
        <f ca="1">MATCH(I49, TblCarteiraFII[Total Atual], 0)</f>
        <v>#N/A</v>
      </c>
    </row>
    <row r="50" spans="4:10" x14ac:dyDescent="0.25">
      <c r="D50" s="94"/>
      <c r="E50" s="45"/>
      <c r="F50" s="45"/>
      <c r="G50" s="46">
        <v>4</v>
      </c>
      <c r="H50" s="66" t="str">
        <f ca="1">IF(ISNA(INDEX(TblCarteiraFII[Ativo], J50, 1)), " - ", INDEX(TblCarteiraFII[Ativo], J50, 1))</f>
        <v>HGBS11</v>
      </c>
      <c r="I50" s="50">
        <f ca="1">IF(ISNUMBER(LARGE(TblCarteiraFII[Total Atual], G50)), LARGE(TblCarteiraFII[Total Atual], G50), 0)</f>
        <v>2017.8</v>
      </c>
      <c r="J50" s="91">
        <f ca="1">MATCH(I50, TblCarteiraFII[Total Atual], 0)</f>
        <v>1</v>
      </c>
    </row>
    <row r="51" spans="4:10" x14ac:dyDescent="0.25">
      <c r="D51" s="94"/>
      <c r="E51" s="45"/>
      <c r="F51" s="45"/>
      <c r="G51" s="46">
        <v>3</v>
      </c>
      <c r="H51" s="66" t="str">
        <f ca="1">IF(ISNA(INDEX(TblCarteiraFII[Ativo], J51, 1)), " - ", INDEX(TblCarteiraFII[Ativo], J51, 1))</f>
        <v>HGRE11</v>
      </c>
      <c r="I51" s="50">
        <f ca="1">IF(ISNUMBER(LARGE(TblCarteiraFII[Total Atual], G51)), LARGE(TblCarteiraFII[Total Atual], G51), 0)</f>
        <v>2701.2299999999996</v>
      </c>
      <c r="J51" s="91">
        <f ca="1">MATCH(I51, TblCarteiraFII[Total Atual], 0)</f>
        <v>3</v>
      </c>
    </row>
    <row r="52" spans="4:10" x14ac:dyDescent="0.25">
      <c r="D52" s="94"/>
      <c r="E52" s="45"/>
      <c r="F52" s="45"/>
      <c r="G52" s="46">
        <v>2</v>
      </c>
      <c r="H52" s="66" t="str">
        <f ca="1">IF(ISNA(INDEX(TblCarteiraFII[Ativo], J52, 1)), " - ", INDEX(TblCarteiraFII[Ativo], J52, 1))</f>
        <v>HGLG11</v>
      </c>
      <c r="I52" s="50">
        <f ca="1">IF(ISNUMBER(LARGE(TblCarteiraFII[Total Atual], G52)), LARGE(TblCarteiraFII[Total Atual], G52), 0)</f>
        <v>2782.73</v>
      </c>
      <c r="J52" s="91">
        <f ca="1">MATCH(I52, TblCarteiraFII[Total Atual], 0)</f>
        <v>2</v>
      </c>
    </row>
    <row r="53" spans="4:10" ht="15.6" thickBot="1" x14ac:dyDescent="0.3">
      <c r="D53" s="97"/>
      <c r="E53" s="98"/>
      <c r="F53" s="98"/>
      <c r="G53" s="99">
        <v>1</v>
      </c>
      <c r="H53" s="100" t="str">
        <f ca="1">IF(ISNA(INDEX(TblCarteiraFII[Ativo], J53, 1)), " - ", INDEX(TblCarteiraFII[Ativo], J53, 1))</f>
        <v>KNRI11</v>
      </c>
      <c r="I53" s="101">
        <f ca="1">IF(ISNUMBER(LARGE(TblCarteiraFII[Total Atual], G53)), LARGE(TblCarteiraFII[Total Atual], G53), 0)</f>
        <v>2896.92</v>
      </c>
      <c r="J53" s="102">
        <f ca="1">MATCH(I53, TblCarteiraFII[Total Atual], 0)</f>
        <v>4</v>
      </c>
    </row>
    <row r="54" spans="4:10" ht="16.2" thickTop="1" thickBot="1" x14ac:dyDescent="0.3"/>
    <row r="55" spans="4:10" ht="15.6" thickTop="1" x14ac:dyDescent="0.25">
      <c r="D55" s="71" t="s">
        <v>80</v>
      </c>
      <c r="E55" s="72"/>
      <c r="F55" s="73"/>
      <c r="G55" s="72" t="s">
        <v>81</v>
      </c>
      <c r="H55" s="72"/>
      <c r="I55" s="72"/>
      <c r="J55" s="74"/>
    </row>
    <row r="56" spans="4:10" x14ac:dyDescent="0.25">
      <c r="D56" s="75" t="s">
        <v>72</v>
      </c>
      <c r="E56" s="46" t="s">
        <v>74</v>
      </c>
      <c r="F56" s="63" t="s">
        <v>75</v>
      </c>
      <c r="G56" s="46" t="s">
        <v>72</v>
      </c>
      <c r="H56" s="46" t="s">
        <v>16</v>
      </c>
      <c r="I56" s="46" t="s">
        <v>54</v>
      </c>
      <c r="J56" s="76" t="s">
        <v>77</v>
      </c>
    </row>
    <row r="57" spans="4:10" x14ac:dyDescent="0.25">
      <c r="D57" s="75">
        <v>10</v>
      </c>
      <c r="E57" s="45" t="str">
        <f ca="1">IF($B$8 = 3, H57, IF($B$8 = 2, H83, H70))</f>
        <v xml:space="preserve"> - </v>
      </c>
      <c r="F57" s="103">
        <f ca="1">IF($B$8 = 3, I57, IF($B$8 = 2, I83, I70))</f>
        <v>0</v>
      </c>
      <c r="G57" s="46">
        <v>10</v>
      </c>
      <c r="H57" s="66" t="str">
        <f ca="1">IF(ISNA(INDEX(TblCarteira[Ativo], J57, 1)), " - ", INDEX(TblCarteira[Ativo], J57, 1))</f>
        <v xml:space="preserve"> - </v>
      </c>
      <c r="I57" s="69">
        <f ca="1">IF(ISNUMBER(LARGE(TblCarteira[Valorização (%)], G57)), LARGE(TblCarteira[Valorização (%)], G57), 0)</f>
        <v>0</v>
      </c>
      <c r="J57" s="76" t="e">
        <f ca="1">MATCH(I57, TblCarteira[Valorização (%)], 0)</f>
        <v>#N/A</v>
      </c>
    </row>
    <row r="58" spans="4:10" x14ac:dyDescent="0.25">
      <c r="D58" s="75">
        <v>9</v>
      </c>
      <c r="E58" s="45" t="str">
        <f t="shared" ref="E58:E66" ca="1" si="3">IF($B$8 = 3, H58, IF($B$8 = 2, H84, H71))</f>
        <v>FLRY3</v>
      </c>
      <c r="F58" s="103">
        <f t="shared" ref="F58:F66" ca="1" si="4">IF($B$8 = 3, I58, IF($B$8 = 2, I84, I71))</f>
        <v>-0.77307067711643018</v>
      </c>
      <c r="G58" s="46">
        <v>9</v>
      </c>
      <c r="H58" s="66" t="str">
        <f ca="1">INDEX(TblCarteira[Ativo], J58, 1)</f>
        <v>FLRY3</v>
      </c>
      <c r="I58" s="69">
        <f ca="1">IF(ISNUMBER(LARGE(TblCarteira[Valorização (%)], G58)), LARGE(TblCarteira[Valorização (%)], G58), 0)</f>
        <v>-0.77307067711643018</v>
      </c>
      <c r="J58" s="76">
        <f ca="1">MATCH(I58, TblCarteira[Valorização (%)], 0)</f>
        <v>2</v>
      </c>
    </row>
    <row r="59" spans="4:10" x14ac:dyDescent="0.25">
      <c r="D59" s="75">
        <v>8</v>
      </c>
      <c r="E59" s="45" t="str">
        <f t="shared" ca="1" si="3"/>
        <v>TAEE4</v>
      </c>
      <c r="F59" s="103">
        <f t="shared" ca="1" si="4"/>
        <v>-0.41079241614000972</v>
      </c>
      <c r="G59" s="46">
        <v>8</v>
      </c>
      <c r="H59" s="66" t="str">
        <f ca="1">INDEX(TblCarteira[Ativo], J59, 1)</f>
        <v>TAEE4</v>
      </c>
      <c r="I59" s="69">
        <f ca="1">IF(ISNUMBER(LARGE(TblCarteira[Valorização (%)], G59)), LARGE(TblCarteira[Valorização (%)], G59), 0)</f>
        <v>-0.41079241614000972</v>
      </c>
      <c r="J59" s="76">
        <f ca="1">MATCH(I59, TblCarteira[Valorização (%)], 0)</f>
        <v>9</v>
      </c>
    </row>
    <row r="60" spans="4:10" x14ac:dyDescent="0.25">
      <c r="D60" s="75">
        <v>7</v>
      </c>
      <c r="E60" s="45" t="str">
        <f t="shared" ca="1" si="3"/>
        <v>ITSA4</v>
      </c>
      <c r="F60" s="103">
        <f t="shared" ca="1" si="4"/>
        <v>-0.24422187981510013</v>
      </c>
      <c r="G60" s="46">
        <v>7</v>
      </c>
      <c r="H60" s="66" t="str">
        <f ca="1">INDEX(TblCarteira[Ativo], J60, 1)</f>
        <v>ITSA4</v>
      </c>
      <c r="I60" s="69">
        <f ca="1">IF(ISNUMBER(LARGE(TblCarteira[Valorização (%)], G60)), LARGE(TblCarteira[Valorização (%)], G60), 0)</f>
        <v>-0.24422187981510013</v>
      </c>
      <c r="J60" s="76">
        <f ca="1">MATCH(I60, TblCarteira[Valorização (%)], 0)</f>
        <v>3</v>
      </c>
    </row>
    <row r="61" spans="4:10" x14ac:dyDescent="0.25">
      <c r="D61" s="75">
        <v>6</v>
      </c>
      <c r="E61" s="45" t="str">
        <f t="shared" ca="1" si="3"/>
        <v>CSNA3</v>
      </c>
      <c r="F61" s="103">
        <f t="shared" ca="1" si="4"/>
        <v>-7.6183939601921602E-2</v>
      </c>
      <c r="G61" s="46">
        <v>6</v>
      </c>
      <c r="H61" s="66" t="str">
        <f ca="1">INDEX(TblCarteira[Ativo], J61, 1)</f>
        <v>CSNA3</v>
      </c>
      <c r="I61" s="69">
        <f ca="1">IF(ISNUMBER(LARGE(TblCarteira[Valorização (%)], G61)), LARGE(TblCarteira[Valorização (%)], G61), 0)</f>
        <v>-7.6183939601921602E-2</v>
      </c>
      <c r="J61" s="76">
        <f ca="1">MATCH(I61, TblCarteira[Valorização (%)], 0)</f>
        <v>1</v>
      </c>
    </row>
    <row r="62" spans="4:10" x14ac:dyDescent="0.25">
      <c r="D62" s="75">
        <v>5</v>
      </c>
      <c r="E62" s="45" t="str">
        <f t="shared" ca="1" si="3"/>
        <v>PETR4</v>
      </c>
      <c r="F62" s="103">
        <f t="shared" ca="1" si="4"/>
        <v>0.58150657632522917</v>
      </c>
      <c r="G62" s="46">
        <v>5</v>
      </c>
      <c r="H62" s="66" t="str">
        <f ca="1">INDEX(TblCarteira[Ativo], J62, 1)</f>
        <v>PETR4</v>
      </c>
      <c r="I62" s="69">
        <f ca="1">IF(ISNUMBER(LARGE(TblCarteira[Valorização (%)], G62)), LARGE(TblCarteira[Valorização (%)], G62), 0)</f>
        <v>0.58150657632522917</v>
      </c>
      <c r="J62" s="76">
        <f ca="1">MATCH(I62, TblCarteira[Valorização (%)], 0)</f>
        <v>4</v>
      </c>
    </row>
    <row r="63" spans="4:10" x14ac:dyDescent="0.25">
      <c r="D63" s="75">
        <v>4</v>
      </c>
      <c r="E63" s="45" t="str">
        <f t="shared" ca="1" si="3"/>
        <v>HGLG11</v>
      </c>
      <c r="F63" s="103">
        <f t="shared" ca="1" si="4"/>
        <v>1.8781105847795958</v>
      </c>
      <c r="G63" s="46">
        <v>4</v>
      </c>
      <c r="H63" s="66" t="str">
        <f ca="1">INDEX(TblCarteira[Ativo], J63, 1)</f>
        <v>HGLG11</v>
      </c>
      <c r="I63" s="69">
        <f ca="1">IF(ISNUMBER(LARGE(TblCarteira[Valorização (%)], G63)), LARGE(TblCarteira[Valorização (%)], G63), 0)</f>
        <v>1.8781105847795958</v>
      </c>
      <c r="J63" s="76">
        <f ca="1">MATCH(I63, TblCarteira[Valorização (%)], 0)</f>
        <v>6</v>
      </c>
    </row>
    <row r="64" spans="4:10" x14ac:dyDescent="0.25">
      <c r="D64" s="75">
        <v>3</v>
      </c>
      <c r="E64" s="45" t="str">
        <f t="shared" ca="1" si="3"/>
        <v>KNRI11</v>
      </c>
      <c r="F64" s="103">
        <f t="shared" ca="1" si="4"/>
        <v>5.3221160141416783</v>
      </c>
      <c r="G64" s="46">
        <v>3</v>
      </c>
      <c r="H64" s="66" t="str">
        <f ca="1">INDEX(TblCarteira[Ativo], J64, 1)</f>
        <v>KNRI11</v>
      </c>
      <c r="I64" s="69">
        <f ca="1">IF(ISNUMBER(LARGE(TblCarteira[Valorização (%)], G64)), LARGE(TblCarteira[Valorização (%)], G64), 0)</f>
        <v>5.3221160141416783</v>
      </c>
      <c r="J64" s="76">
        <f ca="1">MATCH(I64, TblCarteira[Valorização (%)], 0)</f>
        <v>8</v>
      </c>
    </row>
    <row r="65" spans="4:10" x14ac:dyDescent="0.25">
      <c r="D65" s="75">
        <v>2</v>
      </c>
      <c r="E65" s="45" t="str">
        <f t="shared" ca="1" si="3"/>
        <v>HGRE11</v>
      </c>
      <c r="F65" s="103">
        <f t="shared" ca="1" si="4"/>
        <v>6.5073788944164965</v>
      </c>
      <c r="G65" s="46">
        <v>2</v>
      </c>
      <c r="H65" s="66" t="str">
        <f ca="1">INDEX(TblCarteira[Ativo], J65, 1)</f>
        <v>HGRE11</v>
      </c>
      <c r="I65" s="69">
        <f ca="1">IF(ISNUMBER(LARGE(TblCarteira[Valorização (%)], G65)), LARGE(TblCarteira[Valorização (%)], G65), 0)</f>
        <v>6.5073788944164965</v>
      </c>
      <c r="J65" s="76">
        <f ca="1">MATCH(I65, TblCarteira[Valorização (%)], 0)</f>
        <v>7</v>
      </c>
    </row>
    <row r="66" spans="4:10" ht="15.6" thickBot="1" x14ac:dyDescent="0.3">
      <c r="D66" s="104">
        <v>1</v>
      </c>
      <c r="E66" s="105" t="str">
        <f t="shared" ca="1" si="3"/>
        <v>HGBS11</v>
      </c>
      <c r="F66" s="106">
        <f t="shared" ca="1" si="4"/>
        <v>9.1340967304505032</v>
      </c>
      <c r="G66" s="65">
        <v>1</v>
      </c>
      <c r="H66" s="66" t="str">
        <f ca="1">INDEX(TblCarteira[Ativo], J66, 1)</f>
        <v>HGBS11</v>
      </c>
      <c r="I66" s="69">
        <f ca="1">IF(ISNUMBER(LARGE(TblCarteira[Valorização (%)], G66)), LARGE(TblCarteira[Valorização (%)], G66), 0)</f>
        <v>9.1340967304505032</v>
      </c>
      <c r="J66" s="76">
        <f ca="1">MATCH(I66, TblCarteira[Valorização (%)], 0)</f>
        <v>5</v>
      </c>
    </row>
    <row r="67" spans="4:10" ht="15.6" thickTop="1" x14ac:dyDescent="0.25">
      <c r="D67" s="77"/>
      <c r="E67" s="45"/>
      <c r="F67" s="45"/>
      <c r="G67" s="45"/>
      <c r="H67" s="45"/>
      <c r="I67" s="45"/>
      <c r="J67" s="78"/>
    </row>
    <row r="68" spans="4:10" x14ac:dyDescent="0.25">
      <c r="D68" s="77"/>
      <c r="E68" s="45"/>
      <c r="F68" s="45"/>
      <c r="G68" s="38" t="s">
        <v>82</v>
      </c>
      <c r="H68" s="38"/>
      <c r="I68" s="38"/>
      <c r="J68" s="79"/>
    </row>
    <row r="69" spans="4:10" x14ac:dyDescent="0.25">
      <c r="D69" s="77"/>
      <c r="E69" s="45"/>
      <c r="F69" s="45"/>
      <c r="G69" s="46" t="s">
        <v>72</v>
      </c>
      <c r="H69" s="46" t="s">
        <v>16</v>
      </c>
      <c r="I69" s="46" t="s">
        <v>54</v>
      </c>
      <c r="J69" s="76" t="s">
        <v>77</v>
      </c>
    </row>
    <row r="70" spans="4:10" x14ac:dyDescent="0.25">
      <c r="D70" s="77"/>
      <c r="E70" s="45"/>
      <c r="F70" s="45"/>
      <c r="G70" s="46">
        <v>10</v>
      </c>
      <c r="H70" s="66" t="str">
        <f ca="1">IF(ISNA(INDEX(TblCarteiraAcoes[Ativo], J70, 1)), " - ", INDEX(TblCarteiraAcoes[Ativo], J70, 1))</f>
        <v xml:space="preserve"> - </v>
      </c>
      <c r="I70" s="70">
        <f ca="1">IF(ISNUMBER(LARGE(TblCarteiraAcoes[Valorização (%)], G70)), LARGE(TblCarteiraAcoes[Valorização (%)], G70), 0)</f>
        <v>0</v>
      </c>
      <c r="J70" s="76" t="e">
        <f ca="1">MATCH(I70, TblCarteiraAcoes[Valorização (%)], 0)</f>
        <v>#N/A</v>
      </c>
    </row>
    <row r="71" spans="4:10" x14ac:dyDescent="0.25">
      <c r="D71" s="77"/>
      <c r="E71" s="45"/>
      <c r="F71" s="45"/>
      <c r="G71" s="46">
        <v>9</v>
      </c>
      <c r="H71" s="66" t="str">
        <f ca="1">IF(ISNA(INDEX(TblCarteiraAcoes[Ativo], J71, 1)), " - ", INDEX(TblCarteiraAcoes[Ativo], J71, 1))</f>
        <v xml:space="preserve"> - </v>
      </c>
      <c r="I71" s="70">
        <f ca="1">IF(ISNUMBER(LARGE(TblCarteiraAcoes[Valorização (%)], G71)), LARGE(TblCarteiraAcoes[Valorização (%)], G71), 0)</f>
        <v>0</v>
      </c>
      <c r="J71" s="76" t="e">
        <f ca="1">MATCH(I71, TblCarteiraAcoes[Valorização (%)], 0)</f>
        <v>#N/A</v>
      </c>
    </row>
    <row r="72" spans="4:10" x14ac:dyDescent="0.25">
      <c r="D72" s="77"/>
      <c r="E72" s="45"/>
      <c r="F72" s="45"/>
      <c r="G72" s="46">
        <v>8</v>
      </c>
      <c r="H72" s="66" t="str">
        <f ca="1">IF(ISNA(INDEX(TblCarteiraAcoes[Ativo], J72, 1)), " - ", INDEX(TblCarteiraAcoes[Ativo], J72, 1))</f>
        <v xml:space="preserve"> - </v>
      </c>
      <c r="I72" s="70">
        <f ca="1">IF(ISNUMBER(LARGE(TblCarteiraAcoes[Valorização (%)], G72)), LARGE(TblCarteiraAcoes[Valorização (%)], G72), 0)</f>
        <v>0</v>
      </c>
      <c r="J72" s="76" t="e">
        <f ca="1">MATCH(I72, TblCarteiraAcoes[Valorização (%)], 0)</f>
        <v>#N/A</v>
      </c>
    </row>
    <row r="73" spans="4:10" x14ac:dyDescent="0.25">
      <c r="D73" s="77"/>
      <c r="E73" s="45"/>
      <c r="F73" s="45"/>
      <c r="G73" s="46">
        <v>7</v>
      </c>
      <c r="H73" s="66" t="str">
        <f ca="1">IF(ISNA(INDEX(TblCarteiraAcoes[Ativo], J73, 1)), " - ", INDEX(TblCarteiraAcoes[Ativo], J73, 1))</f>
        <v xml:space="preserve"> - </v>
      </c>
      <c r="I73" s="70">
        <f ca="1">IF(ISNUMBER(LARGE(TblCarteiraAcoes[Valorização (%)], G73)), LARGE(TblCarteiraAcoes[Valorização (%)], G73), 0)</f>
        <v>0</v>
      </c>
      <c r="J73" s="76" t="e">
        <f ca="1">MATCH(I73, TblCarteiraAcoes[Valorização (%)], 0)</f>
        <v>#N/A</v>
      </c>
    </row>
    <row r="74" spans="4:10" x14ac:dyDescent="0.25">
      <c r="D74" s="77"/>
      <c r="E74" s="45"/>
      <c r="F74" s="45"/>
      <c r="G74" s="46">
        <v>6</v>
      </c>
      <c r="H74" s="66" t="str">
        <f ca="1">IF(ISNA(INDEX(TblCarteiraAcoes[Ativo], J74, 1)), " - ", INDEX(TblCarteiraAcoes[Ativo], J74, 1))</f>
        <v xml:space="preserve"> - </v>
      </c>
      <c r="I74" s="70">
        <f ca="1">IF(ISNUMBER(LARGE(TblCarteiraAcoes[Valorização (%)], G74)), LARGE(TblCarteiraAcoes[Valorização (%)], G74), 0)</f>
        <v>0</v>
      </c>
      <c r="J74" s="76" t="e">
        <f ca="1">MATCH(I74, TblCarteiraAcoes[Valorização (%)], 0)</f>
        <v>#N/A</v>
      </c>
    </row>
    <row r="75" spans="4:10" x14ac:dyDescent="0.25">
      <c r="D75" s="77"/>
      <c r="E75" s="45"/>
      <c r="F75" s="45"/>
      <c r="G75" s="46">
        <v>5</v>
      </c>
      <c r="H75" s="66" t="str">
        <f ca="1">IF(ISNA(INDEX(TblCarteiraAcoes[Ativo], J75, 1)), " - ", INDEX(TblCarteiraAcoes[Ativo], J75, 1))</f>
        <v>FLRY3</v>
      </c>
      <c r="I75" s="70">
        <f ca="1">IF(ISNUMBER(LARGE(TblCarteiraAcoes[Valorização (%)], G75)), LARGE(TblCarteiraAcoes[Valorização (%)], G75), 0)</f>
        <v>-0.77307067711643018</v>
      </c>
      <c r="J75" s="76">
        <f ca="1">MATCH(I75, TblCarteiraAcoes[Valorização (%)], 0)</f>
        <v>2</v>
      </c>
    </row>
    <row r="76" spans="4:10" x14ac:dyDescent="0.25">
      <c r="D76" s="77"/>
      <c r="E76" s="45"/>
      <c r="F76" s="45"/>
      <c r="G76" s="46">
        <v>4</v>
      </c>
      <c r="H76" s="66" t="str">
        <f ca="1">IF(ISNA(INDEX(TblCarteiraAcoes[Ativo], J76, 1)), " - ", INDEX(TblCarteiraAcoes[Ativo], J76, 1))</f>
        <v>TAEE4</v>
      </c>
      <c r="I76" s="70">
        <f ca="1">IF(ISNUMBER(LARGE(TblCarteiraAcoes[Valorização (%)], G76)), LARGE(TblCarteiraAcoes[Valorização (%)], G76), 0)</f>
        <v>-0.41079241614000972</v>
      </c>
      <c r="J76" s="76">
        <f ca="1">MATCH(I76, TblCarteiraAcoes[Valorização (%)], 0)</f>
        <v>5</v>
      </c>
    </row>
    <row r="77" spans="4:10" x14ac:dyDescent="0.25">
      <c r="D77" s="77"/>
      <c r="E77" s="45"/>
      <c r="F77" s="45"/>
      <c r="G77" s="46">
        <v>3</v>
      </c>
      <c r="H77" s="66" t="str">
        <f ca="1">IF(ISNA(INDEX(TblCarteiraAcoes[Ativo], J77, 1)), " - ", INDEX(TblCarteiraAcoes[Ativo], J77, 1))</f>
        <v>ITSA4</v>
      </c>
      <c r="I77" s="70">
        <f ca="1">IF(ISNUMBER(LARGE(TblCarteiraAcoes[Valorização (%)], G77)), LARGE(TblCarteiraAcoes[Valorização (%)], G77), 0)</f>
        <v>-0.24422187981510013</v>
      </c>
      <c r="J77" s="76">
        <f ca="1">MATCH(I77, TblCarteiraAcoes[Valorização (%)], 0)</f>
        <v>3</v>
      </c>
    </row>
    <row r="78" spans="4:10" x14ac:dyDescent="0.25">
      <c r="D78" s="77"/>
      <c r="E78" s="45"/>
      <c r="F78" s="45"/>
      <c r="G78" s="46">
        <v>2</v>
      </c>
      <c r="H78" s="66" t="str">
        <f ca="1">IF(ISNA(INDEX(TblCarteiraAcoes[Ativo], J78, 1)), " - ", INDEX(TblCarteiraAcoes[Ativo], J78, 1))</f>
        <v>CSNA3</v>
      </c>
      <c r="I78" s="70">
        <f ca="1">IF(ISNUMBER(LARGE(TblCarteiraAcoes[Valorização (%)], G78)), LARGE(TblCarteiraAcoes[Valorização (%)], G78), 0)</f>
        <v>-7.6183939601921602E-2</v>
      </c>
      <c r="J78" s="76">
        <f ca="1">MATCH(I78, TblCarteiraAcoes[Valorização (%)], 0)</f>
        <v>1</v>
      </c>
    </row>
    <row r="79" spans="4:10" x14ac:dyDescent="0.25">
      <c r="D79" s="77"/>
      <c r="E79" s="45"/>
      <c r="F79" s="45"/>
      <c r="G79" s="65">
        <v>1</v>
      </c>
      <c r="H79" s="66" t="str">
        <f ca="1">IF(ISNA(INDEX(TblCarteiraAcoes[Ativo], J79, 1)), " - ", INDEX(TblCarteiraAcoes[Ativo], J79, 1))</f>
        <v>PETR4</v>
      </c>
      <c r="I79" s="70">
        <f ca="1">IF(ISNUMBER(LARGE(TblCarteiraAcoes[Valorização (%)], G79)), LARGE(TblCarteiraAcoes[Valorização (%)], G79), 0)</f>
        <v>0.58150657632522917</v>
      </c>
      <c r="J79" s="76">
        <f ca="1">MATCH(I79, TblCarteiraAcoes[Valorização (%)], 0)</f>
        <v>4</v>
      </c>
    </row>
    <row r="80" spans="4:10" x14ac:dyDescent="0.25">
      <c r="D80" s="77"/>
      <c r="E80" s="45"/>
      <c r="F80" s="45"/>
      <c r="G80" s="45"/>
      <c r="H80" s="45"/>
      <c r="I80" s="45"/>
      <c r="J80" s="78"/>
    </row>
    <row r="81" spans="4:10" x14ac:dyDescent="0.25">
      <c r="D81" s="77"/>
      <c r="E81" s="45"/>
      <c r="F81" s="45"/>
      <c r="G81" s="38" t="s">
        <v>83</v>
      </c>
      <c r="H81" s="38"/>
      <c r="I81" s="38"/>
      <c r="J81" s="79"/>
    </row>
    <row r="82" spans="4:10" x14ac:dyDescent="0.25">
      <c r="D82" s="77"/>
      <c r="E82" s="45"/>
      <c r="F82" s="45"/>
      <c r="G82" s="46" t="s">
        <v>72</v>
      </c>
      <c r="H82" s="46" t="s">
        <v>16</v>
      </c>
      <c r="I82" s="46" t="s">
        <v>54</v>
      </c>
      <c r="J82" s="76" t="s">
        <v>77</v>
      </c>
    </row>
    <row r="83" spans="4:10" x14ac:dyDescent="0.25">
      <c r="D83" s="77"/>
      <c r="E83" s="45"/>
      <c r="F83" s="45"/>
      <c r="G83" s="46">
        <v>10</v>
      </c>
      <c r="H83" s="66" t="str">
        <f ca="1">IF(ISNA(INDEX(TblCarteiraFII[Ativo], J83, 1)), " - ", INDEX(TblCarteiraFII[Ativo], J83, 1))</f>
        <v xml:space="preserve"> - </v>
      </c>
      <c r="I83" s="69">
        <f ca="1">IF(ISNUMBER(LARGE(TblCarteiraFII[Valorização (%)], G83)), LARGE(TblCarteiraFII[Valorização (%)], G83), 0)</f>
        <v>0</v>
      </c>
      <c r="J83" s="76" t="e">
        <f ca="1">MATCH(I83, TblCarteiraFII[Valorização (%)], 0)</f>
        <v>#N/A</v>
      </c>
    </row>
    <row r="84" spans="4:10" x14ac:dyDescent="0.25">
      <c r="D84" s="77"/>
      <c r="E84" s="45"/>
      <c r="F84" s="45"/>
      <c r="G84" s="46">
        <v>9</v>
      </c>
      <c r="H84" s="66" t="str">
        <f ca="1">IF(ISNA(INDEX(TblCarteiraFII[Ativo], J84, 1)), " - ", INDEX(TblCarteiraFII[Ativo], J84, 1))</f>
        <v xml:space="preserve"> - </v>
      </c>
      <c r="I84" s="69">
        <f ca="1">IF(ISNUMBER(LARGE(TblCarteiraFII[Valorização (%)], G84)), LARGE(TblCarteiraFII[Valorização (%)], G84), 0)</f>
        <v>0</v>
      </c>
      <c r="J84" s="76" t="e">
        <f ca="1">MATCH(I84, TblCarteiraFII[Valorização (%)], 0)</f>
        <v>#N/A</v>
      </c>
    </row>
    <row r="85" spans="4:10" x14ac:dyDescent="0.25">
      <c r="D85" s="77"/>
      <c r="E85" s="45"/>
      <c r="F85" s="45"/>
      <c r="G85" s="46">
        <v>8</v>
      </c>
      <c r="H85" s="66" t="str">
        <f ca="1">IF(ISNA(INDEX(TblCarteiraFII[Ativo], J85, 1)), " - ", INDEX(TblCarteiraFII[Ativo], J85, 1))</f>
        <v xml:space="preserve"> - </v>
      </c>
      <c r="I85" s="69">
        <f ca="1">IF(ISNUMBER(LARGE(TblCarteiraFII[Valorização (%)], G85)), LARGE(TblCarteiraFII[Valorização (%)], G85), 0)</f>
        <v>0</v>
      </c>
      <c r="J85" s="76" t="e">
        <f ca="1">MATCH(I85, TblCarteiraFII[Valorização (%)], 0)</f>
        <v>#N/A</v>
      </c>
    </row>
    <row r="86" spans="4:10" x14ac:dyDescent="0.25">
      <c r="D86" s="77"/>
      <c r="E86" s="45"/>
      <c r="F86" s="45"/>
      <c r="G86" s="46">
        <v>7</v>
      </c>
      <c r="H86" s="66" t="str">
        <f ca="1">IF(ISNA(INDEX(TblCarteiraFII[Ativo], J86, 1)), " - ", INDEX(TblCarteiraFII[Ativo], J86, 1))</f>
        <v xml:space="preserve"> - </v>
      </c>
      <c r="I86" s="69">
        <f ca="1">IF(ISNUMBER(LARGE(TblCarteiraFII[Valorização (%)], G86)), LARGE(TblCarteiraFII[Valorização (%)], G86), 0)</f>
        <v>0</v>
      </c>
      <c r="J86" s="76" t="e">
        <f ca="1">MATCH(I86, TblCarteiraFII[Valorização (%)], 0)</f>
        <v>#N/A</v>
      </c>
    </row>
    <row r="87" spans="4:10" x14ac:dyDescent="0.25">
      <c r="D87" s="77"/>
      <c r="E87" s="45"/>
      <c r="F87" s="45"/>
      <c r="G87" s="46">
        <v>6</v>
      </c>
      <c r="H87" s="66" t="str">
        <f ca="1">IF(ISNA(INDEX(TblCarteiraFII[Ativo], J87, 1)), " - ", INDEX(TblCarteiraFII[Ativo], J87, 1))</f>
        <v xml:space="preserve"> - </v>
      </c>
      <c r="I87" s="69">
        <f ca="1">IF(ISNUMBER(LARGE(TblCarteiraFII[Valorização (%)], G87)), LARGE(TblCarteiraFII[Valorização (%)], G87), 0)</f>
        <v>0</v>
      </c>
      <c r="J87" s="76" t="e">
        <f ca="1">MATCH(I87, TblCarteiraFII[Valorização (%)], 0)</f>
        <v>#N/A</v>
      </c>
    </row>
    <row r="88" spans="4:10" x14ac:dyDescent="0.25">
      <c r="D88" s="77"/>
      <c r="E88" s="45"/>
      <c r="F88" s="45"/>
      <c r="G88" s="46">
        <v>5</v>
      </c>
      <c r="H88" s="66" t="str">
        <f ca="1">IF(ISNA(INDEX(TblCarteiraFII[Ativo], J88, 1)), " - ", INDEX(TblCarteiraFII[Ativo], J88, 1))</f>
        <v xml:space="preserve"> - </v>
      </c>
      <c r="I88" s="69">
        <f ca="1">IF(ISNUMBER(LARGE(TblCarteiraFII[Valorização (%)], G88)), LARGE(TblCarteiraFII[Valorização (%)], G88), 0)</f>
        <v>0</v>
      </c>
      <c r="J88" s="76" t="e">
        <f ca="1">MATCH(I88, TblCarteiraFII[Valorização (%)], 0)</f>
        <v>#N/A</v>
      </c>
    </row>
    <row r="89" spans="4:10" x14ac:dyDescent="0.25">
      <c r="D89" s="77"/>
      <c r="E89" s="45"/>
      <c r="F89" s="45"/>
      <c r="G89" s="46">
        <v>4</v>
      </c>
      <c r="H89" s="66" t="str">
        <f ca="1">IF(ISNA(INDEX(TblCarteiraFII[Ativo], J89, 1)), " - ", INDEX(TblCarteiraFII[Ativo], J89, 1))</f>
        <v>HGLG11</v>
      </c>
      <c r="I89" s="69">
        <f ca="1">IF(ISNUMBER(LARGE(TblCarteiraFII[Valorização (%)], G89)), LARGE(TblCarteiraFII[Valorização (%)], G89), 0)</f>
        <v>1.8781105847795958</v>
      </c>
      <c r="J89" s="76">
        <f ca="1">MATCH(I89, TblCarteiraFII[Valorização (%)], 0)</f>
        <v>2</v>
      </c>
    </row>
    <row r="90" spans="4:10" x14ac:dyDescent="0.25">
      <c r="D90" s="77"/>
      <c r="E90" s="45"/>
      <c r="F90" s="45"/>
      <c r="G90" s="46">
        <v>3</v>
      </c>
      <c r="H90" s="66" t="str">
        <f ca="1">IF(ISNA(INDEX(TblCarteiraFII[Ativo], J90, 1)), " - ", INDEX(TblCarteiraFII[Ativo], J90, 1))</f>
        <v>KNRI11</v>
      </c>
      <c r="I90" s="69">
        <f ca="1">IF(ISNUMBER(LARGE(TblCarteiraFII[Valorização (%)], G90)), LARGE(TblCarteiraFII[Valorização (%)], G90), 0)</f>
        <v>5.3221160141416783</v>
      </c>
      <c r="J90" s="76">
        <f ca="1">MATCH(I90, TblCarteiraFII[Valorização (%)], 0)</f>
        <v>4</v>
      </c>
    </row>
    <row r="91" spans="4:10" x14ac:dyDescent="0.25">
      <c r="D91" s="77"/>
      <c r="E91" s="45"/>
      <c r="F91" s="45"/>
      <c r="G91" s="46">
        <v>2</v>
      </c>
      <c r="H91" s="66" t="str">
        <f ca="1">IF(ISNA(INDEX(TblCarteiraFII[Ativo], J91, 1)), " - ", INDEX(TblCarteiraFII[Ativo], J91, 1))</f>
        <v>HGRE11</v>
      </c>
      <c r="I91" s="69">
        <f ca="1">IF(ISNUMBER(LARGE(TblCarteiraFII[Valorização (%)], G91)), LARGE(TblCarteiraFII[Valorização (%)], G91), 0)</f>
        <v>6.5073788944164965</v>
      </c>
      <c r="J91" s="76">
        <f ca="1">MATCH(I91, TblCarteiraFII[Valorização (%)], 0)</f>
        <v>3</v>
      </c>
    </row>
    <row r="92" spans="4:10" ht="15.6" thickBot="1" x14ac:dyDescent="0.3">
      <c r="D92" s="80"/>
      <c r="E92" s="81"/>
      <c r="F92" s="81"/>
      <c r="G92" s="82">
        <v>1</v>
      </c>
      <c r="H92" s="83" t="str">
        <f ca="1">IF(ISNA(INDEX(TblCarteiraFII[Ativo], J92, 1)), " - ", INDEX(TblCarteiraFII[Ativo], J92, 1))</f>
        <v>HGBS11</v>
      </c>
      <c r="I92" s="84">
        <f ca="1">IF(ISNUMBER(LARGE(TblCarteiraFII[Valorização (%)], G92)), LARGE(TblCarteiraFII[Valorização (%)], G92), 0)</f>
        <v>9.1340967304505032</v>
      </c>
      <c r="J92" s="85">
        <f ca="1">MATCH(I92, TblCarteiraFII[Valorização (%)], 0)</f>
        <v>1</v>
      </c>
    </row>
    <row r="93" spans="4:10" ht="15.6" thickTop="1" x14ac:dyDescent="0.25"/>
  </sheetData>
  <conditionalFormatting sqref="F8">
    <cfRule type="cellIs" dxfId="7" priority="9" operator="lessThan">
      <formula>0</formula>
    </cfRule>
  </conditionalFormatting>
  <conditionalFormatting sqref="G8">
    <cfRule type="cellIs" dxfId="6" priority="8" operator="lessThan">
      <formula>0</formula>
    </cfRule>
  </conditionalFormatting>
  <conditionalFormatting sqref="H8">
    <cfRule type="cellIs" dxfId="5" priority="7" operator="lessThan">
      <formula>0</formula>
    </cfRule>
  </conditionalFormatting>
  <conditionalFormatting sqref="E11:E13">
    <cfRule type="cellIs" dxfId="4" priority="5" operator="lessThan">
      <formula>0</formula>
    </cfRule>
  </conditionalFormatting>
  <conditionalFormatting sqref="I57:I66">
    <cfRule type="cellIs" dxfId="3" priority="4" operator="lessThan">
      <formula>0</formula>
    </cfRule>
  </conditionalFormatting>
  <conditionalFormatting sqref="I70:I79">
    <cfRule type="cellIs" dxfId="2" priority="3" operator="lessThan">
      <formula>0</formula>
    </cfRule>
  </conditionalFormatting>
  <conditionalFormatting sqref="I83:I92">
    <cfRule type="cellIs" dxfId="1" priority="2" operator="lessThan">
      <formula>0</formula>
    </cfRule>
  </conditionalFormatting>
  <conditionalFormatting sqref="F57:F6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Tabela Ativos</vt:lpstr>
      <vt:lpstr>Tabela Aportes</vt:lpstr>
      <vt:lpstr>Tabela Proventos</vt:lpstr>
      <vt:lpstr>Relatorio Aportes</vt:lpstr>
      <vt:lpstr>Relatorio Proventos</vt:lpstr>
      <vt:lpstr>Relatorio Carteira</vt:lpstr>
      <vt:lpstr>Relatorio Carteira FII</vt:lpstr>
      <vt:lpstr>Relatorio Carteira Ações</vt:lpstr>
      <vt:lpstr>Dashboard Auxiliar</vt:lpstr>
      <vt:lpstr>Dashboard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2023-07-30T21:07:02Z</dcterms:modified>
</cp:coreProperties>
</file>