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Relatorio Carteira FII" sheetId="13" r:id="rId7"/>
    <sheet name="Relatorio Carteira Ações" sheetId="12" r:id="rId8"/>
    <sheet name="Dashboard Auxiliar" sheetId="11" r:id="rId9"/>
    <sheet name="Dashboard" sheetId="10" r:id="rId10"/>
  </sheets>
  <definedNames>
    <definedName name="pubhtml" localSheetId="0">'Tabela Ativos'!$A$1:$D$13</definedName>
  </definedNames>
  <calcPr calcId="152511"/>
  <pivotCaches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D5" i="13"/>
  <c r="F5" i="13" s="1"/>
  <c r="C5" i="13"/>
  <c r="B5" i="13"/>
  <c r="E4" i="13"/>
  <c r="D4" i="13"/>
  <c r="F4" i="13" s="1"/>
  <c r="C4" i="13"/>
  <c r="B4" i="13"/>
  <c r="E3" i="13"/>
  <c r="D3" i="13"/>
  <c r="F3" i="13" s="1"/>
  <c r="C3" i="13"/>
  <c r="B3" i="13"/>
  <c r="E2" i="13"/>
  <c r="D2" i="13"/>
  <c r="F2" i="13" s="1"/>
  <c r="C2" i="13"/>
  <c r="B2" i="13"/>
  <c r="D6" i="13"/>
  <c r="E6" i="12"/>
  <c r="D6" i="12"/>
  <c r="F6" i="12" s="1"/>
  <c r="C6" i="12"/>
  <c r="B6" i="12"/>
  <c r="E5" i="12"/>
  <c r="D5" i="12"/>
  <c r="F5" i="12" s="1"/>
  <c r="C5" i="12"/>
  <c r="B5" i="12"/>
  <c r="E4" i="12"/>
  <c r="D4" i="12"/>
  <c r="F4" i="12" s="1"/>
  <c r="C4" i="12"/>
  <c r="B4" i="12"/>
  <c r="E3" i="12"/>
  <c r="D3" i="12"/>
  <c r="F3" i="12" s="1"/>
  <c r="C3" i="12"/>
  <c r="B3" i="12"/>
  <c r="E2" i="12"/>
  <c r="D2" i="12"/>
  <c r="D7" i="12" s="1"/>
  <c r="C2" i="12"/>
  <c r="B2" i="12"/>
  <c r="G2" i="13" l="1"/>
  <c r="G3" i="13"/>
  <c r="G4" i="13"/>
  <c r="G5" i="13"/>
  <c r="G6" i="13"/>
  <c r="I2" i="13"/>
  <c r="H2" i="13"/>
  <c r="I3" i="13"/>
  <c r="H3" i="13"/>
  <c r="I4" i="13"/>
  <c r="H4" i="13"/>
  <c r="I5" i="13"/>
  <c r="H5" i="13"/>
  <c r="G2" i="12"/>
  <c r="G3" i="12"/>
  <c r="G4" i="12"/>
  <c r="G5" i="12"/>
  <c r="G6" i="12"/>
  <c r="G7" i="12"/>
  <c r="I2" i="12"/>
  <c r="H2" i="12"/>
  <c r="I3" i="12"/>
  <c r="H3" i="12"/>
  <c r="I4" i="12"/>
  <c r="H4" i="12"/>
  <c r="I5" i="12"/>
  <c r="H5" i="12"/>
  <c r="I6" i="12"/>
  <c r="H6" i="12"/>
  <c r="F2" i="12"/>
  <c r="E12" i="11"/>
  <c r="B9" i="11"/>
  <c r="I45" i="11" l="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44" i="11"/>
  <c r="J44" i="11" s="1"/>
  <c r="I32" i="11"/>
  <c r="I33" i="11"/>
  <c r="I34" i="11"/>
  <c r="I35" i="11"/>
  <c r="I36" i="11"/>
  <c r="I37" i="11"/>
  <c r="I38" i="11"/>
  <c r="I39" i="11"/>
  <c r="I40" i="11"/>
  <c r="I31" i="11"/>
  <c r="H6" i="13"/>
  <c r="H7" i="12"/>
  <c r="H1" i="10"/>
  <c r="J40" i="11" l="1"/>
  <c r="F27" i="11"/>
  <c r="J39" i="11"/>
  <c r="F26" i="11"/>
  <c r="J38" i="11"/>
  <c r="F25" i="11"/>
  <c r="J37" i="11"/>
  <c r="F24" i="11"/>
  <c r="J36" i="11"/>
  <c r="F23" i="11"/>
  <c r="J35" i="11"/>
  <c r="F22" i="11"/>
  <c r="J34" i="11"/>
  <c r="F21" i="11"/>
  <c r="J33" i="11"/>
  <c r="F20" i="11"/>
  <c r="J32" i="11"/>
  <c r="F19" i="11"/>
  <c r="J31" i="11"/>
  <c r="F18" i="11"/>
  <c r="E2" i="9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H53" i="11" l="1"/>
  <c r="H52" i="11"/>
  <c r="H51" i="11"/>
  <c r="H50" i="11"/>
  <c r="H49" i="11"/>
  <c r="H48" i="11"/>
  <c r="H47" i="11"/>
  <c r="H46" i="11"/>
  <c r="H45" i="11"/>
  <c r="H44" i="11"/>
  <c r="H40" i="11"/>
  <c r="H39" i="11"/>
  <c r="H38" i="11"/>
  <c r="H37" i="11"/>
  <c r="H36" i="11"/>
  <c r="H35" i="11"/>
  <c r="H34" i="11"/>
  <c r="H33" i="11"/>
  <c r="H32" i="11"/>
  <c r="H31" i="11"/>
  <c r="I18" i="11"/>
  <c r="I19" i="11"/>
  <c r="J19" i="11" s="1"/>
  <c r="H19" i="11" s="1"/>
  <c r="E19" i="11" s="1"/>
  <c r="I20" i="11"/>
  <c r="J20" i="11" s="1"/>
  <c r="H20" i="11" s="1"/>
  <c r="E20" i="11" s="1"/>
  <c r="I21" i="11"/>
  <c r="J21" i="11" s="1"/>
  <c r="H21" i="11" s="1"/>
  <c r="E21" i="11" s="1"/>
  <c r="I22" i="11"/>
  <c r="J22" i="11" s="1"/>
  <c r="H22" i="11" s="1"/>
  <c r="E22" i="11" s="1"/>
  <c r="I23" i="11"/>
  <c r="J23" i="11" s="1"/>
  <c r="H23" i="11" s="1"/>
  <c r="E23" i="11" s="1"/>
  <c r="I24" i="11"/>
  <c r="J24" i="11" s="1"/>
  <c r="H24" i="11" s="1"/>
  <c r="E24" i="11" s="1"/>
  <c r="I25" i="11"/>
  <c r="J25" i="11" s="1"/>
  <c r="H25" i="11" s="1"/>
  <c r="E25" i="11" s="1"/>
  <c r="I26" i="11"/>
  <c r="J26" i="11" s="1"/>
  <c r="H26" i="11" s="1"/>
  <c r="E26" i="11" s="1"/>
  <c r="I27" i="11"/>
  <c r="J27" i="11" s="1"/>
  <c r="H27" i="11" s="1"/>
  <c r="E27" i="11" s="1"/>
  <c r="F6" i="11"/>
  <c r="E11" i="11" s="1"/>
  <c r="G8" i="1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18" i="11" l="1"/>
  <c r="H18" i="11" s="1"/>
  <c r="E18" i="11" s="1"/>
  <c r="B13" i="1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<sst xmlns="http://schemas.openxmlformats.org/spreadsheetml/2006/main" count="299" uniqueCount="81">
  <si>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</si>
  <si>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</si>
  <si>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</si>
  <si>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</si>
  <si>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</si>
  <si>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</si>
  <si>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</si>
  <si>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</si>
  <si>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</si>
  <si>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</si>
  <si>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</si>
  <si>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</si>
  <si>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</si>
  <si>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</si>
  <si>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</si>
  <si>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</si>
  <si>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</si>
  <si>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</si>
  <si>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</si>
  <si>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</si>
  <si>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</si>
  <si>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</si>
  <si>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</si>
  <si>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</si>
  <si>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</si>
  <si>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</si>
  <si>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</si>
  <si>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</si>
  <si>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</si>
  <si>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</si>
  <si>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</si>
  <si>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</si>
  <si>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</si>
  <si>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</si>
  <si>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</si>
  <si>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</si>
  <si>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</si>
  <si>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</si>
  <si>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</si>
  <si>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</si>
  <si>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</si>
  <si>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</si>
  <si>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</si>
  <si>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</si>
  <si>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</si>
  <si>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</si>
  <si>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</si>
  <si>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</si>
  <si>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</si>
  <si>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</si>
  <si>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</si>
  <si>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</si>
  <si>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</si>
  <si>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</si>
  <si>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</si>
  <si>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</si>
  <si>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</si>
  <si>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</si>
  <si>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</si>
  <si>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</si>
  <si>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</si>
  <si>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</si>
  <si>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</si>
  <si>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</si>
  <si>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</si>
  <si>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</si>
  <si>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</si>
  <si>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</si>
  <si>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</si>
  <si>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</si>
  <si>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</si>
  <si>
    <t>Gráfico Rosca: Composição do Patrimônio</t>
  </si>
  <si>
    <t>CAIXA</t>
  </si>
  <si>
    <t>Ordem</t>
  </si>
  <si>
    <t>Gráfico: Maiores Valores</t>
  </si>
  <si>
    <t xml:space="preserve">Ativo </t>
  </si>
  <si>
    <t>Valor</t>
  </si>
  <si>
    <t>Maiores valores (Tudo)</t>
  </si>
  <si>
    <t>Corresp</t>
  </si>
  <si>
    <t>Maiores valores (Ações)</t>
  </si>
  <si>
    <t>Maiores valores (Fundo Investimento Imobiliário)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</si>
</sst>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theme="7" tint="-0.499984740745262"/>
      </left>
      <right/>
      <top style="double">
        <color theme="7" tint="-0.499984740745262"/>
      </top>
      <bottom/>
      <diagonal/>
    </border>
    <border>
      <left/>
      <right/>
      <top style="double">
        <color theme="7" tint="-0.499984740745262"/>
      </top>
      <bottom/>
      <diagonal/>
    </border>
    <border>
      <left/>
      <right style="thick">
        <color auto="1"/>
      </right>
      <top style="double">
        <color theme="7" tint="-0.499984740745262"/>
      </top>
      <bottom/>
      <diagonal/>
    </border>
    <border>
      <left/>
      <right style="double">
        <color theme="7" tint="-0.499984740745262"/>
      </right>
      <top style="double">
        <color theme="7" tint="-0.499984740745262"/>
      </top>
      <bottom/>
      <diagonal/>
    </border>
    <border>
      <left style="double">
        <color theme="7" tint="-0.499984740745262"/>
      </left>
      <right/>
      <top/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/>
      <top/>
      <bottom style="thick">
        <color auto="1"/>
      </bottom>
      <diagonal/>
    </border>
    <border>
      <left/>
      <right style="double">
        <color theme="7" tint="-0.499984740745262"/>
      </right>
      <top/>
      <bottom style="hair">
        <color auto="1"/>
      </bottom>
      <diagonal/>
    </border>
    <border>
      <left/>
      <right style="double">
        <color theme="7" tint="-0.499984740745262"/>
      </right>
      <top style="hair">
        <color auto="1"/>
      </top>
      <bottom/>
      <diagonal/>
    </border>
    <border>
      <left style="double">
        <color theme="7" tint="-0.499984740745262"/>
      </left>
      <right/>
      <top/>
      <bottom style="double">
        <color theme="7" tint="-0.499984740745262"/>
      </bottom>
      <diagonal/>
    </border>
    <border>
      <left/>
      <right/>
      <top/>
      <bottom style="double">
        <color theme="7" tint="-0.499984740745262"/>
      </bottom>
      <diagonal/>
    </border>
    <border>
      <left/>
      <right style="double">
        <color theme="7" tint="-0.499984740745262"/>
      </right>
      <top/>
      <bottom style="double">
        <color theme="7" tint="-0.499984740745262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66" fontId="0" fillId="0" borderId="20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0" fillId="0" borderId="21" xfId="0" applyBorder="1"/>
    <xf numFmtId="166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/>
    <xf numFmtId="166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6" fontId="0" fillId="0" borderId="24" xfId="0" applyNumberFormat="1" applyBorder="1"/>
    <xf numFmtId="166" fontId="0" fillId="0" borderId="26" xfId="0" applyNumberFormat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6" borderId="35" xfId="0" applyFill="1" applyBorder="1"/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166" fontId="0" fillId="0" borderId="37" xfId="0" applyNumberFormat="1" applyBorder="1"/>
    <xf numFmtId="0" fontId="0" fillId="0" borderId="38" xfId="0" applyBorder="1" applyAlignment="1">
      <alignment horizontal="center" vertical="center"/>
    </xf>
  </cellXfs>
  <cellStyles count="1">
    <cellStyle name="Normal" xfId="0" builtinId="0"/>
  </cellStyles>
  <dxfs count="9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24368</c:v>
                </c:pt>
                <c:pt idx="1">
                  <c:v>10000</c:v>
                </c:pt>
                <c:pt idx="2">
                  <c:v>10372.050000000001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53340</xdr:rowOff>
    </xdr:from>
    <xdr:to>
      <xdr:col>4</xdr:col>
      <xdr:colOff>1493520</xdr:colOff>
      <xdr:row>13</xdr:row>
      <xdr:rowOff>457200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89"/>
    <tableColumn id="2" name="Ativo" dataDxfId="88"/>
    <tableColumn id="3" name="Quantidade" dataDxfId="87"/>
    <tableColumn id="4" name="Valor Unitário" dataDxfId="86"/>
    <tableColumn id="5" name="Custo" dataDxfId="85"/>
    <tableColumn id="6" name="Total" dataDxfId="84">
      <calculatedColumnFormula>(TblAportes[[#This Row],[Valor Unitário]] * TblAportes[[#This Row],[Quantidade]]) + TblAportes[[#This Row],[Custo]]</calculatedColumnFormula>
    </tableColumn>
    <tableColumn id="7" name="Tipo" dataDxfId="83">
      <calculatedColumnFormula>VLOOKUP(TblAportes[[#This Row],[Ativo]], 'Tabela Ativos'!$B$4:$D$500, 2, FALSE)</calculatedColumnFormula>
    </tableColumn>
    <tableColumn id="8" name="Ano" dataDxfId="82">
      <calculatedColumnFormula>YEAR(TblAportes[[#This Row],[Data]])</calculatedColumnFormula>
    </tableColumn>
    <tableColumn id="9" name="Mês" dataDxfId="81">
      <calculatedColumnFormula>MONTH(TblAportes[[#This Row],[Data]])</calculatedColumnFormula>
    </tableColumn>
    <tableColumn id="10" name="Ano/Mês" dataDxfId="80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79" dataDxfId="78">
  <autoFilter ref="A1:I72"/>
  <tableColumns count="9">
    <tableColumn id="1" name="Codigo" dataDxfId="77"/>
    <tableColumn id="2" name="Ativo" dataDxfId="76"/>
    <tableColumn id="3" name="Quantidade" dataDxfId="75"/>
    <tableColumn id="4" name="Valor Bruto" dataDxfId="74"/>
    <tableColumn id="5" name="IR" dataDxfId="73"/>
    <tableColumn id="6" name="Valor Liquido" dataDxfId="72"/>
    <tableColumn id="7" name="Data" dataDxfId="71"/>
    <tableColumn id="8" name="Ano/Mês" dataDxfId="70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69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67" dataDxfId="66">
  <autoFilter ref="A1:I10"/>
  <tableColumns count="9">
    <tableColumn id="1" name="Ativo" totalsRowLabel="Total" dataDxfId="65" totalsRowDxfId="64"/>
    <tableColumn id="2" name="Tipo" dataDxfId="63" totalsRowDxfId="62">
      <calculatedColumnFormula>VLOOKUP(TblCarteira[[#This Row],[Ativo]], 'Tabela Ativos'!$B$4:$D$500, 2, FALSE)</calculatedColumnFormula>
    </tableColumn>
    <tableColumn id="3" name="Cotação" dataDxfId="61" totalsRowDxfId="60">
      <calculatedColumnFormula>VLOOKUP(TblCarteira[[#This Row],[Ativo]], 'Tabela Ativos'!$B$4:$D$500, 3, FALSE)</calculatedColumnFormula>
    </tableColumn>
    <tableColumn id="4" name="Total Aportado" totalsRowFunction="sum" dataDxfId="59" totalsRowDxfId="58">
      <calculatedColumnFormula>SUMIFS(TblAportes[Total], TblAportes[Ativo],TblCarteira[[#This Row],[Ativo]], TblAportes[Data], "&lt;="&amp;IF($K$2 = "", TODAY(), $K$2))</calculatedColumnFormula>
    </tableColumn>
    <tableColumn id="5" name="Total Quantidade" dataDxfId="57" totalsRowDxfId="56">
      <calculatedColumnFormula>SUMIFS(TblAportes[Quantidade], TblAportes[Ativo],TblCarteira[[#This Row],[Ativo]], TblAportes[Data], "&lt;="&amp;IF($K$2 = "", TODAY(), $K$2))</calculatedColumnFormula>
    </tableColumn>
    <tableColumn id="6" name="Preço Médio" dataDxfId="55" totalsRowDxfId="54">
      <calculatedColumnFormula>(TblCarteira[[#This Row],[Total Aportado]] / TblCarteira[[#This Row],[Total Quantidade]])</calculatedColumnFormula>
    </tableColumn>
    <tableColumn id="7" name="Total Atual" totalsRowFunction="sum" dataDxfId="53" totalsRowDxfId="52">
      <calculatedColumnFormula>(TblCarteira[[#This Row],[Total Quantidade]] * TblCarteira[[#This Row],[Cotação]])</calculatedColumnFormula>
    </tableColumn>
    <tableColumn id="8" name="Valorização" totalsRowFunction="sum" dataDxfId="51" totalsRowDxfId="50">
      <calculatedColumnFormula>(TblCarteira[[#This Row],[Total Atual]] - TblCarteira[[#This Row],[Total Aportado]])</calculatedColumnFormula>
    </tableColumn>
    <tableColumn id="9" name="Valorização (%)" dataDxfId="49" totalsRowDxfId="48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CarteiraFII" displayName="TblCarteiraFII" ref="A1:I6" totalsRowCount="1" headerRowDxfId="46" dataDxfId="45">
  <autoFilter ref="A1:I5"/>
  <sortState ref="A2:I10">
    <sortCondition ref="B1:B10"/>
  </sortState>
  <tableColumns count="9">
    <tableColumn id="1" name="Ativo" totalsRowLabel="Total" dataDxfId="44" totalsRowDxfId="43"/>
    <tableColumn id="2" name="Tipo" dataDxfId="42" totalsRowDxfId="41">
      <calculatedColumnFormula>VLOOKUP(TblCarteiraFII[[#This Row],[Ativo]], 'Tabela Ativos'!$B$4:$D$500, 2, FALSE)</calculatedColumnFormula>
    </tableColumn>
    <tableColumn id="3" name="Cotação" dataDxfId="40" totalsRowDxfId="39">
      <calculatedColumnFormula>VLOOKUP(TblCarteiraFII[[#This Row],[Ativo]], 'Tabela Ativos'!$B$4:$D$500, 3, FALSE)</calculatedColumnFormula>
    </tableColumn>
    <tableColumn id="4" name="Total Aportado" totalsRowFunction="sum" dataDxfId="38" totalsRowDxfId="37">
      <calculatedColumnFormula>SUMIFS(TblAportes[Total], TblAportes[Ativo],TblCarteiraFII[[#This Row],[Ativo]], TblAportes[Data], "&lt;="&amp;IF($K$2 = "", TODAY(), $K$2))</calculatedColumnFormula>
    </tableColumn>
    <tableColumn id="5" name="Total Quantidade" dataDxfId="36" totalsRowDxfId="35">
      <calculatedColumnFormula>SUMIFS(TblAportes[Quantidade], TblAportes[Ativo],TblCarteiraFII[[#This Row],[Ativo]], TblAportes[Data], "&lt;="&amp;IF($K$2 = "", TODAY(), $K$2))</calculatedColumnFormula>
    </tableColumn>
    <tableColumn id="6" name="Preço Médio" dataDxfId="34" totalsRowDxfId="33">
      <calculatedColumnFormula>(TblCarteiraFII[[#This Row],[Total Aportado]] / TblCarteiraFII[[#This Row],[Total Quantidade]])</calculatedColumnFormula>
    </tableColumn>
    <tableColumn id="7" name="Total Atual" totalsRowFunction="sum" dataDxfId="32" totalsRowDxfId="31">
      <calculatedColumnFormula>(TblCarteiraFII[[#This Row],[Total Quantidade]] * TblCarteiraFII[[#This Row],[Cotação]])</calculatedColumnFormula>
    </tableColumn>
    <tableColumn id="8" name="Valorização" totalsRowFunction="sum" dataDxfId="30" totalsRowDxfId="29">
      <calculatedColumnFormula>(TblCarteiraFII[[#This Row],[Total Atual]] - TblCarteiraFII[[#This Row],[Total Aportado]])</calculatedColumnFormula>
    </tableColumn>
    <tableColumn id="9" name="Valorização (%)" dataDxfId="28" totalsRowDxfId="27">
      <calculatedColumnFormula>(TblCarteiraFII[[#This Row],[Total Atual]] / TblCarteiraFII[[#This Row],[Total Aportado]]) 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CarteiraAcoes" displayName="TblCarteiraAcoes" ref="A1:I7" totalsRowCount="1" headerRowDxfId="25" dataDxfId="24">
  <autoFilter ref="A1:I6"/>
  <sortState ref="A2:I10">
    <sortCondition ref="B1:B10"/>
  </sortState>
  <tableColumns count="9">
    <tableColumn id="1" name="Ativo" totalsRowLabel="Total" dataDxfId="23" totalsRowDxfId="22"/>
    <tableColumn id="2" name="Tipo" dataDxfId="21" totalsRowDxfId="20">
      <calculatedColumnFormula>VLOOKUP(TblCarteiraAcoes[[#This Row],[Ativo]], 'Tabela Ativos'!$B$4:$D$500, 2, FALSE)</calculatedColumnFormula>
    </tableColumn>
    <tableColumn id="3" name="Cotação" dataDxfId="19" totalsRowDxfId="18">
      <calculatedColumnFormula>VLOOKUP(TblCarteiraAcoes[[#This Row],[Ativo]], 'Tabela Ativos'!$B$4:$D$500, 3, FALSE)</calculatedColumnFormula>
    </tableColumn>
    <tableColumn id="4" name="Total Aportado" totalsRowFunction="sum" dataDxfId="17" totalsRowDxfId="16">
      <calculatedColumnFormula>SUMIFS(TblAportes[Total], TblAportes[Ativo],TblCarteiraAcoes[[#This Row],[Ativo]], TblAportes[Data], "&lt;="&amp;IF($K$2 = "", TODAY(), $K$2))</calculatedColumnFormula>
    </tableColumn>
    <tableColumn id="5" name="Total Quantidade" dataDxfId="15" totalsRowDxfId="14">
      <calculatedColumnFormula>SUMIFS(TblAportes[Quantidade], TblAportes[Ativo],TblCarteiraAcoes[[#This Row],[Ativo]], TblAportes[Data], "&lt;="&amp;IF($K$2 = "", TODAY(), $K$2))</calculatedColumnFormula>
    </tableColumn>
    <tableColumn id="6" name="Preço Médio" dataDxfId="13" totalsRowDxfId="12">
      <calculatedColumnFormula>(TblCarteiraAcoes[[#This Row],[Total Aportado]] / TblCarteiraAcoes[[#This Row],[Total Quantidade]])</calculatedColumnFormula>
    </tableColumn>
    <tableColumn id="7" name="Total Atual" totalsRowFunction="sum" dataDxfId="11" totalsRowDxfId="10">
      <calculatedColumnFormula>(TblCarteiraAcoes[[#This Row],[Total Quantidade]] * TblCarteiraAcoes[[#This Row],[Cotação]])</calculatedColumnFormula>
    </tableColumn>
    <tableColumn id="8" name="Valorização" totalsRowFunction="sum" dataDxfId="9" totalsRowDxfId="8">
      <calculatedColumnFormula>(TblCarteiraAcoes[[#This Row],[Total Atual]] - TblCarteiraAcoes[[#This Row],[Total Aportado]])</calculatedColumnFormula>
    </tableColumn>
    <tableColumn id="9" name="Valorização (%)" dataDxfId="7" totalsRowDxfId="6">
      <calculatedColumnFormula>(TblCarteiraAcoes[[#This Row],[Total Atual]] / TblCarteiraAcoes[[#This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45137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10372.050000000001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1984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8388.0499999999993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4.2278477822580651</v>
      </c>
    </row>
    <row r="15" spans="1:8" s="32" customFormat="1" ht="15.6" thickTop="1" x14ac:dyDescent="0.25"/>
  </sheetData>
  <conditionalFormatting sqref="B14">
    <cfRule type="cellIs" dxfId="1" priority="2" operator="lessThan">
      <formula>0</formula>
    </cfRule>
  </conditionalFormatting>
  <conditionalFormatting sqref="B5 B8 B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68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9</v>
      </c>
      <c r="B2" s="14" t="str">
        <f>VLOOKUP(TblCarteiraFII[[#This Row],[Ativo]], 'Tabela Ativos'!$B$4:$D$500, 2, FALSE)</f>
        <v>FUNDOS INVESTIMENTO IMOBILIARIO</v>
      </c>
      <c r="C2" s="15">
        <f>VLOOKUP(TblCarteiraFII[[#This Row],[Ativo]], 'Tabela Ativos'!$B$4:$D$500, 3, FALSE)</f>
        <v>222.61</v>
      </c>
      <c r="D2" s="16">
        <f ca="1">SUMIFS(TblAportes[Total], TblAportes[Ativo],TblCarteiraFII[[#This Row],[Ativo]], TblAportes[Data], "&lt;="&amp;IF($K$2 = "", TODAY(), $K$2))</f>
        <v>199.11</v>
      </c>
      <c r="E2" s="2">
        <f ca="1">SUMIFS(TblAportes[Quantidade], TblAportes[Ativo],TblCarteiraFII[[#This Row],[Ativo]], TblAportes[Data], "&lt;="&amp;IF($K$2 = "", TODAY(), $K$2))</f>
        <v>9</v>
      </c>
      <c r="F2" s="16">
        <f ca="1">(TblCarteiraFII[[#This Row],[Total Aportado]] / TblCarteiraFII[[#This Row],[Total Quantidade]])</f>
        <v>22.123333333333335</v>
      </c>
      <c r="G2" s="16">
        <f ca="1">(TblCarteiraFII[[#This Row],[Total Quantidade]] * TblCarteiraFII[[#This Row],[Cotação]])</f>
        <v>2003.4900000000002</v>
      </c>
      <c r="H2" s="17">
        <f ca="1">(TblCarteiraFII[[#This Row],[Total Atual]] - TblCarteiraFII[[#This Row],[Total Aportado]])</f>
        <v>1804.38</v>
      </c>
      <c r="I2" s="18">
        <f ca="1">(TblCarteiraFII[[#This Row],[Total Atual]] / TblCarteiraFII[[#This Row],[Total Aportado]]) -1</f>
        <v>9.0622269097483805</v>
      </c>
      <c r="K2" s="19"/>
    </row>
    <row r="3" spans="1:11" ht="15.6" x14ac:dyDescent="0.25">
      <c r="A3" s="14" t="s">
        <v>10</v>
      </c>
      <c r="B3" s="14" t="str">
        <f>VLOOKUP(TblCarteiraFII[[#This Row],[Ativo]], 'Tabela Ativos'!$B$4:$D$500, 2, FALSE)</f>
        <v>FUNDOS INVESTIMENTO IMOBILIARIO</v>
      </c>
      <c r="C3" s="15">
        <f>VLOOKUP(TblCarteiraFII[[#This Row],[Ativo]], 'Tabela Ativos'!$B$4:$D$500, 3, FALSE)</f>
        <v>163.65</v>
      </c>
      <c r="D3" s="16">
        <f ca="1">SUMIFS(TblAportes[Total], TblAportes[Ativo],TblCarteiraFII[[#This Row],[Ativo]], TblAportes[Data], "&lt;="&amp;IF($K$2 = "", TODAY(), $K$2))</f>
        <v>966.86</v>
      </c>
      <c r="E3" s="2">
        <f ca="1">SUMIFS(TblAportes[Quantidade], TblAportes[Ativo],TblCarteiraFII[[#This Row],[Ativo]], TblAportes[Data], "&lt;="&amp;IF($K$2 = "", TODAY(), $K$2))</f>
        <v>17</v>
      </c>
      <c r="F3" s="16">
        <f ca="1">(TblCarteiraFII[[#This Row],[Total Aportado]] / TblCarteiraFII[[#This Row],[Total Quantidade]])</f>
        <v>56.874117647058824</v>
      </c>
      <c r="G3" s="16">
        <f ca="1">(TblCarteiraFII[[#This Row],[Total Quantidade]] * TblCarteiraFII[[#This Row],[Cotação]])</f>
        <v>2782.05</v>
      </c>
      <c r="H3" s="17">
        <f ca="1">(TblCarteiraFII[[#This Row],[Total Atual]] - TblCarteiraFII[[#This Row],[Total Aportado]])</f>
        <v>1815.19</v>
      </c>
      <c r="I3" s="18">
        <f ca="1">(TblCarteiraFII[[#This Row],[Total Atual]] / TblCarteiraFII[[#This Row],[Total Aportado]]) -1</f>
        <v>1.8774072771652568</v>
      </c>
    </row>
    <row r="4" spans="1:11" ht="15.6" x14ac:dyDescent="0.25">
      <c r="A4" s="14" t="s">
        <v>11</v>
      </c>
      <c r="B4" s="14" t="str">
        <f>VLOOKUP(TblCarteiraFII[[#This Row],[Ativo]], 'Tabela Ativos'!$B$4:$D$500, 2, FALSE)</f>
        <v>FUNDOS INVESTIMENTO IMOBILIARIO</v>
      </c>
      <c r="C4" s="15">
        <f>VLOOKUP(TblCarteiraFII[[#This Row],[Ativo]], 'Tabela Ativos'!$B$4:$D$500, 3, FALSE)</f>
        <v>141.51</v>
      </c>
      <c r="D4" s="16">
        <f ca="1">SUMIFS(TblAportes[Total], TblAportes[Ativo],TblCarteiraFII[[#This Row],[Ativo]], TblAportes[Data], "&lt;="&amp;IF($K$2 = "", TODAY(), $K$2))</f>
        <v>359.81</v>
      </c>
      <c r="E4" s="2">
        <f ca="1">SUMIFS(TblAportes[Quantidade], TblAportes[Ativo],TblCarteiraFII[[#This Row],[Ativo]], TblAportes[Data], "&lt;="&amp;IF($K$2 = "", TODAY(), $K$2))</f>
        <v>19</v>
      </c>
      <c r="F4" s="16">
        <f ca="1">(TblCarteiraFII[[#This Row],[Total Aportado]] / TblCarteiraFII[[#This Row],[Total Quantidade]])</f>
        <v>18.937368421052632</v>
      </c>
      <c r="G4" s="16">
        <f ca="1">(TblCarteiraFII[[#This Row],[Total Quantidade]] * TblCarteiraFII[[#This Row],[Cotação]])</f>
        <v>2688.6899999999996</v>
      </c>
      <c r="H4" s="17">
        <f ca="1">(TblCarteiraFII[[#This Row],[Total Atual]] - TblCarteiraFII[[#This Row],[Total Aportado]])</f>
        <v>2328.8799999999997</v>
      </c>
      <c r="I4" s="18">
        <f ca="1">(TblCarteiraFII[[#This Row],[Total Atual]] / TblCarteiraFII[[#This Row],[Total Aportado]]) -1</f>
        <v>6.4725271671159765</v>
      </c>
    </row>
    <row r="5" spans="1:11" ht="15.6" x14ac:dyDescent="0.25">
      <c r="A5" s="14" t="s">
        <v>12</v>
      </c>
      <c r="B5" s="14" t="str">
        <f>VLOOKUP(TblCarteiraFII[[#This Row],[Ativo]], 'Tabela Ativos'!$B$4:$D$500, 2, FALSE)</f>
        <v>FUNDOS INVESTIMENTO IMOBILIARIO</v>
      </c>
      <c r="C5" s="15">
        <f>VLOOKUP(TblCarteiraFII[[#This Row],[Ativo]], 'Tabela Ativos'!$B$4:$D$500, 3, FALSE)</f>
        <v>160.99</v>
      </c>
      <c r="D5" s="16">
        <f ca="1">SUMIFS(TblAportes[Total], TblAportes[Ativo],TblCarteiraFII[[#This Row],[Ativo]], TblAportes[Data], "&lt;="&amp;IF($K$2 = "", TODAY(), $K$2))</f>
        <v>458.22</v>
      </c>
      <c r="E5" s="2">
        <f ca="1">SUMIFS(TblAportes[Quantidade], TblAportes[Ativo],TblCarteiraFII[[#This Row],[Ativo]], TblAportes[Data], "&lt;="&amp;IF($K$2 = "", TODAY(), $K$2))</f>
        <v>18</v>
      </c>
      <c r="F5" s="16">
        <f ca="1">(TblCarteiraFII[[#This Row],[Total Aportado]] / TblCarteiraFII[[#This Row],[Total Quantidade]])</f>
        <v>25.456666666666667</v>
      </c>
      <c r="G5" s="16">
        <f ca="1">(TblCarteiraFII[[#This Row],[Total Quantidade]] * TblCarteiraFII[[#This Row],[Cotação]])</f>
        <v>2897.82</v>
      </c>
      <c r="H5" s="17">
        <f ca="1">(TblCarteiraFII[[#This Row],[Total Atual]] - TblCarteiraFII[[#This Row],[Total Aportado]])</f>
        <v>2439.6000000000004</v>
      </c>
      <c r="I5" s="18">
        <f ca="1">(TblCarteiraFII[[#This Row],[Total Atual]] / TblCarteiraFII[[#This Row],[Total Aportado]]) -1</f>
        <v>5.3240801361791279</v>
      </c>
    </row>
    <row r="6" spans="1:11" ht="15.6" x14ac:dyDescent="0.25">
      <c r="A6" s="14" t="s">
        <v>20</v>
      </c>
      <c r="D6" s="16">
        <f ca="1">SUBTOTAL(109,TblCarteiraFII[Total Aportado])</f>
        <v>1984</v>
      </c>
      <c r="F6" s="15"/>
      <c r="G6" s="16">
        <f ca="1">SUBTOTAL(109,TblCarteiraFII[Total Atual])</f>
        <v>10372.050000000001</v>
      </c>
      <c r="H6" s="17">
        <f ca="1">SUBTOTAL(109,TblCarteiraFII[Valorização])</f>
        <v>8388.0499999999993</v>
      </c>
    </row>
  </sheetData>
  <conditionalFormatting sqref="I2:I5">
    <cfRule type="cellIs" dxfId="47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VLOOKUP(TblCarteiraAcoes[[#This Row],[Ativo]], 'Tabela Ativos'!$B$4:$D$500, 2, FALSE)</f>
        <v>EMPRESA</v>
      </c>
      <c r="C2" s="15">
        <f>VLOOKUP(TblCarteiraAcoes[[#This Row],[Ativo]], 'Tabela Ativos'!$B$4:$D$500, 3, FALSE)</f>
        <v>13.76</v>
      </c>
      <c r="D2" s="16">
        <f ca="1">SUMIFS(TblAportes[Total], TblAportes[Ativo],TblCarteiraAcoes[[#This Row],[Ativo]], TblAportes[Data], "&lt;="&amp;IF($K$2 = "", TODAY(), $K$2))</f>
        <v>4371</v>
      </c>
      <c r="E2" s="2">
        <f ca="1">SUMIFS(TblAportes[Quantidade], TblAportes[Ativo],TblCarteiraAcoes[[#This Row],[Ativo]], TblAportes[Data], "&lt;="&amp;IF($K$2 = "", TODAY(), $K$2))</f>
        <v>300</v>
      </c>
      <c r="F2" s="16">
        <f ca="1">(TblCarteiraAcoes[[#This Row],[Total Aportado]] / TblCarteiraAcoes[[#This Row],[Total Quantidade]])</f>
        <v>14.57</v>
      </c>
      <c r="G2" s="16">
        <f ca="1">(TblCarteiraAcoes[[#This Row],[Total Quantidade]] * TblCarteiraAcoes[[#This Row],[Cotação]])</f>
        <v>4128</v>
      </c>
      <c r="H2" s="17">
        <f ca="1">(TblCarteiraAcoes[[#This Row],[Total Atual]] - TblCarteiraAcoes[[#This Row],[Total Aportado]])</f>
        <v>-243</v>
      </c>
      <c r="I2" s="18">
        <f ca="1">(TblCarteiraAcoes[[#This Row],[Total Atual]] / TblCarteiraAcoes[[#This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VLOOKUP(TblCarteiraAcoes[[#This Row],[Ativo]], 'Tabela Ativos'!$B$4:$D$500, 2, FALSE)</f>
        <v>EMPRESA</v>
      </c>
      <c r="C3" s="15">
        <f>VLOOKUP(TblCarteiraAcoes[[#This Row],[Ativo]], 'Tabela Ativos'!$B$4:$D$500, 3, FALSE)</f>
        <v>15.82</v>
      </c>
      <c r="D3" s="16">
        <f ca="1">SUMIFS(TblAportes[Total], TblAportes[Ativo],TblCarteiraAcoes[[#This Row],[Ativo]], TblAportes[Data], "&lt;="&amp;IF($K$2 = "", TODAY(), $K$2))</f>
        <v>14163</v>
      </c>
      <c r="E3" s="2">
        <f ca="1">SUMIFS(TblAportes[Quantidade], TblAportes[Ativo],TblCarteiraAcoes[[#This Row],[Ativo]], TblAportes[Data], "&lt;="&amp;IF($K$2 = "", TODAY(), $K$2))</f>
        <v>200</v>
      </c>
      <c r="F3" s="16">
        <f ca="1">(TblCarteiraAcoes[[#This Row],[Total Aportado]] / TblCarteiraAcoes[[#This Row],[Total Quantidade]])</f>
        <v>70.814999999999998</v>
      </c>
      <c r="G3" s="16">
        <f ca="1">(TblCarteiraAcoes[[#This Row],[Total Quantidade]] * TblCarteiraAcoes[[#This Row],[Cotação]])</f>
        <v>3164</v>
      </c>
      <c r="H3" s="17">
        <f ca="1">(TblCarteiraAcoes[[#This Row],[Total Atual]] - TblCarteiraAcoes[[#This Row],[Total Aportado]])</f>
        <v>-10999</v>
      </c>
      <c r="I3" s="18">
        <f ca="1">(TblCarteiraAcoes[[#This Row],[Total Atual]] / TblCarteiraAcoes[[#This Row],[Total Aportado]]) -1</f>
        <v>-0.7766010026124408</v>
      </c>
    </row>
    <row r="4" spans="1:11" ht="15.6" x14ac:dyDescent="0.25">
      <c r="A4" s="14" t="s">
        <v>7</v>
      </c>
      <c r="B4" s="14" t="str">
        <f>VLOOKUP(TblCarteiraAcoes[[#This Row],[Ativo]], 'Tabela Ativos'!$B$4:$D$500, 2, FALSE)</f>
        <v>EMPRESA</v>
      </c>
      <c r="C4" s="15">
        <f>VLOOKUP(TblCarteiraAcoes[[#This Row],[Ativo]], 'Tabela Ativos'!$B$4:$D$500, 3, FALSE)</f>
        <v>9.68</v>
      </c>
      <c r="D4" s="16">
        <f ca="1">SUMIFS(TblAportes[Total], TblAportes[Ativo],TblCarteiraAcoes[[#This Row],[Ativo]], TblAportes[Data], "&lt;="&amp;IF($K$2 = "", TODAY(), $K$2))</f>
        <v>3894</v>
      </c>
      <c r="E4" s="2">
        <f ca="1">SUMIFS(TblAportes[Quantidade], TblAportes[Ativo],TblCarteiraAcoes[[#This Row],[Ativo]], TblAportes[Data], "&lt;="&amp;IF($K$2 = "", TODAY(), $K$2))</f>
        <v>300</v>
      </c>
      <c r="F4" s="16">
        <f ca="1">(TblCarteiraAcoes[[#This Row],[Total Aportado]] / TblCarteiraAcoes[[#This Row],[Total Quantidade]])</f>
        <v>12.98</v>
      </c>
      <c r="G4" s="16">
        <f ca="1">(TblCarteiraAcoes[[#This Row],[Total Quantidade]] * TblCarteiraAcoes[[#This Row],[Cotação]])</f>
        <v>2904</v>
      </c>
      <c r="H4" s="17">
        <f ca="1">(TblCarteiraAcoes[[#This Row],[Total Atual]] - TblCarteiraAcoes[[#This Row],[Total Aportado]])</f>
        <v>-990</v>
      </c>
      <c r="I4" s="18">
        <f ca="1">(TblCarteiraAcoes[[#This Row],[Total Atual]] / TblCarteiraAcoes[[#This Row],[Total Aportado]]) -1</f>
        <v>-0.25423728813559321</v>
      </c>
    </row>
    <row r="5" spans="1:11" ht="15.6" x14ac:dyDescent="0.25">
      <c r="A5" s="14" t="s">
        <v>8</v>
      </c>
      <c r="B5" s="14" t="str">
        <f>VLOOKUP(TblCarteiraAcoes[[#This Row],[Ativo]], 'Tabela Ativos'!$B$4:$D$500, 2, FALSE)</f>
        <v>EMPRESA</v>
      </c>
      <c r="C5" s="15">
        <f>VLOOKUP(TblCarteiraAcoes[[#This Row],[Ativo]], 'Tabela Ativos'!$B$4:$D$500, 3, FALSE)</f>
        <v>29.39</v>
      </c>
      <c r="D5" s="16">
        <f ca="1">SUMIFS(TblAportes[Total], TblAportes[Ativo],TblCarteiraAcoes[[#This Row],[Ativo]], TblAportes[Data], "&lt;="&amp;IF($K$2 = "", TODAY(), $K$2))</f>
        <v>7527</v>
      </c>
      <c r="E5" s="2">
        <f ca="1">SUMIFS(TblAportes[Quantidade], TblAportes[Ativo],TblCarteiraAcoes[[#This Row],[Ativo]], TblAportes[Data], "&lt;="&amp;IF($K$2 = "", TODAY(), $K$2))</f>
        <v>400</v>
      </c>
      <c r="F5" s="16">
        <f ca="1">(TblCarteiraAcoes[[#This Row],[Total Aportado]] / TblCarteiraAcoes[[#This Row],[Total Quantidade]])</f>
        <v>18.817499999999999</v>
      </c>
      <c r="G5" s="16">
        <f ca="1">(TblCarteiraAcoes[[#This Row],[Total Quantidade]] * TblCarteiraAcoes[[#This Row],[Cotação]])</f>
        <v>11756</v>
      </c>
      <c r="H5" s="17">
        <f ca="1">(TblCarteiraAcoes[[#This Row],[Total Atual]] - TblCarteiraAcoes[[#This Row],[Total Aportado]])</f>
        <v>4229</v>
      </c>
      <c r="I5" s="18">
        <f ca="1">(TblCarteiraAcoes[[#This Row],[Total Atual]] / TblCarteiraAcoes[[#This Row],[Total Aportado]]) -1</f>
        <v>0.56184402816527168</v>
      </c>
    </row>
    <row r="6" spans="1:11" ht="15.6" x14ac:dyDescent="0.25">
      <c r="A6" s="14" t="s">
        <v>14</v>
      </c>
      <c r="B6" s="14" t="str">
        <f>VLOOKUP(TblCarteiraAcoes[[#This Row],[Ativo]], 'Tabela Ativos'!$B$4:$D$500, 2, FALSE)</f>
        <v>EMPRESA</v>
      </c>
      <c r="C6" s="15">
        <f>VLOOKUP(TblCarteiraAcoes[[#This Row],[Ativo]], 'Tabela Ativos'!$B$4:$D$500, 3, FALSE)</f>
        <v>12.08</v>
      </c>
      <c r="D6" s="16">
        <f ca="1">SUMIFS(TblAportes[Total], TblAportes[Ativo],TblCarteiraAcoes[[#This Row],[Ativo]], TblAportes[Data], "&lt;="&amp;IF($K$2 = "", TODAY(), $K$2))</f>
        <v>4114</v>
      </c>
      <c r="E6" s="2">
        <f ca="1">SUMIFS(TblAportes[Quantidade], TblAportes[Ativo],TblCarteiraAcoes[[#This Row],[Ativo]], TblAportes[Data], "&lt;="&amp;IF($K$2 = "", TODAY(), $K$2))</f>
        <v>200</v>
      </c>
      <c r="F6" s="16">
        <f ca="1">(TblCarteiraAcoes[[#This Row],[Total Aportado]] / TblCarteiraAcoes[[#This Row],[Total Quantidade]])</f>
        <v>20.57</v>
      </c>
      <c r="G6" s="16">
        <f ca="1">(TblCarteiraAcoes[[#This Row],[Total Quantidade]] * TblCarteiraAcoes[[#This Row],[Cotação]])</f>
        <v>2416</v>
      </c>
      <c r="H6" s="17">
        <f ca="1">(TblCarteiraAcoes[[#This Row],[Total Atual]] - TblCarteiraAcoes[[#This Row],[Total Aportado]])</f>
        <v>-1698</v>
      </c>
      <c r="I6" s="18">
        <f ca="1">(TblCarteiraAcoes[[#This Row],[Total Atual]] / TblCarteiraAcoes[[#This Row],[Total Aportado]]) -1</f>
        <v>-0.41273699562469612</v>
      </c>
    </row>
    <row r="7" spans="1:11" ht="15.6" x14ac:dyDescent="0.25">
      <c r="A7" s="14" t="s">
        <v>20</v>
      </c>
      <c r="D7" s="16">
        <f ca="1">SUBTOTAL(109,TblCarteiraAcoes[Total Aportado])</f>
        <v>34069</v>
      </c>
      <c r="F7" s="15"/>
      <c r="G7" s="16">
        <f ca="1">SUBTOTAL(109,TblCarteiraAcoes[Total Atual])</f>
        <v>24368</v>
      </c>
      <c r="H7" s="17">
        <f ca="1">SUBTOTAL(109,TblCarteiraAcoes[Valorização])</f>
        <v>-9701</v>
      </c>
    </row>
  </sheetData>
  <conditionalFormatting sqref="I2:I6">
    <cfRule type="cellIs" dxfId="26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4" max="5" width="14.54296875" customWidth="1"/>
    <col min="6" max="6" width="14.6328125" customWidth="1"/>
    <col min="7" max="7" width="23.1796875" customWidth="1"/>
    <col min="8" max="8" width="15.36328125" customWidth="1"/>
    <col min="9" max="9" width="15.90625" customWidth="1"/>
  </cols>
  <sheetData>
    <row r="2" spans="1:10" x14ac:dyDescent="0.25">
      <c r="A2" s="33" t="s">
        <v>60</v>
      </c>
      <c r="B2" s="34"/>
      <c r="D2" s="39" t="s">
        <v>67</v>
      </c>
      <c r="E2" s="40"/>
      <c r="F2" s="40"/>
      <c r="G2" s="40"/>
      <c r="H2" s="41"/>
    </row>
    <row r="3" spans="1:10" x14ac:dyDescent="0.25">
      <c r="A3" s="35">
        <v>1</v>
      </c>
      <c r="B3" s="36" t="s">
        <v>64</v>
      </c>
      <c r="D3" s="42"/>
      <c r="E3" s="43"/>
      <c r="F3" s="44">
        <v>1</v>
      </c>
      <c r="G3" s="44">
        <v>2</v>
      </c>
      <c r="H3" s="45">
        <v>3</v>
      </c>
    </row>
    <row r="4" spans="1:10" x14ac:dyDescent="0.25">
      <c r="A4" s="35">
        <v>2</v>
      </c>
      <c r="B4" s="36" t="s">
        <v>65</v>
      </c>
      <c r="D4" s="46"/>
      <c r="E4" s="47"/>
      <c r="F4" s="48" t="s">
        <v>64</v>
      </c>
      <c r="G4" s="48" t="s">
        <v>65</v>
      </c>
      <c r="H4" s="49" t="s">
        <v>66</v>
      </c>
    </row>
    <row r="5" spans="1:10" x14ac:dyDescent="0.25">
      <c r="A5" s="37">
        <v>3</v>
      </c>
      <c r="B5" s="38" t="s">
        <v>66</v>
      </c>
      <c r="D5" s="50">
        <v>1</v>
      </c>
      <c r="E5" s="51" t="s">
        <v>50</v>
      </c>
      <c r="F5" s="52">
        <f ca="1">SUMIF(TblCarteira[Tipo], "EMPRESA", TblCarteira[Total Aportado])</f>
        <v>34069</v>
      </c>
      <c r="G5" s="52">
        <f ca="1">SUMIF(TblCarteira[Tipo], "FUNDOS INVESTIMENTO IMOBILIARIO", TblCarteira[Total Aportado])</f>
        <v>1984</v>
      </c>
      <c r="H5" s="53">
        <f ca="1">SUM(TblCarteira[Total Aportado])</f>
        <v>36053</v>
      </c>
    </row>
    <row r="6" spans="1:10" x14ac:dyDescent="0.25">
      <c r="D6" s="50">
        <v>2</v>
      </c>
      <c r="E6" s="51" t="s">
        <v>57</v>
      </c>
      <c r="F6" s="52">
        <f ca="1">SUMIF(TblCarteira[Tipo], "EMPRESA", TblCarteira[Total Atual])</f>
        <v>24368</v>
      </c>
      <c r="G6" s="52">
        <f ca="1">SUMIF(TblCarteira[Tipo], "FUNDOS INVESTIMENTO IMOBILIARIO", TblCarteira[Total Atual])</f>
        <v>10372.050000000001</v>
      </c>
      <c r="H6" s="53">
        <f ca="1">SUM(TblCarteira[Total Atual])</f>
        <v>34740.050000000003</v>
      </c>
    </row>
    <row r="7" spans="1:10" x14ac:dyDescent="0.25">
      <c r="A7" s="39" t="s">
        <v>61</v>
      </c>
      <c r="B7" s="41"/>
      <c r="D7" s="50">
        <v>3</v>
      </c>
      <c r="E7" s="51" t="s">
        <v>53</v>
      </c>
      <c r="F7" s="52">
        <f ca="1">SUMIF(TblCarteira[Tipo], "EMPRESA", TblCarteira[Valorização])</f>
        <v>-9701</v>
      </c>
      <c r="G7" s="52">
        <f ca="1">SUMIF(TblCarteira[Tipo], "FUNDOS INVESTIMENTO IMOBILIARIO", TblCarteira[Valorização])</f>
        <v>8388.0499999999993</v>
      </c>
      <c r="H7" s="53">
        <f ca="1">SUM(TblCarteira[Valorização])</f>
        <v>-1312.9500000000003</v>
      </c>
    </row>
    <row r="8" spans="1:10" x14ac:dyDescent="0.25">
      <c r="A8" s="46" t="s">
        <v>62</v>
      </c>
      <c r="B8" s="49">
        <v>2</v>
      </c>
      <c r="D8" s="54">
        <v>4</v>
      </c>
      <c r="E8" s="55" t="s">
        <v>54</v>
      </c>
      <c r="F8" s="56">
        <f ca="1">(H6 / F5) - 1</f>
        <v>1.969679180486672E-2</v>
      </c>
      <c r="G8" s="56">
        <f ca="1">(G6 / G5) - 1</f>
        <v>4.2278477822580651</v>
      </c>
      <c r="H8" s="57">
        <f ca="1">(H6 / H5) - 1</f>
        <v>-3.6417219094111331E-2</v>
      </c>
    </row>
    <row r="9" spans="1:10" x14ac:dyDescent="0.25">
      <c r="A9" s="58" t="s">
        <v>63</v>
      </c>
      <c r="B9" s="59">
        <f>Dashboard!E1</f>
        <v>10000</v>
      </c>
    </row>
    <row r="10" spans="1:10" x14ac:dyDescent="0.25">
      <c r="D10" s="39" t="s">
        <v>71</v>
      </c>
      <c r="E10" s="40"/>
      <c r="F10" s="41"/>
    </row>
    <row r="11" spans="1:10" x14ac:dyDescent="0.25">
      <c r="A11" s="39" t="s">
        <v>70</v>
      </c>
      <c r="B11" s="41"/>
      <c r="D11" s="46" t="s">
        <v>64</v>
      </c>
      <c r="E11" s="52">
        <f ca="1">F6</f>
        <v>24368</v>
      </c>
      <c r="F11" s="62"/>
    </row>
    <row r="12" spans="1:10" x14ac:dyDescent="0.25">
      <c r="A12" s="60" t="s">
        <v>50</v>
      </c>
      <c r="B12" s="53">
        <f ca="1">INDEX($F$5:$H$8, D5, $B$8)</f>
        <v>1984</v>
      </c>
      <c r="D12" s="46" t="s">
        <v>72</v>
      </c>
      <c r="E12" s="52">
        <f>B9</f>
        <v>10000</v>
      </c>
      <c r="F12" s="62"/>
    </row>
    <row r="13" spans="1:10" x14ac:dyDescent="0.25">
      <c r="A13" s="60" t="s">
        <v>57</v>
      </c>
      <c r="B13" s="53">
        <f t="shared" ref="B13:B15" ca="1" si="0">INDEX($F$5:$H$8, D6, $B$8)</f>
        <v>10372.050000000001</v>
      </c>
      <c r="D13" s="58" t="s">
        <v>68</v>
      </c>
      <c r="E13" s="63">
        <f ca="1">G6</f>
        <v>10372.050000000001</v>
      </c>
      <c r="F13" s="64"/>
    </row>
    <row r="14" spans="1:10" x14ac:dyDescent="0.25">
      <c r="A14" s="60" t="s">
        <v>53</v>
      </c>
      <c r="B14" s="53">
        <f t="shared" ca="1" si="0"/>
        <v>8388.0499999999993</v>
      </c>
    </row>
    <row r="15" spans="1:10" ht="15.6" thickBot="1" x14ac:dyDescent="0.3">
      <c r="A15" s="61" t="s">
        <v>54</v>
      </c>
      <c r="B15" s="57">
        <f t="shared" ca="1" si="0"/>
        <v>4.2278477822580651</v>
      </c>
    </row>
    <row r="16" spans="1:10" ht="15.6" thickTop="1" x14ac:dyDescent="0.25">
      <c r="D16" s="71" t="s">
        <v>74</v>
      </c>
      <c r="E16" s="72"/>
      <c r="F16" s="73"/>
      <c r="G16" s="72" t="s">
        <v>77</v>
      </c>
      <c r="H16" s="72"/>
      <c r="I16" s="72"/>
      <c r="J16" s="74"/>
    </row>
    <row r="17" spans="1:10" x14ac:dyDescent="0.25">
      <c r="A17" s="11"/>
      <c r="D17" s="75" t="s">
        <v>73</v>
      </c>
      <c r="E17" s="48" t="s">
        <v>75</v>
      </c>
      <c r="F17" s="65" t="s">
        <v>76</v>
      </c>
      <c r="G17" s="48" t="s">
        <v>73</v>
      </c>
      <c r="H17" s="48" t="s">
        <v>16</v>
      </c>
      <c r="I17" s="48" t="s">
        <v>76</v>
      </c>
      <c r="J17" s="76" t="s">
        <v>78</v>
      </c>
    </row>
    <row r="18" spans="1:10" x14ac:dyDescent="0.25">
      <c r="A18" s="11"/>
      <c r="D18" s="75">
        <v>10</v>
      </c>
      <c r="E18" s="47" t="str">
        <f ca="1">IF($B$8 = 3, H18, IF($B$8 = 2, H44, H31))</f>
        <v xml:space="preserve"> - </v>
      </c>
      <c r="F18" s="69">
        <f ca="1">IF($B$8 = 3, I18, IF($B$8 = 2, I44, I31))</f>
        <v>0</v>
      </c>
      <c r="G18" s="48">
        <v>10</v>
      </c>
      <c r="H18" s="68" t="str">
        <f ca="1">IF(ISNA(INDEX(TblCarteira[Ativo], J18, 1)), " - ", INDEX(TblCarteira[Ativo], J18, 1))</f>
        <v xml:space="preserve"> - </v>
      </c>
      <c r="I18" s="52">
        <f ca="1">IF(ISNUMBER(LARGE(TblCarteira[Total Atual], G18)), LARGE(TblCarteira[Total Atual], G18), 0)</f>
        <v>0</v>
      </c>
      <c r="J18" s="76" t="e">
        <f ca="1">MATCH(I18, TblCarteira[Total Atual], 0)</f>
        <v>#N/A</v>
      </c>
    </row>
    <row r="19" spans="1:10" x14ac:dyDescent="0.25">
      <c r="D19" s="75">
        <v>9</v>
      </c>
      <c r="E19" s="47" t="str">
        <f t="shared" ref="E19:E27" ca="1" si="1">IF($B$8 = 3, H19, IF($B$8 = 2, H45, H32))</f>
        <v xml:space="preserve"> - </v>
      </c>
      <c r="F19" s="69">
        <f t="shared" ref="F19:F27" ca="1" si="2">IF($B$8 = 3, I19, IF($B$8 = 2, I45, I32))</f>
        <v>0</v>
      </c>
      <c r="G19" s="48">
        <v>9</v>
      </c>
      <c r="H19" s="68" t="str">
        <f ca="1">INDEX(TblCarteira[Ativo], J19, 1)</f>
        <v>HGBS11</v>
      </c>
      <c r="I19" s="52">
        <f ca="1">IF(ISNUMBER(LARGE(TblCarteira[Total Atual], G19)), LARGE(TblCarteira[Total Atual], G19), 0)</f>
        <v>2003.4900000000002</v>
      </c>
      <c r="J19" s="76">
        <f ca="1">MATCH(I19, TblCarteira[Total Atual], 0)</f>
        <v>5</v>
      </c>
    </row>
    <row r="20" spans="1:10" x14ac:dyDescent="0.25">
      <c r="D20" s="75">
        <v>8</v>
      </c>
      <c r="E20" s="47" t="str">
        <f t="shared" ca="1" si="1"/>
        <v xml:space="preserve"> - </v>
      </c>
      <c r="F20" s="69">
        <f t="shared" ca="1" si="2"/>
        <v>0</v>
      </c>
      <c r="G20" s="48">
        <v>8</v>
      </c>
      <c r="H20" s="68" t="str">
        <f ca="1">INDEX(TblCarteira[Ativo], J20, 1)</f>
        <v>TAEE4</v>
      </c>
      <c r="I20" s="52">
        <f ca="1">IF(ISNUMBER(LARGE(TblCarteira[Total Atual], G20)), LARGE(TblCarteira[Total Atual], G20), 0)</f>
        <v>2416</v>
      </c>
      <c r="J20" s="76">
        <f ca="1">MATCH(I20, TblCarteira[Total Atual], 0)</f>
        <v>9</v>
      </c>
    </row>
    <row r="21" spans="1:10" x14ac:dyDescent="0.25">
      <c r="D21" s="75">
        <v>7</v>
      </c>
      <c r="E21" s="47" t="str">
        <f t="shared" ca="1" si="1"/>
        <v xml:space="preserve"> - </v>
      </c>
      <c r="F21" s="69">
        <f t="shared" ca="1" si="2"/>
        <v>0</v>
      </c>
      <c r="G21" s="48">
        <v>7</v>
      </c>
      <c r="H21" s="68" t="str">
        <f ca="1">INDEX(TblCarteira[Ativo], J21, 1)</f>
        <v>HGRE11</v>
      </c>
      <c r="I21" s="52">
        <f ca="1">IF(ISNUMBER(LARGE(TblCarteira[Total Atual], G21)), LARGE(TblCarteira[Total Atual], G21), 0)</f>
        <v>2688.6899999999996</v>
      </c>
      <c r="J21" s="76">
        <f ca="1">MATCH(I21, TblCarteira[Total Atual], 0)</f>
        <v>7</v>
      </c>
    </row>
    <row r="22" spans="1:10" x14ac:dyDescent="0.25">
      <c r="D22" s="75">
        <v>6</v>
      </c>
      <c r="E22" s="47" t="str">
        <f t="shared" ca="1" si="1"/>
        <v xml:space="preserve"> - </v>
      </c>
      <c r="F22" s="69">
        <f t="shared" ca="1" si="2"/>
        <v>0</v>
      </c>
      <c r="G22" s="48">
        <v>6</v>
      </c>
      <c r="H22" s="68" t="str">
        <f ca="1">INDEX(TblCarteira[Ativo], J22, 1)</f>
        <v>HGLG11</v>
      </c>
      <c r="I22" s="52">
        <f ca="1">IF(ISNUMBER(LARGE(TblCarteira[Total Atual], G22)), LARGE(TblCarteira[Total Atual], G22), 0)</f>
        <v>2782.05</v>
      </c>
      <c r="J22" s="76">
        <f ca="1">MATCH(I22, TblCarteira[Total Atual], 0)</f>
        <v>6</v>
      </c>
    </row>
    <row r="23" spans="1:10" x14ac:dyDescent="0.25">
      <c r="D23" s="75">
        <v>5</v>
      </c>
      <c r="E23" s="47" t="str">
        <f t="shared" ca="1" si="1"/>
        <v xml:space="preserve"> - </v>
      </c>
      <c r="F23" s="69">
        <f t="shared" ca="1" si="2"/>
        <v>0</v>
      </c>
      <c r="G23" s="48">
        <v>5</v>
      </c>
      <c r="H23" s="68" t="str">
        <f ca="1">INDEX(TblCarteira[Ativo], J23, 1)</f>
        <v>KNRI11</v>
      </c>
      <c r="I23" s="52">
        <f ca="1">IF(ISNUMBER(LARGE(TblCarteira[Total Atual], G23)), LARGE(TblCarteira[Total Atual], G23), 0)</f>
        <v>2897.82</v>
      </c>
      <c r="J23" s="76">
        <f ca="1">MATCH(I23, TblCarteira[Total Atual], 0)</f>
        <v>8</v>
      </c>
    </row>
    <row r="24" spans="1:10" x14ac:dyDescent="0.25">
      <c r="D24" s="75">
        <v>4</v>
      </c>
      <c r="E24" s="47" t="str">
        <f t="shared" ca="1" si="1"/>
        <v>HGBS11</v>
      </c>
      <c r="F24" s="69">
        <f t="shared" ca="1" si="2"/>
        <v>2003.4900000000002</v>
      </c>
      <c r="G24" s="48">
        <v>4</v>
      </c>
      <c r="H24" s="68" t="str">
        <f ca="1">INDEX(TblCarteira[Ativo], J24, 1)</f>
        <v>ITSA4</v>
      </c>
      <c r="I24" s="52">
        <f ca="1">IF(ISNUMBER(LARGE(TblCarteira[Total Atual], G24)), LARGE(TblCarteira[Total Atual], G24), 0)</f>
        <v>2904</v>
      </c>
      <c r="J24" s="76">
        <f ca="1">MATCH(I24, TblCarteira[Total Atual], 0)</f>
        <v>3</v>
      </c>
    </row>
    <row r="25" spans="1:10" x14ac:dyDescent="0.25">
      <c r="D25" s="75">
        <v>3</v>
      </c>
      <c r="E25" s="47" t="str">
        <f t="shared" ca="1" si="1"/>
        <v>HGRE11</v>
      </c>
      <c r="F25" s="69">
        <f t="shared" ca="1" si="2"/>
        <v>2688.6899999999996</v>
      </c>
      <c r="G25" s="48">
        <v>3</v>
      </c>
      <c r="H25" s="68" t="str">
        <f ca="1">INDEX(TblCarteira[Ativo], J25, 1)</f>
        <v>FLRY3</v>
      </c>
      <c r="I25" s="52">
        <f ca="1">IF(ISNUMBER(LARGE(TblCarteira[Total Atual], G25)), LARGE(TblCarteira[Total Atual], G25), 0)</f>
        <v>3164</v>
      </c>
      <c r="J25" s="76">
        <f ca="1">MATCH(I25, TblCarteira[Total Atual], 0)</f>
        <v>2</v>
      </c>
    </row>
    <row r="26" spans="1:10" x14ac:dyDescent="0.25">
      <c r="D26" s="75">
        <v>2</v>
      </c>
      <c r="E26" s="47" t="str">
        <f t="shared" ca="1" si="1"/>
        <v>HGLG11</v>
      </c>
      <c r="F26" s="69">
        <f t="shared" ca="1" si="2"/>
        <v>2782.05</v>
      </c>
      <c r="G26" s="48">
        <v>2</v>
      </c>
      <c r="H26" s="68" t="str">
        <f ca="1">INDEX(TblCarteira[Ativo], J26, 1)</f>
        <v>CSNA3</v>
      </c>
      <c r="I26" s="52">
        <f ca="1">IF(ISNUMBER(LARGE(TblCarteira[Total Atual], G26)), LARGE(TblCarteira[Total Atual], G26), 0)</f>
        <v>4128</v>
      </c>
      <c r="J26" s="76">
        <f ca="1">MATCH(I26, TblCarteira[Total Atual], 0)</f>
        <v>1</v>
      </c>
    </row>
    <row r="27" spans="1:10" ht="15.6" thickBot="1" x14ac:dyDescent="0.3">
      <c r="D27" s="77">
        <v>1</v>
      </c>
      <c r="E27" s="66" t="str">
        <f t="shared" ca="1" si="1"/>
        <v>KNRI11</v>
      </c>
      <c r="F27" s="70">
        <f t="shared" ca="1" si="2"/>
        <v>2897.82</v>
      </c>
      <c r="G27" s="67">
        <v>1</v>
      </c>
      <c r="H27" s="68" t="str">
        <f ca="1">INDEX(TblCarteira[Ativo], J27, 1)</f>
        <v>PETR4</v>
      </c>
      <c r="I27" s="63">
        <f ca="1">IF(ISNUMBER(LARGE(TblCarteira[Total Atual], G27)), LARGE(TblCarteira[Total Atual], G27), 0)</f>
        <v>11756</v>
      </c>
      <c r="J27" s="78">
        <f ca="1">MATCH(I27, TblCarteira[Total Atual], 0)</f>
        <v>4</v>
      </c>
    </row>
    <row r="28" spans="1:10" ht="15.6" thickTop="1" x14ac:dyDescent="0.25">
      <c r="D28" s="79"/>
      <c r="E28" s="47"/>
      <c r="F28" s="47"/>
      <c r="G28" s="47"/>
      <c r="H28" s="47"/>
      <c r="I28" s="47"/>
      <c r="J28" s="80"/>
    </row>
    <row r="29" spans="1:10" x14ac:dyDescent="0.25">
      <c r="D29" s="79"/>
      <c r="E29" s="47"/>
      <c r="F29" s="47"/>
      <c r="G29" s="40" t="s">
        <v>79</v>
      </c>
      <c r="H29" s="40"/>
      <c r="I29" s="40"/>
      <c r="J29" s="81"/>
    </row>
    <row r="30" spans="1:10" x14ac:dyDescent="0.25">
      <c r="D30" s="79"/>
      <c r="E30" s="47"/>
      <c r="F30" s="47"/>
      <c r="G30" s="48" t="s">
        <v>73</v>
      </c>
      <c r="H30" s="48" t="s">
        <v>16</v>
      </c>
      <c r="I30" s="48" t="s">
        <v>76</v>
      </c>
      <c r="J30" s="76" t="s">
        <v>78</v>
      </c>
    </row>
    <row r="31" spans="1:10" x14ac:dyDescent="0.25">
      <c r="D31" s="79"/>
      <c r="E31" s="47"/>
      <c r="F31" s="47"/>
      <c r="G31" s="48">
        <v>10</v>
      </c>
      <c r="H31" s="68" t="str">
        <f ca="1">IF(ISNA(INDEX(TblCarteiraAcoes[Ativo], J31, 1)), " - ", INDEX(TblCarteiraAcoes[Ativo], J31, 1))</f>
        <v xml:space="preserve"> - </v>
      </c>
      <c r="I31" s="52">
        <f ca="1">IF(ISNUMBER(LARGE(TblCarteiraAcoes[Total Atual], G31)), LARGE(TblCarteiraAcoes[Total Atual], G31), 0)</f>
        <v>0</v>
      </c>
      <c r="J31" s="76" t="e">
        <f ca="1">MATCH(I31, TblCarteiraAcoes[Total Atual], 0)</f>
        <v>#N/A</v>
      </c>
    </row>
    <row r="32" spans="1:10" x14ac:dyDescent="0.25">
      <c r="D32" s="79"/>
      <c r="E32" s="47"/>
      <c r="F32" s="47"/>
      <c r="G32" s="48">
        <v>9</v>
      </c>
      <c r="H32" s="68" t="str">
        <f ca="1">IF(ISNA(INDEX(TblCarteiraAcoes[Ativo], J32, 1)), " - ", INDEX(TblCarteiraAcoes[Ativo], J32, 1))</f>
        <v xml:space="preserve"> - </v>
      </c>
      <c r="I32" s="52">
        <f ca="1">IF(ISNUMBER(LARGE(TblCarteiraAcoes[Total Atual], G32)), LARGE(TblCarteiraAcoes[Total Atual], G32), 0)</f>
        <v>0</v>
      </c>
      <c r="J32" s="76" t="e">
        <f ca="1">MATCH(I32, TblCarteiraAcoes[Total Atual], 0)</f>
        <v>#N/A</v>
      </c>
    </row>
    <row r="33" spans="4:10" x14ac:dyDescent="0.25">
      <c r="D33" s="79"/>
      <c r="E33" s="47"/>
      <c r="F33" s="47"/>
      <c r="G33" s="48">
        <v>8</v>
      </c>
      <c r="H33" s="68" t="str">
        <f ca="1">IF(ISNA(INDEX(TblCarteiraAcoes[Ativo], J33, 1)), " - ", INDEX(TblCarteiraAcoes[Ativo], J33, 1))</f>
        <v xml:space="preserve"> - </v>
      </c>
      <c r="I33" s="52">
        <f ca="1">IF(ISNUMBER(LARGE(TblCarteiraAcoes[Total Atual], G33)), LARGE(TblCarteiraAcoes[Total Atual], G33), 0)</f>
        <v>0</v>
      </c>
      <c r="J33" s="76" t="e">
        <f ca="1">MATCH(I33, TblCarteiraAcoes[Total Atual], 0)</f>
        <v>#N/A</v>
      </c>
    </row>
    <row r="34" spans="4:10" x14ac:dyDescent="0.25">
      <c r="D34" s="79"/>
      <c r="E34" s="47"/>
      <c r="F34" s="47"/>
      <c r="G34" s="48">
        <v>7</v>
      </c>
      <c r="H34" s="68" t="str">
        <f ca="1">IF(ISNA(INDEX(TblCarteiraAcoes[Ativo], J34, 1)), " - ", INDEX(TblCarteiraAcoes[Ativo], J34, 1))</f>
        <v xml:space="preserve"> - </v>
      </c>
      <c r="I34" s="52">
        <f ca="1">IF(ISNUMBER(LARGE(TblCarteiraAcoes[Total Atual], G34)), LARGE(TblCarteiraAcoes[Total Atual], G34), 0)</f>
        <v>0</v>
      </c>
      <c r="J34" s="76" t="e">
        <f ca="1">MATCH(I34, TblCarteiraAcoes[Total Atual], 0)</f>
        <v>#N/A</v>
      </c>
    </row>
    <row r="35" spans="4:10" x14ac:dyDescent="0.25">
      <c r="D35" s="79"/>
      <c r="E35" s="47"/>
      <c r="F35" s="47"/>
      <c r="G35" s="48">
        <v>6</v>
      </c>
      <c r="H35" s="68" t="str">
        <f ca="1">IF(ISNA(INDEX(TblCarteiraAcoes[Ativo], J35, 1)), " - ", INDEX(TblCarteiraAcoes[Ativo], J35, 1))</f>
        <v xml:space="preserve"> - </v>
      </c>
      <c r="I35" s="52">
        <f ca="1">IF(ISNUMBER(LARGE(TblCarteiraAcoes[Total Atual], G35)), LARGE(TblCarteiraAcoes[Total Atual], G35), 0)</f>
        <v>0</v>
      </c>
      <c r="J35" s="76" t="e">
        <f ca="1">MATCH(I35, TblCarteiraAcoes[Total Atual], 0)</f>
        <v>#N/A</v>
      </c>
    </row>
    <row r="36" spans="4:10" x14ac:dyDescent="0.25">
      <c r="D36" s="79"/>
      <c r="E36" s="47"/>
      <c r="F36" s="47"/>
      <c r="G36" s="48">
        <v>5</v>
      </c>
      <c r="H36" s="68" t="str">
        <f ca="1">IF(ISNA(INDEX(TblCarteiraAcoes[Ativo], J36, 1)), " - ", INDEX(TblCarteiraAcoes[Ativo], J36, 1))</f>
        <v>TAEE4</v>
      </c>
      <c r="I36" s="52">
        <f ca="1">IF(ISNUMBER(LARGE(TblCarteiraAcoes[Total Atual], G36)), LARGE(TblCarteiraAcoes[Total Atual], G36), 0)</f>
        <v>2416</v>
      </c>
      <c r="J36" s="76">
        <f ca="1">MATCH(I36, TblCarteiraAcoes[Total Atual], 0)</f>
        <v>5</v>
      </c>
    </row>
    <row r="37" spans="4:10" x14ac:dyDescent="0.25">
      <c r="D37" s="79"/>
      <c r="E37" s="47"/>
      <c r="F37" s="47"/>
      <c r="G37" s="48">
        <v>4</v>
      </c>
      <c r="H37" s="68" t="str">
        <f ca="1">IF(ISNA(INDEX(TblCarteiraAcoes[Ativo], J37, 1)), " - ", INDEX(TblCarteiraAcoes[Ativo], J37, 1))</f>
        <v>ITSA4</v>
      </c>
      <c r="I37" s="52">
        <f ca="1">IF(ISNUMBER(LARGE(TblCarteiraAcoes[Total Atual], G37)), LARGE(TblCarteiraAcoes[Total Atual], G37), 0)</f>
        <v>2904</v>
      </c>
      <c r="J37" s="76">
        <f ca="1">MATCH(I37, TblCarteiraAcoes[Total Atual], 0)</f>
        <v>3</v>
      </c>
    </row>
    <row r="38" spans="4:10" x14ac:dyDescent="0.25">
      <c r="D38" s="79"/>
      <c r="E38" s="47"/>
      <c r="F38" s="47"/>
      <c r="G38" s="48">
        <v>3</v>
      </c>
      <c r="H38" s="68" t="str">
        <f ca="1">IF(ISNA(INDEX(TblCarteiraAcoes[Ativo], J38, 1)), " - ", INDEX(TblCarteiraAcoes[Ativo], J38, 1))</f>
        <v>FLRY3</v>
      </c>
      <c r="I38" s="52">
        <f ca="1">IF(ISNUMBER(LARGE(TblCarteiraAcoes[Total Atual], G38)), LARGE(TblCarteiraAcoes[Total Atual], G38), 0)</f>
        <v>3164</v>
      </c>
      <c r="J38" s="76">
        <f ca="1">MATCH(I38, TblCarteiraAcoes[Total Atual], 0)</f>
        <v>2</v>
      </c>
    </row>
    <row r="39" spans="4:10" x14ac:dyDescent="0.25">
      <c r="D39" s="79"/>
      <c r="E39" s="47"/>
      <c r="F39" s="47"/>
      <c r="G39" s="48">
        <v>2</v>
      </c>
      <c r="H39" s="68" t="str">
        <f ca="1">IF(ISNA(INDEX(TblCarteiraAcoes[Ativo], J39, 1)), " - ", INDEX(TblCarteiraAcoes[Ativo], J39, 1))</f>
        <v>CSNA3</v>
      </c>
      <c r="I39" s="52">
        <f ca="1">IF(ISNUMBER(LARGE(TblCarteiraAcoes[Total Atual], G39)), LARGE(TblCarteiraAcoes[Total Atual], G39), 0)</f>
        <v>4128</v>
      </c>
      <c r="J39" s="76">
        <f ca="1">MATCH(I39, TblCarteiraAcoes[Total Atual], 0)</f>
        <v>1</v>
      </c>
    </row>
    <row r="40" spans="4:10" x14ac:dyDescent="0.25">
      <c r="D40" s="79"/>
      <c r="E40" s="47"/>
      <c r="F40" s="47"/>
      <c r="G40" s="67">
        <v>1</v>
      </c>
      <c r="H40" s="68" t="str">
        <f ca="1">IF(ISNA(INDEX(TblCarteiraAcoes[Ativo], J40, 1)), " - ", INDEX(TblCarteiraAcoes[Ativo], J40, 1))</f>
        <v>PETR4</v>
      </c>
      <c r="I40" s="52">
        <f ca="1">IF(ISNUMBER(LARGE(TblCarteiraAcoes[Total Atual], G40)), LARGE(TblCarteiraAcoes[Total Atual], G40), 0)</f>
        <v>11756</v>
      </c>
      <c r="J40" s="76">
        <f ca="1">MATCH(I40, TblCarteiraAcoes[Total Atual], 0)</f>
        <v>4</v>
      </c>
    </row>
    <row r="41" spans="4:10" x14ac:dyDescent="0.25">
      <c r="D41" s="79"/>
      <c r="E41" s="47"/>
      <c r="F41" s="47"/>
      <c r="G41" s="47"/>
      <c r="H41" s="47"/>
      <c r="I41" s="47"/>
      <c r="J41" s="80"/>
    </row>
    <row r="42" spans="4:10" x14ac:dyDescent="0.25">
      <c r="D42" s="79"/>
      <c r="E42" s="47"/>
      <c r="F42" s="47"/>
      <c r="G42" s="40" t="s">
        <v>80</v>
      </c>
      <c r="H42" s="40"/>
      <c r="I42" s="40"/>
      <c r="J42" s="81"/>
    </row>
    <row r="43" spans="4:10" x14ac:dyDescent="0.25">
      <c r="D43" s="79"/>
      <c r="E43" s="47"/>
      <c r="F43" s="47"/>
      <c r="G43" s="48" t="s">
        <v>73</v>
      </c>
      <c r="H43" s="48" t="s">
        <v>16</v>
      </c>
      <c r="I43" s="48" t="s">
        <v>76</v>
      </c>
      <c r="J43" s="76" t="s">
        <v>78</v>
      </c>
    </row>
    <row r="44" spans="4:10" x14ac:dyDescent="0.25">
      <c r="D44" s="79"/>
      <c r="E44" s="47"/>
      <c r="F44" s="47"/>
      <c r="G44" s="48">
        <v>10</v>
      </c>
      <c r="H44" s="68" t="str">
        <f ca="1">IF(ISNA(INDEX(TblCarteiraFII[Ativo], J44, 1)), " - ", INDEX(TblCarteiraFII[Ativo], J44, 1))</f>
        <v xml:space="preserve"> - </v>
      </c>
      <c r="I44" s="52">
        <f ca="1">IF(ISNUMBER(LARGE(TblCarteiraFII[Total Atual], G44)), LARGE(TblCarteiraFII[Total Atual], G44), 0)</f>
        <v>0</v>
      </c>
      <c r="J44" s="76" t="e">
        <f ca="1">MATCH(I44, TblCarteiraFII[Total Atual], 0)</f>
        <v>#N/A</v>
      </c>
    </row>
    <row r="45" spans="4:10" x14ac:dyDescent="0.25">
      <c r="D45" s="79"/>
      <c r="E45" s="47"/>
      <c r="F45" s="47"/>
      <c r="G45" s="48">
        <v>9</v>
      </c>
      <c r="H45" s="68" t="str">
        <f ca="1">IF(ISNA(INDEX(TblCarteiraFII[Ativo], J45, 1)), " - ", INDEX(TblCarteiraFII[Ativo], J45, 1))</f>
        <v xml:space="preserve"> - </v>
      </c>
      <c r="I45" s="52">
        <f ca="1">IF(ISNUMBER(LARGE(TblCarteiraFII[Total Atual], G45)), LARGE(TblCarteiraFII[Total Atual], G45), 0)</f>
        <v>0</v>
      </c>
      <c r="J45" s="76" t="e">
        <f ca="1">MATCH(I45, TblCarteiraFII[Total Atual], 0)</f>
        <v>#N/A</v>
      </c>
    </row>
    <row r="46" spans="4:10" x14ac:dyDescent="0.25">
      <c r="D46" s="79"/>
      <c r="E46" s="47"/>
      <c r="F46" s="47"/>
      <c r="G46" s="48">
        <v>8</v>
      </c>
      <c r="H46" s="68" t="str">
        <f ca="1">IF(ISNA(INDEX(TblCarteiraFII[Ativo], J46, 1)), " - ", INDEX(TblCarteiraFII[Ativo], J46, 1))</f>
        <v xml:space="preserve"> - </v>
      </c>
      <c r="I46" s="52">
        <f ca="1">IF(ISNUMBER(LARGE(TblCarteiraFII[Total Atual], G46)), LARGE(TblCarteiraFII[Total Atual], G46), 0)</f>
        <v>0</v>
      </c>
      <c r="J46" s="76" t="e">
        <f ca="1">MATCH(I46, TblCarteiraFII[Total Atual], 0)</f>
        <v>#N/A</v>
      </c>
    </row>
    <row r="47" spans="4:10" x14ac:dyDescent="0.25">
      <c r="D47" s="79"/>
      <c r="E47" s="47"/>
      <c r="F47" s="47"/>
      <c r="G47" s="48">
        <v>7</v>
      </c>
      <c r="H47" s="68" t="str">
        <f ca="1">IF(ISNA(INDEX(TblCarteiraFII[Ativo], J47, 1)), " - ", INDEX(TblCarteiraFII[Ativo], J47, 1))</f>
        <v xml:space="preserve"> - </v>
      </c>
      <c r="I47" s="52">
        <f ca="1">IF(ISNUMBER(LARGE(TblCarteiraFII[Total Atual], G47)), LARGE(TblCarteiraFII[Total Atual], G47), 0)</f>
        <v>0</v>
      </c>
      <c r="J47" s="76" t="e">
        <f ca="1">MATCH(I47, TblCarteiraFII[Total Atual], 0)</f>
        <v>#N/A</v>
      </c>
    </row>
    <row r="48" spans="4:10" x14ac:dyDescent="0.25">
      <c r="D48" s="79"/>
      <c r="E48" s="47"/>
      <c r="F48" s="47"/>
      <c r="G48" s="48">
        <v>6</v>
      </c>
      <c r="H48" s="68" t="str">
        <f ca="1">IF(ISNA(INDEX(TblCarteiraFII[Ativo], J48, 1)), " - ", INDEX(TblCarteiraFII[Ativo], J48, 1))</f>
        <v xml:space="preserve"> - </v>
      </c>
      <c r="I48" s="52">
        <f ca="1">IF(ISNUMBER(LARGE(TblCarteiraFII[Total Atual], G48)), LARGE(TblCarteiraFII[Total Atual], G48), 0)</f>
        <v>0</v>
      </c>
      <c r="J48" s="76" t="e">
        <f ca="1">MATCH(I48, TblCarteiraFII[Total Atual], 0)</f>
        <v>#N/A</v>
      </c>
    </row>
    <row r="49" spans="4:10" x14ac:dyDescent="0.25">
      <c r="D49" s="79"/>
      <c r="E49" s="47"/>
      <c r="F49" s="47"/>
      <c r="G49" s="48">
        <v>5</v>
      </c>
      <c r="H49" s="68" t="str">
        <f ca="1">IF(ISNA(INDEX(TblCarteiraFII[Ativo], J49, 1)), " - ", INDEX(TblCarteiraFII[Ativo], J49, 1))</f>
        <v xml:space="preserve"> - </v>
      </c>
      <c r="I49" s="52">
        <f ca="1">IF(ISNUMBER(LARGE(TblCarteiraFII[Total Atual], G49)), LARGE(TblCarteiraFII[Total Atual], G49), 0)</f>
        <v>0</v>
      </c>
      <c r="J49" s="76" t="e">
        <f ca="1">MATCH(I49, TblCarteiraFII[Total Atual], 0)</f>
        <v>#N/A</v>
      </c>
    </row>
    <row r="50" spans="4:10" x14ac:dyDescent="0.25">
      <c r="D50" s="79"/>
      <c r="E50" s="47"/>
      <c r="F50" s="47"/>
      <c r="G50" s="48">
        <v>4</v>
      </c>
      <c r="H50" s="68" t="str">
        <f ca="1">IF(ISNA(INDEX(TblCarteiraFII[Ativo], J50, 1)), " - ", INDEX(TblCarteiraFII[Ativo], J50, 1))</f>
        <v>HGBS11</v>
      </c>
      <c r="I50" s="52">
        <f ca="1">IF(ISNUMBER(LARGE(TblCarteiraFII[Total Atual], G50)), LARGE(TblCarteiraFII[Total Atual], G50), 0)</f>
        <v>2003.4900000000002</v>
      </c>
      <c r="J50" s="76">
        <f ca="1">MATCH(I50, TblCarteiraFII[Total Atual], 0)</f>
        <v>1</v>
      </c>
    </row>
    <row r="51" spans="4:10" x14ac:dyDescent="0.25">
      <c r="D51" s="79"/>
      <c r="E51" s="47"/>
      <c r="F51" s="47"/>
      <c r="G51" s="48">
        <v>3</v>
      </c>
      <c r="H51" s="68" t="str">
        <f ca="1">IF(ISNA(INDEX(TblCarteiraFII[Ativo], J51, 1)), " - ", INDEX(TblCarteiraFII[Ativo], J51, 1))</f>
        <v>HGRE11</v>
      </c>
      <c r="I51" s="52">
        <f ca="1">IF(ISNUMBER(LARGE(TblCarteiraFII[Total Atual], G51)), LARGE(TblCarteiraFII[Total Atual], G51), 0)</f>
        <v>2688.6899999999996</v>
      </c>
      <c r="J51" s="76">
        <f ca="1">MATCH(I51, TblCarteiraFII[Total Atual], 0)</f>
        <v>3</v>
      </c>
    </row>
    <row r="52" spans="4:10" x14ac:dyDescent="0.25">
      <c r="D52" s="79"/>
      <c r="E52" s="47"/>
      <c r="F52" s="47"/>
      <c r="G52" s="48">
        <v>2</v>
      </c>
      <c r="H52" s="68" t="str">
        <f ca="1">IF(ISNA(INDEX(TblCarteiraFII[Ativo], J52, 1)), " - ", INDEX(TblCarteiraFII[Ativo], J52, 1))</f>
        <v>HGLG11</v>
      </c>
      <c r="I52" s="52">
        <f ca="1">IF(ISNUMBER(LARGE(TblCarteiraFII[Total Atual], G52)), LARGE(TblCarteiraFII[Total Atual], G52), 0)</f>
        <v>2782.05</v>
      </c>
      <c r="J52" s="76">
        <f ca="1">MATCH(I52, TblCarteiraFII[Total Atual], 0)</f>
        <v>2</v>
      </c>
    </row>
    <row r="53" spans="4:10" ht="15.6" thickBot="1" x14ac:dyDescent="0.3">
      <c r="D53" s="82"/>
      <c r="E53" s="83"/>
      <c r="F53" s="83"/>
      <c r="G53" s="84">
        <v>1</v>
      </c>
      <c r="H53" s="85" t="str">
        <f ca="1">IF(ISNA(INDEX(TblCarteiraFII[Ativo], J53, 1)), " - ", INDEX(TblCarteiraFII[Ativo], J53, 1))</f>
        <v>KNRI11</v>
      </c>
      <c r="I53" s="86">
        <f ca="1">IF(ISNUMBER(LARGE(TblCarteiraFII[Total Atual], G53)), LARGE(TblCarteiraFII[Total Atual], G53), 0)</f>
        <v>2897.82</v>
      </c>
      <c r="J53" s="87">
        <f ca="1">MATCH(I53, TblCarteiraFII[Total Atual], 0)</f>
        <v>4</v>
      </c>
    </row>
    <row r="54" spans="4:10" ht="15.6" thickTop="1" x14ac:dyDescent="0.25"/>
  </sheetData>
  <conditionalFormatting sqref="F8">
    <cfRule type="cellIs" dxfId="5" priority="5" operator="lessThan">
      <formula>0</formula>
    </cfRule>
  </conditionalFormatting>
  <conditionalFormatting sqref="G8">
    <cfRule type="cellIs" dxfId="4" priority="4" operator="lessThan">
      <formula>0</formula>
    </cfRule>
  </conditionalFormatting>
  <conditionalFormatting sqref="H8">
    <cfRule type="cellIs" dxfId="3" priority="3" operator="lessThan">
      <formula>0</formula>
    </cfRule>
  </conditionalFormatting>
  <conditionalFormatting sqref="E11:E13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Relatorio Carteira FII</vt:lpstr>
      <vt:lpstr>Relatorio Carteira Ações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2023-07-30T18:13:38Z</dcterms:modified>
</cp:coreProperties>
</file>