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/>
  </bookViews>
  <sheets>
    <sheet name="Tabela Ativos" sheetId="1" r:id="rId1"/>
    <sheet name="Tabela Aportes" sheetId="2" r:id="rId2"/>
    <sheet name="Tabela Proventos" sheetId="5" r:id="rId3"/>
    <sheet name="Relatorio Aportes" sheetId="6" r:id="rId4"/>
    <sheet name="Relatorio Proventos" sheetId="8" r:id="rId5"/>
    <sheet name="Relatorio Carteira" sheetId="9" r:id="rId6"/>
    <sheet name="Relatorio Carteira FII" sheetId="13" r:id="rId7"/>
    <sheet name="Relatorio Carteira Ações" sheetId="12" r:id="rId8"/>
    <sheet name="Dashboard Auxiliar" sheetId="11" r:id="rId9"/>
    <sheet name="Dashboard" sheetId="10" r:id="rId10"/>
  </sheets>
  <definedNames>
    <definedName name="pubhtml" localSheetId="0">'Tabela Ativos'!$A$1:$D$13</definedName>
  </definedNames>
  <calcPr calcId="152511"/>
  <pivotCaches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3" l="1"/>
  <c r="D5" i="13"/>
  <c r="F5" i="13" s="1"/>
  <c r="C5" i="13"/>
  <c r="B5" i="13"/>
  <c r="E4" i="13"/>
  <c r="D4" i="13"/>
  <c r="F4" i="13" s="1"/>
  <c r="C4" i="13"/>
  <c r="B4" i="13"/>
  <c r="E3" i="13"/>
  <c r="D3" i="13"/>
  <c r="F3" i="13" s="1"/>
  <c r="C3" i="13"/>
  <c r="B3" i="13"/>
  <c r="E2" i="13"/>
  <c r="D2" i="13"/>
  <c r="F2" i="13" s="1"/>
  <c r="C2" i="13"/>
  <c r="B2" i="13"/>
  <c r="D6" i="13"/>
  <c r="E6" i="12"/>
  <c r="D6" i="12"/>
  <c r="F6" i="12" s="1"/>
  <c r="C6" i="12"/>
  <c r="B6" i="12"/>
  <c r="E5" i="12"/>
  <c r="D5" i="12"/>
  <c r="F5" i="12" s="1"/>
  <c r="C5" i="12"/>
  <c r="B5" i="12"/>
  <c r="E4" i="12"/>
  <c r="D4" i="12"/>
  <c r="F4" i="12" s="1"/>
  <c r="C4" i="12"/>
  <c r="B4" i="12"/>
  <c r="E3" i="12"/>
  <c r="D3" i="12"/>
  <c r="F3" i="12" s="1"/>
  <c r="C3" i="12"/>
  <c r="B3" i="12"/>
  <c r="E2" i="12"/>
  <c r="D2" i="12"/>
  <c r="D7" i="12" s="1"/>
  <c r="C2" i="12"/>
  <c r="B2" i="12"/>
  <c r="G2" i="13" l="1"/>
  <c r="G3" i="13"/>
  <c r="G4" i="13"/>
  <c r="G5" i="13"/>
  <c r="G6" i="13"/>
  <c r="I2" i="13"/>
  <c r="H2" i="13"/>
  <c r="I3" i="13"/>
  <c r="H3" i="13"/>
  <c r="I4" i="13"/>
  <c r="H4" i="13"/>
  <c r="I5" i="13"/>
  <c r="H5" i="13"/>
  <c r="G2" i="12"/>
  <c r="G3" i="12"/>
  <c r="G4" i="12"/>
  <c r="G5" i="12"/>
  <c r="G6" i="12"/>
  <c r="G7" i="12"/>
  <c r="I2" i="12"/>
  <c r="H2" i="12"/>
  <c r="I3" i="12"/>
  <c r="H3" i="12"/>
  <c r="I4" i="12"/>
  <c r="H4" i="12"/>
  <c r="I5" i="12"/>
  <c r="H5" i="12"/>
  <c r="I6" i="12"/>
  <c r="H6" i="12"/>
  <c r="F2" i="12"/>
  <c r="E12" i="11"/>
  <c r="B9" i="11"/>
  <c r="I45" i="11" l="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44" i="11"/>
  <c r="J44" i="11" s="1"/>
  <c r="I32" i="11"/>
  <c r="I33" i="11"/>
  <c r="I34" i="11"/>
  <c r="I35" i="11"/>
  <c r="I36" i="11"/>
  <c r="I37" i="11"/>
  <c r="I38" i="11"/>
  <c r="I39" i="11"/>
  <c r="I40" i="11"/>
  <c r="I31" i="11"/>
  <c r="H6" i="13"/>
  <c r="H7" i="12"/>
  <c r="H1" i="10"/>
  <c r="J40" i="11" l="1"/>
  <c r="J39" i="11"/>
  <c r="J38" i="11"/>
  <c r="J37" i="11"/>
  <c r="J36" i="11"/>
  <c r="J35" i="11"/>
  <c r="J34" i="11"/>
  <c r="J33" i="11"/>
  <c r="J32" i="11"/>
  <c r="J31" i="11"/>
  <c r="E2" i="9"/>
  <c r="E3" i="9"/>
  <c r="E4" i="9"/>
  <c r="E5" i="9"/>
  <c r="E6" i="9"/>
  <c r="E7" i="9"/>
  <c r="E8" i="9"/>
  <c r="E9" i="9"/>
  <c r="E10" i="9"/>
  <c r="D2" i="9"/>
  <c r="D3" i="9"/>
  <c r="F3" i="9" s="1"/>
  <c r="D4" i="9"/>
  <c r="F4" i="9" s="1"/>
  <c r="D5" i="9"/>
  <c r="F5" i="9" s="1"/>
  <c r="D6" i="9"/>
  <c r="D7" i="9"/>
  <c r="F7" i="9" s="1"/>
  <c r="D8" i="9"/>
  <c r="F8" i="9" s="1"/>
  <c r="D9" i="9"/>
  <c r="F9" i="9" s="1"/>
  <c r="D10" i="9"/>
  <c r="F10" i="9" s="1"/>
  <c r="C2" i="9"/>
  <c r="C3" i="9"/>
  <c r="C4" i="9"/>
  <c r="C5" i="9"/>
  <c r="C6" i="9"/>
  <c r="C7" i="9"/>
  <c r="C8" i="9"/>
  <c r="C9" i="9"/>
  <c r="C10" i="9"/>
  <c r="B2" i="9"/>
  <c r="B3" i="9"/>
  <c r="B4" i="9"/>
  <c r="B5" i="9"/>
  <c r="B6" i="9"/>
  <c r="B7" i="9"/>
  <c r="B8" i="9"/>
  <c r="B9" i="9"/>
  <c r="B10" i="9"/>
  <c r="F5" i="11" l="1"/>
  <c r="H5" i="11"/>
  <c r="F6" i="9"/>
  <c r="G5" i="11"/>
  <c r="B12" i="11" s="1"/>
  <c r="B8" i="10" s="1"/>
  <c r="F2" i="9"/>
  <c r="D11" i="9"/>
  <c r="G10" i="9"/>
  <c r="G9" i="9"/>
  <c r="G8" i="9"/>
  <c r="G7" i="9"/>
  <c r="G6" i="9"/>
  <c r="G6" i="11" s="1"/>
  <c r="E13" i="11" s="1"/>
  <c r="G5" i="9"/>
  <c r="G4" i="9"/>
  <c r="G3" i="9"/>
  <c r="G2" i="9"/>
  <c r="H10" i="9"/>
  <c r="H9" i="9"/>
  <c r="H8" i="9"/>
  <c r="H7" i="9"/>
  <c r="H6" i="9"/>
  <c r="G7" i="11" s="1"/>
  <c r="H5" i="9"/>
  <c r="H4" i="9"/>
  <c r="H3" i="9"/>
  <c r="H2" i="9"/>
  <c r="I10" i="9"/>
  <c r="I9" i="9"/>
  <c r="I8" i="9"/>
  <c r="I7" i="9"/>
  <c r="I6" i="9"/>
  <c r="I5" i="9"/>
  <c r="I4" i="9"/>
  <c r="I3" i="9"/>
  <c r="I2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G2" i="2"/>
  <c r="H53" i="11" l="1"/>
  <c r="H52" i="11"/>
  <c r="H51" i="11"/>
  <c r="H50" i="11"/>
  <c r="H49" i="11"/>
  <c r="H48" i="11"/>
  <c r="H47" i="11"/>
  <c r="H46" i="11"/>
  <c r="H45" i="11"/>
  <c r="H44" i="11"/>
  <c r="H40" i="11"/>
  <c r="H39" i="11"/>
  <c r="H38" i="11"/>
  <c r="H37" i="11"/>
  <c r="H36" i="11"/>
  <c r="H35" i="11"/>
  <c r="H34" i="11"/>
  <c r="H33" i="11"/>
  <c r="H32" i="11"/>
  <c r="H31" i="11"/>
  <c r="I18" i="11"/>
  <c r="F18" i="11" s="1"/>
  <c r="I19" i="11"/>
  <c r="I20" i="11"/>
  <c r="I21" i="11"/>
  <c r="I22" i="11"/>
  <c r="I23" i="11"/>
  <c r="I24" i="11"/>
  <c r="I25" i="11"/>
  <c r="I26" i="11"/>
  <c r="I27" i="11"/>
  <c r="F6" i="11"/>
  <c r="E11" i="11" s="1"/>
  <c r="G8" i="11"/>
  <c r="H7" i="11"/>
  <c r="F7" i="11"/>
  <c r="B14" i="11" s="1"/>
  <c r="B11" i="10" s="1"/>
  <c r="G11" i="9"/>
  <c r="H6" i="11"/>
  <c r="F8" i="11" s="1"/>
  <c r="H11" i="9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J27" i="11" l="1"/>
  <c r="H27" i="11" s="1"/>
  <c r="E27" i="11" s="1"/>
  <c r="F27" i="11"/>
  <c r="J26" i="11"/>
  <c r="H26" i="11" s="1"/>
  <c r="E26" i="11" s="1"/>
  <c r="F26" i="11"/>
  <c r="J25" i="11"/>
  <c r="H25" i="11" s="1"/>
  <c r="E25" i="11" s="1"/>
  <c r="F25" i="11"/>
  <c r="J24" i="11"/>
  <c r="H24" i="11" s="1"/>
  <c r="E24" i="11" s="1"/>
  <c r="F24" i="11"/>
  <c r="J23" i="11"/>
  <c r="H23" i="11" s="1"/>
  <c r="E23" i="11" s="1"/>
  <c r="F23" i="11"/>
  <c r="J22" i="11"/>
  <c r="H22" i="11" s="1"/>
  <c r="E22" i="11" s="1"/>
  <c r="F22" i="11"/>
  <c r="J21" i="11"/>
  <c r="H21" i="11" s="1"/>
  <c r="E21" i="11" s="1"/>
  <c r="F21" i="11"/>
  <c r="J20" i="11"/>
  <c r="H20" i="11" s="1"/>
  <c r="E20" i="11" s="1"/>
  <c r="F20" i="11"/>
  <c r="J19" i="11"/>
  <c r="H19" i="11" s="1"/>
  <c r="E19" i="11" s="1"/>
  <c r="F19" i="11"/>
  <c r="J18" i="11"/>
  <c r="H18" i="11" s="1"/>
  <c r="E18" i="11" s="1"/>
  <c r="B13" i="11"/>
  <c r="B5" i="10" s="1"/>
  <c r="H8" i="11"/>
  <c r="B15" i="11" s="1"/>
  <c r="B14" i="10" s="1"/>
</calcChain>
</file>

<file path=xl/comments1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<sst xmlns="http://schemas.openxmlformats.org/spreadsheetml/2006/main" count="299" uniqueCount="81">
  <si>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</si>
  <si>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</si>
  <si>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</si>
  <si>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</si>
  <si>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</si>
  <si>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</si>
  <si>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</si>
  <si>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</si>
  <si>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</si>
  <si>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</si>
  <si>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</si>
  <si>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</si>
  <si>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</si>
  <si>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</si>
  <si>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</si>
  <si>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</si>
  <si>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</si>
  <si>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</si>
  <si>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</si>
  <si>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</si>
  <si>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</si>
  <si>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</si>
  <si>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</si>
  <si>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</si>
  <si>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</si>
  <si>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Valor Bruto</t>
  </si>
  <si>
    <t>IR</t>
  </si>
  <si>
    <t>HGBS12</t>
  </si>
  <si>
    <t>Codigo</t>
  </si>
  <si>
    <t>Valor Liquido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</si>
  <si>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</si>
  <si>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</si>
  <si>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</si>
  <si>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</si>
  <si>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</si>
  <si>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</si>
  <si>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</si>
  <si>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</si>
  <si>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</si>
  <si>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</si>
  <si>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</si>
  <si>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</si>
  <si>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</si>
  <si>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</si>
  <si>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</si>
  <si>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</si>
  <si>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</si>
  <si>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</si>
  <si>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Liquido</t>
  </si>
  <si>
    <t>Cotação</t>
  </si>
  <si>
    <t>Total Aportado</t>
  </si>
  <si>
    <t>Total Quantidade</t>
  </si>
  <si>
    <t>Preço Médio</t>
  </si>
  <si>
    <t>Valorização</t>
  </si>
  <si>
    <t>Valorização (%)</t>
  </si>
  <si>
    <t>Total Atual</t>
  </si>
  <si>
    <t>Até Qual Data ?</t>
  </si>
  <si>
    <t>Carteira Atual</t>
  </si>
  <si>
    <t>Caixa:</t>
  </si>
  <si>
    <t>Até:</t>
  </si>
  <si>
    <t>Valores para Caixa de Combinação</t>
  </si>
  <si>
    <t>Entradas do Usuário</t>
  </si>
  <si>
    <t>Caixa de Combinação</t>
  </si>
  <si>
    <t>Valor em Caixa</t>
  </si>
  <si>
    <t>AÇÕES</t>
  </si>
  <si>
    <t>FUNDOS IMOBILIÁRIOS</t>
  </si>
  <si>
    <t>TUDO</t>
  </si>
  <si>
    <t>Matriz Auxiliar: Somatório por Tipo de Ativo</t>
  </si>
  <si>
    <t>FUNDO INVESTIMENTO IMOBILIARIO</t>
  </si>
  <si>
    <t>FUNDOS INVESTIMENTO IMOBILIARIO</t>
  </si>
  <si>
    <t>Indicadores Chave de Desempenho (kpi´s)</t>
  </si>
  <si>
    <t>Gráfico Rosca: Composição do Patrimônio</t>
  </si>
  <si>
    <t>CAIXA</t>
  </si>
  <si>
    <t>Ordem</t>
  </si>
  <si>
    <t>Gráfico: Maiores Valores</t>
  </si>
  <si>
    <t xml:space="preserve">Ativo </t>
  </si>
  <si>
    <t>Valor</t>
  </si>
  <si>
    <t>Maiores valores (Tudo)</t>
  </si>
  <si>
    <t>Corresp</t>
  </si>
  <si>
    <t>Maiores valores (Ações)</t>
  </si>
  <si>
    <t>Maiores valores (Fundo Investimento Imobiliário)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</si>
</sst>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* #,##0.00_-;\-&quot;R$&quot;* #,##0.00_-;_-&quot;R$&quot;* &quot;-&quot;??_-;_-@_-"/>
    <numFmt numFmtId="164" formatCode="&quot;R$&quot;\ #,##0.00;[Red]\-&quot;R$&quot;#,##0.00"/>
    <numFmt numFmtId="165" formatCode="#,##0.00_ ;[Red]\-#,##0.00\ "/>
    <numFmt numFmtId="166" formatCode="&quot;R$&quot;\ #,##0.00;[Red]\-&quot;R$&quot;\ #,##0.00"/>
  </numFmts>
  <fonts count="11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Segoe UI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8" fillId="4" borderId="5" xfId="0" applyFont="1" applyFill="1" applyBorder="1" applyAlignment="1">
      <alignment horizontal="left" vertical="center"/>
    </xf>
    <xf numFmtId="14" fontId="8" fillId="4" borderId="3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0" fontId="10" fillId="4" borderId="7" xfId="0" applyFont="1" applyFill="1" applyBorder="1"/>
    <xf numFmtId="166" fontId="9" fillId="5" borderId="3" xfId="0" applyNumberFormat="1" applyFont="1" applyFill="1" applyBorder="1" applyAlignment="1">
      <alignment horizontal="center" vertical="center"/>
    </xf>
    <xf numFmtId="10" fontId="7" fillId="4" borderId="9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6" borderId="10" xfId="0" applyFill="1" applyBorder="1"/>
    <xf numFmtId="0" fontId="0" fillId="6" borderId="11" xfId="0" applyFill="1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9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6" fontId="0" fillId="0" borderId="0" xfId="0" applyNumberFormat="1" applyBorder="1"/>
    <xf numFmtId="166" fontId="0" fillId="0" borderId="20" xfId="0" applyNumberFormat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10" fontId="0" fillId="0" borderId="22" xfId="0" applyNumberFormat="1" applyBorder="1"/>
    <xf numFmtId="10" fontId="0" fillId="0" borderId="23" xfId="0" applyNumberFormat="1" applyBorder="1"/>
    <xf numFmtId="0" fontId="0" fillId="0" borderId="21" xfId="0" applyBorder="1"/>
    <xf numFmtId="166" fontId="0" fillId="0" borderId="23" xfId="0" applyNumberFormat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/>
    <xf numFmtId="166" fontId="0" fillId="0" borderId="22" xfId="0" applyNumberFormat="1" applyBorder="1"/>
    <xf numFmtId="0" fontId="0" fillId="0" borderId="23" xfId="0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6" fontId="0" fillId="0" borderId="28" xfId="0" applyNumberFormat="1" applyBorder="1"/>
    <xf numFmtId="166" fontId="0" fillId="0" borderId="31" xfId="0" applyNumberFormat="1" applyBorder="1"/>
  </cellXfs>
  <cellStyles count="1">
    <cellStyle name="Normal" xfId="0" builtinId="0"/>
  </cellStyles>
  <dxfs count="9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firstColumnStripe" dxfId="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Composição do Patrimônio</a:t>
            </a:r>
          </a:p>
        </c:rich>
      </c:tx>
      <c:layout>
        <c:manualLayout>
          <c:xMode val="edge"/>
          <c:yMode val="edge"/>
          <c:x val="0.25218188125486807"/>
          <c:y val="1.9700551615445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FAE0BE34-C8A9-4077-8C79-B7DCB154BFF4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baseline="0"/>
                  </a:p>
                  <a:p>
                    <a:fld id="{33AD7144-408A-4740-8F91-CA2DF9F960D3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E8729A-A237-4F40-BFCE-EDFB601BE3CF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Auxiliar'!$D$11:$D$13</c:f>
              <c:strCache>
                <c:ptCount val="3"/>
                <c:pt idx="0">
                  <c:v>AÇÕES</c:v>
                </c:pt>
                <c:pt idx="1">
                  <c:v>CAIXA</c:v>
                </c:pt>
                <c:pt idx="2">
                  <c:v>FUNDO INVESTIMENTO IMOBILIARIO</c:v>
                </c:pt>
              </c:strCache>
            </c:strRef>
          </c:cat>
          <c:val>
            <c:numRef>
              <c:f>'Dashboard Auxiliar'!$E$11:$E$13</c:f>
              <c:numCache>
                <c:formatCode>"R$"\ #,##0.00;[Red]\-"R$"\ #,##0.00</c:formatCode>
                <c:ptCount val="3"/>
                <c:pt idx="0">
                  <c:v>24368</c:v>
                </c:pt>
                <c:pt idx="1">
                  <c:v>10000</c:v>
                </c:pt>
                <c:pt idx="2">
                  <c:v>10372.050000000001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1"/>
        <c:holeSize val="54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1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Maiores Valores Atuais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Auxiliar'!$F$17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Auxiliar'!$E$18:$E$27</c:f>
              <c:strCache>
                <c:ptCount val="10"/>
                <c:pt idx="0">
                  <c:v> - </c:v>
                </c:pt>
                <c:pt idx="1">
                  <c:v>HGBS11</c:v>
                </c:pt>
                <c:pt idx="2">
                  <c:v>TAEE4</c:v>
                </c:pt>
                <c:pt idx="3">
                  <c:v>HGRE11</c:v>
                </c:pt>
                <c:pt idx="4">
                  <c:v>HGLG11</c:v>
                </c:pt>
                <c:pt idx="5">
                  <c:v>KNRI11</c:v>
                </c:pt>
                <c:pt idx="6">
                  <c:v>ITSA4</c:v>
                </c:pt>
                <c:pt idx="7">
                  <c:v>FLRY3</c:v>
                </c:pt>
                <c:pt idx="8">
                  <c:v>CSNA3</c:v>
                </c:pt>
                <c:pt idx="9">
                  <c:v>PETR4</c:v>
                </c:pt>
              </c:strCache>
            </c:strRef>
          </c:cat>
          <c:val>
            <c:numRef>
              <c:f>'Dashboard Auxiliar'!$F$18:$F$27</c:f>
              <c:numCache>
                <c:formatCode>"R$"\ #,##0.00;[Red]\-"R$"\ #,##0.00</c:formatCode>
                <c:ptCount val="10"/>
                <c:pt idx="0">
                  <c:v>0</c:v>
                </c:pt>
                <c:pt idx="1">
                  <c:v>2003.4900000000002</c:v>
                </c:pt>
                <c:pt idx="2">
                  <c:v>2416</c:v>
                </c:pt>
                <c:pt idx="3">
                  <c:v>2688.6899999999996</c:v>
                </c:pt>
                <c:pt idx="4">
                  <c:v>2782.05</c:v>
                </c:pt>
                <c:pt idx="5">
                  <c:v>2897.82</c:v>
                </c:pt>
                <c:pt idx="6">
                  <c:v>2904</c:v>
                </c:pt>
                <c:pt idx="7">
                  <c:v>3164</c:v>
                </c:pt>
                <c:pt idx="8">
                  <c:v>4128</c:v>
                </c:pt>
                <c:pt idx="9">
                  <c:v>11756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0"/>
        <c:axId val="715121968"/>
        <c:axId val="715128496"/>
      </c:barChart>
      <c:catAx>
        <c:axId val="71512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128496"/>
        <c:crosses val="autoZero"/>
        <c:auto val="1"/>
        <c:lblAlgn val="ctr"/>
        <c:lblOffset val="100"/>
        <c:noMultiLvlLbl val="0"/>
      </c:catAx>
      <c:valAx>
        <c:axId val="715128496"/>
        <c:scaling>
          <c:orientation val="minMax"/>
        </c:scaling>
        <c:delete val="0"/>
        <c:axPos val="b"/>
        <c:numFmt formatCode="&quot;R$&quot;\ #,##0.00;[Red]\-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1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1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0" fmlaLink="'Dashboard Auxiliar'!$B$8" fmlaRange="'Dashboard Auxiliar'!$B$3:$B$5" noThreeD="1" sel="3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7620</xdr:rowOff>
        </xdr:from>
        <xdr:to>
          <xdr:col>2</xdr:col>
          <xdr:colOff>7620</xdr:colOff>
          <xdr:row>1</xdr:row>
          <xdr:rowOff>7620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121920</xdr:colOff>
      <xdr:row>2</xdr:row>
      <xdr:rowOff>53340</xdr:rowOff>
    </xdr:from>
    <xdr:to>
      <xdr:col>4</xdr:col>
      <xdr:colOff>1493520</xdr:colOff>
      <xdr:row>13</xdr:row>
      <xdr:rowOff>457200</xdr:rowOff>
    </xdr:to>
    <xdr:graphicFrame macro="">
      <xdr:nvGraphicFramePr>
        <xdr:cNvPr id="3" name="Gráfico Composicao Patrimoni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1638300</xdr:colOff>
      <xdr:row>2</xdr:row>
      <xdr:rowOff>38100</xdr:rowOff>
    </xdr:from>
    <xdr:to>
      <xdr:col>5</xdr:col>
      <xdr:colOff>3169920</xdr:colOff>
      <xdr:row>13</xdr:row>
      <xdr:rowOff>457200</xdr:rowOff>
    </xdr:to>
    <xdr:graphicFrame macro="">
      <xdr:nvGraphicFramePr>
        <xdr:cNvPr id="4" name="Gráfico Maiores Valores Atuai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35.406619791669" createdVersion="5" refreshedVersion="5" minRefreshableVersion="3" recordCount="71">
  <cacheSource type="worksheet">
    <worksheetSource name="TblProventos"/>
  </cacheSource>
  <cacheFields count="9">
    <cacheField name="Codigo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uantidad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i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UNDO INVESTIMENTO IMOBILIARI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35.406620601854" createdVersion="5" refreshedVersion="5" minRefreshableVersion="3" recordCount="28">
  <cacheSource type="worksheet">
    <worksheetSource name="Tbl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40.97999999999999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28.31" maxValue="12394"/>
    </cacheField>
    <cacheField name="Tipo" numFmtId="0">
      <sharedItems count="2">
        <s v="EMPRESA"/>
        <s v="FUNDO INVESTIMENTO IMOBILIARIO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17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1.11"/>
    <n v="10"/>
    <n v="98.88"/>
    <x v="1"/>
    <n v="2019"/>
    <n v="2"/>
    <x v="2"/>
  </r>
  <r>
    <d v="2019-03-10T00:00:00"/>
    <x v="5"/>
    <n v="100"/>
    <n v="123.94"/>
    <n v="0"/>
    <n v="12394"/>
    <x v="0"/>
    <n v="2019"/>
    <n v="3"/>
    <x v="3"/>
  </r>
  <r>
    <d v="2019-03-10T00:00:00"/>
    <x v="6"/>
    <n v="3"/>
    <n v="12.55"/>
    <n v="10"/>
    <n v="47.650000000000006"/>
    <x v="1"/>
    <n v="2019"/>
    <n v="3"/>
    <x v="3"/>
  </r>
  <r>
    <d v="2019-04-10T00:00:00"/>
    <x v="3"/>
    <n v="2"/>
    <n v="13.27"/>
    <n v="10"/>
    <n v="36.54"/>
    <x v="1"/>
    <n v="2019"/>
    <n v="4"/>
    <x v="4"/>
  </r>
  <r>
    <d v="2019-04-10T00:00:00"/>
    <x v="7"/>
    <n v="3"/>
    <n v="13.99"/>
    <n v="10"/>
    <n v="51.97"/>
    <x v="1"/>
    <n v="2019"/>
    <n v="4"/>
    <x v="4"/>
  </r>
  <r>
    <d v="2019-05-10T00:00:00"/>
    <x v="1"/>
    <n v="100"/>
    <n v="14.71"/>
    <n v="10"/>
    <n v="1481"/>
    <x v="0"/>
    <n v="2019"/>
    <n v="5"/>
    <x v="5"/>
  </r>
  <r>
    <d v="2019-05-10T00:00:00"/>
    <x v="8"/>
    <n v="100"/>
    <n v="15.43"/>
    <n v="10"/>
    <n v="1553"/>
    <x v="0"/>
    <n v="2019"/>
    <n v="5"/>
    <x v="5"/>
  </r>
  <r>
    <d v="2019-06-10T00:00:00"/>
    <x v="4"/>
    <n v="5"/>
    <n v="16.149999999999999"/>
    <n v="10"/>
    <n v="90.75"/>
    <x v="1"/>
    <n v="2019"/>
    <n v="6"/>
    <x v="6"/>
  </r>
  <r>
    <d v="2019-06-10T00:00:00"/>
    <x v="2"/>
    <n v="100"/>
    <n v="16.87"/>
    <n v="10"/>
    <n v="1697"/>
    <x v="0"/>
    <n v="2019"/>
    <n v="6"/>
    <x v="6"/>
  </r>
  <r>
    <d v="2019-07-10T00:00:00"/>
    <x v="5"/>
    <n v="100"/>
    <n v="17.59"/>
    <n v="10"/>
    <n v="1769"/>
    <x v="0"/>
    <n v="2019"/>
    <n v="7"/>
    <x v="7"/>
  </r>
  <r>
    <d v="2019-07-10T00:00:00"/>
    <x v="6"/>
    <n v="1"/>
    <n v="18.309999999999999"/>
    <n v="10"/>
    <n v="28.31"/>
    <x v="1"/>
    <n v="2019"/>
    <n v="7"/>
    <x v="7"/>
  </r>
  <r>
    <d v="2019-08-10T00:00:00"/>
    <x v="3"/>
    <n v="7"/>
    <n v="19.03"/>
    <n v="10"/>
    <n v="143.21"/>
    <x v="1"/>
    <n v="2019"/>
    <n v="8"/>
    <x v="8"/>
  </r>
  <r>
    <d v="2019-08-10T00:00:00"/>
    <x v="2"/>
    <n v="100"/>
    <n v="19.75"/>
    <n v="10"/>
    <n v="1985"/>
    <x v="0"/>
    <n v="2019"/>
    <n v="8"/>
    <x v="8"/>
  </r>
  <r>
    <d v="2019-09-10T00:00:00"/>
    <x v="1"/>
    <n v="100"/>
    <n v="20.47"/>
    <n v="10"/>
    <n v="2057"/>
    <x v="0"/>
    <n v="2019"/>
    <n v="9"/>
    <x v="9"/>
  </r>
  <r>
    <d v="2019-09-10T00:00:00"/>
    <x v="4"/>
    <n v="2"/>
    <n v="21.19"/>
    <n v="10"/>
    <n v="52.38"/>
    <x v="1"/>
    <n v="2019"/>
    <n v="9"/>
    <x v="9"/>
  </r>
  <r>
    <d v="2019-10-10T00:00:00"/>
    <x v="2"/>
    <n v="100"/>
    <n v="21.91"/>
    <n v="10"/>
    <n v="2201"/>
    <x v="0"/>
    <n v="2019"/>
    <n v="10"/>
    <x v="10"/>
  </r>
  <r>
    <d v="2019-10-10T00:00:00"/>
    <x v="6"/>
    <n v="5"/>
    <n v="22.63"/>
    <n v="10"/>
    <n v="123.14999999999999"/>
    <x v="1"/>
    <n v="2019"/>
    <n v="10"/>
    <x v="10"/>
  </r>
  <r>
    <d v="2019-11-10T00:00:00"/>
    <x v="0"/>
    <n v="100"/>
    <n v="23.35"/>
    <n v="10"/>
    <n v="2345"/>
    <x v="0"/>
    <n v="2019"/>
    <n v="11"/>
    <x v="11"/>
  </r>
  <r>
    <d v="2019-11-10T00:00:00"/>
    <x v="3"/>
    <n v="3"/>
    <n v="24.07"/>
    <n v="10"/>
    <n v="82.210000000000008"/>
    <x v="1"/>
    <n v="2019"/>
    <n v="11"/>
    <x v="11"/>
  </r>
  <r>
    <d v="2019-12-10T00:00:00"/>
    <x v="7"/>
    <n v="5"/>
    <n v="24.79"/>
    <n v="10"/>
    <n v="133.94999999999999"/>
    <x v="1"/>
    <n v="2019"/>
    <n v="12"/>
    <x v="12"/>
  </r>
  <r>
    <d v="2019-12-10T00:00:00"/>
    <x v="8"/>
    <n v="100"/>
    <n v="25.51"/>
    <n v="10"/>
    <n v="2561"/>
    <x v="0"/>
    <n v="2019"/>
    <n v="12"/>
    <x v="12"/>
  </r>
  <r>
    <d v="2020-01-10T00:00:00"/>
    <x v="7"/>
    <n v="10"/>
    <n v="26.23"/>
    <n v="10"/>
    <n v="272.3"/>
    <x v="1"/>
    <n v="2020"/>
    <n v="1"/>
    <x v="13"/>
  </r>
  <r>
    <d v="2020-01-10T00:00:00"/>
    <x v="4"/>
    <n v="4"/>
    <n v="26.95"/>
    <n v="10"/>
    <n v="117.8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iquido" fld="5" baseField="8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89"/>
    <tableColumn id="2" name="Ativo" dataDxfId="88"/>
    <tableColumn id="3" name="Quantidade" dataDxfId="87"/>
    <tableColumn id="4" name="Valor Unitário" dataDxfId="86"/>
    <tableColumn id="5" name="Custo" dataDxfId="85"/>
    <tableColumn id="6" name="Total" dataDxfId="84">
      <calculatedColumnFormula>(TblAportes[[#This Row],[Valor Unitário]] * TblAportes[[#This Row],[Quantidade]]) + TblAportes[[#This Row],[Custo]]</calculatedColumnFormula>
    </tableColumn>
    <tableColumn id="7" name="Tipo" dataDxfId="83">
      <calculatedColumnFormula>VLOOKUP(TblAportes[[#This Row],[Ativo]], 'Tabela Ativos'!$B$4:$D$500, 2, FALSE)</calculatedColumnFormula>
    </tableColumn>
    <tableColumn id="8" name="Ano" dataDxfId="82">
      <calculatedColumnFormula>YEAR(TblAportes[[#This Row],[Data]])</calculatedColumnFormula>
    </tableColumn>
    <tableColumn id="9" name="Mês" dataDxfId="81">
      <calculatedColumnFormula>MONTH(TblAportes[[#This Row],[Data]])</calculatedColumnFormula>
    </tableColumn>
    <tableColumn id="10" name="Ano/Mês" dataDxfId="80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ventos" displayName="TblProventos" ref="A1:I72" totalsRowShown="0" headerRowDxfId="79" dataDxfId="78">
  <autoFilter ref="A1:I72"/>
  <tableColumns count="9">
    <tableColumn id="1" name="Codigo" dataDxfId="77"/>
    <tableColumn id="2" name="Ativo" dataDxfId="76"/>
    <tableColumn id="3" name="Quantidade" dataDxfId="75"/>
    <tableColumn id="4" name="Valor Bruto" dataDxfId="74"/>
    <tableColumn id="5" name="IR" dataDxfId="73"/>
    <tableColumn id="6" name="Valor Liquido" dataDxfId="72"/>
    <tableColumn id="7" name="Data" dataDxfId="71"/>
    <tableColumn id="8" name="Ano/Mês" dataDxfId="70">
      <calculatedColumnFormula>CONCATENATE(YEAR(TblProventos[[#This Row],[Data]]), "/", IF(MONTH(TblProventos[[#This Row],[Data]]) &lt; 10, "0", ""), MONTH(TblProventos[[#This Row],[Data]]))</calculatedColumnFormula>
    </tableColumn>
    <tableColumn id="9" name="Tipo" dataDxfId="69">
      <calculatedColumnFormula>VLOOKUP(TblProventos[[#This Row],[Ativo]], 'Tabela Ativos'!$B$4:$D$500,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Carteira" displayName="TblCarteira" ref="A1:I11" totalsRowCount="1" headerRowDxfId="67" dataDxfId="66">
  <autoFilter ref="A1:I10"/>
  <tableColumns count="9">
    <tableColumn id="1" name="Ativo" totalsRowLabel="Total" dataDxfId="65" totalsRowDxfId="64"/>
    <tableColumn id="2" name="Tipo" dataDxfId="63" totalsRowDxfId="62">
      <calculatedColumnFormula>VLOOKUP(TblCarteira[[#This Row],[Ativo]], 'Tabela Ativos'!$B$4:$D$500, 2, FALSE)</calculatedColumnFormula>
    </tableColumn>
    <tableColumn id="3" name="Cotação" dataDxfId="61" totalsRowDxfId="60">
      <calculatedColumnFormula>VLOOKUP(TblCarteira[[#This Row],[Ativo]], 'Tabela Ativos'!$B$4:$D$500, 3, FALSE)</calculatedColumnFormula>
    </tableColumn>
    <tableColumn id="4" name="Total Aportado" totalsRowFunction="sum" dataDxfId="59" totalsRowDxfId="58">
      <calculatedColumnFormula>SUMIFS(TblAportes[Total], TblAportes[Ativo],TblCarteira[[#This Row],[Ativo]], TblAportes[Data], "&lt;="&amp;IF($K$2 = "", TODAY(), $K$2))</calculatedColumnFormula>
    </tableColumn>
    <tableColumn id="5" name="Total Quantidade" dataDxfId="57" totalsRowDxfId="56">
      <calculatedColumnFormula>SUMIFS(TblAportes[Quantidade], TblAportes[Ativo],TblCarteira[[#This Row],[Ativo]], TblAportes[Data], "&lt;="&amp;IF($K$2 = "", TODAY(), $K$2))</calculatedColumnFormula>
    </tableColumn>
    <tableColumn id="6" name="Preço Médio" dataDxfId="55" totalsRowDxfId="54">
      <calculatedColumnFormula>(TblCarteira[[#This Row],[Total Aportado]] / TblCarteira[[#This Row],[Total Quantidade]])</calculatedColumnFormula>
    </tableColumn>
    <tableColumn id="7" name="Total Atual" totalsRowFunction="sum" dataDxfId="53" totalsRowDxfId="52">
      <calculatedColumnFormula>(TblCarteira[[#This Row],[Total Quantidade]] * TblCarteira[[#This Row],[Cotação]])</calculatedColumnFormula>
    </tableColumn>
    <tableColumn id="8" name="Valorização" totalsRowFunction="sum" dataDxfId="51" totalsRowDxfId="50">
      <calculatedColumnFormula>(TblCarteira[[#This Row],[Total Atual]] - TblCarteira[[#This Row],[Total Aportado]])</calculatedColumnFormula>
    </tableColumn>
    <tableColumn id="9" name="Valorização (%)" dataDxfId="49" totalsRowDxfId="48">
      <calculatedColumnFormula>(TblCarteira[[#This Row],[Total Atual]] / TblCarteira[[#This Row],[Total Aportado]]) 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blCarteiraFII" displayName="TblCarteiraFII" ref="A1:I6" totalsRowCount="1" headerRowDxfId="46" dataDxfId="45">
  <autoFilter ref="A1:I5"/>
  <sortState ref="A2:I10">
    <sortCondition ref="B1:B10"/>
  </sortState>
  <tableColumns count="9">
    <tableColumn id="1" name="Ativo" totalsRowLabel="Total" dataDxfId="44" totalsRowDxfId="43"/>
    <tableColumn id="2" name="Tipo" dataDxfId="42" totalsRowDxfId="41">
      <calculatedColumnFormula>VLOOKUP(TblCarteiraFII[[#This Row],[Ativo]], 'Tabela Ativos'!$B$4:$D$500, 2, FALSE)</calculatedColumnFormula>
    </tableColumn>
    <tableColumn id="3" name="Cotação" dataDxfId="40" totalsRowDxfId="39">
      <calculatedColumnFormula>VLOOKUP(TblCarteiraFII[[#This Row],[Ativo]], 'Tabela Ativos'!$B$4:$D$500, 3, FALSE)</calculatedColumnFormula>
    </tableColumn>
    <tableColumn id="4" name="Total Aportado" totalsRowFunction="sum" dataDxfId="38" totalsRowDxfId="37">
      <calculatedColumnFormula>SUMIFS(TblAportes[Total], TblAportes[Ativo],TblCarteiraFII[[#This Row],[Ativo]], TblAportes[Data], "&lt;="&amp;IF($K$2 = "", TODAY(), $K$2))</calculatedColumnFormula>
    </tableColumn>
    <tableColumn id="5" name="Total Quantidade" dataDxfId="36" totalsRowDxfId="35">
      <calculatedColumnFormula>SUMIFS(TblAportes[Quantidade], TblAportes[Ativo],TblCarteiraFII[[#This Row],[Ativo]], TblAportes[Data], "&lt;="&amp;IF($K$2 = "", TODAY(), $K$2))</calculatedColumnFormula>
    </tableColumn>
    <tableColumn id="6" name="Preço Médio" dataDxfId="34" totalsRowDxfId="33">
      <calculatedColumnFormula>(TblCarteiraFII[[#This Row],[Total Aportado]] / TblCarteiraFII[[#This Row],[Total Quantidade]])</calculatedColumnFormula>
    </tableColumn>
    <tableColumn id="7" name="Total Atual" totalsRowFunction="sum" dataDxfId="32" totalsRowDxfId="31">
      <calculatedColumnFormula>(TblCarteiraFII[[#This Row],[Total Quantidade]] * TblCarteiraFII[[#This Row],[Cotação]])</calculatedColumnFormula>
    </tableColumn>
    <tableColumn id="8" name="Valorização" totalsRowFunction="sum" dataDxfId="30" totalsRowDxfId="29">
      <calculatedColumnFormula>(TblCarteiraFII[[#This Row],[Total Atual]] - TblCarteiraFII[[#This Row],[Total Aportado]])</calculatedColumnFormula>
    </tableColumn>
    <tableColumn id="9" name="Valorização (%)" dataDxfId="28" totalsRowDxfId="27">
      <calculatedColumnFormula>(TblCarteiraFII[[#This Row],[Total Atual]] / TblCarteiraFII[[#This Row],[Total Aportado]]) 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CarteiraAcoes" displayName="TblCarteiraAcoes" ref="A1:I7" totalsRowCount="1" headerRowDxfId="25" dataDxfId="24">
  <autoFilter ref="A1:I6"/>
  <sortState ref="A2:I10">
    <sortCondition ref="B1:B10"/>
  </sortState>
  <tableColumns count="9">
    <tableColumn id="1" name="Ativo" totalsRowLabel="Total" dataDxfId="23" totalsRowDxfId="22"/>
    <tableColumn id="2" name="Tipo" dataDxfId="21" totalsRowDxfId="20">
      <calculatedColumnFormula>VLOOKUP(TblCarteiraAcoes[[#This Row],[Ativo]], 'Tabela Ativos'!$B$4:$D$500, 2, FALSE)</calculatedColumnFormula>
    </tableColumn>
    <tableColumn id="3" name="Cotação" dataDxfId="19" totalsRowDxfId="18">
      <calculatedColumnFormula>VLOOKUP(TblCarteiraAcoes[[#This Row],[Ativo]], 'Tabela Ativos'!$B$4:$D$500, 3, FALSE)</calculatedColumnFormula>
    </tableColumn>
    <tableColumn id="4" name="Total Aportado" totalsRowFunction="sum" dataDxfId="17" totalsRowDxfId="16">
      <calculatedColumnFormula>SUMIFS(TblAportes[Total], TblAportes[Ativo],TblCarteiraAcoes[[#This Row],[Ativo]], TblAportes[Data], "&lt;="&amp;IF($K$2 = "", TODAY(), $K$2))</calculatedColumnFormula>
    </tableColumn>
    <tableColumn id="5" name="Total Quantidade" dataDxfId="15" totalsRowDxfId="14">
      <calculatedColumnFormula>SUMIFS(TblAportes[Quantidade], TblAportes[Ativo],TblCarteiraAcoes[[#This Row],[Ativo]], TblAportes[Data], "&lt;="&amp;IF($K$2 = "", TODAY(), $K$2))</calculatedColumnFormula>
    </tableColumn>
    <tableColumn id="6" name="Preço Médio" dataDxfId="13" totalsRowDxfId="12">
      <calculatedColumnFormula>(TblCarteiraAcoes[[#This Row],[Total Aportado]] / TblCarteiraAcoes[[#This Row],[Total Quantidade]])</calculatedColumnFormula>
    </tableColumn>
    <tableColumn id="7" name="Total Atual" totalsRowFunction="sum" dataDxfId="11" totalsRowDxfId="10">
      <calculatedColumnFormula>(TblCarteiraAcoes[[#This Row],[Total Quantidade]] * TblCarteiraAcoes[[#This Row],[Cotação]])</calculatedColumnFormula>
    </tableColumn>
    <tableColumn id="8" name="Valorização" totalsRowFunction="sum" dataDxfId="9" totalsRowDxfId="8">
      <calculatedColumnFormula>(TblCarteiraAcoes[[#This Row],[Total Atual]] - TblCarteiraAcoes[[#This Row],[Total Aportado]])</calculatedColumnFormula>
    </tableColumn>
    <tableColumn id="9" name="Valorização (%)" dataDxfId="7" totalsRowDxfId="6">
      <calculatedColumnFormula>(TblCarteiraAcoes[[#This Row],[Total Atual]] / TblCarteiraAcoes[[#This Row],[Total Aportado]]) 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36.8164062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13.76</v>
      </c>
    </row>
    <row r="5" spans="1:4" x14ac:dyDescent="0.25">
      <c r="A5">
        <v>3</v>
      </c>
      <c r="B5" t="s">
        <v>6</v>
      </c>
      <c r="C5" t="s">
        <v>5</v>
      </c>
      <c r="D5">
        <v>15.82</v>
      </c>
    </row>
    <row r="6" spans="1:4" x14ac:dyDescent="0.25">
      <c r="A6">
        <v>4</v>
      </c>
      <c r="B6" t="s">
        <v>7</v>
      </c>
      <c r="C6" t="s">
        <v>5</v>
      </c>
      <c r="D6">
        <v>9.68</v>
      </c>
    </row>
    <row r="7" spans="1:4" x14ac:dyDescent="0.25">
      <c r="A7">
        <v>5</v>
      </c>
      <c r="B7" t="s">
        <v>8</v>
      </c>
      <c r="C7" t="s">
        <v>5</v>
      </c>
      <c r="D7">
        <v>29.39</v>
      </c>
    </row>
    <row r="8" spans="1:4" x14ac:dyDescent="0.25">
      <c r="A8">
        <v>6</v>
      </c>
      <c r="B8" t="s">
        <v>9</v>
      </c>
      <c r="C8" t="s">
        <v>69</v>
      </c>
      <c r="D8">
        <v>222.61</v>
      </c>
    </row>
    <row r="9" spans="1:4" x14ac:dyDescent="0.25">
      <c r="A9">
        <v>7</v>
      </c>
      <c r="B9" t="s">
        <v>10</v>
      </c>
      <c r="C9" t="s">
        <v>69</v>
      </c>
      <c r="D9">
        <v>163.65</v>
      </c>
    </row>
    <row r="10" spans="1:4" x14ac:dyDescent="0.25">
      <c r="A10">
        <v>8</v>
      </c>
      <c r="B10" t="s">
        <v>11</v>
      </c>
      <c r="C10" t="s">
        <v>69</v>
      </c>
      <c r="D10">
        <v>141.51</v>
      </c>
    </row>
    <row r="11" spans="1:4" x14ac:dyDescent="0.25">
      <c r="A11">
        <v>9</v>
      </c>
      <c r="B11" t="s">
        <v>12</v>
      </c>
      <c r="C11" t="s">
        <v>69</v>
      </c>
      <c r="D11">
        <v>160.99</v>
      </c>
    </row>
    <row r="12" spans="1:4" x14ac:dyDescent="0.25">
      <c r="A12">
        <v>10</v>
      </c>
      <c r="B12" t="s">
        <v>14</v>
      </c>
      <c r="C12" t="s">
        <v>5</v>
      </c>
      <c r="D12">
        <v>12.08</v>
      </c>
    </row>
    <row r="13" spans="1:4" x14ac:dyDescent="0.25">
      <c r="A13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width="5.6328125" customWidth="1"/>
    <col min="2" max="2" width="35.7265625" customWidth="1"/>
    <col min="3" max="3" width="5.6328125" customWidth="1"/>
    <col min="4" max="4" width="10" customWidth="1"/>
    <col min="5" max="5" width="27.453125" customWidth="1"/>
    <col min="6" max="6" width="47.453125" customWidth="1"/>
    <col min="7" max="7" width="10" customWidth="1"/>
    <col min="8" max="8" width="18.54296875" customWidth="1"/>
  </cols>
  <sheetData>
    <row r="1" spans="1:8" ht="30" customHeight="1" thickTop="1" thickBot="1" x14ac:dyDescent="0.3">
      <c r="A1" s="21"/>
      <c r="B1" s="22"/>
      <c r="C1" s="22"/>
      <c r="D1" s="26" t="s">
        <v>58</v>
      </c>
      <c r="E1" s="30">
        <v>10000</v>
      </c>
      <c r="F1" s="22"/>
      <c r="G1" s="26" t="s">
        <v>59</v>
      </c>
      <c r="H1" s="27">
        <f ca="1">IF('Relatorio Carteira'!K2 = "", TODAY(), 'Relatorio Carteira'!K2)</f>
        <v>45137</v>
      </c>
    </row>
    <row r="2" spans="1:8" ht="30" customHeight="1" thickTop="1" thickBot="1" x14ac:dyDescent="0.45">
      <c r="A2" s="23"/>
      <c r="B2" s="24"/>
      <c r="C2" s="24"/>
      <c r="D2" s="24"/>
      <c r="E2" s="29"/>
      <c r="F2" s="24"/>
      <c r="G2" s="24"/>
      <c r="H2" s="25"/>
    </row>
    <row r="3" spans="1:8" ht="15.6" thickTop="1" x14ac:dyDescent="0.25"/>
    <row r="4" spans="1:8" ht="16.2" thickBot="1" x14ac:dyDescent="0.35">
      <c r="B4" s="20" t="s">
        <v>57</v>
      </c>
    </row>
    <row r="5" spans="1:8" ht="40.049999999999997" customHeight="1" thickTop="1" thickBot="1" x14ac:dyDescent="0.3">
      <c r="B5" s="28">
        <f ca="1">'Dashboard Auxiliar'!B13</f>
        <v>34740.050000000003</v>
      </c>
    </row>
    <row r="6" spans="1:8" ht="15.6" thickTop="1" x14ac:dyDescent="0.25"/>
    <row r="7" spans="1:8" ht="16.2" thickBot="1" x14ac:dyDescent="0.35">
      <c r="B7" s="20" t="s">
        <v>50</v>
      </c>
    </row>
    <row r="8" spans="1:8" ht="40.049999999999997" customHeight="1" thickTop="1" thickBot="1" x14ac:dyDescent="0.3">
      <c r="B8" s="28">
        <f ca="1">'Dashboard Auxiliar'!B12</f>
        <v>36053</v>
      </c>
    </row>
    <row r="9" spans="1:8" ht="15.6" thickTop="1" x14ac:dyDescent="0.25"/>
    <row r="10" spans="1:8" ht="16.2" thickBot="1" x14ac:dyDescent="0.35">
      <c r="B10" s="20" t="s">
        <v>53</v>
      </c>
    </row>
    <row r="11" spans="1:8" ht="40.049999999999997" customHeight="1" thickTop="1" thickBot="1" x14ac:dyDescent="0.3">
      <c r="B11" s="28">
        <f ca="1">'Dashboard Auxiliar'!B14</f>
        <v>-1312.9500000000003</v>
      </c>
    </row>
    <row r="12" spans="1:8" ht="15.6" thickTop="1" x14ac:dyDescent="0.25"/>
    <row r="13" spans="1:8" ht="16.2" thickBot="1" x14ac:dyDescent="0.35">
      <c r="B13" s="20" t="s">
        <v>54</v>
      </c>
    </row>
    <row r="14" spans="1:8" ht="40.049999999999997" customHeight="1" thickTop="1" thickBot="1" x14ac:dyDescent="0.3">
      <c r="B14" s="31">
        <f ca="1">'Dashboard Auxiliar'!B15</f>
        <v>-3.6417219094111331E-2</v>
      </c>
    </row>
    <row r="15" spans="1:8" s="32" customFormat="1" ht="15.6" thickTop="1" x14ac:dyDescent="0.25"/>
  </sheetData>
  <conditionalFormatting sqref="B14">
    <cfRule type="cellIs" dxfId="1" priority="2" operator="lessThan">
      <formula>0</formula>
    </cfRule>
  </conditionalFormatting>
  <conditionalFormatting sqref="B5 B8 B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Drop Down 2">
              <controlPr defaultSize="0" autoLine="0" autoPict="0">
                <anchor moveWithCells="1">
                  <from>
                    <xdr:col>1</xdr:col>
                    <xdr:colOff>7620</xdr:colOff>
                    <xdr:row>0</xdr:row>
                    <xdr:rowOff>7620</xdr:rowOff>
                  </from>
                  <to>
                    <xdr:col>2</xdr:col>
                    <xdr:colOff>7620</xdr:colOff>
                    <xdr:row>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15</v>
      </c>
      <c r="B1" s="2" t="s">
        <v>16</v>
      </c>
      <c r="C1" s="2" t="s">
        <v>17</v>
      </c>
      <c r="D1" s="3" t="s">
        <v>18</v>
      </c>
      <c r="E1" s="3" t="s">
        <v>19</v>
      </c>
      <c r="F1" s="5" t="s">
        <v>20</v>
      </c>
      <c r="G1" s="6" t="s">
        <v>21</v>
      </c>
      <c r="H1" s="6" t="s">
        <v>22</v>
      </c>
      <c r="I1" s="6" t="s">
        <v>23</v>
      </c>
      <c r="J1" s="6" t="s">
        <v>24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10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FUNDOS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11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FUNDOS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FUNDOS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10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FUNDOS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12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FUNDOS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14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11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FUNDOS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FUNDOS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10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FUNDOS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11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FUNDOS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FUNDOS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10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FUNDOS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12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FUNDOS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14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12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FUNDOS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11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FUNDOS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9.95" customHeight="1" x14ac:dyDescent="0.25"/>
  <cols>
    <col min="1" max="1" width="9.08984375" style="2" customWidth="1"/>
    <col min="2" max="2" width="17.453125" style="2" customWidth="1"/>
    <col min="3" max="3" width="12.36328125" style="2" customWidth="1"/>
    <col min="4" max="4" width="17.81640625" style="4" customWidth="1"/>
    <col min="5" max="5" width="17.7265625" style="4" customWidth="1"/>
    <col min="6" max="6" width="17.7265625" style="5" customWidth="1"/>
    <col min="7" max="7" width="13.1796875" style="6" customWidth="1"/>
    <col min="8" max="8" width="11.81640625" style="6" customWidth="1"/>
    <col min="9" max="9" width="27.81640625" style="6" customWidth="1"/>
  </cols>
  <sheetData>
    <row r="1" spans="1:9" ht="19.95" customHeight="1" x14ac:dyDescent="0.25">
      <c r="A1" s="2" t="s">
        <v>28</v>
      </c>
      <c r="B1" s="2" t="s">
        <v>16</v>
      </c>
      <c r="C1" s="2" t="s">
        <v>17</v>
      </c>
      <c r="D1" s="4" t="s">
        <v>25</v>
      </c>
      <c r="E1" s="4" t="s">
        <v>26</v>
      </c>
      <c r="F1" s="5" t="s">
        <v>29</v>
      </c>
      <c r="G1" s="6" t="s">
        <v>15</v>
      </c>
      <c r="H1" s="6" t="s">
        <v>24</v>
      </c>
      <c r="I1" s="6" t="s">
        <v>21</v>
      </c>
    </row>
    <row r="2" spans="1:9" ht="19.95" customHeight="1" x14ac:dyDescent="0.25">
      <c r="A2" s="2">
        <v>13</v>
      </c>
      <c r="B2" s="2" t="s">
        <v>7</v>
      </c>
      <c r="C2" s="2">
        <v>100</v>
      </c>
      <c r="D2" s="4">
        <v>39.479999999999997</v>
      </c>
      <c r="E2" s="4">
        <v>0</v>
      </c>
      <c r="F2" s="5">
        <v>39.479999999999997</v>
      </c>
      <c r="G2" s="8">
        <v>43449</v>
      </c>
      <c r="H2" s="6" t="str">
        <f>CONCATENATE(YEAR(TblProventos[[#This Row],[Data]]), "/", IF(MONTH(TblProventos[[#This Row],[Data]]) &lt; 10, "0", ""), MONTH(TblProventos[[#This Row],[Data]]))</f>
        <v>2018/12</v>
      </c>
      <c r="I2" s="6" t="str">
        <f>VLOOKUP(TblProventos[[#This Row],[Ativo]], 'Tabela Ativos'!$B$4:$D$500, 2, FALSE)</f>
        <v>EMPRESA</v>
      </c>
    </row>
    <row r="3" spans="1:9" ht="19.95" customHeight="1" x14ac:dyDescent="0.25">
      <c r="A3" s="2">
        <v>14</v>
      </c>
      <c r="B3" s="2" t="s">
        <v>9</v>
      </c>
      <c r="C3" s="2">
        <v>100</v>
      </c>
      <c r="D3" s="4">
        <v>63</v>
      </c>
      <c r="E3" s="4">
        <v>0</v>
      </c>
      <c r="F3" s="5">
        <v>63</v>
      </c>
      <c r="G3" s="8">
        <v>43451</v>
      </c>
      <c r="H3" s="6" t="str">
        <f>CONCATENATE(YEAR(TblProventos[[#This Row],[Data]]), "/", IF(MONTH(TblProventos[[#This Row],[Data]]) &lt; 10, "0", ""), MONTH(TblProventos[[#This Row],[Data]]))</f>
        <v>2018/12</v>
      </c>
      <c r="I3" s="6" t="str">
        <f>VLOOKUP(TblProventos[[#This Row],[Ativo]], 'Tabela Ativos'!$B$4:$D$500, 2, FALSE)</f>
        <v>FUNDOS INVESTIMENTO IMOBILIARIO</v>
      </c>
    </row>
    <row r="4" spans="1:9" ht="19.95" customHeight="1" x14ac:dyDescent="0.25">
      <c r="A4" s="2">
        <v>14</v>
      </c>
      <c r="B4" s="2" t="s">
        <v>10</v>
      </c>
      <c r="C4" s="2">
        <v>100</v>
      </c>
      <c r="D4" s="4">
        <v>81</v>
      </c>
      <c r="E4" s="4">
        <v>0</v>
      </c>
      <c r="F4" s="5">
        <v>81</v>
      </c>
      <c r="G4" s="8">
        <v>43451</v>
      </c>
      <c r="H4" s="6" t="str">
        <f>CONCATENATE(YEAR(TblProventos[[#This Row],[Data]]), "/", IF(MONTH(TblProventos[[#This Row],[Data]]) &lt; 10, "0", ""), MONTH(TblProventos[[#This Row],[Data]]))</f>
        <v>2018/12</v>
      </c>
      <c r="I4" s="6" t="str">
        <f>VLOOKUP(TblProventos[[#This Row],[Ativo]], 'Tabela Ativos'!$B$4:$D$500, 2, FALSE)</f>
        <v>FUNDOS INVESTIMENTO IMOBILIARIO</v>
      </c>
    </row>
    <row r="5" spans="1:9" ht="19.95" customHeight="1" x14ac:dyDescent="0.25">
      <c r="A5" s="2">
        <v>14</v>
      </c>
      <c r="B5" s="2" t="s">
        <v>11</v>
      </c>
      <c r="C5" s="2">
        <v>100</v>
      </c>
      <c r="D5" s="4">
        <v>38.89</v>
      </c>
      <c r="E5" s="4">
        <v>0</v>
      </c>
      <c r="F5" s="5">
        <v>38.89</v>
      </c>
      <c r="G5" s="8">
        <v>43451</v>
      </c>
      <c r="H5" s="6" t="str">
        <f>CONCATENATE(YEAR(TblProventos[[#This Row],[Data]]), "/", IF(MONTH(TblProventos[[#This Row],[Data]]) &lt; 10, "0", ""), MONTH(TblProventos[[#This Row],[Data]]))</f>
        <v>2018/12</v>
      </c>
      <c r="I5" s="6" t="str">
        <f>VLOOKUP(TblProventos[[#This Row],[Ativo]], 'Tabela Ativos'!$B$4:$D$500, 2, FALSE)</f>
        <v>FUNDOS INVESTIMENTO IMOBILIARIO</v>
      </c>
    </row>
    <row r="6" spans="1:9" ht="19.95" customHeight="1" x14ac:dyDescent="0.25">
      <c r="A6" s="2">
        <v>14</v>
      </c>
      <c r="B6" s="2" t="s">
        <v>12</v>
      </c>
      <c r="C6" s="2">
        <v>100</v>
      </c>
      <c r="D6" s="4">
        <v>34.770000000000003</v>
      </c>
      <c r="E6" s="4">
        <v>0</v>
      </c>
      <c r="F6" s="5">
        <v>34.770000000000003</v>
      </c>
      <c r="G6" s="8">
        <v>43451</v>
      </c>
      <c r="H6" s="6" t="str">
        <f>CONCATENATE(YEAR(TblProventos[[#This Row],[Data]]), "/", IF(MONTH(TblProventos[[#This Row],[Data]]) &lt; 10, "0", ""), MONTH(TblProventos[[#This Row],[Data]]))</f>
        <v>2018/12</v>
      </c>
      <c r="I6" s="6" t="str">
        <f>VLOOKUP(TblProventos[[#This Row],[Ativo]], 'Tabela Ativos'!$B$4:$D$500, 2, FALSE)</f>
        <v>FUNDOS INVESTIMENTO IMOBILIARIO</v>
      </c>
    </row>
    <row r="7" spans="1:9" ht="19.95" customHeight="1" x14ac:dyDescent="0.25">
      <c r="A7" s="2">
        <v>13</v>
      </c>
      <c r="B7" s="2" t="s">
        <v>8</v>
      </c>
      <c r="C7" s="2">
        <v>100</v>
      </c>
      <c r="D7" s="4">
        <v>67</v>
      </c>
      <c r="E7" s="4">
        <v>6</v>
      </c>
      <c r="F7" s="5">
        <v>61</v>
      </c>
      <c r="G7" s="8">
        <v>43480</v>
      </c>
      <c r="H7" s="6" t="str">
        <f>CONCATENATE(YEAR(TblProventos[[#This Row],[Data]]), "/", IF(MONTH(TblProventos[[#This Row],[Data]]) &lt; 10, "0", ""), MONTH(TblProventos[[#This Row],[Data]]))</f>
        <v>2019/01</v>
      </c>
      <c r="I7" s="6" t="str">
        <f>VLOOKUP(TblProventos[[#This Row],[Ativo]], 'Tabela Ativos'!$B$4:$D$500, 2, FALSE)</f>
        <v>EMPRESA</v>
      </c>
    </row>
    <row r="8" spans="1:9" ht="19.95" customHeight="1" x14ac:dyDescent="0.25">
      <c r="A8" s="2">
        <v>14</v>
      </c>
      <c r="B8" s="2" t="s">
        <v>9</v>
      </c>
      <c r="C8" s="2">
        <v>100</v>
      </c>
      <c r="D8" s="4">
        <v>75.709999999999994</v>
      </c>
      <c r="E8" s="4">
        <v>0</v>
      </c>
      <c r="F8" s="5">
        <v>75.709999999999994</v>
      </c>
      <c r="G8" s="8">
        <v>43482</v>
      </c>
      <c r="H8" s="6" t="str">
        <f>CONCATENATE(YEAR(TblProventos[[#This Row],[Data]]), "/", IF(MONTH(TblProventos[[#This Row],[Data]]) &lt; 10, "0", ""), MONTH(TblProventos[[#This Row],[Data]]))</f>
        <v>2019/01</v>
      </c>
      <c r="I8" s="6" t="str">
        <f>VLOOKUP(TblProventos[[#This Row],[Ativo]], 'Tabela Ativos'!$B$4:$D$500, 2, FALSE)</f>
        <v>FUNDOS INVESTIMENTO IMOBILIARIO</v>
      </c>
    </row>
    <row r="9" spans="1:9" ht="19.95" customHeight="1" x14ac:dyDescent="0.25">
      <c r="A9" s="2">
        <v>14</v>
      </c>
      <c r="B9" s="2" t="s">
        <v>10</v>
      </c>
      <c r="C9" s="2">
        <v>100</v>
      </c>
      <c r="D9" s="4">
        <v>39.36</v>
      </c>
      <c r="E9" s="4">
        <v>0</v>
      </c>
      <c r="F9" s="5">
        <v>39.36</v>
      </c>
      <c r="G9" s="8">
        <v>43482</v>
      </c>
      <c r="H9" s="6" t="str">
        <f>CONCATENATE(YEAR(TblProventos[[#This Row],[Data]]), "/", IF(MONTH(TblProventos[[#This Row],[Data]]) &lt; 10, "0", ""), MONTH(TblProventos[[#This Row],[Data]]))</f>
        <v>2019/01</v>
      </c>
      <c r="I9" s="6" t="str">
        <f>VLOOKUP(TblProventos[[#This Row],[Ativo]], 'Tabela Ativos'!$B$4:$D$500, 2, FALSE)</f>
        <v>FUNDOS INVESTIMENTO IMOBILIARIO</v>
      </c>
    </row>
    <row r="10" spans="1:9" ht="19.95" customHeight="1" x14ac:dyDescent="0.25">
      <c r="A10" s="2">
        <v>14</v>
      </c>
      <c r="B10" s="2" t="s">
        <v>11</v>
      </c>
      <c r="C10" s="2">
        <v>100</v>
      </c>
      <c r="D10" s="4">
        <v>51.8</v>
      </c>
      <c r="E10" s="4">
        <v>0</v>
      </c>
      <c r="F10" s="5">
        <v>51.8</v>
      </c>
      <c r="G10" s="8">
        <v>43482</v>
      </c>
      <c r="H10" s="6" t="str">
        <f>CONCATENATE(YEAR(TblProventos[[#This Row],[Data]]), "/", IF(MONTH(TblProventos[[#This Row],[Data]]) &lt; 10, "0", ""), MONTH(TblProventos[[#This Row],[Data]]))</f>
        <v>2019/01</v>
      </c>
      <c r="I10" s="6" t="str">
        <f>VLOOKUP(TblProventos[[#This Row],[Ativo]], 'Tabela Ativos'!$B$4:$D$500, 2, FALSE)</f>
        <v>FUNDOS INVESTIMENTO IMOBILIARIO</v>
      </c>
    </row>
    <row r="11" spans="1:9" ht="19.95" customHeight="1" x14ac:dyDescent="0.25">
      <c r="A11" s="2">
        <v>14</v>
      </c>
      <c r="B11" s="2" t="s">
        <v>12</v>
      </c>
      <c r="C11" s="2">
        <v>100</v>
      </c>
      <c r="D11" s="4">
        <v>61.75</v>
      </c>
      <c r="E11" s="4">
        <v>0</v>
      </c>
      <c r="F11" s="5">
        <v>61.75</v>
      </c>
      <c r="G11" s="8">
        <v>43482</v>
      </c>
      <c r="H11" s="6" t="str">
        <f>CONCATENATE(YEAR(TblProventos[[#This Row],[Data]]), "/", IF(MONTH(TblProventos[[#This Row],[Data]]) &lt; 10, "0", ""), MONTH(TblProventos[[#This Row],[Data]]))</f>
        <v>2019/01</v>
      </c>
      <c r="I11" s="6" t="str">
        <f>VLOOKUP(TblProventos[[#This Row],[Ativo]], 'Tabela Ativos'!$B$4:$D$500, 2, FALSE)</f>
        <v>FUNDOS INVESTIMENTO IMOBILIARIO</v>
      </c>
    </row>
    <row r="12" spans="1:9" ht="19.95" customHeight="1" x14ac:dyDescent="0.25">
      <c r="A12" s="2">
        <v>13</v>
      </c>
      <c r="B12" s="2" t="s">
        <v>7</v>
      </c>
      <c r="C12" s="2">
        <v>100</v>
      </c>
      <c r="D12" s="4">
        <v>65.430000000000007</v>
      </c>
      <c r="E12" s="4">
        <v>0</v>
      </c>
      <c r="F12" s="5">
        <v>65.430000000000007</v>
      </c>
      <c r="G12" s="8">
        <v>43511</v>
      </c>
      <c r="H12" s="6" t="str">
        <f>CONCATENATE(YEAR(TblProventos[[#This Row],[Data]]), "/", IF(MONTH(TblProventos[[#This Row],[Data]]) &lt; 10, "0", ""), MONTH(TblProventos[[#This Row],[Data]]))</f>
        <v>2019/02</v>
      </c>
      <c r="I12" s="6" t="str">
        <f>VLOOKUP(TblProventos[[#This Row],[Ativo]], 'Tabela Ativos'!$B$4:$D$500, 2, FALSE)</f>
        <v>EMPRESA</v>
      </c>
    </row>
    <row r="13" spans="1:9" ht="19.95" customHeight="1" x14ac:dyDescent="0.25">
      <c r="A13" s="2">
        <v>50</v>
      </c>
      <c r="B13" s="2" t="s">
        <v>27</v>
      </c>
      <c r="C13" s="2">
        <v>100</v>
      </c>
      <c r="D13" s="4">
        <v>0</v>
      </c>
      <c r="E13" s="4">
        <v>0</v>
      </c>
      <c r="F13" s="5">
        <v>0</v>
      </c>
      <c r="G13" s="8">
        <v>43511</v>
      </c>
      <c r="H13" s="6" t="str">
        <f>CONCATENATE(YEAR(TblProventos[[#This Row],[Data]]), "/", IF(MONTH(TblProventos[[#This Row],[Data]]) &lt; 10, "0", ""), MONTH(TblProventos[[#This Row],[Data]]))</f>
        <v>2019/02</v>
      </c>
      <c r="I13" s="6" t="e">
        <f>VLOOKUP(TblProventos[[#This Row],[Ativo]], 'Tabela Ativos'!$B$4:$D$500, 2, FALSE)</f>
        <v>#N/A</v>
      </c>
    </row>
    <row r="14" spans="1:9" ht="19.95" customHeight="1" x14ac:dyDescent="0.25">
      <c r="A14" s="2">
        <v>14</v>
      </c>
      <c r="B14" s="2" t="s">
        <v>9</v>
      </c>
      <c r="C14" s="2">
        <v>100</v>
      </c>
      <c r="D14" s="4">
        <v>61</v>
      </c>
      <c r="E14" s="4">
        <v>0</v>
      </c>
      <c r="F14" s="5">
        <v>61</v>
      </c>
      <c r="G14" s="8">
        <v>43513</v>
      </c>
      <c r="H14" s="6" t="str">
        <f>CONCATENATE(YEAR(TblProventos[[#This Row],[Data]]), "/", IF(MONTH(TblProventos[[#This Row],[Data]]) &lt; 10, "0", ""), MONTH(TblProventos[[#This Row],[Data]]))</f>
        <v>2019/02</v>
      </c>
      <c r="I14" s="6" t="str">
        <f>VLOOKUP(TblProventos[[#This Row],[Ativo]], 'Tabela Ativos'!$B$4:$D$500, 2, FALSE)</f>
        <v>FUNDOS INVESTIMENTO IMOBILIARIO</v>
      </c>
    </row>
    <row r="15" spans="1:9" ht="19.95" customHeight="1" x14ac:dyDescent="0.25">
      <c r="A15" s="2">
        <v>14</v>
      </c>
      <c r="B15" s="2" t="s">
        <v>10</v>
      </c>
      <c r="C15" s="2">
        <v>100</v>
      </c>
      <c r="D15" s="4">
        <v>99</v>
      </c>
      <c r="E15" s="4">
        <v>0</v>
      </c>
      <c r="F15" s="5">
        <v>99</v>
      </c>
      <c r="G15" s="8">
        <v>43513</v>
      </c>
      <c r="H15" s="6" t="str">
        <f>CONCATENATE(YEAR(TblProventos[[#This Row],[Data]]), "/", IF(MONTH(TblProventos[[#This Row],[Data]]) &lt; 10, "0", ""), MONTH(TblProventos[[#This Row],[Data]]))</f>
        <v>2019/02</v>
      </c>
      <c r="I15" s="6" t="str">
        <f>VLOOKUP(TblProventos[[#This Row],[Ativo]], 'Tabela Ativos'!$B$4:$D$500, 2, FALSE)</f>
        <v>FUNDOS INVESTIMENTO IMOBILIARIO</v>
      </c>
    </row>
    <row r="16" spans="1:9" ht="19.95" customHeight="1" x14ac:dyDescent="0.25">
      <c r="A16" s="2">
        <v>14</v>
      </c>
      <c r="B16" s="2" t="s">
        <v>11</v>
      </c>
      <c r="C16" s="2">
        <v>100</v>
      </c>
      <c r="D16" s="4">
        <v>99.9</v>
      </c>
      <c r="E16" s="4">
        <v>0</v>
      </c>
      <c r="F16" s="5">
        <v>99.9</v>
      </c>
      <c r="G16" s="8">
        <v>43513</v>
      </c>
      <c r="H16" s="6" t="str">
        <f>CONCATENATE(YEAR(TblProventos[[#This Row],[Data]]), "/", IF(MONTH(TblProventos[[#This Row],[Data]]) &lt; 10, "0", ""), MONTH(TblProventos[[#This Row],[Data]]))</f>
        <v>2019/02</v>
      </c>
      <c r="I16" s="6" t="str">
        <f>VLOOKUP(TblProventos[[#This Row],[Ativo]], 'Tabela Ativos'!$B$4:$D$500, 2, FALSE)</f>
        <v>FUNDOS INVESTIMENTO IMOBILIARIO</v>
      </c>
    </row>
    <row r="17" spans="1:9" ht="19.95" customHeight="1" x14ac:dyDescent="0.25">
      <c r="A17" s="2">
        <v>14</v>
      </c>
      <c r="B17" s="2" t="s">
        <v>12</v>
      </c>
      <c r="C17" s="2">
        <v>100</v>
      </c>
      <c r="D17" s="4">
        <v>98.42</v>
      </c>
      <c r="E17" s="4">
        <v>0</v>
      </c>
      <c r="F17" s="5">
        <v>98.42</v>
      </c>
      <c r="G17" s="8">
        <v>43513</v>
      </c>
      <c r="H17" s="6" t="str">
        <f>CONCATENATE(YEAR(TblProventos[[#This Row],[Data]]), "/", IF(MONTH(TblProventos[[#This Row],[Data]]) &lt; 10, "0", ""), MONTH(TblProventos[[#This Row],[Data]]))</f>
        <v>2019/02</v>
      </c>
      <c r="I17" s="6" t="str">
        <f>VLOOKUP(TblProventos[[#This Row],[Ativo]], 'Tabela Ativos'!$B$4:$D$500, 2, FALSE)</f>
        <v>FUNDOS INVESTIMENTO IMOBILIARIO</v>
      </c>
    </row>
    <row r="18" spans="1:9" ht="19.95" customHeight="1" x14ac:dyDescent="0.25">
      <c r="A18" s="2">
        <v>13</v>
      </c>
      <c r="B18" s="2" t="s">
        <v>6</v>
      </c>
      <c r="C18" s="2">
        <v>100</v>
      </c>
      <c r="D18" s="4">
        <v>166</v>
      </c>
      <c r="E18" s="4">
        <v>2.34</v>
      </c>
      <c r="F18" s="5">
        <v>163.66</v>
      </c>
      <c r="G18" s="8">
        <v>43539</v>
      </c>
      <c r="H18" s="6" t="str">
        <f>CONCATENATE(YEAR(TblProventos[[#This Row],[Data]]), "/", IF(MONTH(TblProventos[[#This Row],[Data]]) &lt; 10, "0", ""), MONTH(TblProventos[[#This Row],[Data]]))</f>
        <v>2019/03</v>
      </c>
      <c r="I18" s="6" t="str">
        <f>VLOOKUP(TblProventos[[#This Row],[Ativo]], 'Tabela Ativos'!$B$4:$D$500, 2, FALSE)</f>
        <v>EMPRESA</v>
      </c>
    </row>
    <row r="19" spans="1:9" ht="19.95" customHeight="1" x14ac:dyDescent="0.25">
      <c r="A19" s="2">
        <v>14</v>
      </c>
      <c r="B19" s="2" t="s">
        <v>9</v>
      </c>
      <c r="C19" s="2">
        <v>100</v>
      </c>
      <c r="D19" s="4">
        <v>37.44</v>
      </c>
      <c r="E19" s="4">
        <v>0</v>
      </c>
      <c r="F19" s="5">
        <v>37.44</v>
      </c>
      <c r="G19" s="8">
        <v>43541</v>
      </c>
      <c r="H19" s="6" t="str">
        <f>CONCATENATE(YEAR(TblProventos[[#This Row],[Data]]), "/", IF(MONTH(TblProventos[[#This Row],[Data]]) &lt; 10, "0", ""), MONTH(TblProventos[[#This Row],[Data]]))</f>
        <v>2019/03</v>
      </c>
      <c r="I19" s="6" t="str">
        <f>VLOOKUP(TblProventos[[#This Row],[Ativo]], 'Tabela Ativos'!$B$4:$D$500, 2, FALSE)</f>
        <v>FUNDOS INVESTIMENTO IMOBILIARIO</v>
      </c>
    </row>
    <row r="20" spans="1:9" ht="19.95" customHeight="1" x14ac:dyDescent="0.25">
      <c r="A20" s="2">
        <v>14</v>
      </c>
      <c r="B20" s="2" t="s">
        <v>10</v>
      </c>
      <c r="C20" s="2">
        <v>100</v>
      </c>
      <c r="D20" s="4">
        <v>52.02</v>
      </c>
      <c r="E20" s="4">
        <v>0</v>
      </c>
      <c r="F20" s="5">
        <v>52.02</v>
      </c>
      <c r="G20" s="8">
        <v>43541</v>
      </c>
      <c r="H20" s="6" t="str">
        <f>CONCATENATE(YEAR(TblProventos[[#This Row],[Data]]), "/", IF(MONTH(TblProventos[[#This Row],[Data]]) &lt; 10, "0", ""), MONTH(TblProventos[[#This Row],[Data]]))</f>
        <v>2019/03</v>
      </c>
      <c r="I20" s="6" t="str">
        <f>VLOOKUP(TblProventos[[#This Row],[Ativo]], 'Tabela Ativos'!$B$4:$D$500, 2, FALSE)</f>
        <v>FUNDOS INVESTIMENTO IMOBILIARIO</v>
      </c>
    </row>
    <row r="21" spans="1:9" ht="19.95" customHeight="1" x14ac:dyDescent="0.25">
      <c r="A21" s="2">
        <v>14</v>
      </c>
      <c r="B21" s="2" t="s">
        <v>11</v>
      </c>
      <c r="C21" s="2">
        <v>100</v>
      </c>
      <c r="D21" s="4">
        <v>42.14</v>
      </c>
      <c r="E21" s="4">
        <v>0</v>
      </c>
      <c r="F21" s="5">
        <v>42.14</v>
      </c>
      <c r="G21" s="8">
        <v>43541</v>
      </c>
      <c r="H21" s="6" t="str">
        <f>CONCATENATE(YEAR(TblProventos[[#This Row],[Data]]), "/", IF(MONTH(TblProventos[[#This Row],[Data]]) &lt; 10, "0", ""), MONTH(TblProventos[[#This Row],[Data]]))</f>
        <v>2019/03</v>
      </c>
      <c r="I21" s="6" t="str">
        <f>VLOOKUP(TblProventos[[#This Row],[Ativo]], 'Tabela Ativos'!$B$4:$D$500, 2, FALSE)</f>
        <v>FUNDOS INVESTIMENTO IMOBILIARIO</v>
      </c>
    </row>
    <row r="22" spans="1:9" ht="19.95" customHeight="1" x14ac:dyDescent="0.25">
      <c r="A22" s="2">
        <v>14</v>
      </c>
      <c r="B22" s="2" t="s">
        <v>12</v>
      </c>
      <c r="C22" s="2">
        <v>100</v>
      </c>
      <c r="D22" s="4">
        <v>177.12</v>
      </c>
      <c r="E22" s="4">
        <v>0</v>
      </c>
      <c r="F22" s="5">
        <v>177.12</v>
      </c>
      <c r="G22" s="8">
        <v>43541</v>
      </c>
      <c r="H22" s="6" t="str">
        <f>CONCATENATE(YEAR(TblProventos[[#This Row],[Data]]), "/", IF(MONTH(TblProventos[[#This Row],[Data]]) &lt; 10, "0", ""), MONTH(TblProventos[[#This Row],[Data]]))</f>
        <v>2019/03</v>
      </c>
      <c r="I22" s="6" t="str">
        <f>VLOOKUP(TblProventos[[#This Row],[Ativo]], 'Tabela Ativos'!$B$4:$D$500, 2, FALSE)</f>
        <v>FUNDOS INVESTIMENTO IMOBILIARIO</v>
      </c>
    </row>
    <row r="23" spans="1:9" ht="19.95" customHeight="1" x14ac:dyDescent="0.25">
      <c r="A23" s="2">
        <v>13</v>
      </c>
      <c r="B23" s="2" t="s">
        <v>7</v>
      </c>
      <c r="C23" s="2">
        <v>100</v>
      </c>
      <c r="D23" s="4">
        <v>162.75</v>
      </c>
      <c r="E23" s="4">
        <v>0</v>
      </c>
      <c r="F23" s="5">
        <v>162.75</v>
      </c>
      <c r="G23" s="8">
        <v>43570</v>
      </c>
      <c r="H23" s="6" t="str">
        <f>CONCATENATE(YEAR(TblProventos[[#This Row],[Data]]), "/", IF(MONTH(TblProventos[[#This Row],[Data]]) &lt; 10, "0", ""), MONTH(TblProventos[[#This Row],[Data]]))</f>
        <v>2019/04</v>
      </c>
      <c r="I23" s="6" t="str">
        <f>VLOOKUP(TblProventos[[#This Row],[Ativo]], 'Tabela Ativos'!$B$4:$D$500, 2, FALSE)</f>
        <v>EMPRESA</v>
      </c>
    </row>
    <row r="24" spans="1:9" ht="19.95" customHeight="1" x14ac:dyDescent="0.25">
      <c r="A24" s="2">
        <v>14</v>
      </c>
      <c r="B24" s="2" t="s">
        <v>9</v>
      </c>
      <c r="C24" s="2">
        <v>100</v>
      </c>
      <c r="D24" s="4">
        <v>61</v>
      </c>
      <c r="E24" s="4">
        <v>0</v>
      </c>
      <c r="F24" s="5">
        <v>61</v>
      </c>
      <c r="G24" s="8">
        <v>43572</v>
      </c>
      <c r="H24" s="6" t="str">
        <f>CONCATENATE(YEAR(TblProventos[[#This Row],[Data]]), "/", IF(MONTH(TblProventos[[#This Row],[Data]]) &lt; 10, "0", ""), MONTH(TblProventos[[#This Row],[Data]]))</f>
        <v>2019/04</v>
      </c>
      <c r="I24" s="6" t="str">
        <f>VLOOKUP(TblProventos[[#This Row],[Ativo]], 'Tabela Ativos'!$B$4:$D$500, 2, FALSE)</f>
        <v>FUNDOS INVESTIMENTO IMOBILIARIO</v>
      </c>
    </row>
    <row r="25" spans="1:9" ht="19.95" customHeight="1" x14ac:dyDescent="0.25">
      <c r="A25" s="2">
        <v>14</v>
      </c>
      <c r="B25" s="2" t="s">
        <v>10</v>
      </c>
      <c r="C25" s="2">
        <v>100</v>
      </c>
      <c r="D25" s="4">
        <v>180.6</v>
      </c>
      <c r="E25" s="4">
        <v>0</v>
      </c>
      <c r="F25" s="5">
        <v>180.6</v>
      </c>
      <c r="G25" s="8">
        <v>43572</v>
      </c>
      <c r="H25" s="6" t="str">
        <f>CONCATENATE(YEAR(TblProventos[[#This Row],[Data]]), "/", IF(MONTH(TblProventos[[#This Row],[Data]]) &lt; 10, "0", ""), MONTH(TblProventos[[#This Row],[Data]]))</f>
        <v>2019/04</v>
      </c>
      <c r="I25" s="6" t="str">
        <f>VLOOKUP(TblProventos[[#This Row],[Ativo]], 'Tabela Ativos'!$B$4:$D$500, 2, FALSE)</f>
        <v>FUNDOS INVESTIMENTO IMOBILIARIO</v>
      </c>
    </row>
    <row r="26" spans="1:9" ht="19.95" customHeight="1" x14ac:dyDescent="0.25">
      <c r="A26" s="2">
        <v>14</v>
      </c>
      <c r="B26" s="2" t="s">
        <v>11</v>
      </c>
      <c r="C26" s="2">
        <v>100</v>
      </c>
      <c r="D26" s="4">
        <v>38.4</v>
      </c>
      <c r="E26" s="4">
        <v>0</v>
      </c>
      <c r="F26" s="5">
        <v>38.4</v>
      </c>
      <c r="G26" s="8">
        <v>43572</v>
      </c>
      <c r="H26" s="6" t="str">
        <f>CONCATENATE(YEAR(TblProventos[[#This Row],[Data]]), "/", IF(MONTH(TblProventos[[#This Row],[Data]]) &lt; 10, "0", ""), MONTH(TblProventos[[#This Row],[Data]]))</f>
        <v>2019/04</v>
      </c>
      <c r="I26" s="6" t="str">
        <f>VLOOKUP(TblProventos[[#This Row],[Ativo]], 'Tabela Ativos'!$B$4:$D$500, 2, FALSE)</f>
        <v>FUNDOS INVESTIMENTO IMOBILIARIO</v>
      </c>
    </row>
    <row r="27" spans="1:9" ht="19.95" customHeight="1" x14ac:dyDescent="0.25">
      <c r="A27" s="2">
        <v>14</v>
      </c>
      <c r="B27" s="2" t="s">
        <v>12</v>
      </c>
      <c r="C27" s="2">
        <v>100</v>
      </c>
      <c r="D27" s="4">
        <v>153.18</v>
      </c>
      <c r="E27" s="4">
        <v>0</v>
      </c>
      <c r="F27" s="5">
        <v>153.18</v>
      </c>
      <c r="G27" s="8">
        <v>43572</v>
      </c>
      <c r="H27" s="6" t="str">
        <f>CONCATENATE(YEAR(TblProventos[[#This Row],[Data]]), "/", IF(MONTH(TblProventos[[#This Row],[Data]]) &lt; 10, "0", ""), MONTH(TblProventos[[#This Row],[Data]]))</f>
        <v>2019/04</v>
      </c>
      <c r="I27" s="6" t="str">
        <f>VLOOKUP(TblProventos[[#This Row],[Ativo]], 'Tabela Ativos'!$B$4:$D$500, 2, FALSE)</f>
        <v>FUNDOS INVESTIMENTO IMOBILIARIO</v>
      </c>
    </row>
    <row r="28" spans="1:9" ht="19.95" customHeight="1" x14ac:dyDescent="0.25">
      <c r="A28" s="2">
        <v>13</v>
      </c>
      <c r="B28" s="2" t="s">
        <v>14</v>
      </c>
      <c r="C28" s="2">
        <v>100</v>
      </c>
      <c r="D28" s="4">
        <v>156.13999999999999</v>
      </c>
      <c r="E28" s="4">
        <v>0</v>
      </c>
      <c r="F28" s="5">
        <v>156.13999999999999</v>
      </c>
      <c r="G28" s="8">
        <v>43600</v>
      </c>
      <c r="H28" s="6" t="str">
        <f>CONCATENATE(YEAR(TblProventos[[#This Row],[Data]]), "/", IF(MONTH(TblProventos[[#This Row],[Data]]) &lt; 10, "0", ""), MONTH(TblProventos[[#This Row],[Data]]))</f>
        <v>2019/05</v>
      </c>
      <c r="I28" s="6" t="str">
        <f>VLOOKUP(TblProventos[[#This Row],[Ativo]], 'Tabela Ativos'!$B$4:$D$500, 2, FALSE)</f>
        <v>EMPRESA</v>
      </c>
    </row>
    <row r="29" spans="1:9" ht="19.95" customHeight="1" x14ac:dyDescent="0.25">
      <c r="A29" s="2">
        <v>14</v>
      </c>
      <c r="B29" s="2" t="s">
        <v>9</v>
      </c>
      <c r="C29" s="2">
        <v>100</v>
      </c>
      <c r="D29" s="4">
        <v>61</v>
      </c>
      <c r="E29" s="4">
        <v>0</v>
      </c>
      <c r="F29" s="5">
        <v>61</v>
      </c>
      <c r="G29" s="8">
        <v>43602</v>
      </c>
      <c r="H29" s="6" t="str">
        <f>CONCATENATE(YEAR(TblProventos[[#This Row],[Data]]), "/", IF(MONTH(TblProventos[[#This Row],[Data]]) &lt; 10, "0", ""), MONTH(TblProventos[[#This Row],[Data]]))</f>
        <v>2019/05</v>
      </c>
      <c r="I29" s="6" t="str">
        <f>VLOOKUP(TblProventos[[#This Row],[Ativo]], 'Tabela Ativos'!$B$4:$D$500, 2, FALSE)</f>
        <v>FUNDOS INVESTIMENTO IMOBILIARIO</v>
      </c>
    </row>
    <row r="30" spans="1:9" ht="19.95" customHeight="1" x14ac:dyDescent="0.25">
      <c r="A30" s="2">
        <v>14</v>
      </c>
      <c r="B30" s="2" t="s">
        <v>10</v>
      </c>
      <c r="C30" s="2">
        <v>100</v>
      </c>
      <c r="D30" s="4">
        <v>99</v>
      </c>
      <c r="E30" s="4">
        <v>0</v>
      </c>
      <c r="F30" s="5">
        <v>99</v>
      </c>
      <c r="G30" s="8">
        <v>43602</v>
      </c>
      <c r="H30" s="6" t="str">
        <f>CONCATENATE(YEAR(TblProventos[[#This Row],[Data]]), "/", IF(MONTH(TblProventos[[#This Row],[Data]]) &lt; 10, "0", ""), MONTH(TblProventos[[#This Row],[Data]]))</f>
        <v>2019/05</v>
      </c>
      <c r="I30" s="6" t="str">
        <f>VLOOKUP(TblProventos[[#This Row],[Ativo]], 'Tabela Ativos'!$B$4:$D$500, 2, FALSE)</f>
        <v>FUNDOS INVESTIMENTO IMOBILIARIO</v>
      </c>
    </row>
    <row r="31" spans="1:9" ht="19.95" customHeight="1" x14ac:dyDescent="0.25">
      <c r="A31" s="2">
        <v>14</v>
      </c>
      <c r="B31" s="2" t="s">
        <v>11</v>
      </c>
      <c r="C31" s="2">
        <v>100</v>
      </c>
      <c r="D31" s="4">
        <v>99.9</v>
      </c>
      <c r="E31" s="4">
        <v>0</v>
      </c>
      <c r="F31" s="5">
        <v>99.9</v>
      </c>
      <c r="G31" s="8">
        <v>43602</v>
      </c>
      <c r="H31" s="6" t="str">
        <f>CONCATENATE(YEAR(TblProventos[[#This Row],[Data]]), "/", IF(MONTH(TblProventos[[#This Row],[Data]]) &lt; 10, "0", ""), MONTH(TblProventos[[#This Row],[Data]]))</f>
        <v>2019/05</v>
      </c>
      <c r="I31" s="6" t="str">
        <f>VLOOKUP(TblProventos[[#This Row],[Ativo]], 'Tabela Ativos'!$B$4:$D$500, 2, FALSE)</f>
        <v>FUNDOS INVESTIMENTO IMOBILIARIO</v>
      </c>
    </row>
    <row r="32" spans="1:9" ht="19.95" customHeight="1" x14ac:dyDescent="0.25">
      <c r="A32" s="2">
        <v>14</v>
      </c>
      <c r="B32" s="2" t="s">
        <v>12</v>
      </c>
      <c r="C32" s="2">
        <v>100</v>
      </c>
      <c r="D32" s="4">
        <v>98.42</v>
      </c>
      <c r="E32" s="4">
        <v>0</v>
      </c>
      <c r="F32" s="5">
        <v>98.42</v>
      </c>
      <c r="G32" s="8">
        <v>43602</v>
      </c>
      <c r="H32" s="6" t="str">
        <f>CONCATENATE(YEAR(TblProventos[[#This Row],[Data]]), "/", IF(MONTH(TblProventos[[#This Row],[Data]]) &lt; 10, "0", ""), MONTH(TblProventos[[#This Row],[Data]]))</f>
        <v>2019/05</v>
      </c>
      <c r="I32" s="6" t="str">
        <f>VLOOKUP(TblProventos[[#This Row],[Ativo]], 'Tabela Ativos'!$B$4:$D$500, 2, FALSE)</f>
        <v>FUNDOS INVESTIMENTO IMOBILIARIO</v>
      </c>
    </row>
    <row r="33" spans="1:9" ht="19.95" customHeight="1" x14ac:dyDescent="0.25">
      <c r="A33" s="2">
        <v>13</v>
      </c>
      <c r="B33" s="2" t="s">
        <v>7</v>
      </c>
      <c r="C33" s="2">
        <v>100</v>
      </c>
      <c r="D33" s="4">
        <v>166</v>
      </c>
      <c r="E33" s="4">
        <v>0</v>
      </c>
      <c r="F33" s="5">
        <v>166</v>
      </c>
      <c r="G33" s="8">
        <v>43631</v>
      </c>
      <c r="H33" s="6" t="str">
        <f>CONCATENATE(YEAR(TblProventos[[#This Row],[Data]]), "/", IF(MONTH(TblProventos[[#This Row],[Data]]) &lt; 10, "0", ""), MONTH(TblProventos[[#This Row],[Data]]))</f>
        <v>2019/06</v>
      </c>
      <c r="I33" s="6" t="str">
        <f>VLOOKUP(TblProventos[[#This Row],[Ativo]], 'Tabela Ativos'!$B$4:$D$500, 2, FALSE)</f>
        <v>EMPRESA</v>
      </c>
    </row>
    <row r="34" spans="1:9" ht="19.95" customHeight="1" x14ac:dyDescent="0.25">
      <c r="A34" s="2">
        <v>14</v>
      </c>
      <c r="B34" s="2" t="s">
        <v>9</v>
      </c>
      <c r="C34" s="2">
        <v>100</v>
      </c>
      <c r="D34" s="4">
        <v>37.44</v>
      </c>
      <c r="E34" s="4">
        <v>0</v>
      </c>
      <c r="F34" s="5">
        <v>37.44</v>
      </c>
      <c r="G34" s="8">
        <v>43633</v>
      </c>
      <c r="H34" s="6" t="str">
        <f>CONCATENATE(YEAR(TblProventos[[#This Row],[Data]]), "/", IF(MONTH(TblProventos[[#This Row],[Data]]) &lt; 10, "0", ""), MONTH(TblProventos[[#This Row],[Data]]))</f>
        <v>2019/06</v>
      </c>
      <c r="I34" s="6" t="str">
        <f>VLOOKUP(TblProventos[[#This Row],[Ativo]], 'Tabela Ativos'!$B$4:$D$500, 2, FALSE)</f>
        <v>FUNDOS INVESTIMENTO IMOBILIARIO</v>
      </c>
    </row>
    <row r="35" spans="1:9" ht="19.95" customHeight="1" x14ac:dyDescent="0.25">
      <c r="A35" s="2">
        <v>14</v>
      </c>
      <c r="B35" s="2" t="s">
        <v>10</v>
      </c>
      <c r="C35" s="2">
        <v>100</v>
      </c>
      <c r="D35" s="4">
        <v>52.02</v>
      </c>
      <c r="E35" s="4">
        <v>0</v>
      </c>
      <c r="F35" s="5">
        <v>52.02</v>
      </c>
      <c r="G35" s="8">
        <v>43633</v>
      </c>
      <c r="H35" s="6" t="str">
        <f>CONCATENATE(YEAR(TblProventos[[#This Row],[Data]]), "/", IF(MONTH(TblProventos[[#This Row],[Data]]) &lt; 10, "0", ""), MONTH(TblProventos[[#This Row],[Data]]))</f>
        <v>2019/06</v>
      </c>
      <c r="I35" s="6" t="str">
        <f>VLOOKUP(TblProventos[[#This Row],[Ativo]], 'Tabela Ativos'!$B$4:$D$500, 2, FALSE)</f>
        <v>FUNDOS INVESTIMENTO IMOBILIARIO</v>
      </c>
    </row>
    <row r="36" spans="1:9" ht="19.95" customHeight="1" x14ac:dyDescent="0.25">
      <c r="A36" s="2">
        <v>14</v>
      </c>
      <c r="B36" s="2" t="s">
        <v>11</v>
      </c>
      <c r="C36" s="2">
        <v>100</v>
      </c>
      <c r="D36" s="4">
        <v>42.14</v>
      </c>
      <c r="E36" s="4">
        <v>0</v>
      </c>
      <c r="F36" s="5">
        <v>42.14</v>
      </c>
      <c r="G36" s="8">
        <v>43633</v>
      </c>
      <c r="H36" s="6" t="str">
        <f>CONCATENATE(YEAR(TblProventos[[#This Row],[Data]]), "/", IF(MONTH(TblProventos[[#This Row],[Data]]) &lt; 10, "0", ""), MONTH(TblProventos[[#This Row],[Data]]))</f>
        <v>2019/06</v>
      </c>
      <c r="I36" s="6" t="str">
        <f>VLOOKUP(TblProventos[[#This Row],[Ativo]], 'Tabela Ativos'!$B$4:$D$500, 2, FALSE)</f>
        <v>FUNDOS INVESTIMENTO IMOBILIARIO</v>
      </c>
    </row>
    <row r="37" spans="1:9" ht="19.95" customHeight="1" x14ac:dyDescent="0.25">
      <c r="A37" s="2">
        <v>14</v>
      </c>
      <c r="B37" s="2" t="s">
        <v>12</v>
      </c>
      <c r="C37" s="2">
        <v>100</v>
      </c>
      <c r="D37" s="4">
        <v>177.12</v>
      </c>
      <c r="E37" s="4">
        <v>0</v>
      </c>
      <c r="F37" s="5">
        <v>177.12</v>
      </c>
      <c r="G37" s="8">
        <v>43633</v>
      </c>
      <c r="H37" s="6" t="str">
        <f>CONCATENATE(YEAR(TblProventos[[#This Row],[Data]]), "/", IF(MONTH(TblProventos[[#This Row],[Data]]) &lt; 10, "0", ""), MONTH(TblProventos[[#This Row],[Data]]))</f>
        <v>2019/06</v>
      </c>
      <c r="I37" s="6" t="str">
        <f>VLOOKUP(TblProventos[[#This Row],[Ativo]], 'Tabela Ativos'!$B$4:$D$500, 2, FALSE)</f>
        <v>FUNDOS INVESTIMENTO IMOBILIARIO</v>
      </c>
    </row>
    <row r="38" spans="1:9" ht="19.95" customHeight="1" x14ac:dyDescent="0.25">
      <c r="A38" s="2">
        <v>13</v>
      </c>
      <c r="B38" s="2" t="s">
        <v>8</v>
      </c>
      <c r="C38" s="2">
        <v>100</v>
      </c>
      <c r="D38" s="4">
        <v>162.75</v>
      </c>
      <c r="E38" s="4">
        <v>0</v>
      </c>
      <c r="F38" s="5">
        <v>162.75</v>
      </c>
      <c r="G38" s="8">
        <v>43661</v>
      </c>
      <c r="H38" s="6" t="str">
        <f>CONCATENATE(YEAR(TblProventos[[#This Row],[Data]]), "/", IF(MONTH(TblProventos[[#This Row],[Data]]) &lt; 10, "0", ""), MONTH(TblProventos[[#This Row],[Data]]))</f>
        <v>2019/07</v>
      </c>
      <c r="I38" s="6" t="str">
        <f>VLOOKUP(TblProventos[[#This Row],[Ativo]], 'Tabela Ativos'!$B$4:$D$500, 2, FALSE)</f>
        <v>EMPRESA</v>
      </c>
    </row>
    <row r="39" spans="1:9" ht="19.95" customHeight="1" x14ac:dyDescent="0.25">
      <c r="A39" s="2">
        <v>14</v>
      </c>
      <c r="B39" s="2" t="s">
        <v>9</v>
      </c>
      <c r="C39" s="2">
        <v>100</v>
      </c>
      <c r="D39" s="4">
        <v>61</v>
      </c>
      <c r="E39" s="4">
        <v>0</v>
      </c>
      <c r="F39" s="5">
        <v>61</v>
      </c>
      <c r="G39" s="8">
        <v>43663</v>
      </c>
      <c r="H39" s="6" t="str">
        <f>CONCATENATE(YEAR(TblProventos[[#This Row],[Data]]), "/", IF(MONTH(TblProventos[[#This Row],[Data]]) &lt; 10, "0", ""), MONTH(TblProventos[[#This Row],[Data]]))</f>
        <v>2019/07</v>
      </c>
      <c r="I39" s="6" t="str">
        <f>VLOOKUP(TblProventos[[#This Row],[Ativo]], 'Tabela Ativos'!$B$4:$D$500, 2, FALSE)</f>
        <v>FUNDOS INVESTIMENTO IMOBILIARIO</v>
      </c>
    </row>
    <row r="40" spans="1:9" ht="19.95" customHeight="1" x14ac:dyDescent="0.25">
      <c r="A40" s="2">
        <v>14</v>
      </c>
      <c r="B40" s="2" t="s">
        <v>10</v>
      </c>
      <c r="C40" s="2">
        <v>100</v>
      </c>
      <c r="D40" s="4">
        <v>180.6</v>
      </c>
      <c r="E40" s="4">
        <v>0</v>
      </c>
      <c r="F40" s="5">
        <v>180.6</v>
      </c>
      <c r="G40" s="8">
        <v>43663</v>
      </c>
      <c r="H40" s="6" t="str">
        <f>CONCATENATE(YEAR(TblProventos[[#This Row],[Data]]), "/", IF(MONTH(TblProventos[[#This Row],[Data]]) &lt; 10, "0", ""), MONTH(TblProventos[[#This Row],[Data]]))</f>
        <v>2019/07</v>
      </c>
      <c r="I40" s="6" t="str">
        <f>VLOOKUP(TblProventos[[#This Row],[Ativo]], 'Tabela Ativos'!$B$4:$D$500, 2, FALSE)</f>
        <v>FUNDOS INVESTIMENTO IMOBILIARIO</v>
      </c>
    </row>
    <row r="41" spans="1:9" ht="19.95" customHeight="1" x14ac:dyDescent="0.25">
      <c r="A41" s="2">
        <v>14</v>
      </c>
      <c r="B41" s="2" t="s">
        <v>11</v>
      </c>
      <c r="C41" s="2">
        <v>100</v>
      </c>
      <c r="D41" s="4">
        <v>38.4</v>
      </c>
      <c r="E41" s="4">
        <v>0</v>
      </c>
      <c r="F41" s="5">
        <v>38.4</v>
      </c>
      <c r="G41" s="8">
        <v>43663</v>
      </c>
      <c r="H41" s="6" t="str">
        <f>CONCATENATE(YEAR(TblProventos[[#This Row],[Data]]), "/", IF(MONTH(TblProventos[[#This Row],[Data]]) &lt; 10, "0", ""), MONTH(TblProventos[[#This Row],[Data]]))</f>
        <v>2019/07</v>
      </c>
      <c r="I41" s="6" t="str">
        <f>VLOOKUP(TblProventos[[#This Row],[Ativo]], 'Tabela Ativos'!$B$4:$D$500, 2, FALSE)</f>
        <v>FUNDOS INVESTIMENTO IMOBILIARIO</v>
      </c>
    </row>
    <row r="42" spans="1:9" ht="19.95" customHeight="1" x14ac:dyDescent="0.25">
      <c r="A42" s="2">
        <v>14</v>
      </c>
      <c r="B42" s="2" t="s">
        <v>12</v>
      </c>
      <c r="C42" s="2">
        <v>100</v>
      </c>
      <c r="D42" s="4">
        <v>153.18</v>
      </c>
      <c r="E42" s="4">
        <v>0</v>
      </c>
      <c r="F42" s="5">
        <v>153.18</v>
      </c>
      <c r="G42" s="8">
        <v>43663</v>
      </c>
      <c r="H42" s="6" t="str">
        <f>CONCATENATE(YEAR(TblProventos[[#This Row],[Data]]), "/", IF(MONTH(TblProventos[[#This Row],[Data]]) &lt; 10, "0", ""), MONTH(TblProventos[[#This Row],[Data]]))</f>
        <v>2019/07</v>
      </c>
      <c r="I42" s="6" t="str">
        <f>VLOOKUP(TblProventos[[#This Row],[Ativo]], 'Tabela Ativos'!$B$4:$D$500, 2, FALSE)</f>
        <v>FUNDOS INVESTIMENTO IMOBILIARIO</v>
      </c>
    </row>
    <row r="43" spans="1:9" ht="19.95" customHeight="1" x14ac:dyDescent="0.25">
      <c r="A43" s="2">
        <v>13</v>
      </c>
      <c r="B43" s="2" t="s">
        <v>6</v>
      </c>
      <c r="C43" s="2">
        <v>100</v>
      </c>
      <c r="D43" s="4">
        <v>156.13999999999999</v>
      </c>
      <c r="E43" s="4">
        <v>0</v>
      </c>
      <c r="F43" s="5">
        <v>156.13999999999999</v>
      </c>
      <c r="G43" s="8">
        <v>43692</v>
      </c>
      <c r="H43" s="6" t="str">
        <f>CONCATENATE(YEAR(TblProventos[[#This Row],[Data]]), "/", IF(MONTH(TblProventos[[#This Row],[Data]]) &lt; 10, "0", ""), MONTH(TblProventos[[#This Row],[Data]]))</f>
        <v>2019/08</v>
      </c>
      <c r="I43" s="6" t="str">
        <f>VLOOKUP(TblProventos[[#This Row],[Ativo]], 'Tabela Ativos'!$B$4:$D$500, 2, FALSE)</f>
        <v>EMPRESA</v>
      </c>
    </row>
    <row r="44" spans="1:9" ht="19.95" customHeight="1" x14ac:dyDescent="0.25">
      <c r="A44" s="2">
        <v>14</v>
      </c>
      <c r="B44" s="2" t="s">
        <v>9</v>
      </c>
      <c r="C44" s="2">
        <v>100</v>
      </c>
      <c r="D44" s="4">
        <v>61</v>
      </c>
      <c r="E44" s="4">
        <v>1.03</v>
      </c>
      <c r="F44" s="5">
        <v>59.97</v>
      </c>
      <c r="G44" s="8">
        <v>43694</v>
      </c>
      <c r="H44" s="6" t="str">
        <f>CONCATENATE(YEAR(TblProventos[[#This Row],[Data]]), "/", IF(MONTH(TblProventos[[#This Row],[Data]]) &lt; 10, "0", ""), MONTH(TblProventos[[#This Row],[Data]]))</f>
        <v>2019/08</v>
      </c>
      <c r="I44" s="6" t="str">
        <f>VLOOKUP(TblProventos[[#This Row],[Ativo]], 'Tabela Ativos'!$B$4:$D$500, 2, FALSE)</f>
        <v>FUNDOS INVESTIMENTO IMOBILIARIO</v>
      </c>
    </row>
    <row r="45" spans="1:9" ht="19.95" customHeight="1" x14ac:dyDescent="0.25">
      <c r="A45" s="2">
        <v>14</v>
      </c>
      <c r="B45" s="2" t="s">
        <v>10</v>
      </c>
      <c r="C45" s="2">
        <v>100</v>
      </c>
      <c r="D45" s="4">
        <v>99</v>
      </c>
      <c r="E45" s="4">
        <v>0</v>
      </c>
      <c r="F45" s="5">
        <v>99</v>
      </c>
      <c r="G45" s="8">
        <v>43694</v>
      </c>
      <c r="H45" s="6" t="str">
        <f>CONCATENATE(YEAR(TblProventos[[#This Row],[Data]]), "/", IF(MONTH(TblProventos[[#This Row],[Data]]) &lt; 10, "0", ""), MONTH(TblProventos[[#This Row],[Data]]))</f>
        <v>2019/08</v>
      </c>
      <c r="I45" s="6" t="str">
        <f>VLOOKUP(TblProventos[[#This Row],[Ativo]], 'Tabela Ativos'!$B$4:$D$500, 2, FALSE)</f>
        <v>FUNDOS INVESTIMENTO IMOBILIARIO</v>
      </c>
    </row>
    <row r="46" spans="1:9" ht="19.95" customHeight="1" x14ac:dyDescent="0.25">
      <c r="A46" s="2">
        <v>14</v>
      </c>
      <c r="B46" s="2" t="s">
        <v>11</v>
      </c>
      <c r="C46" s="2">
        <v>100</v>
      </c>
      <c r="D46" s="4">
        <v>99.9</v>
      </c>
      <c r="E46" s="4">
        <v>0</v>
      </c>
      <c r="F46" s="5">
        <v>99.9</v>
      </c>
      <c r="G46" s="8">
        <v>43694</v>
      </c>
      <c r="H46" s="6" t="str">
        <f>CONCATENATE(YEAR(TblProventos[[#This Row],[Data]]), "/", IF(MONTH(TblProventos[[#This Row],[Data]]) &lt; 10, "0", ""), MONTH(TblProventos[[#This Row],[Data]]))</f>
        <v>2019/08</v>
      </c>
      <c r="I46" s="6" t="str">
        <f>VLOOKUP(TblProventos[[#This Row],[Ativo]], 'Tabela Ativos'!$B$4:$D$500, 2, FALSE)</f>
        <v>FUNDOS INVESTIMENTO IMOBILIARIO</v>
      </c>
    </row>
    <row r="47" spans="1:9" ht="19.95" customHeight="1" x14ac:dyDescent="0.25">
      <c r="A47" s="2">
        <v>14</v>
      </c>
      <c r="B47" s="2" t="s">
        <v>12</v>
      </c>
      <c r="C47" s="2">
        <v>100</v>
      </c>
      <c r="D47" s="4">
        <v>98.42</v>
      </c>
      <c r="E47" s="4">
        <v>0</v>
      </c>
      <c r="F47" s="5">
        <v>98.42</v>
      </c>
      <c r="G47" s="8">
        <v>43694</v>
      </c>
      <c r="H47" s="6" t="str">
        <f>CONCATENATE(YEAR(TblProventos[[#This Row],[Data]]), "/", IF(MONTH(TblProventos[[#This Row],[Data]]) &lt; 10, "0", ""), MONTH(TblProventos[[#This Row],[Data]]))</f>
        <v>2019/08</v>
      </c>
      <c r="I47" s="6" t="str">
        <f>VLOOKUP(TblProventos[[#This Row],[Ativo]], 'Tabela Ativos'!$B$4:$D$500, 2, FALSE)</f>
        <v>FUNDOS INVESTIMENTO IMOBILIARIO</v>
      </c>
    </row>
    <row r="48" spans="1:9" ht="19.95" customHeight="1" x14ac:dyDescent="0.25">
      <c r="A48" s="2">
        <v>13</v>
      </c>
      <c r="B48" s="2" t="s">
        <v>4</v>
      </c>
      <c r="C48" s="2">
        <v>100</v>
      </c>
      <c r="D48" s="4">
        <v>166</v>
      </c>
      <c r="E48" s="4">
        <v>0</v>
      </c>
      <c r="F48" s="5">
        <v>166</v>
      </c>
      <c r="G48" s="8">
        <v>43723</v>
      </c>
      <c r="H48" s="6" t="str">
        <f>CONCATENATE(YEAR(TblProventos[[#This Row],[Data]]), "/", IF(MONTH(TblProventos[[#This Row],[Data]]) &lt; 10, "0", ""), MONTH(TblProventos[[#This Row],[Data]]))</f>
        <v>2019/09</v>
      </c>
      <c r="I48" s="6" t="str">
        <f>VLOOKUP(TblProventos[[#This Row],[Ativo]], 'Tabela Ativos'!$B$4:$D$500, 2, FALSE)</f>
        <v>EMPRESA</v>
      </c>
    </row>
    <row r="49" spans="1:9" ht="19.95" customHeight="1" x14ac:dyDescent="0.25">
      <c r="A49" s="2">
        <v>14</v>
      </c>
      <c r="B49" s="2" t="s">
        <v>9</v>
      </c>
      <c r="C49" s="2">
        <v>100</v>
      </c>
      <c r="D49" s="4">
        <v>37.44</v>
      </c>
      <c r="E49" s="4">
        <v>0</v>
      </c>
      <c r="F49" s="5">
        <v>37.44</v>
      </c>
      <c r="G49" s="8">
        <v>43725</v>
      </c>
      <c r="H49" s="6" t="str">
        <f>CONCATENATE(YEAR(TblProventos[[#This Row],[Data]]), "/", IF(MONTH(TblProventos[[#This Row],[Data]]) &lt; 10, "0", ""), MONTH(TblProventos[[#This Row],[Data]]))</f>
        <v>2019/09</v>
      </c>
      <c r="I49" s="6" t="str">
        <f>VLOOKUP(TblProventos[[#This Row],[Ativo]], 'Tabela Ativos'!$B$4:$D$500, 2, FALSE)</f>
        <v>FUNDOS INVESTIMENTO IMOBILIARIO</v>
      </c>
    </row>
    <row r="50" spans="1:9" ht="19.95" customHeight="1" x14ac:dyDescent="0.25">
      <c r="A50" s="2">
        <v>14</v>
      </c>
      <c r="B50" s="2" t="s">
        <v>10</v>
      </c>
      <c r="C50" s="2">
        <v>100</v>
      </c>
      <c r="D50" s="4">
        <v>52.02</v>
      </c>
      <c r="E50" s="4">
        <v>0</v>
      </c>
      <c r="F50" s="5">
        <v>52.02</v>
      </c>
      <c r="G50" s="8">
        <v>43725</v>
      </c>
      <c r="H50" s="6" t="str">
        <f>CONCATENATE(YEAR(TblProventos[[#This Row],[Data]]), "/", IF(MONTH(TblProventos[[#This Row],[Data]]) &lt; 10, "0", ""), MONTH(TblProventos[[#This Row],[Data]]))</f>
        <v>2019/09</v>
      </c>
      <c r="I50" s="6" t="str">
        <f>VLOOKUP(TblProventos[[#This Row],[Ativo]], 'Tabela Ativos'!$B$4:$D$500, 2, FALSE)</f>
        <v>FUNDOS INVESTIMENTO IMOBILIARIO</v>
      </c>
    </row>
    <row r="51" spans="1:9" ht="19.95" customHeight="1" x14ac:dyDescent="0.25">
      <c r="A51" s="2">
        <v>14</v>
      </c>
      <c r="B51" s="2" t="s">
        <v>11</v>
      </c>
      <c r="C51" s="2">
        <v>100</v>
      </c>
      <c r="D51" s="4">
        <v>42.14</v>
      </c>
      <c r="E51" s="4">
        <v>0</v>
      </c>
      <c r="F51" s="5">
        <v>42.14</v>
      </c>
      <c r="G51" s="8">
        <v>43725</v>
      </c>
      <c r="H51" s="6" t="str">
        <f>CONCATENATE(YEAR(TblProventos[[#This Row],[Data]]), "/", IF(MONTH(TblProventos[[#This Row],[Data]]) &lt; 10, "0", ""), MONTH(TblProventos[[#This Row],[Data]]))</f>
        <v>2019/09</v>
      </c>
      <c r="I51" s="6" t="str">
        <f>VLOOKUP(TblProventos[[#This Row],[Ativo]], 'Tabela Ativos'!$B$4:$D$500, 2, FALSE)</f>
        <v>FUNDOS INVESTIMENTO IMOBILIARIO</v>
      </c>
    </row>
    <row r="52" spans="1:9" ht="19.95" customHeight="1" x14ac:dyDescent="0.25">
      <c r="A52" s="2">
        <v>14</v>
      </c>
      <c r="B52" s="2" t="s">
        <v>12</v>
      </c>
      <c r="C52" s="2">
        <v>100</v>
      </c>
      <c r="D52" s="4">
        <v>177.12</v>
      </c>
      <c r="E52" s="4">
        <v>0</v>
      </c>
      <c r="F52" s="5">
        <v>177.12</v>
      </c>
      <c r="G52" s="8">
        <v>43725</v>
      </c>
      <c r="H52" s="6" t="str">
        <f>CONCATENATE(YEAR(TblProventos[[#This Row],[Data]]), "/", IF(MONTH(TblProventos[[#This Row],[Data]]) &lt; 10, "0", ""), MONTH(TblProventos[[#This Row],[Data]]))</f>
        <v>2019/09</v>
      </c>
      <c r="I52" s="6" t="str">
        <f>VLOOKUP(TblProventos[[#This Row],[Ativo]], 'Tabela Ativos'!$B$4:$D$500, 2, FALSE)</f>
        <v>FUNDOS INVESTIMENTO IMOBILIARIO</v>
      </c>
    </row>
    <row r="53" spans="1:9" ht="19.95" customHeight="1" x14ac:dyDescent="0.25">
      <c r="A53" s="2">
        <v>13</v>
      </c>
      <c r="B53" s="2" t="s">
        <v>7</v>
      </c>
      <c r="C53" s="2">
        <v>100</v>
      </c>
      <c r="D53" s="4">
        <v>162.75</v>
      </c>
      <c r="E53" s="4">
        <v>0</v>
      </c>
      <c r="F53" s="5">
        <v>162.75</v>
      </c>
      <c r="G53" s="8">
        <v>43753</v>
      </c>
      <c r="H53" s="6" t="str">
        <f>CONCATENATE(YEAR(TblProventos[[#This Row],[Data]]), "/", IF(MONTH(TblProventos[[#This Row],[Data]]) &lt; 10, "0", ""), MONTH(TblProventos[[#This Row],[Data]]))</f>
        <v>2019/10</v>
      </c>
      <c r="I53" s="6" t="str">
        <f>VLOOKUP(TblProventos[[#This Row],[Ativo]], 'Tabela Ativos'!$B$4:$D$500, 2, FALSE)</f>
        <v>EMPRESA</v>
      </c>
    </row>
    <row r="54" spans="1:9" ht="19.95" customHeight="1" x14ac:dyDescent="0.25">
      <c r="A54" s="2">
        <v>14</v>
      </c>
      <c r="B54" s="2" t="s">
        <v>9</v>
      </c>
      <c r="C54" s="2">
        <v>100</v>
      </c>
      <c r="D54" s="4">
        <v>61</v>
      </c>
      <c r="E54" s="4">
        <v>0</v>
      </c>
      <c r="F54" s="5">
        <v>61</v>
      </c>
      <c r="G54" s="8">
        <v>43755</v>
      </c>
      <c r="H54" s="6" t="str">
        <f>CONCATENATE(YEAR(TblProventos[[#This Row],[Data]]), "/", IF(MONTH(TblProventos[[#This Row],[Data]]) &lt; 10, "0", ""), MONTH(TblProventos[[#This Row],[Data]]))</f>
        <v>2019/10</v>
      </c>
      <c r="I54" s="6" t="str">
        <f>VLOOKUP(TblProventos[[#This Row],[Ativo]], 'Tabela Ativos'!$B$4:$D$500, 2, FALSE)</f>
        <v>FUNDOS INVESTIMENTO IMOBILIARIO</v>
      </c>
    </row>
    <row r="55" spans="1:9" ht="19.95" customHeight="1" x14ac:dyDescent="0.25">
      <c r="A55" s="2">
        <v>14</v>
      </c>
      <c r="B55" s="2" t="s">
        <v>10</v>
      </c>
      <c r="C55" s="2">
        <v>100</v>
      </c>
      <c r="D55" s="4">
        <v>180.6</v>
      </c>
      <c r="E55" s="4">
        <v>0</v>
      </c>
      <c r="F55" s="5">
        <v>180.6</v>
      </c>
      <c r="G55" s="8">
        <v>43755</v>
      </c>
      <c r="H55" s="6" t="str">
        <f>CONCATENATE(YEAR(TblProventos[[#This Row],[Data]]), "/", IF(MONTH(TblProventos[[#This Row],[Data]]) &lt; 10, "0", ""), MONTH(TblProventos[[#This Row],[Data]]))</f>
        <v>2019/10</v>
      </c>
      <c r="I55" s="6" t="str">
        <f>VLOOKUP(TblProventos[[#This Row],[Ativo]], 'Tabela Ativos'!$B$4:$D$500, 2, FALSE)</f>
        <v>FUNDOS INVESTIMENTO IMOBILIARIO</v>
      </c>
    </row>
    <row r="56" spans="1:9" ht="19.95" customHeight="1" x14ac:dyDescent="0.25">
      <c r="A56" s="2">
        <v>14</v>
      </c>
      <c r="B56" s="2" t="s">
        <v>11</v>
      </c>
      <c r="C56" s="2">
        <v>100</v>
      </c>
      <c r="D56" s="4">
        <v>38.4</v>
      </c>
      <c r="E56" s="4">
        <v>0</v>
      </c>
      <c r="F56" s="5">
        <v>38.4</v>
      </c>
      <c r="G56" s="8">
        <v>43755</v>
      </c>
      <c r="H56" s="6" t="str">
        <f>CONCATENATE(YEAR(TblProventos[[#This Row],[Data]]), "/", IF(MONTH(TblProventos[[#This Row],[Data]]) &lt; 10, "0", ""), MONTH(TblProventos[[#This Row],[Data]]))</f>
        <v>2019/10</v>
      </c>
      <c r="I56" s="6" t="str">
        <f>VLOOKUP(TblProventos[[#This Row],[Ativo]], 'Tabela Ativos'!$B$4:$D$500, 2, FALSE)</f>
        <v>FUNDOS INVESTIMENTO IMOBILIARIO</v>
      </c>
    </row>
    <row r="57" spans="1:9" ht="19.95" customHeight="1" x14ac:dyDescent="0.25">
      <c r="A57" s="2">
        <v>14</v>
      </c>
      <c r="B57" s="2" t="s">
        <v>12</v>
      </c>
      <c r="C57" s="2">
        <v>100</v>
      </c>
      <c r="D57" s="4">
        <v>153.18</v>
      </c>
      <c r="E57" s="4">
        <v>0</v>
      </c>
      <c r="F57" s="5">
        <v>153.18</v>
      </c>
      <c r="G57" s="8">
        <v>43755</v>
      </c>
      <c r="H57" s="6" t="str">
        <f>CONCATENATE(YEAR(TblProventos[[#This Row],[Data]]), "/", IF(MONTH(TblProventos[[#This Row],[Data]]) &lt; 10, "0", ""), MONTH(TblProventos[[#This Row],[Data]]))</f>
        <v>2019/10</v>
      </c>
      <c r="I57" s="6" t="str">
        <f>VLOOKUP(TblProventos[[#This Row],[Ativo]], 'Tabela Ativos'!$B$4:$D$500, 2, FALSE)</f>
        <v>FUNDOS INVESTIMENTO IMOBILIARIO</v>
      </c>
    </row>
    <row r="58" spans="1:9" ht="19.95" customHeight="1" x14ac:dyDescent="0.25">
      <c r="A58" s="2">
        <v>13</v>
      </c>
      <c r="B58" s="2" t="s">
        <v>14</v>
      </c>
      <c r="C58" s="2">
        <v>100</v>
      </c>
      <c r="D58" s="4">
        <v>156.13999999999999</v>
      </c>
      <c r="E58" s="4">
        <v>0</v>
      </c>
      <c r="F58" s="5">
        <v>156.13999999999999</v>
      </c>
      <c r="G58" s="8">
        <v>43753</v>
      </c>
      <c r="H58" s="6" t="str">
        <f>CONCATENATE(YEAR(TblProventos[[#This Row],[Data]]), "/", IF(MONTH(TblProventos[[#This Row],[Data]]) &lt; 10, "0", ""), MONTH(TblProventos[[#This Row],[Data]]))</f>
        <v>2019/10</v>
      </c>
      <c r="I58" s="6" t="str">
        <f>VLOOKUP(TblProventos[[#This Row],[Ativo]], 'Tabela Ativos'!$B$4:$D$500, 2, FALSE)</f>
        <v>EMPRESA</v>
      </c>
    </row>
    <row r="59" spans="1:9" ht="19.95" customHeight="1" x14ac:dyDescent="0.25">
      <c r="A59" s="2">
        <v>14</v>
      </c>
      <c r="B59" s="2" t="s">
        <v>9</v>
      </c>
      <c r="C59" s="2">
        <v>100</v>
      </c>
      <c r="D59" s="4">
        <v>61</v>
      </c>
      <c r="E59" s="4">
        <v>0</v>
      </c>
      <c r="F59" s="5">
        <v>61</v>
      </c>
      <c r="G59" s="8">
        <v>43755</v>
      </c>
      <c r="H59" s="6" t="str">
        <f>CONCATENATE(YEAR(TblProventos[[#This Row],[Data]]), "/", IF(MONTH(TblProventos[[#This Row],[Data]]) &lt; 10, "0", ""), MONTH(TblProventos[[#This Row],[Data]]))</f>
        <v>2019/10</v>
      </c>
      <c r="I59" s="6" t="str">
        <f>VLOOKUP(TblProventos[[#This Row],[Ativo]], 'Tabela Ativos'!$B$4:$D$500, 2, FALSE)</f>
        <v>FUNDOS INVESTIMENTO IMOBILIARIO</v>
      </c>
    </row>
    <row r="60" spans="1:9" ht="19.95" customHeight="1" x14ac:dyDescent="0.25">
      <c r="A60" s="2">
        <v>14</v>
      </c>
      <c r="B60" s="2" t="s">
        <v>10</v>
      </c>
      <c r="C60" s="2">
        <v>100</v>
      </c>
      <c r="D60" s="4">
        <v>99</v>
      </c>
      <c r="E60" s="4">
        <v>0</v>
      </c>
      <c r="F60" s="5">
        <v>99</v>
      </c>
      <c r="G60" s="8">
        <v>43755</v>
      </c>
      <c r="H60" s="6" t="str">
        <f>CONCATENATE(YEAR(TblProventos[[#This Row],[Data]]), "/", IF(MONTH(TblProventos[[#This Row],[Data]]) &lt; 10, "0", ""), MONTH(TblProventos[[#This Row],[Data]]))</f>
        <v>2019/10</v>
      </c>
      <c r="I60" s="6" t="str">
        <f>VLOOKUP(TblProventos[[#This Row],[Ativo]], 'Tabela Ativos'!$B$4:$D$500, 2, FALSE)</f>
        <v>FUNDOS INVESTIMENTO IMOBILIARIO</v>
      </c>
    </row>
    <row r="61" spans="1:9" ht="19.95" customHeight="1" x14ac:dyDescent="0.25">
      <c r="A61" s="2">
        <v>14</v>
      </c>
      <c r="B61" s="2" t="s">
        <v>11</v>
      </c>
      <c r="C61" s="2">
        <v>100</v>
      </c>
      <c r="D61" s="4">
        <v>99.9</v>
      </c>
      <c r="E61" s="4">
        <v>0</v>
      </c>
      <c r="F61" s="5">
        <v>99.9</v>
      </c>
      <c r="G61" s="8">
        <v>43755</v>
      </c>
      <c r="H61" s="6" t="str">
        <f>CONCATENATE(YEAR(TblProventos[[#This Row],[Data]]), "/", IF(MONTH(TblProventos[[#This Row],[Data]]) &lt; 10, "0", ""), MONTH(TblProventos[[#This Row],[Data]]))</f>
        <v>2019/10</v>
      </c>
      <c r="I61" s="6" t="str">
        <f>VLOOKUP(TblProventos[[#This Row],[Ativo]], 'Tabela Ativos'!$B$4:$D$500, 2, FALSE)</f>
        <v>FUNDOS INVESTIMENTO IMOBILIARIO</v>
      </c>
    </row>
    <row r="62" spans="1:9" ht="19.95" customHeight="1" x14ac:dyDescent="0.25">
      <c r="A62" s="2">
        <v>14</v>
      </c>
      <c r="B62" s="2" t="s">
        <v>12</v>
      </c>
      <c r="C62" s="2">
        <v>100</v>
      </c>
      <c r="D62" s="4">
        <v>98.42</v>
      </c>
      <c r="E62" s="4">
        <v>0</v>
      </c>
      <c r="F62" s="5">
        <v>98.42</v>
      </c>
      <c r="G62" s="8">
        <v>43755</v>
      </c>
      <c r="H62" s="6" t="str">
        <f>CONCATENATE(YEAR(TblProventos[[#This Row],[Data]]), "/", IF(MONTH(TblProventos[[#This Row],[Data]]) &lt; 10, "0", ""), MONTH(TblProventos[[#This Row],[Data]]))</f>
        <v>2019/10</v>
      </c>
      <c r="I62" s="6" t="str">
        <f>VLOOKUP(TblProventos[[#This Row],[Ativo]], 'Tabela Ativos'!$B$4:$D$500, 2, FALSE)</f>
        <v>FUNDOS INVESTIMENTO IMOBILIARIO</v>
      </c>
    </row>
    <row r="63" spans="1:9" ht="19.95" customHeight="1" x14ac:dyDescent="0.25">
      <c r="A63" s="2">
        <v>13</v>
      </c>
      <c r="B63" s="2" t="s">
        <v>7</v>
      </c>
      <c r="C63" s="2">
        <v>100</v>
      </c>
      <c r="D63" s="4">
        <v>166</v>
      </c>
      <c r="E63" s="4">
        <v>0</v>
      </c>
      <c r="F63" s="5">
        <v>166</v>
      </c>
      <c r="G63" s="8">
        <v>43753</v>
      </c>
      <c r="H63" s="6" t="str">
        <f>CONCATENATE(YEAR(TblProventos[[#This Row],[Data]]), "/", IF(MONTH(TblProventos[[#This Row],[Data]]) &lt; 10, "0", ""), MONTH(TblProventos[[#This Row],[Data]]))</f>
        <v>2019/10</v>
      </c>
      <c r="I63" s="6" t="str">
        <f>VLOOKUP(TblProventos[[#This Row],[Ativo]], 'Tabela Ativos'!$B$4:$D$500, 2, FALSE)</f>
        <v>EMPRESA</v>
      </c>
    </row>
    <row r="64" spans="1:9" ht="19.95" customHeight="1" x14ac:dyDescent="0.25">
      <c r="A64" s="2">
        <v>14</v>
      </c>
      <c r="B64" s="2" t="s">
        <v>9</v>
      </c>
      <c r="C64" s="2">
        <v>100</v>
      </c>
      <c r="D64" s="4">
        <v>37.44</v>
      </c>
      <c r="E64" s="4">
        <v>0</v>
      </c>
      <c r="F64" s="5">
        <v>37.44</v>
      </c>
      <c r="G64" s="8">
        <v>43755</v>
      </c>
      <c r="H64" s="6" t="str">
        <f>CONCATENATE(YEAR(TblProventos[[#This Row],[Data]]), "/", IF(MONTH(TblProventos[[#This Row],[Data]]) &lt; 10, "0", ""), MONTH(TblProventos[[#This Row],[Data]]))</f>
        <v>2019/10</v>
      </c>
      <c r="I64" s="6" t="str">
        <f>VLOOKUP(TblProventos[[#This Row],[Ativo]], 'Tabela Ativos'!$B$4:$D$500, 2, FALSE)</f>
        <v>FUNDOS INVESTIMENTO IMOBILIARIO</v>
      </c>
    </row>
    <row r="65" spans="1:9" ht="19.95" customHeight="1" x14ac:dyDescent="0.25">
      <c r="A65" s="2">
        <v>14</v>
      </c>
      <c r="B65" s="2" t="s">
        <v>10</v>
      </c>
      <c r="C65" s="2">
        <v>100</v>
      </c>
      <c r="D65" s="4">
        <v>52.02</v>
      </c>
      <c r="E65" s="4">
        <v>0</v>
      </c>
      <c r="F65" s="5">
        <v>52.02</v>
      </c>
      <c r="G65" s="8">
        <v>43755</v>
      </c>
      <c r="H65" s="6" t="str">
        <f>CONCATENATE(YEAR(TblProventos[[#This Row],[Data]]), "/", IF(MONTH(TblProventos[[#This Row],[Data]]) &lt; 10, "0", ""), MONTH(TblProventos[[#This Row],[Data]]))</f>
        <v>2019/10</v>
      </c>
      <c r="I65" s="6" t="str">
        <f>VLOOKUP(TblProventos[[#This Row],[Ativo]], 'Tabela Ativos'!$B$4:$D$500, 2, FALSE)</f>
        <v>FUNDOS INVESTIMENTO IMOBILIARIO</v>
      </c>
    </row>
    <row r="66" spans="1:9" ht="19.95" customHeight="1" x14ac:dyDescent="0.25">
      <c r="A66" s="2">
        <v>14</v>
      </c>
      <c r="B66" s="2" t="s">
        <v>11</v>
      </c>
      <c r="C66" s="2">
        <v>100</v>
      </c>
      <c r="D66" s="4">
        <v>42.14</v>
      </c>
      <c r="E66" s="4">
        <v>0</v>
      </c>
      <c r="F66" s="5">
        <v>42.14</v>
      </c>
      <c r="G66" s="8">
        <v>43755</v>
      </c>
      <c r="H66" s="6" t="str">
        <f>CONCATENATE(YEAR(TblProventos[[#This Row],[Data]]), "/", IF(MONTH(TblProventos[[#This Row],[Data]]) &lt; 10, "0", ""), MONTH(TblProventos[[#This Row],[Data]]))</f>
        <v>2019/10</v>
      </c>
      <c r="I66" s="6" t="str">
        <f>VLOOKUP(TblProventos[[#This Row],[Ativo]], 'Tabela Ativos'!$B$4:$D$500, 2, FALSE)</f>
        <v>FUNDOS INVESTIMENTO IMOBILIARIO</v>
      </c>
    </row>
    <row r="67" spans="1:9" ht="19.95" customHeight="1" x14ac:dyDescent="0.25">
      <c r="A67" s="2">
        <v>14</v>
      </c>
      <c r="B67" s="2" t="s">
        <v>12</v>
      </c>
      <c r="C67" s="2">
        <v>100</v>
      </c>
      <c r="D67" s="4">
        <v>177.12</v>
      </c>
      <c r="E67" s="4">
        <v>0</v>
      </c>
      <c r="F67" s="5">
        <v>177.12</v>
      </c>
      <c r="G67" s="8">
        <v>43755</v>
      </c>
      <c r="H67" s="6" t="str">
        <f>CONCATENATE(YEAR(TblProventos[[#This Row],[Data]]), "/", IF(MONTH(TblProventos[[#This Row],[Data]]) &lt; 10, "0", ""), MONTH(TblProventos[[#This Row],[Data]]))</f>
        <v>2019/10</v>
      </c>
      <c r="I67" s="6" t="str">
        <f>VLOOKUP(TblProventos[[#This Row],[Ativo]], 'Tabela Ativos'!$B$4:$D$500, 2, FALSE)</f>
        <v>FUNDOS INVESTIMENTO IMOBILIARIO</v>
      </c>
    </row>
    <row r="68" spans="1:9" ht="19.95" customHeight="1" x14ac:dyDescent="0.25">
      <c r="A68" s="2">
        <v>14</v>
      </c>
      <c r="B68" s="2" t="s">
        <v>14</v>
      </c>
      <c r="C68" s="2">
        <v>100</v>
      </c>
      <c r="D68" s="4">
        <v>162.75</v>
      </c>
      <c r="E68" s="4">
        <v>0</v>
      </c>
      <c r="F68" s="5">
        <v>162.75</v>
      </c>
      <c r="G68" s="8">
        <v>43845</v>
      </c>
      <c r="H68" s="6" t="str">
        <f>CONCATENATE(YEAR(TblProventos[[#This Row],[Data]]), "/", IF(MONTH(TblProventos[[#This Row],[Data]]) &lt; 10, "0", ""), MONTH(TblProventos[[#This Row],[Data]]))</f>
        <v>2020/01</v>
      </c>
      <c r="I68" s="6" t="str">
        <f>VLOOKUP(TblProventos[[#This Row],[Ativo]], 'Tabela Ativos'!$B$4:$D$500, 2, FALSE)</f>
        <v>EMPRESA</v>
      </c>
    </row>
    <row r="69" spans="1:9" ht="19.95" customHeight="1" x14ac:dyDescent="0.25">
      <c r="A69" s="2">
        <v>14</v>
      </c>
      <c r="B69" s="2" t="s">
        <v>9</v>
      </c>
      <c r="C69" s="2">
        <v>100</v>
      </c>
      <c r="D69" s="4">
        <v>61</v>
      </c>
      <c r="E69" s="4">
        <v>0</v>
      </c>
      <c r="F69" s="5">
        <v>61</v>
      </c>
      <c r="G69" s="8">
        <v>43847</v>
      </c>
      <c r="H69" s="6" t="str">
        <f>CONCATENATE(YEAR(TblProventos[[#This Row],[Data]]), "/", IF(MONTH(TblProventos[[#This Row],[Data]]) &lt; 10, "0", ""), MONTH(TblProventos[[#This Row],[Data]]))</f>
        <v>2020/01</v>
      </c>
      <c r="I69" s="6" t="str">
        <f>VLOOKUP(TblProventos[[#This Row],[Ativo]], 'Tabela Ativos'!$B$4:$D$500, 2, FALSE)</f>
        <v>FUNDOS INVESTIMENTO IMOBILIARIO</v>
      </c>
    </row>
    <row r="70" spans="1:9" ht="19.95" customHeight="1" x14ac:dyDescent="0.25">
      <c r="A70" s="2">
        <v>14</v>
      </c>
      <c r="B70" s="2" t="s">
        <v>10</v>
      </c>
      <c r="C70" s="2">
        <v>100</v>
      </c>
      <c r="D70" s="4">
        <v>180.6</v>
      </c>
      <c r="E70" s="4">
        <v>0</v>
      </c>
      <c r="F70" s="5">
        <v>180.6</v>
      </c>
      <c r="G70" s="8">
        <v>43847</v>
      </c>
      <c r="H70" s="6" t="str">
        <f>CONCATENATE(YEAR(TblProventos[[#This Row],[Data]]), "/", IF(MONTH(TblProventos[[#This Row],[Data]]) &lt; 10, "0", ""), MONTH(TblProventos[[#This Row],[Data]]))</f>
        <v>2020/01</v>
      </c>
      <c r="I70" s="6" t="str">
        <f>VLOOKUP(TblProventos[[#This Row],[Ativo]], 'Tabela Ativos'!$B$4:$D$500, 2, FALSE)</f>
        <v>FUNDOS INVESTIMENTO IMOBILIARIO</v>
      </c>
    </row>
    <row r="71" spans="1:9" ht="19.95" customHeight="1" x14ac:dyDescent="0.25">
      <c r="A71" s="2">
        <v>14</v>
      </c>
      <c r="B71" s="2" t="s">
        <v>11</v>
      </c>
      <c r="C71" s="2">
        <v>100</v>
      </c>
      <c r="D71" s="4">
        <v>38.4</v>
      </c>
      <c r="E71" s="4">
        <v>0</v>
      </c>
      <c r="F71" s="5">
        <v>38.4</v>
      </c>
      <c r="G71" s="8">
        <v>43847</v>
      </c>
      <c r="H71" s="6" t="str">
        <f>CONCATENATE(YEAR(TblProventos[[#This Row],[Data]]), "/", IF(MONTH(TblProventos[[#This Row],[Data]]) &lt; 10, "0", ""), MONTH(TblProventos[[#This Row],[Data]]))</f>
        <v>2020/01</v>
      </c>
      <c r="I71" s="6" t="str">
        <f>VLOOKUP(TblProventos[[#This Row],[Ativo]], 'Tabela Ativos'!$B$4:$D$500, 2, FALSE)</f>
        <v>FUNDOS INVESTIMENTO IMOBILIARIO</v>
      </c>
    </row>
    <row r="72" spans="1:9" ht="19.95" customHeight="1" x14ac:dyDescent="0.25">
      <c r="A72" s="2">
        <v>14</v>
      </c>
      <c r="B72" s="2" t="s">
        <v>12</v>
      </c>
      <c r="C72" s="2">
        <v>100</v>
      </c>
      <c r="D72" s="4">
        <v>153.18</v>
      </c>
      <c r="E72" s="4">
        <v>0</v>
      </c>
      <c r="F72" s="5">
        <v>153.18</v>
      </c>
      <c r="G72" s="8">
        <v>43847</v>
      </c>
      <c r="H72" s="6" t="str">
        <f>CONCATENATE(YEAR(TblProventos[[#This Row],[Data]]), "/", IF(MONTH(TblProventos[[#This Row],[Data]]) &lt; 10, "0", ""), MONTH(TblProventos[[#This Row],[Data]]))</f>
        <v>2020/01</v>
      </c>
      <c r="I72" s="6" t="str">
        <f>VLOOKUP(TblProventos[[#This Row],[Ativo]], 'Tabela Ativos'!$B$4:$D$500, 2, FALSE)</f>
        <v>FUNDOS INVESTIMENTO IMOBILIARIO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3" width="8.453125" bestFit="1" customWidth="1"/>
    <col min="4" max="4" width="7.36328125" bestFit="1" customWidth="1"/>
    <col min="5" max="5" width="9.453125" bestFit="1" customWidth="1"/>
    <col min="6" max="6" width="7.36328125" bestFit="1" customWidth="1"/>
    <col min="7" max="13" width="8.453125" customWidth="1"/>
    <col min="14" max="14" width="8.453125" bestFit="1" customWidth="1"/>
    <col min="15" max="15" width="7.36328125" customWidth="1"/>
    <col min="16" max="16" width="10.36328125" bestFit="1" customWidth="1"/>
  </cols>
  <sheetData>
    <row r="3" spans="1:16" x14ac:dyDescent="0.25">
      <c r="A3" s="10" t="s">
        <v>47</v>
      </c>
      <c r="B3" s="10" t="s">
        <v>32</v>
      </c>
    </row>
    <row r="4" spans="1:16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31</v>
      </c>
    </row>
    <row r="5" spans="1:16" x14ac:dyDescent="0.25">
      <c r="A5" s="11" t="s">
        <v>5</v>
      </c>
      <c r="B5" s="13">
        <v>1594</v>
      </c>
      <c r="C5" s="13">
        <v>1644</v>
      </c>
      <c r="D5" s="13">
        <v>788</v>
      </c>
      <c r="E5" s="13">
        <v>12394</v>
      </c>
      <c r="F5" s="13"/>
      <c r="G5" s="13">
        <v>3034</v>
      </c>
      <c r="H5" s="13">
        <v>1697</v>
      </c>
      <c r="I5" s="13">
        <v>1769</v>
      </c>
      <c r="J5" s="13">
        <v>1985</v>
      </c>
      <c r="K5" s="13">
        <v>2057</v>
      </c>
      <c r="L5" s="13">
        <v>2201</v>
      </c>
      <c r="M5" s="13">
        <v>2345</v>
      </c>
      <c r="N5" s="13">
        <v>2561</v>
      </c>
      <c r="O5" s="13"/>
      <c r="P5" s="13">
        <v>34069</v>
      </c>
    </row>
    <row r="6" spans="1:16" x14ac:dyDescent="0.25">
      <c r="A6" s="12" t="s">
        <v>4</v>
      </c>
      <c r="B6" s="13">
        <v>833</v>
      </c>
      <c r="C6" s="13"/>
      <c r="D6" s="13"/>
      <c r="E6" s="13"/>
      <c r="F6" s="13"/>
      <c r="G6" s="13">
        <v>1481</v>
      </c>
      <c r="H6" s="13"/>
      <c r="I6" s="13"/>
      <c r="J6" s="13"/>
      <c r="K6" s="13">
        <v>2057</v>
      </c>
      <c r="L6" s="13"/>
      <c r="M6" s="13"/>
      <c r="N6" s="13"/>
      <c r="O6" s="13"/>
      <c r="P6" s="13">
        <v>4371</v>
      </c>
    </row>
    <row r="7" spans="1:16" x14ac:dyDescent="0.25">
      <c r="A7" s="12" t="s">
        <v>6</v>
      </c>
      <c r="B7" s="13"/>
      <c r="C7" s="13"/>
      <c r="D7" s="13"/>
      <c r="E7" s="13">
        <v>12394</v>
      </c>
      <c r="F7" s="13"/>
      <c r="G7" s="13"/>
      <c r="H7" s="13"/>
      <c r="I7" s="13">
        <v>1769</v>
      </c>
      <c r="J7" s="13"/>
      <c r="K7" s="13"/>
      <c r="L7" s="13"/>
      <c r="M7" s="13"/>
      <c r="N7" s="13"/>
      <c r="O7" s="13"/>
      <c r="P7" s="13">
        <v>14163</v>
      </c>
    </row>
    <row r="8" spans="1:16" x14ac:dyDescent="0.25">
      <c r="A8" s="12" t="s">
        <v>7</v>
      </c>
      <c r="B8" s="13">
        <v>761</v>
      </c>
      <c r="C8" s="13"/>
      <c r="D8" s="13">
        <v>788</v>
      </c>
      <c r="E8" s="13"/>
      <c r="F8" s="13"/>
      <c r="G8" s="13"/>
      <c r="H8" s="13"/>
      <c r="I8" s="13"/>
      <c r="J8" s="13"/>
      <c r="K8" s="13"/>
      <c r="L8" s="13"/>
      <c r="M8" s="13">
        <v>2345</v>
      </c>
      <c r="N8" s="13"/>
      <c r="O8" s="13"/>
      <c r="P8" s="13">
        <v>3894</v>
      </c>
    </row>
    <row r="9" spans="1:16" x14ac:dyDescent="0.25">
      <c r="A9" s="12" t="s">
        <v>8</v>
      </c>
      <c r="B9" s="13"/>
      <c r="C9" s="13">
        <v>1644</v>
      </c>
      <c r="D9" s="13"/>
      <c r="E9" s="13"/>
      <c r="F9" s="13"/>
      <c r="G9" s="13"/>
      <c r="H9" s="13">
        <v>1697</v>
      </c>
      <c r="I9" s="13"/>
      <c r="J9" s="13">
        <v>1985</v>
      </c>
      <c r="K9" s="13"/>
      <c r="L9" s="13">
        <v>2201</v>
      </c>
      <c r="M9" s="13"/>
      <c r="N9" s="13"/>
      <c r="O9" s="13"/>
      <c r="P9" s="13">
        <v>7527</v>
      </c>
    </row>
    <row r="10" spans="1:16" x14ac:dyDescent="0.25">
      <c r="A10" s="12" t="s">
        <v>14</v>
      </c>
      <c r="B10" s="13"/>
      <c r="C10" s="13"/>
      <c r="D10" s="13"/>
      <c r="E10" s="13"/>
      <c r="F10" s="13"/>
      <c r="G10" s="13">
        <v>1553</v>
      </c>
      <c r="H10" s="13"/>
      <c r="I10" s="13"/>
      <c r="J10" s="13"/>
      <c r="K10" s="13"/>
      <c r="L10" s="13"/>
      <c r="M10" s="13"/>
      <c r="N10" s="13">
        <v>2561</v>
      </c>
      <c r="O10" s="13"/>
      <c r="P10" s="13">
        <v>4114</v>
      </c>
    </row>
    <row r="11" spans="1:16" x14ac:dyDescent="0.25">
      <c r="A11" s="11" t="s">
        <v>68</v>
      </c>
      <c r="B11" s="13"/>
      <c r="C11" s="13">
        <v>704.9</v>
      </c>
      <c r="D11" s="13">
        <v>98.88</v>
      </c>
      <c r="E11" s="13">
        <v>47.650000000000006</v>
      </c>
      <c r="F11" s="13">
        <v>88.509999999999991</v>
      </c>
      <c r="G11" s="13"/>
      <c r="H11" s="13">
        <v>90.75</v>
      </c>
      <c r="I11" s="13">
        <v>28.31</v>
      </c>
      <c r="J11" s="13">
        <v>143.21</v>
      </c>
      <c r="K11" s="13">
        <v>52.38</v>
      </c>
      <c r="L11" s="13">
        <v>123.14999999999999</v>
      </c>
      <c r="M11" s="13">
        <v>82.210000000000008</v>
      </c>
      <c r="N11" s="13">
        <v>133.94999999999999</v>
      </c>
      <c r="O11" s="13">
        <v>390.1</v>
      </c>
      <c r="P11" s="13">
        <v>1984</v>
      </c>
    </row>
    <row r="12" spans="1:16" x14ac:dyDescent="0.25">
      <c r="A12" s="12" t="s">
        <v>9</v>
      </c>
      <c r="B12" s="13"/>
      <c r="C12" s="13"/>
      <c r="D12" s="13"/>
      <c r="E12" s="13">
        <v>47.650000000000006</v>
      </c>
      <c r="F12" s="13"/>
      <c r="G12" s="13"/>
      <c r="H12" s="13"/>
      <c r="I12" s="13">
        <v>28.31</v>
      </c>
      <c r="J12" s="13"/>
      <c r="K12" s="13"/>
      <c r="L12" s="13">
        <v>123.14999999999999</v>
      </c>
      <c r="M12" s="13"/>
      <c r="N12" s="13"/>
      <c r="O12" s="13"/>
      <c r="P12" s="13">
        <v>199.11</v>
      </c>
    </row>
    <row r="13" spans="1:16" x14ac:dyDescent="0.25">
      <c r="A13" s="12" t="s">
        <v>10</v>
      </c>
      <c r="B13" s="13"/>
      <c r="C13" s="13">
        <v>704.9</v>
      </c>
      <c r="D13" s="13"/>
      <c r="E13" s="13"/>
      <c r="F13" s="13">
        <v>36.54</v>
      </c>
      <c r="G13" s="13"/>
      <c r="H13" s="13"/>
      <c r="I13" s="13"/>
      <c r="J13" s="13">
        <v>143.21</v>
      </c>
      <c r="K13" s="13"/>
      <c r="L13" s="13"/>
      <c r="M13" s="13">
        <v>82.210000000000008</v>
      </c>
      <c r="N13" s="13"/>
      <c r="O13" s="13"/>
      <c r="P13" s="13">
        <v>966.86</v>
      </c>
    </row>
    <row r="14" spans="1:16" x14ac:dyDescent="0.25">
      <c r="A14" s="12" t="s">
        <v>11</v>
      </c>
      <c r="B14" s="13"/>
      <c r="C14" s="13"/>
      <c r="D14" s="13">
        <v>98.88</v>
      </c>
      <c r="E14" s="13"/>
      <c r="F14" s="13"/>
      <c r="G14" s="13"/>
      <c r="H14" s="13">
        <v>90.75</v>
      </c>
      <c r="I14" s="13"/>
      <c r="J14" s="13"/>
      <c r="K14" s="13">
        <v>52.38</v>
      </c>
      <c r="L14" s="13"/>
      <c r="M14" s="13"/>
      <c r="N14" s="13"/>
      <c r="O14" s="13">
        <v>117.8</v>
      </c>
      <c r="P14" s="13">
        <v>359.81</v>
      </c>
    </row>
    <row r="15" spans="1:16" x14ac:dyDescent="0.25">
      <c r="A15" s="12" t="s">
        <v>12</v>
      </c>
      <c r="B15" s="13"/>
      <c r="C15" s="13"/>
      <c r="D15" s="13"/>
      <c r="E15" s="13"/>
      <c r="F15" s="13">
        <v>51.97</v>
      </c>
      <c r="G15" s="13"/>
      <c r="H15" s="13"/>
      <c r="I15" s="13"/>
      <c r="J15" s="13"/>
      <c r="K15" s="13"/>
      <c r="L15" s="13"/>
      <c r="M15" s="13"/>
      <c r="N15" s="13">
        <v>133.94999999999999</v>
      </c>
      <c r="O15" s="13">
        <v>272.3</v>
      </c>
      <c r="P15" s="13">
        <v>458.22</v>
      </c>
    </row>
    <row r="16" spans="1:16" x14ac:dyDescent="0.25">
      <c r="A16" s="11" t="s">
        <v>31</v>
      </c>
      <c r="B16" s="13">
        <v>1594</v>
      </c>
      <c r="C16" s="13">
        <v>2348.9</v>
      </c>
      <c r="D16" s="13">
        <v>886.88</v>
      </c>
      <c r="E16" s="13">
        <v>12441.65</v>
      </c>
      <c r="F16" s="13">
        <v>88.509999999999991</v>
      </c>
      <c r="G16" s="13">
        <v>3034</v>
      </c>
      <c r="H16" s="13">
        <v>1787.75</v>
      </c>
      <c r="I16" s="13">
        <v>1797.31</v>
      </c>
      <c r="J16" s="13">
        <v>2128.21</v>
      </c>
      <c r="K16" s="13">
        <v>2109.38</v>
      </c>
      <c r="L16" s="13">
        <v>2324.15</v>
      </c>
      <c r="M16" s="13">
        <v>2427.21</v>
      </c>
      <c r="N16" s="13">
        <v>2694.95</v>
      </c>
      <c r="O16" s="13">
        <v>390.1</v>
      </c>
      <c r="P16" s="13">
        <v>36053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11" width="7.36328125" customWidth="1"/>
    <col min="12" max="12" width="8.453125" bestFit="1" customWidth="1"/>
    <col min="13" max="13" width="7.36328125" customWidth="1"/>
    <col min="14" max="14" width="10.36328125" bestFit="1" customWidth="1"/>
  </cols>
  <sheetData>
    <row r="3" spans="1:14" x14ac:dyDescent="0.25">
      <c r="A3" s="10" t="s">
        <v>48</v>
      </c>
      <c r="B3" s="10" t="s">
        <v>32</v>
      </c>
    </row>
    <row r="4" spans="1:14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46</v>
      </c>
      <c r="N4" t="s">
        <v>31</v>
      </c>
    </row>
    <row r="5" spans="1:14" x14ac:dyDescent="0.25">
      <c r="A5" s="11" t="s">
        <v>5</v>
      </c>
      <c r="B5" s="13">
        <v>39.479999999999997</v>
      </c>
      <c r="C5" s="13">
        <v>61</v>
      </c>
      <c r="D5" s="13">
        <v>65.430000000000007</v>
      </c>
      <c r="E5" s="13">
        <v>163.66</v>
      </c>
      <c r="F5" s="13">
        <v>162.75</v>
      </c>
      <c r="G5" s="13">
        <v>156.13999999999999</v>
      </c>
      <c r="H5" s="13">
        <v>166</v>
      </c>
      <c r="I5" s="13">
        <v>162.75</v>
      </c>
      <c r="J5" s="13">
        <v>156.13999999999999</v>
      </c>
      <c r="K5" s="13">
        <v>166</v>
      </c>
      <c r="L5" s="13">
        <v>484.89</v>
      </c>
      <c r="M5" s="13">
        <v>162.75</v>
      </c>
      <c r="N5" s="13">
        <v>1946.99</v>
      </c>
    </row>
    <row r="6" spans="1:14" x14ac:dyDescent="0.25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>
        <v>166</v>
      </c>
      <c r="L6" s="13"/>
      <c r="M6" s="13"/>
      <c r="N6" s="13">
        <v>166</v>
      </c>
    </row>
    <row r="7" spans="1:14" x14ac:dyDescent="0.25">
      <c r="A7" s="12" t="s">
        <v>6</v>
      </c>
      <c r="B7" s="13"/>
      <c r="C7" s="13"/>
      <c r="D7" s="13"/>
      <c r="E7" s="13">
        <v>163.66</v>
      </c>
      <c r="F7" s="13"/>
      <c r="G7" s="13"/>
      <c r="H7" s="13"/>
      <c r="I7" s="13"/>
      <c r="J7" s="13">
        <v>156.13999999999999</v>
      </c>
      <c r="K7" s="13"/>
      <c r="L7" s="13"/>
      <c r="M7" s="13"/>
      <c r="N7" s="13">
        <v>319.79999999999995</v>
      </c>
    </row>
    <row r="8" spans="1:14" x14ac:dyDescent="0.25">
      <c r="A8" s="12" t="s">
        <v>7</v>
      </c>
      <c r="B8" s="13">
        <v>39.479999999999997</v>
      </c>
      <c r="C8" s="13"/>
      <c r="D8" s="13">
        <v>65.430000000000007</v>
      </c>
      <c r="E8" s="13"/>
      <c r="F8" s="13">
        <v>162.75</v>
      </c>
      <c r="G8" s="13"/>
      <c r="H8" s="13">
        <v>166</v>
      </c>
      <c r="I8" s="13"/>
      <c r="J8" s="13"/>
      <c r="K8" s="13"/>
      <c r="L8" s="13">
        <v>328.75</v>
      </c>
      <c r="M8" s="13"/>
      <c r="N8" s="13">
        <v>762.41</v>
      </c>
    </row>
    <row r="9" spans="1:14" x14ac:dyDescent="0.25">
      <c r="A9" s="12" t="s">
        <v>8</v>
      </c>
      <c r="B9" s="13"/>
      <c r="C9" s="13">
        <v>61</v>
      </c>
      <c r="D9" s="13"/>
      <c r="E9" s="13"/>
      <c r="F9" s="13"/>
      <c r="G9" s="13"/>
      <c r="H9" s="13"/>
      <c r="I9" s="13">
        <v>162.75</v>
      </c>
      <c r="J9" s="13"/>
      <c r="K9" s="13"/>
      <c r="L9" s="13"/>
      <c r="M9" s="13"/>
      <c r="N9" s="13">
        <v>223.75</v>
      </c>
    </row>
    <row r="10" spans="1:14" x14ac:dyDescent="0.25">
      <c r="A10" s="12" t="s">
        <v>14</v>
      </c>
      <c r="B10" s="13"/>
      <c r="C10" s="13"/>
      <c r="D10" s="13"/>
      <c r="E10" s="13"/>
      <c r="F10" s="13"/>
      <c r="G10" s="13">
        <v>156.13999999999999</v>
      </c>
      <c r="H10" s="13"/>
      <c r="I10" s="13"/>
      <c r="J10" s="13"/>
      <c r="K10" s="13"/>
      <c r="L10" s="13">
        <v>156.13999999999999</v>
      </c>
      <c r="M10" s="13">
        <v>162.75</v>
      </c>
      <c r="N10" s="13">
        <v>475.03</v>
      </c>
    </row>
    <row r="11" spans="1:14" x14ac:dyDescent="0.25">
      <c r="A11" s="11" t="s">
        <v>68</v>
      </c>
      <c r="B11" s="13">
        <v>217.66</v>
      </c>
      <c r="C11" s="13">
        <v>228.62</v>
      </c>
      <c r="D11" s="13">
        <v>358.32</v>
      </c>
      <c r="E11" s="13">
        <v>308.72000000000003</v>
      </c>
      <c r="F11" s="13">
        <v>433.18</v>
      </c>
      <c r="G11" s="13">
        <v>358.32</v>
      </c>
      <c r="H11" s="13">
        <v>308.72000000000003</v>
      </c>
      <c r="I11" s="13">
        <v>433.18</v>
      </c>
      <c r="J11" s="13">
        <v>357.29</v>
      </c>
      <c r="K11" s="13">
        <v>308.72000000000003</v>
      </c>
      <c r="L11" s="13">
        <v>1100.22</v>
      </c>
      <c r="M11" s="13">
        <v>433.18</v>
      </c>
      <c r="N11" s="13">
        <v>4846.1299999999992</v>
      </c>
    </row>
    <row r="12" spans="1:14" x14ac:dyDescent="0.25">
      <c r="A12" s="12" t="s">
        <v>9</v>
      </c>
      <c r="B12" s="13">
        <v>63</v>
      </c>
      <c r="C12" s="13">
        <v>75.709999999999994</v>
      </c>
      <c r="D12" s="13">
        <v>61</v>
      </c>
      <c r="E12" s="13">
        <v>37.44</v>
      </c>
      <c r="F12" s="13">
        <v>61</v>
      </c>
      <c r="G12" s="13">
        <v>61</v>
      </c>
      <c r="H12" s="13">
        <v>37.44</v>
      </c>
      <c r="I12" s="13">
        <v>61</v>
      </c>
      <c r="J12" s="13">
        <v>59.97</v>
      </c>
      <c r="K12" s="13">
        <v>37.44</v>
      </c>
      <c r="L12" s="13">
        <v>159.44</v>
      </c>
      <c r="M12" s="13">
        <v>61</v>
      </c>
      <c r="N12" s="13">
        <v>775.44</v>
      </c>
    </row>
    <row r="13" spans="1:14" x14ac:dyDescent="0.25">
      <c r="A13" s="12" t="s">
        <v>10</v>
      </c>
      <c r="B13" s="13">
        <v>81</v>
      </c>
      <c r="C13" s="13">
        <v>39.36</v>
      </c>
      <c r="D13" s="13">
        <v>99</v>
      </c>
      <c r="E13" s="13">
        <v>52.02</v>
      </c>
      <c r="F13" s="13">
        <v>180.6</v>
      </c>
      <c r="G13" s="13">
        <v>99</v>
      </c>
      <c r="H13" s="13">
        <v>52.02</v>
      </c>
      <c r="I13" s="13">
        <v>180.6</v>
      </c>
      <c r="J13" s="13">
        <v>99</v>
      </c>
      <c r="K13" s="13">
        <v>52.02</v>
      </c>
      <c r="L13" s="13">
        <v>331.62</v>
      </c>
      <c r="M13" s="13">
        <v>180.6</v>
      </c>
      <c r="N13" s="13">
        <v>1446.84</v>
      </c>
    </row>
    <row r="14" spans="1:14" x14ac:dyDescent="0.25">
      <c r="A14" s="12" t="s">
        <v>11</v>
      </c>
      <c r="B14" s="13">
        <v>38.89</v>
      </c>
      <c r="C14" s="13">
        <v>51.8</v>
      </c>
      <c r="D14" s="13">
        <v>99.9</v>
      </c>
      <c r="E14" s="13">
        <v>42.14</v>
      </c>
      <c r="F14" s="13">
        <v>38.4</v>
      </c>
      <c r="G14" s="13">
        <v>99.9</v>
      </c>
      <c r="H14" s="13">
        <v>42.14</v>
      </c>
      <c r="I14" s="13">
        <v>38.4</v>
      </c>
      <c r="J14" s="13">
        <v>99.9</v>
      </c>
      <c r="K14" s="13">
        <v>42.14</v>
      </c>
      <c r="L14" s="13">
        <v>180.44</v>
      </c>
      <c r="M14" s="13">
        <v>38.4</v>
      </c>
      <c r="N14" s="13">
        <v>812.44999999999993</v>
      </c>
    </row>
    <row r="15" spans="1:14" x14ac:dyDescent="0.25">
      <c r="A15" s="12" t="s">
        <v>12</v>
      </c>
      <c r="B15" s="13">
        <v>34.770000000000003</v>
      </c>
      <c r="C15" s="13">
        <v>61.75</v>
      </c>
      <c r="D15" s="13">
        <v>98.42</v>
      </c>
      <c r="E15" s="13">
        <v>177.12</v>
      </c>
      <c r="F15" s="13">
        <v>153.18</v>
      </c>
      <c r="G15" s="13">
        <v>98.42</v>
      </c>
      <c r="H15" s="13">
        <v>177.12</v>
      </c>
      <c r="I15" s="13">
        <v>153.18</v>
      </c>
      <c r="J15" s="13">
        <v>98.42</v>
      </c>
      <c r="K15" s="13">
        <v>177.12</v>
      </c>
      <c r="L15" s="13">
        <v>428.72</v>
      </c>
      <c r="M15" s="13">
        <v>153.18</v>
      </c>
      <c r="N15" s="13">
        <v>1811.4</v>
      </c>
    </row>
    <row r="16" spans="1:14" x14ac:dyDescent="0.25">
      <c r="A16" s="11" t="s">
        <v>31</v>
      </c>
      <c r="B16" s="13">
        <v>257.14</v>
      </c>
      <c r="C16" s="13">
        <v>289.62</v>
      </c>
      <c r="D16" s="13">
        <v>423.75000000000006</v>
      </c>
      <c r="E16" s="13">
        <v>472.38</v>
      </c>
      <c r="F16" s="13">
        <v>595.93000000000006</v>
      </c>
      <c r="G16" s="13">
        <v>514.45999999999992</v>
      </c>
      <c r="H16" s="13">
        <v>474.72</v>
      </c>
      <c r="I16" s="13">
        <v>595.93000000000006</v>
      </c>
      <c r="J16" s="13">
        <v>513.42999999999995</v>
      </c>
      <c r="K16" s="13">
        <v>474.72</v>
      </c>
      <c r="L16" s="13">
        <v>1585.11</v>
      </c>
      <c r="M16" s="13">
        <v>595.93000000000006</v>
      </c>
      <c r="N16" s="1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VLOOKUP(TblCarteira[[#This Row],[Ativo]], 'Tabela Ativos'!$B$4:$D$500, 2, FALSE)</f>
        <v>EMPRESA</v>
      </c>
      <c r="C2" s="15">
        <f>VLOOKUP(TblCarteira[[#This Row],[Ativo]], 'Tabela Ativos'!$B$4:$D$500, 3, FALSE)</f>
        <v>13.76</v>
      </c>
      <c r="D2" s="16">
        <f ca="1">SUMIFS(TblAportes[Total], TblAportes[Ativo],TblCarteira[[#This Row],[Ativo]], TblAportes[Data], "&lt;="&amp;IF($K$2 = "", TODAY(), $K$2))</f>
        <v>4371</v>
      </c>
      <c r="E2" s="2">
        <f ca="1">SUMIFS(TblAportes[Quantidade], TblAportes[Ativo],TblCarteira[[#This Row],[Ativo]], TblAportes[Data], "&lt;="&amp;IF($K$2 = "", TODAY(), $K$2))</f>
        <v>300</v>
      </c>
      <c r="F2" s="16">
        <f ca="1">(TblCarteira[[#This Row],[Total Aportado]] / TblCarteira[[#This Row],[Total Quantidade]])</f>
        <v>14.57</v>
      </c>
      <c r="G2" s="16">
        <f ca="1">(TblCarteira[[#This Row],[Total Quantidade]] * TblCarteira[[#This Row],[Cotação]])</f>
        <v>4128</v>
      </c>
      <c r="H2" s="17">
        <f ca="1">(TblCarteira[[#This Row],[Total Atual]] - TblCarteira[[#This Row],[Total Aportado]])</f>
        <v>-243</v>
      </c>
      <c r="I2" s="18">
        <f ca="1">(TblCarteira[[#This Row],[Total Atual]] / TblCarteira[[#This Row],[Total Aportado]]) -1</f>
        <v>-5.5593685655456415E-2</v>
      </c>
      <c r="K2" s="19"/>
    </row>
    <row r="3" spans="1:11" ht="15.6" x14ac:dyDescent="0.25">
      <c r="A3" s="14" t="s">
        <v>6</v>
      </c>
      <c r="B3" s="14" t="str">
        <f>VLOOKUP(TblCarteira[[#This Row],[Ativo]], 'Tabela Ativos'!$B$4:$D$500, 2, FALSE)</f>
        <v>EMPRESA</v>
      </c>
      <c r="C3" s="15">
        <f>VLOOKUP(TblCarteira[[#This Row],[Ativo]], 'Tabela Ativos'!$B$4:$D$500, 3, FALSE)</f>
        <v>15.82</v>
      </c>
      <c r="D3" s="16">
        <f ca="1">SUMIFS(TblAportes[Total], TblAportes[Ativo],TblCarteira[[#This Row],[Ativo]], TblAportes[Data], "&lt;="&amp;IF($K$2 = "", TODAY(), $K$2))</f>
        <v>14163</v>
      </c>
      <c r="E3" s="2">
        <f ca="1">SUMIFS(TblAportes[Quantidade], TblAportes[Ativo],TblCarteira[[#This Row],[Ativo]], TblAportes[Data], "&lt;="&amp;IF($K$2 = "", TODAY(), $K$2))</f>
        <v>200</v>
      </c>
      <c r="F3" s="16">
        <f ca="1">(TblCarteira[[#This Row],[Total Aportado]] / TblCarteira[[#This Row],[Total Quantidade]])</f>
        <v>70.814999999999998</v>
      </c>
      <c r="G3" s="16">
        <f ca="1">(TblCarteira[[#This Row],[Total Quantidade]] * TblCarteira[[#This Row],[Cotação]])</f>
        <v>3164</v>
      </c>
      <c r="H3" s="17">
        <f ca="1">(TblCarteira[[#This Row],[Total Atual]] - TblCarteira[[#This Row],[Total Aportado]])</f>
        <v>-10999</v>
      </c>
      <c r="I3" s="18">
        <f ca="1">(TblCarteira[[#This Row],[Total Atual]] / TblCarteira[[#This Row],[Total Aportado]]) -1</f>
        <v>-0.7766010026124408</v>
      </c>
    </row>
    <row r="4" spans="1:11" ht="15.6" x14ac:dyDescent="0.25">
      <c r="A4" s="14" t="s">
        <v>7</v>
      </c>
      <c r="B4" s="14" t="str">
        <f>VLOOKUP(TblCarteira[[#This Row],[Ativo]], 'Tabela Ativos'!$B$4:$D$500, 2, FALSE)</f>
        <v>EMPRESA</v>
      </c>
      <c r="C4" s="15">
        <f>VLOOKUP(TblCarteira[[#This Row],[Ativo]], 'Tabela Ativos'!$B$4:$D$500, 3, FALSE)</f>
        <v>9.68</v>
      </c>
      <c r="D4" s="16">
        <f ca="1">SUMIFS(TblAportes[Total], TblAportes[Ativo],TblCarteira[[#This Row],[Ativo]], TblAportes[Data], "&lt;="&amp;IF($K$2 = "", TODAY(), $K$2))</f>
        <v>3894</v>
      </c>
      <c r="E4" s="2">
        <f ca="1">SUMIFS(TblAportes[Quantidade], TblAportes[Ativo],TblCarteira[[#This Row],[Ativo]], TblAportes[Data], "&lt;="&amp;IF($K$2 = "", TODAY(), $K$2))</f>
        <v>300</v>
      </c>
      <c r="F4" s="16">
        <f ca="1">(TblCarteira[[#This Row],[Total Aportado]] / TblCarteira[[#This Row],[Total Quantidade]])</f>
        <v>12.98</v>
      </c>
      <c r="G4" s="16">
        <f ca="1">(TblCarteira[[#This Row],[Total Quantidade]] * TblCarteira[[#This Row],[Cotação]])</f>
        <v>2904</v>
      </c>
      <c r="H4" s="17">
        <f ca="1">(TblCarteira[[#This Row],[Total Atual]] - TblCarteira[[#This Row],[Total Aportado]])</f>
        <v>-990</v>
      </c>
      <c r="I4" s="18">
        <f ca="1">(TblCarteira[[#This Row],[Total Atual]] / TblCarteira[[#This Row],[Total Aportado]]) -1</f>
        <v>-0.25423728813559321</v>
      </c>
    </row>
    <row r="5" spans="1:11" ht="15.6" x14ac:dyDescent="0.25">
      <c r="A5" s="14" t="s">
        <v>8</v>
      </c>
      <c r="B5" s="14" t="str">
        <f>VLOOKUP(TblCarteira[[#This Row],[Ativo]], 'Tabela Ativos'!$B$4:$D$500, 2, FALSE)</f>
        <v>EMPRESA</v>
      </c>
      <c r="C5" s="15">
        <f>VLOOKUP(TblCarteira[[#This Row],[Ativo]], 'Tabela Ativos'!$B$4:$D$500, 3, FALSE)</f>
        <v>29.39</v>
      </c>
      <c r="D5" s="16">
        <f ca="1">SUMIFS(TblAportes[Total], TblAportes[Ativo],TblCarteira[[#This Row],[Ativo]], TblAportes[Data], "&lt;="&amp;IF($K$2 = "", TODAY(), $K$2))</f>
        <v>7527</v>
      </c>
      <c r="E5" s="2">
        <f ca="1">SUMIFS(TblAportes[Quantidade], TblAportes[Ativo],TblCarteira[[#This Row],[Ativo]], TblAportes[Data], "&lt;="&amp;IF($K$2 = "", TODAY(), $K$2))</f>
        <v>400</v>
      </c>
      <c r="F5" s="16">
        <f ca="1">(TblCarteira[[#This Row],[Total Aportado]] / TblCarteira[[#This Row],[Total Quantidade]])</f>
        <v>18.817499999999999</v>
      </c>
      <c r="G5" s="16">
        <f ca="1">(TblCarteira[[#This Row],[Total Quantidade]] * TblCarteira[[#This Row],[Cotação]])</f>
        <v>11756</v>
      </c>
      <c r="H5" s="17">
        <f ca="1">(TblCarteira[[#This Row],[Total Atual]] - TblCarteira[[#This Row],[Total Aportado]])</f>
        <v>4229</v>
      </c>
      <c r="I5" s="18">
        <f ca="1">(TblCarteira[[#This Row],[Total Atual]] / TblCarteira[[#This Row],[Total Aportado]]) -1</f>
        <v>0.56184402816527168</v>
      </c>
    </row>
    <row r="6" spans="1:11" ht="15.6" x14ac:dyDescent="0.25">
      <c r="A6" s="14" t="s">
        <v>9</v>
      </c>
      <c r="B6" s="14" t="str">
        <f>VLOOKUP(TblCarteira[[#This Row],[Ativo]], 'Tabela Ativos'!$B$4:$D$500, 2, FALSE)</f>
        <v>FUNDOS INVESTIMENTO IMOBILIARIO</v>
      </c>
      <c r="C6" s="15">
        <f>VLOOKUP(TblCarteira[[#This Row],[Ativo]], 'Tabela Ativos'!$B$4:$D$500, 3, FALSE)</f>
        <v>222.61</v>
      </c>
      <c r="D6" s="16">
        <f ca="1">SUMIFS(TblAportes[Total], TblAportes[Ativo],TblCarteira[[#This Row],[Ativo]], TblAportes[Data], "&lt;="&amp;IF($K$2 = "", TODAY(), $K$2))</f>
        <v>199.11</v>
      </c>
      <c r="E6" s="2">
        <f ca="1">SUMIFS(TblAportes[Quantidade], TblAportes[Ativo],TblCarteira[[#This Row],[Ativo]], TblAportes[Data], "&lt;="&amp;IF($K$2 = "", TODAY(), $K$2))</f>
        <v>9</v>
      </c>
      <c r="F6" s="16">
        <f ca="1">(TblCarteira[[#This Row],[Total Aportado]] / TblCarteira[[#This Row],[Total Quantidade]])</f>
        <v>22.123333333333335</v>
      </c>
      <c r="G6" s="16">
        <f ca="1">(TblCarteira[[#This Row],[Total Quantidade]] * TblCarteira[[#This Row],[Cotação]])</f>
        <v>2003.4900000000002</v>
      </c>
      <c r="H6" s="17">
        <f ca="1">(TblCarteira[[#This Row],[Total Atual]] - TblCarteira[[#This Row],[Total Aportado]])</f>
        <v>1804.38</v>
      </c>
      <c r="I6" s="18">
        <f ca="1">(TblCarteira[[#This Row],[Total Atual]] / TblCarteira[[#This Row],[Total Aportado]]) -1</f>
        <v>9.0622269097483805</v>
      </c>
    </row>
    <row r="7" spans="1:11" ht="15.6" x14ac:dyDescent="0.25">
      <c r="A7" s="14" t="s">
        <v>10</v>
      </c>
      <c r="B7" s="14" t="str">
        <f>VLOOKUP(TblCarteira[[#This Row],[Ativo]], 'Tabela Ativos'!$B$4:$D$500, 2, FALSE)</f>
        <v>FUNDOS INVESTIMENTO IMOBILIARIO</v>
      </c>
      <c r="C7" s="15">
        <f>VLOOKUP(TblCarteira[[#This Row],[Ativo]], 'Tabela Ativos'!$B$4:$D$500, 3, FALSE)</f>
        <v>163.65</v>
      </c>
      <c r="D7" s="16">
        <f ca="1">SUMIFS(TblAportes[Total], TblAportes[Ativo],TblCarteira[[#This Row],[Ativo]], TblAportes[Data], "&lt;="&amp;IF($K$2 = "", TODAY(), $K$2))</f>
        <v>966.86</v>
      </c>
      <c r="E7" s="2">
        <f ca="1">SUMIFS(TblAportes[Quantidade], TblAportes[Ativo],TblCarteira[[#This Row],[Ativo]], TblAportes[Data], "&lt;="&amp;IF($K$2 = "", TODAY(), $K$2))</f>
        <v>17</v>
      </c>
      <c r="F7" s="16">
        <f ca="1">(TblCarteira[[#This Row],[Total Aportado]] / TblCarteira[[#This Row],[Total Quantidade]])</f>
        <v>56.874117647058824</v>
      </c>
      <c r="G7" s="16">
        <f ca="1">(TblCarteira[[#This Row],[Total Quantidade]] * TblCarteira[[#This Row],[Cotação]])</f>
        <v>2782.05</v>
      </c>
      <c r="H7" s="17">
        <f ca="1">(TblCarteira[[#This Row],[Total Atual]] - TblCarteira[[#This Row],[Total Aportado]])</f>
        <v>1815.19</v>
      </c>
      <c r="I7" s="18">
        <f ca="1">(TblCarteira[[#This Row],[Total Atual]] / TblCarteira[[#This Row],[Total Aportado]]) -1</f>
        <v>1.8774072771652568</v>
      </c>
    </row>
    <row r="8" spans="1:11" ht="15.6" x14ac:dyDescent="0.25">
      <c r="A8" s="14" t="s">
        <v>11</v>
      </c>
      <c r="B8" s="14" t="str">
        <f>VLOOKUP(TblCarteira[[#This Row],[Ativo]], 'Tabela Ativos'!$B$4:$D$500, 2, FALSE)</f>
        <v>FUNDOS INVESTIMENTO IMOBILIARIO</v>
      </c>
      <c r="C8" s="15">
        <f>VLOOKUP(TblCarteira[[#This Row],[Ativo]], 'Tabela Ativos'!$B$4:$D$500, 3, FALSE)</f>
        <v>141.51</v>
      </c>
      <c r="D8" s="16">
        <f ca="1">SUMIFS(TblAportes[Total], TblAportes[Ativo],TblCarteira[[#This Row],[Ativo]], TblAportes[Data], "&lt;="&amp;IF($K$2 = "", TODAY(), $K$2))</f>
        <v>359.81</v>
      </c>
      <c r="E8" s="2">
        <f ca="1">SUMIFS(TblAportes[Quantidade], TblAportes[Ativo],TblCarteira[[#This Row],[Ativo]], TblAportes[Data], "&lt;="&amp;IF($K$2 = "", TODAY(), $K$2))</f>
        <v>19</v>
      </c>
      <c r="F8" s="16">
        <f ca="1">(TblCarteira[[#This Row],[Total Aportado]] / TblCarteira[[#This Row],[Total Quantidade]])</f>
        <v>18.937368421052632</v>
      </c>
      <c r="G8" s="16">
        <f ca="1">(TblCarteira[[#This Row],[Total Quantidade]] * TblCarteira[[#This Row],[Cotação]])</f>
        <v>2688.6899999999996</v>
      </c>
      <c r="H8" s="17">
        <f ca="1">(TblCarteira[[#This Row],[Total Atual]] - TblCarteira[[#This Row],[Total Aportado]])</f>
        <v>2328.8799999999997</v>
      </c>
      <c r="I8" s="18">
        <f ca="1">(TblCarteira[[#This Row],[Total Atual]] / TblCarteira[[#This Row],[Total Aportado]]) -1</f>
        <v>6.4725271671159765</v>
      </c>
    </row>
    <row r="9" spans="1:11" ht="15.6" x14ac:dyDescent="0.25">
      <c r="A9" s="14" t="s">
        <v>12</v>
      </c>
      <c r="B9" s="14" t="str">
        <f>VLOOKUP(TblCarteira[[#This Row],[Ativo]], 'Tabela Ativos'!$B$4:$D$500, 2, FALSE)</f>
        <v>FUNDOS INVESTIMENTO IMOBILIARIO</v>
      </c>
      <c r="C9" s="15">
        <f>VLOOKUP(TblCarteira[[#This Row],[Ativo]], 'Tabela Ativos'!$B$4:$D$500, 3, FALSE)</f>
        <v>160.99</v>
      </c>
      <c r="D9" s="16">
        <f ca="1">SUMIFS(TblAportes[Total], TblAportes[Ativo],TblCarteira[[#This Row],[Ativo]], TblAportes[Data], "&lt;="&amp;IF($K$2 = "", TODAY(), $K$2))</f>
        <v>458.22</v>
      </c>
      <c r="E9" s="2">
        <f ca="1">SUMIFS(TblAportes[Quantidade], TblAportes[Ativo],TblCarteira[[#This Row],[Ativo]], TblAportes[Data], "&lt;="&amp;IF($K$2 = "", TODAY(), $K$2))</f>
        <v>18</v>
      </c>
      <c r="F9" s="16">
        <f ca="1">(TblCarteira[[#This Row],[Total Aportado]] / TblCarteira[[#This Row],[Total Quantidade]])</f>
        <v>25.456666666666667</v>
      </c>
      <c r="G9" s="16">
        <f ca="1">(TblCarteira[[#This Row],[Total Quantidade]] * TblCarteira[[#This Row],[Cotação]])</f>
        <v>2897.82</v>
      </c>
      <c r="H9" s="17">
        <f ca="1">(TblCarteira[[#This Row],[Total Atual]] - TblCarteira[[#This Row],[Total Aportado]])</f>
        <v>2439.6000000000004</v>
      </c>
      <c r="I9" s="18">
        <f ca="1">(TblCarteira[[#This Row],[Total Atual]] / TblCarteira[[#This Row],[Total Aportado]]) -1</f>
        <v>5.3240801361791279</v>
      </c>
    </row>
    <row r="10" spans="1:11" ht="15.6" x14ac:dyDescent="0.25">
      <c r="A10" s="14" t="s">
        <v>14</v>
      </c>
      <c r="B10" s="14" t="str">
        <f>VLOOKUP(TblCarteira[[#This Row],[Ativo]], 'Tabela Ativos'!$B$4:$D$500, 2, FALSE)</f>
        <v>EMPRESA</v>
      </c>
      <c r="C10" s="15">
        <f>VLOOKUP(TblCarteira[[#This Row],[Ativo]], 'Tabela Ativos'!$B$4:$D$500, 3, FALSE)</f>
        <v>12.08</v>
      </c>
      <c r="D10" s="16">
        <f ca="1">SUMIFS(TblAportes[Total], TblAportes[Ativo],TblCarteira[[#This Row],[Ativo]], TblAportes[Data], "&lt;="&amp;IF($K$2 = "", TODAY(), $K$2))</f>
        <v>4114</v>
      </c>
      <c r="E10" s="2">
        <f ca="1">SUMIFS(TblAportes[Quantidade], TblAportes[Ativo],TblCarteira[[#This Row],[Ativo]], TblAportes[Data], "&lt;="&amp;IF($K$2 = "", TODAY(), $K$2))</f>
        <v>200</v>
      </c>
      <c r="F10" s="16">
        <f ca="1">(TblCarteira[[#This Row],[Total Aportado]] / TblCarteira[[#This Row],[Total Quantidade]])</f>
        <v>20.57</v>
      </c>
      <c r="G10" s="16">
        <f ca="1">(TblCarteira[[#This Row],[Total Quantidade]] * TblCarteira[[#This Row],[Cotação]])</f>
        <v>2416</v>
      </c>
      <c r="H10" s="17">
        <f ca="1">(TblCarteira[[#This Row],[Total Atual]] - TblCarteira[[#This Row],[Total Aportado]])</f>
        <v>-1698</v>
      </c>
      <c r="I10" s="18">
        <f ca="1">(TblCarteira[[#This Row],[Total Atual]] / TblCarteira[[#This Row],[Total Aportado]]) -1</f>
        <v>-0.41273699562469612</v>
      </c>
    </row>
    <row r="11" spans="1:11" ht="15.6" x14ac:dyDescent="0.25">
      <c r="A11" s="14" t="s">
        <v>20</v>
      </c>
      <c r="D11" s="16">
        <f ca="1">SUBTOTAL(109,TblCarteira[Total Aportado])</f>
        <v>36053</v>
      </c>
      <c r="F11" s="15"/>
      <c r="G11" s="16">
        <f ca="1">SUBTOTAL(109,TblCarteira[Total Atual])</f>
        <v>34740.050000000003</v>
      </c>
      <c r="H11" s="17">
        <f ca="1">SUBTOTAL(109,TblCarteira[Valorização])</f>
        <v>-1312.9500000000003</v>
      </c>
    </row>
  </sheetData>
  <conditionalFormatting sqref="I2:I10">
    <cfRule type="cellIs" dxfId="68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9</v>
      </c>
      <c r="B2" s="14" t="str">
        <f>VLOOKUP(TblCarteiraFII[[#This Row],[Ativo]], 'Tabela Ativos'!$B$4:$D$500, 2, FALSE)</f>
        <v>FUNDOS INVESTIMENTO IMOBILIARIO</v>
      </c>
      <c r="C2" s="15">
        <f>VLOOKUP(TblCarteiraFII[[#This Row],[Ativo]], 'Tabela Ativos'!$B$4:$D$500, 3, FALSE)</f>
        <v>222.61</v>
      </c>
      <c r="D2" s="16">
        <f ca="1">SUMIFS(TblAportes[Total], TblAportes[Ativo],TblCarteiraFII[[#This Row],[Ativo]], TblAportes[Data], "&lt;="&amp;IF($K$2 = "", TODAY(), $K$2))</f>
        <v>199.11</v>
      </c>
      <c r="E2" s="2">
        <f ca="1">SUMIFS(TblAportes[Quantidade], TblAportes[Ativo],TblCarteiraFII[[#This Row],[Ativo]], TblAportes[Data], "&lt;="&amp;IF($K$2 = "", TODAY(), $K$2))</f>
        <v>9</v>
      </c>
      <c r="F2" s="16">
        <f ca="1">(TblCarteiraFII[[#This Row],[Total Aportado]] / TblCarteiraFII[[#This Row],[Total Quantidade]])</f>
        <v>22.123333333333335</v>
      </c>
      <c r="G2" s="16">
        <f ca="1">(TblCarteiraFII[[#This Row],[Total Quantidade]] * TblCarteiraFII[[#This Row],[Cotação]])</f>
        <v>2003.4900000000002</v>
      </c>
      <c r="H2" s="17">
        <f ca="1">(TblCarteiraFII[[#This Row],[Total Atual]] - TblCarteiraFII[[#This Row],[Total Aportado]])</f>
        <v>1804.38</v>
      </c>
      <c r="I2" s="18">
        <f ca="1">(TblCarteiraFII[[#This Row],[Total Atual]] / TblCarteiraFII[[#This Row],[Total Aportado]]) -1</f>
        <v>9.0622269097483805</v>
      </c>
      <c r="K2" s="19"/>
    </row>
    <row r="3" spans="1:11" ht="15.6" x14ac:dyDescent="0.25">
      <c r="A3" s="14" t="s">
        <v>10</v>
      </c>
      <c r="B3" s="14" t="str">
        <f>VLOOKUP(TblCarteiraFII[[#This Row],[Ativo]], 'Tabela Ativos'!$B$4:$D$500, 2, FALSE)</f>
        <v>FUNDOS INVESTIMENTO IMOBILIARIO</v>
      </c>
      <c r="C3" s="15">
        <f>VLOOKUP(TblCarteiraFII[[#This Row],[Ativo]], 'Tabela Ativos'!$B$4:$D$500, 3, FALSE)</f>
        <v>163.65</v>
      </c>
      <c r="D3" s="16">
        <f ca="1">SUMIFS(TblAportes[Total], TblAportes[Ativo],TblCarteiraFII[[#This Row],[Ativo]], TblAportes[Data], "&lt;="&amp;IF($K$2 = "", TODAY(), $K$2))</f>
        <v>966.86</v>
      </c>
      <c r="E3" s="2">
        <f ca="1">SUMIFS(TblAportes[Quantidade], TblAportes[Ativo],TblCarteiraFII[[#This Row],[Ativo]], TblAportes[Data], "&lt;="&amp;IF($K$2 = "", TODAY(), $K$2))</f>
        <v>17</v>
      </c>
      <c r="F3" s="16">
        <f ca="1">(TblCarteiraFII[[#This Row],[Total Aportado]] / TblCarteiraFII[[#This Row],[Total Quantidade]])</f>
        <v>56.874117647058824</v>
      </c>
      <c r="G3" s="16">
        <f ca="1">(TblCarteiraFII[[#This Row],[Total Quantidade]] * TblCarteiraFII[[#This Row],[Cotação]])</f>
        <v>2782.05</v>
      </c>
      <c r="H3" s="17">
        <f ca="1">(TblCarteiraFII[[#This Row],[Total Atual]] - TblCarteiraFII[[#This Row],[Total Aportado]])</f>
        <v>1815.19</v>
      </c>
      <c r="I3" s="18">
        <f ca="1">(TblCarteiraFII[[#This Row],[Total Atual]] / TblCarteiraFII[[#This Row],[Total Aportado]]) -1</f>
        <v>1.8774072771652568</v>
      </c>
    </row>
    <row r="4" spans="1:11" ht="15.6" x14ac:dyDescent="0.25">
      <c r="A4" s="14" t="s">
        <v>11</v>
      </c>
      <c r="B4" s="14" t="str">
        <f>VLOOKUP(TblCarteiraFII[[#This Row],[Ativo]], 'Tabela Ativos'!$B$4:$D$500, 2, FALSE)</f>
        <v>FUNDOS INVESTIMENTO IMOBILIARIO</v>
      </c>
      <c r="C4" s="15">
        <f>VLOOKUP(TblCarteiraFII[[#This Row],[Ativo]], 'Tabela Ativos'!$B$4:$D$500, 3, FALSE)</f>
        <v>141.51</v>
      </c>
      <c r="D4" s="16">
        <f ca="1">SUMIFS(TblAportes[Total], TblAportes[Ativo],TblCarteiraFII[[#This Row],[Ativo]], TblAportes[Data], "&lt;="&amp;IF($K$2 = "", TODAY(), $K$2))</f>
        <v>359.81</v>
      </c>
      <c r="E4" s="2">
        <f ca="1">SUMIFS(TblAportes[Quantidade], TblAportes[Ativo],TblCarteiraFII[[#This Row],[Ativo]], TblAportes[Data], "&lt;="&amp;IF($K$2 = "", TODAY(), $K$2))</f>
        <v>19</v>
      </c>
      <c r="F4" s="16">
        <f ca="1">(TblCarteiraFII[[#This Row],[Total Aportado]] / TblCarteiraFII[[#This Row],[Total Quantidade]])</f>
        <v>18.937368421052632</v>
      </c>
      <c r="G4" s="16">
        <f ca="1">(TblCarteiraFII[[#This Row],[Total Quantidade]] * TblCarteiraFII[[#This Row],[Cotação]])</f>
        <v>2688.6899999999996</v>
      </c>
      <c r="H4" s="17">
        <f ca="1">(TblCarteiraFII[[#This Row],[Total Atual]] - TblCarteiraFII[[#This Row],[Total Aportado]])</f>
        <v>2328.8799999999997</v>
      </c>
      <c r="I4" s="18">
        <f ca="1">(TblCarteiraFII[[#This Row],[Total Atual]] / TblCarteiraFII[[#This Row],[Total Aportado]]) -1</f>
        <v>6.4725271671159765</v>
      </c>
    </row>
    <row r="5" spans="1:11" ht="15.6" x14ac:dyDescent="0.25">
      <c r="A5" s="14" t="s">
        <v>12</v>
      </c>
      <c r="B5" s="14" t="str">
        <f>VLOOKUP(TblCarteiraFII[[#This Row],[Ativo]], 'Tabela Ativos'!$B$4:$D$500, 2, FALSE)</f>
        <v>FUNDOS INVESTIMENTO IMOBILIARIO</v>
      </c>
      <c r="C5" s="15">
        <f>VLOOKUP(TblCarteiraFII[[#This Row],[Ativo]], 'Tabela Ativos'!$B$4:$D$500, 3, FALSE)</f>
        <v>160.99</v>
      </c>
      <c r="D5" s="16">
        <f ca="1">SUMIFS(TblAportes[Total], TblAportes[Ativo],TblCarteiraFII[[#This Row],[Ativo]], TblAportes[Data], "&lt;="&amp;IF($K$2 = "", TODAY(), $K$2))</f>
        <v>458.22</v>
      </c>
      <c r="E5" s="2">
        <f ca="1">SUMIFS(TblAportes[Quantidade], TblAportes[Ativo],TblCarteiraFII[[#This Row],[Ativo]], TblAportes[Data], "&lt;="&amp;IF($K$2 = "", TODAY(), $K$2))</f>
        <v>18</v>
      </c>
      <c r="F5" s="16">
        <f ca="1">(TblCarteiraFII[[#This Row],[Total Aportado]] / TblCarteiraFII[[#This Row],[Total Quantidade]])</f>
        <v>25.456666666666667</v>
      </c>
      <c r="G5" s="16">
        <f ca="1">(TblCarteiraFII[[#This Row],[Total Quantidade]] * TblCarteiraFII[[#This Row],[Cotação]])</f>
        <v>2897.82</v>
      </c>
      <c r="H5" s="17">
        <f ca="1">(TblCarteiraFII[[#This Row],[Total Atual]] - TblCarteiraFII[[#This Row],[Total Aportado]])</f>
        <v>2439.6000000000004</v>
      </c>
      <c r="I5" s="18">
        <f ca="1">(TblCarteiraFII[[#This Row],[Total Atual]] / TblCarteiraFII[[#This Row],[Total Aportado]]) -1</f>
        <v>5.3240801361791279</v>
      </c>
    </row>
    <row r="6" spans="1:11" ht="15.6" x14ac:dyDescent="0.25">
      <c r="A6" s="14" t="s">
        <v>20</v>
      </c>
      <c r="D6" s="16">
        <f ca="1">SUBTOTAL(109,TblCarteiraFII[Total Aportado])</f>
        <v>1984</v>
      </c>
      <c r="F6" s="15"/>
      <c r="G6" s="16">
        <f ca="1">SUBTOTAL(109,TblCarteiraFII[Total Atual])</f>
        <v>10372.050000000001</v>
      </c>
      <c r="H6" s="17">
        <f ca="1">SUBTOTAL(109,TblCarteiraFII[Valorização])</f>
        <v>8388.0499999999993</v>
      </c>
    </row>
  </sheetData>
  <conditionalFormatting sqref="I2:I5">
    <cfRule type="cellIs" dxfId="47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VLOOKUP(TblCarteiraAcoes[[#This Row],[Ativo]], 'Tabela Ativos'!$B$4:$D$500, 2, FALSE)</f>
        <v>EMPRESA</v>
      </c>
      <c r="C2" s="15">
        <f>VLOOKUP(TblCarteiraAcoes[[#This Row],[Ativo]], 'Tabela Ativos'!$B$4:$D$500, 3, FALSE)</f>
        <v>13.76</v>
      </c>
      <c r="D2" s="16">
        <f ca="1">SUMIFS(TblAportes[Total], TblAportes[Ativo],TblCarteiraAcoes[[#This Row],[Ativo]], TblAportes[Data], "&lt;="&amp;IF($K$2 = "", TODAY(), $K$2))</f>
        <v>4371</v>
      </c>
      <c r="E2" s="2">
        <f ca="1">SUMIFS(TblAportes[Quantidade], TblAportes[Ativo],TblCarteiraAcoes[[#This Row],[Ativo]], TblAportes[Data], "&lt;="&amp;IF($K$2 = "", TODAY(), $K$2))</f>
        <v>300</v>
      </c>
      <c r="F2" s="16">
        <f ca="1">(TblCarteiraAcoes[[#This Row],[Total Aportado]] / TblCarteiraAcoes[[#This Row],[Total Quantidade]])</f>
        <v>14.57</v>
      </c>
      <c r="G2" s="16">
        <f ca="1">(TblCarteiraAcoes[[#This Row],[Total Quantidade]] * TblCarteiraAcoes[[#This Row],[Cotação]])</f>
        <v>4128</v>
      </c>
      <c r="H2" s="17">
        <f ca="1">(TblCarteiraAcoes[[#This Row],[Total Atual]] - TblCarteiraAcoes[[#This Row],[Total Aportado]])</f>
        <v>-243</v>
      </c>
      <c r="I2" s="18">
        <f ca="1">(TblCarteiraAcoes[[#This Row],[Total Atual]] / TblCarteiraAcoes[[#This Row],[Total Aportado]]) -1</f>
        <v>-5.5593685655456415E-2</v>
      </c>
      <c r="K2" s="19"/>
    </row>
    <row r="3" spans="1:11" ht="15.6" x14ac:dyDescent="0.25">
      <c r="A3" s="14" t="s">
        <v>6</v>
      </c>
      <c r="B3" s="14" t="str">
        <f>VLOOKUP(TblCarteiraAcoes[[#This Row],[Ativo]], 'Tabela Ativos'!$B$4:$D$500, 2, FALSE)</f>
        <v>EMPRESA</v>
      </c>
      <c r="C3" s="15">
        <f>VLOOKUP(TblCarteiraAcoes[[#This Row],[Ativo]], 'Tabela Ativos'!$B$4:$D$500, 3, FALSE)</f>
        <v>15.82</v>
      </c>
      <c r="D3" s="16">
        <f ca="1">SUMIFS(TblAportes[Total], TblAportes[Ativo],TblCarteiraAcoes[[#This Row],[Ativo]], TblAportes[Data], "&lt;="&amp;IF($K$2 = "", TODAY(), $K$2))</f>
        <v>14163</v>
      </c>
      <c r="E3" s="2">
        <f ca="1">SUMIFS(TblAportes[Quantidade], TblAportes[Ativo],TblCarteiraAcoes[[#This Row],[Ativo]], TblAportes[Data], "&lt;="&amp;IF($K$2 = "", TODAY(), $K$2))</f>
        <v>200</v>
      </c>
      <c r="F3" s="16">
        <f ca="1">(TblCarteiraAcoes[[#This Row],[Total Aportado]] / TblCarteiraAcoes[[#This Row],[Total Quantidade]])</f>
        <v>70.814999999999998</v>
      </c>
      <c r="G3" s="16">
        <f ca="1">(TblCarteiraAcoes[[#This Row],[Total Quantidade]] * TblCarteiraAcoes[[#This Row],[Cotação]])</f>
        <v>3164</v>
      </c>
      <c r="H3" s="17">
        <f ca="1">(TblCarteiraAcoes[[#This Row],[Total Atual]] - TblCarteiraAcoes[[#This Row],[Total Aportado]])</f>
        <v>-10999</v>
      </c>
      <c r="I3" s="18">
        <f ca="1">(TblCarteiraAcoes[[#This Row],[Total Atual]] / TblCarteiraAcoes[[#This Row],[Total Aportado]]) -1</f>
        <v>-0.7766010026124408</v>
      </c>
    </row>
    <row r="4" spans="1:11" ht="15.6" x14ac:dyDescent="0.25">
      <c r="A4" s="14" t="s">
        <v>7</v>
      </c>
      <c r="B4" s="14" t="str">
        <f>VLOOKUP(TblCarteiraAcoes[[#This Row],[Ativo]], 'Tabela Ativos'!$B$4:$D$500, 2, FALSE)</f>
        <v>EMPRESA</v>
      </c>
      <c r="C4" s="15">
        <f>VLOOKUP(TblCarteiraAcoes[[#This Row],[Ativo]], 'Tabela Ativos'!$B$4:$D$500, 3, FALSE)</f>
        <v>9.68</v>
      </c>
      <c r="D4" s="16">
        <f ca="1">SUMIFS(TblAportes[Total], TblAportes[Ativo],TblCarteiraAcoes[[#This Row],[Ativo]], TblAportes[Data], "&lt;="&amp;IF($K$2 = "", TODAY(), $K$2))</f>
        <v>3894</v>
      </c>
      <c r="E4" s="2">
        <f ca="1">SUMIFS(TblAportes[Quantidade], TblAportes[Ativo],TblCarteiraAcoes[[#This Row],[Ativo]], TblAportes[Data], "&lt;="&amp;IF($K$2 = "", TODAY(), $K$2))</f>
        <v>300</v>
      </c>
      <c r="F4" s="16">
        <f ca="1">(TblCarteiraAcoes[[#This Row],[Total Aportado]] / TblCarteiraAcoes[[#This Row],[Total Quantidade]])</f>
        <v>12.98</v>
      </c>
      <c r="G4" s="16">
        <f ca="1">(TblCarteiraAcoes[[#This Row],[Total Quantidade]] * TblCarteiraAcoes[[#This Row],[Cotação]])</f>
        <v>2904</v>
      </c>
      <c r="H4" s="17">
        <f ca="1">(TblCarteiraAcoes[[#This Row],[Total Atual]] - TblCarteiraAcoes[[#This Row],[Total Aportado]])</f>
        <v>-990</v>
      </c>
      <c r="I4" s="18">
        <f ca="1">(TblCarteiraAcoes[[#This Row],[Total Atual]] / TblCarteiraAcoes[[#This Row],[Total Aportado]]) -1</f>
        <v>-0.25423728813559321</v>
      </c>
    </row>
    <row r="5" spans="1:11" ht="15.6" x14ac:dyDescent="0.25">
      <c r="A5" s="14" t="s">
        <v>8</v>
      </c>
      <c r="B5" s="14" t="str">
        <f>VLOOKUP(TblCarteiraAcoes[[#This Row],[Ativo]], 'Tabela Ativos'!$B$4:$D$500, 2, FALSE)</f>
        <v>EMPRESA</v>
      </c>
      <c r="C5" s="15">
        <f>VLOOKUP(TblCarteiraAcoes[[#This Row],[Ativo]], 'Tabela Ativos'!$B$4:$D$500, 3, FALSE)</f>
        <v>29.39</v>
      </c>
      <c r="D5" s="16">
        <f ca="1">SUMIFS(TblAportes[Total], TblAportes[Ativo],TblCarteiraAcoes[[#This Row],[Ativo]], TblAportes[Data], "&lt;="&amp;IF($K$2 = "", TODAY(), $K$2))</f>
        <v>7527</v>
      </c>
      <c r="E5" s="2">
        <f ca="1">SUMIFS(TblAportes[Quantidade], TblAportes[Ativo],TblCarteiraAcoes[[#This Row],[Ativo]], TblAportes[Data], "&lt;="&amp;IF($K$2 = "", TODAY(), $K$2))</f>
        <v>400</v>
      </c>
      <c r="F5" s="16">
        <f ca="1">(TblCarteiraAcoes[[#This Row],[Total Aportado]] / TblCarteiraAcoes[[#This Row],[Total Quantidade]])</f>
        <v>18.817499999999999</v>
      </c>
      <c r="G5" s="16">
        <f ca="1">(TblCarteiraAcoes[[#This Row],[Total Quantidade]] * TblCarteiraAcoes[[#This Row],[Cotação]])</f>
        <v>11756</v>
      </c>
      <c r="H5" s="17">
        <f ca="1">(TblCarteiraAcoes[[#This Row],[Total Atual]] - TblCarteiraAcoes[[#This Row],[Total Aportado]])</f>
        <v>4229</v>
      </c>
      <c r="I5" s="18">
        <f ca="1">(TblCarteiraAcoes[[#This Row],[Total Atual]] / TblCarteiraAcoes[[#This Row],[Total Aportado]]) -1</f>
        <v>0.56184402816527168</v>
      </c>
    </row>
    <row r="6" spans="1:11" ht="15.6" x14ac:dyDescent="0.25">
      <c r="A6" s="14" t="s">
        <v>14</v>
      </c>
      <c r="B6" s="14" t="str">
        <f>VLOOKUP(TblCarteiraAcoes[[#This Row],[Ativo]], 'Tabela Ativos'!$B$4:$D$500, 2, FALSE)</f>
        <v>EMPRESA</v>
      </c>
      <c r="C6" s="15">
        <f>VLOOKUP(TblCarteiraAcoes[[#This Row],[Ativo]], 'Tabela Ativos'!$B$4:$D$500, 3, FALSE)</f>
        <v>12.08</v>
      </c>
      <c r="D6" s="16">
        <f ca="1">SUMIFS(TblAportes[Total], TblAportes[Ativo],TblCarteiraAcoes[[#This Row],[Ativo]], TblAportes[Data], "&lt;="&amp;IF($K$2 = "", TODAY(), $K$2))</f>
        <v>4114</v>
      </c>
      <c r="E6" s="2">
        <f ca="1">SUMIFS(TblAportes[Quantidade], TblAportes[Ativo],TblCarteiraAcoes[[#This Row],[Ativo]], TblAportes[Data], "&lt;="&amp;IF($K$2 = "", TODAY(), $K$2))</f>
        <v>200</v>
      </c>
      <c r="F6" s="16">
        <f ca="1">(TblCarteiraAcoes[[#This Row],[Total Aportado]] / TblCarteiraAcoes[[#This Row],[Total Quantidade]])</f>
        <v>20.57</v>
      </c>
      <c r="G6" s="16">
        <f ca="1">(TblCarteiraAcoes[[#This Row],[Total Quantidade]] * TblCarteiraAcoes[[#This Row],[Cotação]])</f>
        <v>2416</v>
      </c>
      <c r="H6" s="17">
        <f ca="1">(TblCarteiraAcoes[[#This Row],[Total Atual]] - TblCarteiraAcoes[[#This Row],[Total Aportado]])</f>
        <v>-1698</v>
      </c>
      <c r="I6" s="18">
        <f ca="1">(TblCarteiraAcoes[[#This Row],[Total Atual]] / TblCarteiraAcoes[[#This Row],[Total Aportado]]) -1</f>
        <v>-0.41273699562469612</v>
      </c>
    </row>
    <row r="7" spans="1:11" ht="15.6" x14ac:dyDescent="0.25">
      <c r="A7" s="14" t="s">
        <v>20</v>
      </c>
      <c r="D7" s="16">
        <f ca="1">SUBTOTAL(109,TblCarteiraAcoes[Total Aportado])</f>
        <v>34069</v>
      </c>
      <c r="F7" s="15"/>
      <c r="G7" s="16">
        <f ca="1">SUBTOTAL(109,TblCarteiraAcoes[Total Atual])</f>
        <v>24368</v>
      </c>
      <c r="H7" s="17">
        <f ca="1">SUBTOTAL(109,TblCarteiraAcoes[Valorização])</f>
        <v>-9701</v>
      </c>
    </row>
  </sheetData>
  <conditionalFormatting sqref="I2:I6">
    <cfRule type="cellIs" dxfId="26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workbookViewId="0"/>
  </sheetViews>
  <sheetFormatPr defaultRowHeight="15" x14ac:dyDescent="0.25"/>
  <cols>
    <col min="1" max="1" width="16.1796875" customWidth="1"/>
    <col min="2" max="2" width="21.1796875" customWidth="1"/>
    <col min="3" max="3" width="5.453125" customWidth="1"/>
    <col min="4" max="5" width="14.54296875" customWidth="1"/>
    <col min="6" max="6" width="14.6328125" customWidth="1"/>
    <col min="7" max="7" width="23.1796875" customWidth="1"/>
    <col min="8" max="8" width="15.36328125" customWidth="1"/>
    <col min="9" max="9" width="15.90625" customWidth="1"/>
  </cols>
  <sheetData>
    <row r="2" spans="1:10" x14ac:dyDescent="0.25">
      <c r="A2" s="33" t="s">
        <v>60</v>
      </c>
      <c r="B2" s="34"/>
      <c r="D2" s="39" t="s">
        <v>67</v>
      </c>
      <c r="E2" s="40"/>
      <c r="F2" s="40"/>
      <c r="G2" s="40"/>
      <c r="H2" s="41"/>
    </row>
    <row r="3" spans="1:10" x14ac:dyDescent="0.25">
      <c r="A3" s="35">
        <v>1</v>
      </c>
      <c r="B3" s="36" t="s">
        <v>64</v>
      </c>
      <c r="D3" s="42"/>
      <c r="E3" s="43"/>
      <c r="F3" s="44">
        <v>1</v>
      </c>
      <c r="G3" s="44">
        <v>2</v>
      </c>
      <c r="H3" s="45">
        <v>3</v>
      </c>
    </row>
    <row r="4" spans="1:10" x14ac:dyDescent="0.25">
      <c r="A4" s="35">
        <v>2</v>
      </c>
      <c r="B4" s="36" t="s">
        <v>65</v>
      </c>
      <c r="D4" s="46"/>
      <c r="E4" s="47"/>
      <c r="F4" s="48" t="s">
        <v>64</v>
      </c>
      <c r="G4" s="48" t="s">
        <v>65</v>
      </c>
      <c r="H4" s="49" t="s">
        <v>66</v>
      </c>
    </row>
    <row r="5" spans="1:10" x14ac:dyDescent="0.25">
      <c r="A5" s="37">
        <v>3</v>
      </c>
      <c r="B5" s="38" t="s">
        <v>66</v>
      </c>
      <c r="D5" s="50">
        <v>1</v>
      </c>
      <c r="E5" s="51" t="s">
        <v>50</v>
      </c>
      <c r="F5" s="52">
        <f ca="1">SUMIF(TblCarteira[Tipo], "EMPRESA", TblCarteira[Total Aportado])</f>
        <v>34069</v>
      </c>
      <c r="G5" s="52">
        <f ca="1">SUMIF(TblCarteira[Tipo], "FUNDOS INVESTIMENTO IMOBILIARIO", TblCarteira[Total Aportado])</f>
        <v>1984</v>
      </c>
      <c r="H5" s="53">
        <f ca="1">SUM(TblCarteira[Total Aportado])</f>
        <v>36053</v>
      </c>
    </row>
    <row r="6" spans="1:10" x14ac:dyDescent="0.25">
      <c r="D6" s="50">
        <v>2</v>
      </c>
      <c r="E6" s="51" t="s">
        <v>57</v>
      </c>
      <c r="F6" s="52">
        <f ca="1">SUMIF(TblCarteira[Tipo], "EMPRESA", TblCarteira[Total Atual])</f>
        <v>24368</v>
      </c>
      <c r="G6" s="52">
        <f ca="1">SUMIF(TblCarteira[Tipo], "FUNDOS INVESTIMENTO IMOBILIARIO", TblCarteira[Total Atual])</f>
        <v>10372.050000000001</v>
      </c>
      <c r="H6" s="53">
        <f ca="1">SUM(TblCarteira[Total Atual])</f>
        <v>34740.050000000003</v>
      </c>
    </row>
    <row r="7" spans="1:10" x14ac:dyDescent="0.25">
      <c r="A7" s="39" t="s">
        <v>61</v>
      </c>
      <c r="B7" s="41"/>
      <c r="D7" s="50">
        <v>3</v>
      </c>
      <c r="E7" s="51" t="s">
        <v>53</v>
      </c>
      <c r="F7" s="52">
        <f ca="1">SUMIF(TblCarteira[Tipo], "EMPRESA", TblCarteira[Valorização])</f>
        <v>-9701</v>
      </c>
      <c r="G7" s="52">
        <f ca="1">SUMIF(TblCarteira[Tipo], "FUNDOS INVESTIMENTO IMOBILIARIO", TblCarteira[Valorização])</f>
        <v>8388.0499999999993</v>
      </c>
      <c r="H7" s="53">
        <f ca="1">SUM(TblCarteira[Valorização])</f>
        <v>-1312.9500000000003</v>
      </c>
    </row>
    <row r="8" spans="1:10" x14ac:dyDescent="0.25">
      <c r="A8" s="46" t="s">
        <v>62</v>
      </c>
      <c r="B8" s="49">
        <v>3</v>
      </c>
      <c r="D8" s="54">
        <v>4</v>
      </c>
      <c r="E8" s="55" t="s">
        <v>54</v>
      </c>
      <c r="F8" s="56">
        <f ca="1">(H6 / F5) - 1</f>
        <v>1.969679180486672E-2</v>
      </c>
      <c r="G8" s="56">
        <f ca="1">(G6 / G5) - 1</f>
        <v>4.2278477822580651</v>
      </c>
      <c r="H8" s="57">
        <f ca="1">(H6 / H5) - 1</f>
        <v>-3.6417219094111331E-2</v>
      </c>
    </row>
    <row r="9" spans="1:10" x14ac:dyDescent="0.25">
      <c r="A9" s="58" t="s">
        <v>63</v>
      </c>
      <c r="B9" s="59">
        <f>Dashboard!E1</f>
        <v>10000</v>
      </c>
    </row>
    <row r="10" spans="1:10" x14ac:dyDescent="0.25">
      <c r="D10" s="39" t="s">
        <v>71</v>
      </c>
      <c r="E10" s="40"/>
      <c r="F10" s="41"/>
    </row>
    <row r="11" spans="1:10" x14ac:dyDescent="0.25">
      <c r="A11" s="39" t="s">
        <v>70</v>
      </c>
      <c r="B11" s="41"/>
      <c r="D11" s="46" t="s">
        <v>64</v>
      </c>
      <c r="E11" s="52">
        <f ca="1">F6</f>
        <v>24368</v>
      </c>
      <c r="F11" s="62"/>
    </row>
    <row r="12" spans="1:10" x14ac:dyDescent="0.25">
      <c r="A12" s="60" t="s">
        <v>50</v>
      </c>
      <c r="B12" s="53">
        <f ca="1">INDEX($F$5:$H$8, D5, $B$8)</f>
        <v>36053</v>
      </c>
      <c r="D12" s="46" t="s">
        <v>72</v>
      </c>
      <c r="E12" s="52">
        <f>B9</f>
        <v>10000</v>
      </c>
      <c r="F12" s="62"/>
    </row>
    <row r="13" spans="1:10" x14ac:dyDescent="0.25">
      <c r="A13" s="60" t="s">
        <v>57</v>
      </c>
      <c r="B13" s="53">
        <f t="shared" ref="B13:B15" ca="1" si="0">INDEX($F$5:$H$8, D6, $B$8)</f>
        <v>34740.050000000003</v>
      </c>
      <c r="D13" s="58" t="s">
        <v>68</v>
      </c>
      <c r="E13" s="63">
        <f ca="1">G6</f>
        <v>10372.050000000001</v>
      </c>
      <c r="F13" s="64"/>
    </row>
    <row r="14" spans="1:10" x14ac:dyDescent="0.25">
      <c r="A14" s="60" t="s">
        <v>53</v>
      </c>
      <c r="B14" s="53">
        <f t="shared" ca="1" si="0"/>
        <v>-1312.9500000000003</v>
      </c>
    </row>
    <row r="15" spans="1:10" ht="15.6" thickBot="1" x14ac:dyDescent="0.3">
      <c r="A15" s="61" t="s">
        <v>54</v>
      </c>
      <c r="B15" s="57">
        <f t="shared" ca="1" si="0"/>
        <v>-3.6417219094111331E-2</v>
      </c>
    </row>
    <row r="16" spans="1:10" ht="15.6" thickTop="1" x14ac:dyDescent="0.25">
      <c r="D16" s="65" t="s">
        <v>74</v>
      </c>
      <c r="E16" s="66"/>
      <c r="F16" s="67"/>
      <c r="G16" s="40" t="s">
        <v>77</v>
      </c>
      <c r="H16" s="40"/>
      <c r="I16" s="40"/>
      <c r="J16" s="41"/>
    </row>
    <row r="17" spans="1:10" x14ac:dyDescent="0.25">
      <c r="A17" s="11"/>
      <c r="D17" s="68" t="s">
        <v>73</v>
      </c>
      <c r="E17" s="48" t="s">
        <v>75</v>
      </c>
      <c r="F17" s="69" t="s">
        <v>76</v>
      </c>
      <c r="G17" s="48" t="s">
        <v>73</v>
      </c>
      <c r="H17" s="48" t="s">
        <v>16</v>
      </c>
      <c r="I17" s="48" t="s">
        <v>76</v>
      </c>
      <c r="J17" s="49" t="s">
        <v>78</v>
      </c>
    </row>
    <row r="18" spans="1:10" x14ac:dyDescent="0.25">
      <c r="A18" s="11"/>
      <c r="D18" s="68">
        <v>10</v>
      </c>
      <c r="E18" s="47" t="str">
        <f ca="1">IF($B$8 = 3, H18, IF($B$8 = 2, H44, H31))</f>
        <v xml:space="preserve"> - </v>
      </c>
      <c r="F18" s="75">
        <f ca="1">IF($B$8 = 3, I18, IF($B$8 = 2, I44, I31))</f>
        <v>0</v>
      </c>
      <c r="G18" s="48">
        <v>10</v>
      </c>
      <c r="H18" s="74" t="str">
        <f ca="1">IF(ISNA(INDEX(TblCarteira[Ativo], J18, 1)), " - ", INDEX(TblCarteira[Ativo], J18, 1))</f>
        <v xml:space="preserve"> - </v>
      </c>
      <c r="I18" s="52">
        <f ca="1">IF(ISNUMBER(LARGE(TblCarteira[Total Atual], G18)), LARGE(TblCarteira[Total Atual], G18), 0)</f>
        <v>0</v>
      </c>
      <c r="J18" s="49" t="e">
        <f ca="1">MATCH(I18, TblCarteira[Total Atual], 0)</f>
        <v>#N/A</v>
      </c>
    </row>
    <row r="19" spans="1:10" x14ac:dyDescent="0.25">
      <c r="D19" s="68">
        <v>9</v>
      </c>
      <c r="E19" s="47" t="str">
        <f t="shared" ref="E19:E27" ca="1" si="1">IF($B$8 = 3, H19, IF($B$8 = 2, H45, H32))</f>
        <v>HGBS11</v>
      </c>
      <c r="F19" s="75">
        <f t="shared" ref="F19:F27" ca="1" si="2">IF($B$8 = 3, I19, IF($B$8 = 2, I45, I32))</f>
        <v>2003.4900000000002</v>
      </c>
      <c r="G19" s="48">
        <v>9</v>
      </c>
      <c r="H19" s="74" t="str">
        <f ca="1">INDEX(TblCarteira[Ativo], J19, 1)</f>
        <v>HGBS11</v>
      </c>
      <c r="I19" s="52">
        <f ca="1">IF(ISNUMBER(LARGE(TblCarteira[Total Atual], G19)), LARGE(TblCarteira[Total Atual], G19), 0)</f>
        <v>2003.4900000000002</v>
      </c>
      <c r="J19" s="49">
        <f ca="1">MATCH(I19, TblCarteira[Total Atual], 0)</f>
        <v>5</v>
      </c>
    </row>
    <row r="20" spans="1:10" x14ac:dyDescent="0.25">
      <c r="D20" s="68">
        <v>8</v>
      </c>
      <c r="E20" s="47" t="str">
        <f t="shared" ca="1" si="1"/>
        <v>TAEE4</v>
      </c>
      <c r="F20" s="75">
        <f t="shared" ca="1" si="2"/>
        <v>2416</v>
      </c>
      <c r="G20" s="48">
        <v>8</v>
      </c>
      <c r="H20" s="74" t="str">
        <f ca="1">INDEX(TblCarteira[Ativo], J20, 1)</f>
        <v>TAEE4</v>
      </c>
      <c r="I20" s="52">
        <f ca="1">IF(ISNUMBER(LARGE(TblCarteira[Total Atual], G20)), LARGE(TblCarteira[Total Atual], G20), 0)</f>
        <v>2416</v>
      </c>
      <c r="J20" s="49">
        <f ca="1">MATCH(I20, TblCarteira[Total Atual], 0)</f>
        <v>9</v>
      </c>
    </row>
    <row r="21" spans="1:10" x14ac:dyDescent="0.25">
      <c r="D21" s="68">
        <v>7</v>
      </c>
      <c r="E21" s="47" t="str">
        <f t="shared" ca="1" si="1"/>
        <v>HGRE11</v>
      </c>
      <c r="F21" s="75">
        <f t="shared" ca="1" si="2"/>
        <v>2688.6899999999996</v>
      </c>
      <c r="G21" s="48">
        <v>7</v>
      </c>
      <c r="H21" s="74" t="str">
        <f ca="1">INDEX(TblCarteira[Ativo], J21, 1)</f>
        <v>HGRE11</v>
      </c>
      <c r="I21" s="52">
        <f ca="1">IF(ISNUMBER(LARGE(TblCarteira[Total Atual], G21)), LARGE(TblCarteira[Total Atual], G21), 0)</f>
        <v>2688.6899999999996</v>
      </c>
      <c r="J21" s="49">
        <f ca="1">MATCH(I21, TblCarteira[Total Atual], 0)</f>
        <v>7</v>
      </c>
    </row>
    <row r="22" spans="1:10" x14ac:dyDescent="0.25">
      <c r="D22" s="68">
        <v>6</v>
      </c>
      <c r="E22" s="47" t="str">
        <f t="shared" ca="1" si="1"/>
        <v>HGLG11</v>
      </c>
      <c r="F22" s="75">
        <f t="shared" ca="1" si="2"/>
        <v>2782.05</v>
      </c>
      <c r="G22" s="48">
        <v>6</v>
      </c>
      <c r="H22" s="74" t="str">
        <f ca="1">INDEX(TblCarteira[Ativo], J22, 1)</f>
        <v>HGLG11</v>
      </c>
      <c r="I22" s="52">
        <f ca="1">IF(ISNUMBER(LARGE(TblCarteira[Total Atual], G22)), LARGE(TblCarteira[Total Atual], G22), 0)</f>
        <v>2782.05</v>
      </c>
      <c r="J22" s="49">
        <f ca="1">MATCH(I22, TblCarteira[Total Atual], 0)</f>
        <v>6</v>
      </c>
    </row>
    <row r="23" spans="1:10" x14ac:dyDescent="0.25">
      <c r="D23" s="68">
        <v>5</v>
      </c>
      <c r="E23" s="47" t="str">
        <f t="shared" ca="1" si="1"/>
        <v>KNRI11</v>
      </c>
      <c r="F23" s="75">
        <f t="shared" ca="1" si="2"/>
        <v>2897.82</v>
      </c>
      <c r="G23" s="48">
        <v>5</v>
      </c>
      <c r="H23" s="74" t="str">
        <f ca="1">INDEX(TblCarteira[Ativo], J23, 1)</f>
        <v>KNRI11</v>
      </c>
      <c r="I23" s="52">
        <f ca="1">IF(ISNUMBER(LARGE(TblCarteira[Total Atual], G23)), LARGE(TblCarteira[Total Atual], G23), 0)</f>
        <v>2897.82</v>
      </c>
      <c r="J23" s="49">
        <f ca="1">MATCH(I23, TblCarteira[Total Atual], 0)</f>
        <v>8</v>
      </c>
    </row>
    <row r="24" spans="1:10" x14ac:dyDescent="0.25">
      <c r="D24" s="68">
        <v>4</v>
      </c>
      <c r="E24" s="47" t="str">
        <f t="shared" ca="1" si="1"/>
        <v>ITSA4</v>
      </c>
      <c r="F24" s="75">
        <f t="shared" ca="1" si="2"/>
        <v>2904</v>
      </c>
      <c r="G24" s="48">
        <v>4</v>
      </c>
      <c r="H24" s="74" t="str">
        <f ca="1">INDEX(TblCarteira[Ativo], J24, 1)</f>
        <v>ITSA4</v>
      </c>
      <c r="I24" s="52">
        <f ca="1">IF(ISNUMBER(LARGE(TblCarteira[Total Atual], G24)), LARGE(TblCarteira[Total Atual], G24), 0)</f>
        <v>2904</v>
      </c>
      <c r="J24" s="49">
        <f ca="1">MATCH(I24, TblCarteira[Total Atual], 0)</f>
        <v>3</v>
      </c>
    </row>
    <row r="25" spans="1:10" x14ac:dyDescent="0.25">
      <c r="D25" s="68">
        <v>3</v>
      </c>
      <c r="E25" s="47" t="str">
        <f t="shared" ca="1" si="1"/>
        <v>FLRY3</v>
      </c>
      <c r="F25" s="75">
        <f t="shared" ca="1" si="2"/>
        <v>3164</v>
      </c>
      <c r="G25" s="48">
        <v>3</v>
      </c>
      <c r="H25" s="74" t="str">
        <f ca="1">INDEX(TblCarteira[Ativo], J25, 1)</f>
        <v>FLRY3</v>
      </c>
      <c r="I25" s="52">
        <f ca="1">IF(ISNUMBER(LARGE(TblCarteira[Total Atual], G25)), LARGE(TblCarteira[Total Atual], G25), 0)</f>
        <v>3164</v>
      </c>
      <c r="J25" s="49">
        <f ca="1">MATCH(I25, TblCarteira[Total Atual], 0)</f>
        <v>2</v>
      </c>
    </row>
    <row r="26" spans="1:10" x14ac:dyDescent="0.25">
      <c r="D26" s="68">
        <v>2</v>
      </c>
      <c r="E26" s="47" t="str">
        <f t="shared" ca="1" si="1"/>
        <v>CSNA3</v>
      </c>
      <c r="F26" s="75">
        <f t="shared" ca="1" si="2"/>
        <v>4128</v>
      </c>
      <c r="G26" s="48">
        <v>2</v>
      </c>
      <c r="H26" s="74" t="str">
        <f ca="1">INDEX(TblCarteira[Ativo], J26, 1)</f>
        <v>CSNA3</v>
      </c>
      <c r="I26" s="52">
        <f ca="1">IF(ISNUMBER(LARGE(TblCarteira[Total Atual], G26)), LARGE(TblCarteira[Total Atual], G26), 0)</f>
        <v>4128</v>
      </c>
      <c r="J26" s="49">
        <f ca="1">MATCH(I26, TblCarteira[Total Atual], 0)</f>
        <v>1</v>
      </c>
    </row>
    <row r="27" spans="1:10" ht="15.6" thickBot="1" x14ac:dyDescent="0.3">
      <c r="D27" s="70">
        <v>1</v>
      </c>
      <c r="E27" s="71" t="str">
        <f t="shared" ca="1" si="1"/>
        <v>PETR4</v>
      </c>
      <c r="F27" s="76">
        <f t="shared" ca="1" si="2"/>
        <v>11756</v>
      </c>
      <c r="G27" s="72">
        <v>1</v>
      </c>
      <c r="H27" s="74" t="str">
        <f ca="1">INDEX(TblCarteira[Ativo], J27, 1)</f>
        <v>PETR4</v>
      </c>
      <c r="I27" s="63">
        <f ca="1">IF(ISNUMBER(LARGE(TblCarteira[Total Atual], G27)), LARGE(TblCarteira[Total Atual], G27), 0)</f>
        <v>11756</v>
      </c>
      <c r="J27" s="73">
        <f ca="1">MATCH(I27, TblCarteira[Total Atual], 0)</f>
        <v>4</v>
      </c>
    </row>
    <row r="28" spans="1:10" ht="15.6" thickTop="1" x14ac:dyDescent="0.25"/>
    <row r="29" spans="1:10" x14ac:dyDescent="0.25">
      <c r="G29" s="40" t="s">
        <v>79</v>
      </c>
      <c r="H29" s="40"/>
      <c r="I29" s="40"/>
      <c r="J29" s="41"/>
    </row>
    <row r="30" spans="1:10" x14ac:dyDescent="0.25">
      <c r="G30" s="48" t="s">
        <v>73</v>
      </c>
      <c r="H30" s="48" t="s">
        <v>16</v>
      </c>
      <c r="I30" s="48" t="s">
        <v>76</v>
      </c>
      <c r="J30" s="49" t="s">
        <v>78</v>
      </c>
    </row>
    <row r="31" spans="1:10" x14ac:dyDescent="0.25">
      <c r="G31" s="48">
        <v>10</v>
      </c>
      <c r="H31" s="74" t="str">
        <f ca="1">IF(ISNA(INDEX(TblCarteiraAcoes[Ativo], J31, 1)), " - ", INDEX(TblCarteiraAcoes[Ativo], J31, 1))</f>
        <v xml:space="preserve"> - </v>
      </c>
      <c r="I31" s="52">
        <f ca="1">IF(ISNUMBER(LARGE(TblCarteiraAcoes[Total Atual], G31)), LARGE(TblCarteiraAcoes[Total Atual], G31), 0)</f>
        <v>0</v>
      </c>
      <c r="J31" s="49" t="e">
        <f ca="1">MATCH(I31, TblCarteiraAcoes[Total Atual], 0)</f>
        <v>#N/A</v>
      </c>
    </row>
    <row r="32" spans="1:10" x14ac:dyDescent="0.25">
      <c r="G32" s="48">
        <v>9</v>
      </c>
      <c r="H32" s="74" t="str">
        <f ca="1">IF(ISNA(INDEX(TblCarteiraAcoes[Ativo], J32, 1)), " - ", INDEX(TblCarteiraAcoes[Ativo], J32, 1))</f>
        <v xml:space="preserve"> - </v>
      </c>
      <c r="I32" s="52">
        <f ca="1">IF(ISNUMBER(LARGE(TblCarteiraAcoes[Total Atual], G32)), LARGE(TblCarteiraAcoes[Total Atual], G32), 0)</f>
        <v>0</v>
      </c>
      <c r="J32" s="49" t="e">
        <f ca="1">MATCH(I32, TblCarteiraAcoes[Total Atual], 0)</f>
        <v>#N/A</v>
      </c>
    </row>
    <row r="33" spans="7:10" x14ac:dyDescent="0.25">
      <c r="G33" s="48">
        <v>8</v>
      </c>
      <c r="H33" s="74" t="str">
        <f ca="1">IF(ISNA(INDEX(TblCarteiraAcoes[Ativo], J33, 1)), " - ", INDEX(TblCarteiraAcoes[Ativo], J33, 1))</f>
        <v xml:space="preserve"> - </v>
      </c>
      <c r="I33" s="52">
        <f ca="1">IF(ISNUMBER(LARGE(TblCarteiraAcoes[Total Atual], G33)), LARGE(TblCarteiraAcoes[Total Atual], G33), 0)</f>
        <v>0</v>
      </c>
      <c r="J33" s="49" t="e">
        <f ca="1">MATCH(I33, TblCarteiraAcoes[Total Atual], 0)</f>
        <v>#N/A</v>
      </c>
    </row>
    <row r="34" spans="7:10" x14ac:dyDescent="0.25">
      <c r="G34" s="48">
        <v>7</v>
      </c>
      <c r="H34" s="74" t="str">
        <f ca="1">IF(ISNA(INDEX(TblCarteiraAcoes[Ativo], J34, 1)), " - ", INDEX(TblCarteiraAcoes[Ativo], J34, 1))</f>
        <v xml:space="preserve"> - </v>
      </c>
      <c r="I34" s="52">
        <f ca="1">IF(ISNUMBER(LARGE(TblCarteiraAcoes[Total Atual], G34)), LARGE(TblCarteiraAcoes[Total Atual], G34), 0)</f>
        <v>0</v>
      </c>
      <c r="J34" s="49" t="e">
        <f ca="1">MATCH(I34, TblCarteiraAcoes[Total Atual], 0)</f>
        <v>#N/A</v>
      </c>
    </row>
    <row r="35" spans="7:10" x14ac:dyDescent="0.25">
      <c r="G35" s="48">
        <v>6</v>
      </c>
      <c r="H35" s="74" t="str">
        <f ca="1">IF(ISNA(INDEX(TblCarteiraAcoes[Ativo], J35, 1)), " - ", INDEX(TblCarteiraAcoes[Ativo], J35, 1))</f>
        <v xml:space="preserve"> - </v>
      </c>
      <c r="I35" s="52">
        <f ca="1">IF(ISNUMBER(LARGE(TblCarteiraAcoes[Total Atual], G35)), LARGE(TblCarteiraAcoes[Total Atual], G35), 0)</f>
        <v>0</v>
      </c>
      <c r="J35" s="49" t="e">
        <f ca="1">MATCH(I35, TblCarteiraAcoes[Total Atual], 0)</f>
        <v>#N/A</v>
      </c>
    </row>
    <row r="36" spans="7:10" x14ac:dyDescent="0.25">
      <c r="G36" s="48">
        <v>5</v>
      </c>
      <c r="H36" s="74" t="str">
        <f ca="1">IF(ISNA(INDEX(TblCarteiraAcoes[Ativo], J36, 1)), " - ", INDEX(TblCarteiraAcoes[Ativo], J36, 1))</f>
        <v>TAEE4</v>
      </c>
      <c r="I36" s="52">
        <f ca="1">IF(ISNUMBER(LARGE(TblCarteiraAcoes[Total Atual], G36)), LARGE(TblCarteiraAcoes[Total Atual], G36), 0)</f>
        <v>2416</v>
      </c>
      <c r="J36" s="49">
        <f ca="1">MATCH(I36, TblCarteiraAcoes[Total Atual], 0)</f>
        <v>5</v>
      </c>
    </row>
    <row r="37" spans="7:10" x14ac:dyDescent="0.25">
      <c r="G37" s="48">
        <v>4</v>
      </c>
      <c r="H37" s="74" t="str">
        <f ca="1">IF(ISNA(INDEX(TblCarteiraAcoes[Ativo], J37, 1)), " - ", INDEX(TblCarteiraAcoes[Ativo], J37, 1))</f>
        <v>ITSA4</v>
      </c>
      <c r="I37" s="52">
        <f ca="1">IF(ISNUMBER(LARGE(TblCarteiraAcoes[Total Atual], G37)), LARGE(TblCarteiraAcoes[Total Atual], G37), 0)</f>
        <v>2904</v>
      </c>
      <c r="J37" s="49">
        <f ca="1">MATCH(I37, TblCarteiraAcoes[Total Atual], 0)</f>
        <v>3</v>
      </c>
    </row>
    <row r="38" spans="7:10" x14ac:dyDescent="0.25">
      <c r="G38" s="48">
        <v>3</v>
      </c>
      <c r="H38" s="74" t="str">
        <f ca="1">IF(ISNA(INDEX(TblCarteiraAcoes[Ativo], J38, 1)), " - ", INDEX(TblCarteiraAcoes[Ativo], J38, 1))</f>
        <v>FLRY3</v>
      </c>
      <c r="I38" s="52">
        <f ca="1">IF(ISNUMBER(LARGE(TblCarteiraAcoes[Total Atual], G38)), LARGE(TblCarteiraAcoes[Total Atual], G38), 0)</f>
        <v>3164</v>
      </c>
      <c r="J38" s="49">
        <f ca="1">MATCH(I38, TblCarteiraAcoes[Total Atual], 0)</f>
        <v>2</v>
      </c>
    </row>
    <row r="39" spans="7:10" x14ac:dyDescent="0.25">
      <c r="G39" s="48">
        <v>2</v>
      </c>
      <c r="H39" s="74" t="str">
        <f ca="1">IF(ISNA(INDEX(TblCarteiraAcoes[Ativo], J39, 1)), " - ", INDEX(TblCarteiraAcoes[Ativo], J39, 1))</f>
        <v>CSNA3</v>
      </c>
      <c r="I39" s="52">
        <f ca="1">IF(ISNUMBER(LARGE(TblCarteiraAcoes[Total Atual], G39)), LARGE(TblCarteiraAcoes[Total Atual], G39), 0)</f>
        <v>4128</v>
      </c>
      <c r="J39" s="49">
        <f ca="1">MATCH(I39, TblCarteiraAcoes[Total Atual], 0)</f>
        <v>1</v>
      </c>
    </row>
    <row r="40" spans="7:10" x14ac:dyDescent="0.25">
      <c r="G40" s="72">
        <v>1</v>
      </c>
      <c r="H40" s="74" t="str">
        <f ca="1">IF(ISNA(INDEX(TblCarteiraAcoes[Ativo], J40, 1)), " - ", INDEX(TblCarteiraAcoes[Ativo], J40, 1))</f>
        <v>PETR4</v>
      </c>
      <c r="I40" s="52">
        <f ca="1">IF(ISNUMBER(LARGE(TblCarteiraAcoes[Total Atual], G40)), LARGE(TblCarteiraAcoes[Total Atual], G40), 0)</f>
        <v>11756</v>
      </c>
      <c r="J40" s="49">
        <f ca="1">MATCH(I40, TblCarteiraAcoes[Total Atual], 0)</f>
        <v>4</v>
      </c>
    </row>
    <row r="42" spans="7:10" x14ac:dyDescent="0.25">
      <c r="G42" s="40" t="s">
        <v>80</v>
      </c>
      <c r="H42" s="40"/>
      <c r="I42" s="40"/>
      <c r="J42" s="41"/>
    </row>
    <row r="43" spans="7:10" x14ac:dyDescent="0.25">
      <c r="G43" s="48" t="s">
        <v>73</v>
      </c>
      <c r="H43" s="48" t="s">
        <v>16</v>
      </c>
      <c r="I43" s="48" t="s">
        <v>76</v>
      </c>
      <c r="J43" s="49" t="s">
        <v>78</v>
      </c>
    </row>
    <row r="44" spans="7:10" x14ac:dyDescent="0.25">
      <c r="G44" s="48">
        <v>10</v>
      </c>
      <c r="H44" s="74" t="str">
        <f ca="1">IF(ISNA(INDEX(TblCarteiraFII[Ativo], J44, 1)), " - ", INDEX(TblCarteiraFII[Ativo], J44, 1))</f>
        <v xml:space="preserve"> - </v>
      </c>
      <c r="I44" s="52">
        <f ca="1">IF(ISNUMBER(LARGE(TblCarteiraFII[Total Atual], G44)), LARGE(TblCarteiraFII[Total Atual], G44), 0)</f>
        <v>0</v>
      </c>
      <c r="J44" s="49" t="e">
        <f ca="1">MATCH(I44, TblCarteiraFII[Total Atual], 0)</f>
        <v>#N/A</v>
      </c>
    </row>
    <row r="45" spans="7:10" x14ac:dyDescent="0.25">
      <c r="G45" s="48">
        <v>9</v>
      </c>
      <c r="H45" s="74" t="str">
        <f ca="1">IF(ISNA(INDEX(TblCarteiraFII[Ativo], J45, 1)), " - ", INDEX(TblCarteiraFII[Ativo], J45, 1))</f>
        <v xml:space="preserve"> - </v>
      </c>
      <c r="I45" s="52">
        <f ca="1">IF(ISNUMBER(LARGE(TblCarteiraFII[Total Atual], G45)), LARGE(TblCarteiraFII[Total Atual], G45), 0)</f>
        <v>0</v>
      </c>
      <c r="J45" s="49" t="e">
        <f ca="1">MATCH(I45, TblCarteiraFII[Total Atual], 0)</f>
        <v>#N/A</v>
      </c>
    </row>
    <row r="46" spans="7:10" x14ac:dyDescent="0.25">
      <c r="G46" s="48">
        <v>8</v>
      </c>
      <c r="H46" s="74" t="str">
        <f ca="1">IF(ISNA(INDEX(TblCarteiraFII[Ativo], J46, 1)), " - ", INDEX(TblCarteiraFII[Ativo], J46, 1))</f>
        <v xml:space="preserve"> - </v>
      </c>
      <c r="I46" s="52">
        <f ca="1">IF(ISNUMBER(LARGE(TblCarteiraFII[Total Atual], G46)), LARGE(TblCarteiraFII[Total Atual], G46), 0)</f>
        <v>0</v>
      </c>
      <c r="J46" s="49" t="e">
        <f ca="1">MATCH(I46, TblCarteiraFII[Total Atual], 0)</f>
        <v>#N/A</v>
      </c>
    </row>
    <row r="47" spans="7:10" x14ac:dyDescent="0.25">
      <c r="G47" s="48">
        <v>7</v>
      </c>
      <c r="H47" s="74" t="str">
        <f ca="1">IF(ISNA(INDEX(TblCarteiraFII[Ativo], J47, 1)), " - ", INDEX(TblCarteiraFII[Ativo], J47, 1))</f>
        <v xml:space="preserve"> - </v>
      </c>
      <c r="I47" s="52">
        <f ca="1">IF(ISNUMBER(LARGE(TblCarteiraFII[Total Atual], G47)), LARGE(TblCarteiraFII[Total Atual], G47), 0)</f>
        <v>0</v>
      </c>
      <c r="J47" s="49" t="e">
        <f ca="1">MATCH(I47, TblCarteiraFII[Total Atual], 0)</f>
        <v>#N/A</v>
      </c>
    </row>
    <row r="48" spans="7:10" x14ac:dyDescent="0.25">
      <c r="G48" s="48">
        <v>6</v>
      </c>
      <c r="H48" s="74" t="str">
        <f ca="1">IF(ISNA(INDEX(TblCarteiraFII[Ativo], J48, 1)), " - ", INDEX(TblCarteiraFII[Ativo], J48, 1))</f>
        <v xml:space="preserve"> - </v>
      </c>
      <c r="I48" s="52">
        <f ca="1">IF(ISNUMBER(LARGE(TblCarteiraFII[Total Atual], G48)), LARGE(TblCarteiraFII[Total Atual], G48), 0)</f>
        <v>0</v>
      </c>
      <c r="J48" s="49" t="e">
        <f ca="1">MATCH(I48, TblCarteiraFII[Total Atual], 0)</f>
        <v>#N/A</v>
      </c>
    </row>
    <row r="49" spans="7:10" x14ac:dyDescent="0.25">
      <c r="G49" s="48">
        <v>5</v>
      </c>
      <c r="H49" s="74" t="str">
        <f ca="1">IF(ISNA(INDEX(TblCarteiraFII[Ativo], J49, 1)), " - ", INDEX(TblCarteiraFII[Ativo], J49, 1))</f>
        <v xml:space="preserve"> - </v>
      </c>
      <c r="I49" s="52">
        <f ca="1">IF(ISNUMBER(LARGE(TblCarteiraFII[Total Atual], G49)), LARGE(TblCarteiraFII[Total Atual], G49), 0)</f>
        <v>0</v>
      </c>
      <c r="J49" s="49" t="e">
        <f ca="1">MATCH(I49, TblCarteiraFII[Total Atual], 0)</f>
        <v>#N/A</v>
      </c>
    </row>
    <row r="50" spans="7:10" x14ac:dyDescent="0.25">
      <c r="G50" s="48">
        <v>4</v>
      </c>
      <c r="H50" s="74" t="str">
        <f ca="1">IF(ISNA(INDEX(TblCarteiraFII[Ativo], J50, 1)), " - ", INDEX(TblCarteiraFII[Ativo], J50, 1))</f>
        <v>HGBS11</v>
      </c>
      <c r="I50" s="52">
        <f ca="1">IF(ISNUMBER(LARGE(TblCarteiraFII[Total Atual], G50)), LARGE(TblCarteiraFII[Total Atual], G50), 0)</f>
        <v>2003.4900000000002</v>
      </c>
      <c r="J50" s="49">
        <f ca="1">MATCH(I50, TblCarteiraFII[Total Atual], 0)</f>
        <v>1</v>
      </c>
    </row>
    <row r="51" spans="7:10" x14ac:dyDescent="0.25">
      <c r="G51" s="48">
        <v>3</v>
      </c>
      <c r="H51" s="74" t="str">
        <f ca="1">IF(ISNA(INDEX(TblCarteiraFII[Ativo], J51, 1)), " - ", INDEX(TblCarteiraFII[Ativo], J51, 1))</f>
        <v>HGRE11</v>
      </c>
      <c r="I51" s="52">
        <f ca="1">IF(ISNUMBER(LARGE(TblCarteiraFII[Total Atual], G51)), LARGE(TblCarteiraFII[Total Atual], G51), 0)</f>
        <v>2688.6899999999996</v>
      </c>
      <c r="J51" s="49">
        <f ca="1">MATCH(I51, TblCarteiraFII[Total Atual], 0)</f>
        <v>3</v>
      </c>
    </row>
    <row r="52" spans="7:10" x14ac:dyDescent="0.25">
      <c r="G52" s="48">
        <v>2</v>
      </c>
      <c r="H52" s="74" t="str">
        <f ca="1">IF(ISNA(INDEX(TblCarteiraFII[Ativo], J52, 1)), " - ", INDEX(TblCarteiraFII[Ativo], J52, 1))</f>
        <v>HGLG11</v>
      </c>
      <c r="I52" s="52">
        <f ca="1">IF(ISNUMBER(LARGE(TblCarteiraFII[Total Atual], G52)), LARGE(TblCarteiraFII[Total Atual], G52), 0)</f>
        <v>2782.05</v>
      </c>
      <c r="J52" s="49">
        <f ca="1">MATCH(I52, TblCarteiraFII[Total Atual], 0)</f>
        <v>2</v>
      </c>
    </row>
    <row r="53" spans="7:10" x14ac:dyDescent="0.25">
      <c r="G53" s="72">
        <v>1</v>
      </c>
      <c r="H53" s="74" t="str">
        <f ca="1">IF(ISNA(INDEX(TblCarteiraFII[Ativo], J53, 1)), " - ", INDEX(TblCarteiraFII[Ativo], J53, 1))</f>
        <v>KNRI11</v>
      </c>
      <c r="I53" s="52">
        <f ca="1">IF(ISNUMBER(LARGE(TblCarteiraFII[Total Atual], G53)), LARGE(TblCarteiraFII[Total Atual], G53), 0)</f>
        <v>2897.82</v>
      </c>
      <c r="J53" s="49">
        <f ca="1">MATCH(I53, TblCarteiraFII[Total Atual], 0)</f>
        <v>4</v>
      </c>
    </row>
  </sheetData>
  <conditionalFormatting sqref="F8">
    <cfRule type="cellIs" dxfId="5" priority="5" operator="lessThan">
      <formula>0</formula>
    </cfRule>
  </conditionalFormatting>
  <conditionalFormatting sqref="G8">
    <cfRule type="cellIs" dxfId="4" priority="4" operator="lessThan">
      <formula>0</formula>
    </cfRule>
  </conditionalFormatting>
  <conditionalFormatting sqref="H8">
    <cfRule type="cellIs" dxfId="3" priority="3" operator="lessThan">
      <formula>0</formula>
    </cfRule>
  </conditionalFormatting>
  <conditionalFormatting sqref="E11:E13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Tabela Ativos</vt:lpstr>
      <vt:lpstr>Tabela Aportes</vt:lpstr>
      <vt:lpstr>Tabela Proventos</vt:lpstr>
      <vt:lpstr>Relatorio Aportes</vt:lpstr>
      <vt:lpstr>Relatorio Proventos</vt:lpstr>
      <vt:lpstr>Relatorio Carteira</vt:lpstr>
      <vt:lpstr>Relatorio Carteira FII</vt:lpstr>
      <vt:lpstr>Relatorio Carteira Ações</vt:lpstr>
      <vt:lpstr>Dashboard Auxiliar</vt:lpstr>
      <vt:lpstr>Dashboard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2023-07-30T18:12:44Z</dcterms:modified>
</cp:coreProperties>
</file>