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75297\Git\Python\ExergyRecoveryEngine\"/>
    </mc:Choice>
  </mc:AlternateContent>
  <xr:revisionPtr revIDLastSave="0" documentId="13_ncr:1_{D73E4712-C5BD-4DCC-86B4-51D21746F55B}" xr6:coauthVersionLast="47" xr6:coauthVersionMax="47" xr10:uidLastSave="{00000000-0000-0000-0000-000000000000}"/>
  <bookViews>
    <workbookView xWindow="-120" yWindow="-120" windowWidth="51840" windowHeight="21120" xr2:uid="{11ED5E4F-FA05-43AC-BF32-17A81EFC4D88}"/>
  </bookViews>
  <sheets>
    <sheet name="Main" sheetId="1" r:id="rId1"/>
  </sheets>
  <definedNames>
    <definedName name="axl">Main!$H$66</definedName>
    <definedName name="cs">Main!$H$59</definedName>
    <definedName name="de">Main!$H$56</definedName>
    <definedName name="diesel">Main!$H$63</definedName>
    <definedName name="ge">Main!$H$57</definedName>
    <definedName name="hf">Main!$H$64</definedName>
    <definedName name="li">Main!$H$60</definedName>
    <definedName name="lin">Main!$H$61</definedName>
    <definedName name="lng">Main!$H$62</definedName>
    <definedName name="orc">Main!$H$65</definedName>
    <definedName name="pem">Main!$H$58</definedName>
    <definedName name="vcc">Main!$H$55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P17" i="1"/>
  <c r="O17" i="1"/>
  <c r="M17" i="1"/>
  <c r="N11" i="1"/>
  <c r="N12" i="1"/>
  <c r="O12" i="1"/>
  <c r="P12" i="1"/>
  <c r="O11" i="1"/>
  <c r="P11" i="1"/>
  <c r="Q29" i="1" l="1"/>
  <c r="K17" i="1" l="1"/>
  <c r="J17" i="1"/>
  <c r="F17" i="1"/>
  <c r="H61" i="1"/>
  <c r="I17" i="1" s="1"/>
  <c r="H17" i="1" s="1"/>
  <c r="L65" i="1"/>
  <c r="H62" i="1" s="1"/>
  <c r="D17" i="1" s="1"/>
  <c r="L17" i="1" l="1"/>
  <c r="C49" i="1"/>
  <c r="C42" i="1"/>
  <c r="C37" i="1"/>
  <c r="C40" i="1" s="1"/>
  <c r="C41" i="1" s="1"/>
  <c r="D5" i="1" s="1"/>
  <c r="D6" i="1" l="1"/>
  <c r="H43" i="1"/>
  <c r="L56" i="1" l="1"/>
  <c r="L57" i="1" s="1"/>
  <c r="L59" i="1" s="1"/>
  <c r="L60" i="1" s="1"/>
  <c r="L66" i="1" s="1"/>
  <c r="L67" i="1" l="1"/>
  <c r="K6" i="1" s="1"/>
  <c r="K5" i="1"/>
  <c r="L46" i="1" l="1"/>
  <c r="L37" i="1"/>
  <c r="L40" i="1" s="1"/>
  <c r="L41" i="1" s="1"/>
  <c r="Q39" i="1"/>
  <c r="Q42" i="1" s="1"/>
  <c r="Q43" i="1" s="1"/>
  <c r="Q44" i="1" s="1"/>
  <c r="H37" i="1"/>
  <c r="H40" i="1" s="1"/>
  <c r="H41" i="1" s="1"/>
  <c r="L24" i="1"/>
  <c r="K7" i="1" l="1"/>
  <c r="K12" i="1" s="1"/>
  <c r="D7" i="1"/>
  <c r="D13" i="1" s="1"/>
  <c r="L47" i="1"/>
  <c r="H6" i="1"/>
  <c r="H7" i="1" s="1"/>
  <c r="I5" i="1"/>
  <c r="L5" i="1" s="1"/>
  <c r="C53" i="1"/>
  <c r="C57" i="1"/>
  <c r="C61" i="1"/>
  <c r="C65" i="1"/>
  <c r="C54" i="1"/>
  <c r="C58" i="1"/>
  <c r="C62" i="1"/>
  <c r="C66" i="1"/>
  <c r="C55" i="1"/>
  <c r="C59" i="1"/>
  <c r="C63" i="1"/>
  <c r="C67" i="1"/>
  <c r="I6" i="1"/>
  <c r="L6" i="1" s="1"/>
  <c r="L7" i="1" s="1"/>
  <c r="C56" i="1"/>
  <c r="C60" i="1"/>
  <c r="C64" i="1"/>
  <c r="C68" i="1"/>
  <c r="J5" i="1"/>
  <c r="L48" i="1"/>
  <c r="L27" i="1"/>
  <c r="L28" i="1" s="1"/>
  <c r="H64" i="1" s="1"/>
  <c r="G17" i="1" s="1"/>
  <c r="H5" i="1"/>
  <c r="Q28" i="1"/>
  <c r="Q27" i="1"/>
  <c r="H24" i="1"/>
  <c r="H27" i="1" s="1"/>
  <c r="H28" i="1" s="1"/>
  <c r="E5" i="1" s="1"/>
  <c r="C24" i="1"/>
  <c r="C27" i="1" s="1"/>
  <c r="C28" i="1" s="1"/>
  <c r="L12" i="1" l="1"/>
  <c r="L11" i="1"/>
  <c r="C5" i="1"/>
  <c r="H63" i="1"/>
  <c r="K13" i="1"/>
  <c r="K11" i="1"/>
  <c r="D12" i="1"/>
  <c r="D11" i="1"/>
  <c r="J6" i="1"/>
  <c r="J7" i="1" s="1"/>
  <c r="H11" i="1"/>
  <c r="H12" i="1"/>
  <c r="I7" i="1"/>
  <c r="F6" i="1"/>
  <c r="G6" i="1"/>
  <c r="G7" i="1" s="1"/>
  <c r="G5" i="1"/>
  <c r="F5" i="1"/>
  <c r="M5" i="1" s="1"/>
  <c r="C91" i="1"/>
  <c r="J12" i="1" l="1"/>
  <c r="J11" i="1"/>
  <c r="F7" i="1"/>
  <c r="F13" i="1" s="1"/>
  <c r="G13" i="1" s="1"/>
  <c r="M6" i="1"/>
  <c r="M7" i="1" s="1"/>
  <c r="E17" i="1"/>
  <c r="C17" i="1"/>
  <c r="J13" i="1"/>
  <c r="G11" i="1"/>
  <c r="G12" i="1"/>
  <c r="I11" i="1"/>
  <c r="I12" i="1"/>
  <c r="H30" i="1"/>
  <c r="H31" i="1" s="1"/>
  <c r="E6" i="1" s="1"/>
  <c r="E7" i="1" s="1"/>
  <c r="C30" i="1"/>
  <c r="C31" i="1" s="1"/>
  <c r="C6" i="1" s="1"/>
  <c r="F11" i="1" l="1"/>
  <c r="E54" i="1" s="1"/>
  <c r="M12" i="1"/>
  <c r="M11" i="1"/>
  <c r="F12" i="1"/>
  <c r="C7" i="1"/>
  <c r="C13" i="1" s="1"/>
  <c r="M13" i="1"/>
  <c r="I13" i="1"/>
  <c r="L13" i="1" s="1"/>
  <c r="H13" i="1"/>
  <c r="E13" i="1"/>
  <c r="E12" i="1"/>
  <c r="E62" i="1"/>
  <c r="E66" i="1"/>
  <c r="E63" i="1"/>
  <c r="E67" i="1"/>
  <c r="E64" i="1"/>
  <c r="E68" i="1"/>
  <c r="E65" i="1"/>
  <c r="E53" i="1"/>
  <c r="E11" i="1"/>
  <c r="E58" i="1" l="1"/>
  <c r="E61" i="1"/>
  <c r="E60" i="1"/>
  <c r="E59" i="1"/>
  <c r="E57" i="1"/>
  <c r="E56" i="1"/>
  <c r="E55" i="1"/>
  <c r="C12" i="1"/>
  <c r="C11" i="1"/>
</calcChain>
</file>

<file path=xl/sharedStrings.xml><?xml version="1.0" encoding="utf-8"?>
<sst xmlns="http://schemas.openxmlformats.org/spreadsheetml/2006/main" count="460" uniqueCount="251">
  <si>
    <t xml:space="preserve">Auxilary diesel </t>
  </si>
  <si>
    <t>LiN Dearman</t>
  </si>
  <si>
    <t>Electric(Li-Ion)</t>
  </si>
  <si>
    <t>Assumptions:</t>
  </si>
  <si>
    <t>(Non road engine)</t>
  </si>
  <si>
    <t>Energy density</t>
  </si>
  <si>
    <t>MJ/kg</t>
  </si>
  <si>
    <t>42.9</t>
  </si>
  <si>
    <t>Energy recovered</t>
  </si>
  <si>
    <t>0.25</t>
  </si>
  <si>
    <t>COP(Aircooled)</t>
  </si>
  <si>
    <t>Effieciency(ICE)</t>
  </si>
  <si>
    <t>Cooling per kg diesel</t>
  </si>
  <si>
    <t>All losses included</t>
  </si>
  <si>
    <t>KWh/kg</t>
  </si>
  <si>
    <t>Auxillary consumption</t>
  </si>
  <si>
    <t>Engine fan, shaft</t>
  </si>
  <si>
    <t>Auxilary diesel engine</t>
  </si>
  <si>
    <t>Alternative driven main engine</t>
  </si>
  <si>
    <t>Austria</t>
  </si>
  <si>
    <t>Belgium</t>
  </si>
  <si>
    <t>Denmark</t>
  </si>
  <si>
    <t>France</t>
  </si>
  <si>
    <t>Germany</t>
  </si>
  <si>
    <t>Hungary</t>
  </si>
  <si>
    <t>Ireland</t>
  </si>
  <si>
    <t>Italy</t>
  </si>
  <si>
    <t>Latvia</t>
  </si>
  <si>
    <t>Luxembourg</t>
  </si>
  <si>
    <t>Netherlands</t>
  </si>
  <si>
    <t>Norway</t>
  </si>
  <si>
    <t>Poland</t>
  </si>
  <si>
    <t>Portugal</t>
  </si>
  <si>
    <t>Slovakia</t>
  </si>
  <si>
    <t>Slovenia</t>
  </si>
  <si>
    <t>Spain</t>
  </si>
  <si>
    <t>Sweden</t>
  </si>
  <si>
    <t>Switzerland</t>
  </si>
  <si>
    <t>UK</t>
  </si>
  <si>
    <t>Diesel price (Ave EU)</t>
  </si>
  <si>
    <t>Cost per unit of Cooling (€/KWh)</t>
  </si>
  <si>
    <t>€/kg</t>
  </si>
  <si>
    <t>kg/L</t>
  </si>
  <si>
    <t>Diesel density</t>
  </si>
  <si>
    <t>€/L</t>
  </si>
  <si>
    <t>(Road engine)</t>
  </si>
  <si>
    <t xml:space="preserve">Alternative main diesel </t>
  </si>
  <si>
    <t>Effieciency(WTW)</t>
  </si>
  <si>
    <t>WTP &amp; PTW(Roundtrip)</t>
  </si>
  <si>
    <t>Effieciency(Elec Motor)</t>
  </si>
  <si>
    <t>Ref https://www.globalpetrolprices.com/diesel_prices/</t>
  </si>
  <si>
    <t>Refrences:</t>
  </si>
  <si>
    <t>Fan, pump ...</t>
  </si>
  <si>
    <t xml:space="preserve">Cooling specific energy (KWh cooling/kg) </t>
  </si>
  <si>
    <t>Spesific energy</t>
  </si>
  <si>
    <t>Cooling per KWh grid</t>
  </si>
  <si>
    <t>KWh cooling/KWh grid</t>
  </si>
  <si>
    <t>Diesel price</t>
  </si>
  <si>
    <t>Grid Elec price(Non household)</t>
  </si>
  <si>
    <t>EU 28 KWh grid price</t>
  </si>
  <si>
    <t>€/KWh</t>
  </si>
  <si>
    <t>Cooling per kg Li-Ion bat'</t>
  </si>
  <si>
    <t>Cooling spesific energy is KWh/1 KWh grid</t>
  </si>
  <si>
    <t>Hydrogen FC</t>
  </si>
  <si>
    <t>https://www.epectec.com/batteries/cell-comparison.html</t>
  </si>
  <si>
    <t>LI-Ion</t>
  </si>
  <si>
    <t>PEM FC</t>
  </si>
  <si>
    <t>https://www.energy.gov/sites/prod/files/2015/11/f27/fcto_fuel_cells_fact_sheet.pdf</t>
  </si>
  <si>
    <t>Cooling per kg H2</t>
  </si>
  <si>
    <t>H2 price (Ave EU)</t>
  </si>
  <si>
    <t>H2 price</t>
  </si>
  <si>
    <t>http://www.h2-suedtirol.com/en/hydrogen/faqs/</t>
  </si>
  <si>
    <t>Effieciency(PEM-FC)</t>
  </si>
  <si>
    <t>No cycle involved</t>
  </si>
  <si>
    <t xml:space="preserve">Cooling per kg </t>
  </si>
  <si>
    <t>Density</t>
  </si>
  <si>
    <t>Nitrogen</t>
  </si>
  <si>
    <t>https://hypertextbook.com/facts/2007/KarenFan.shtml</t>
  </si>
  <si>
    <t>Evap, HX</t>
  </si>
  <si>
    <t>Effieciency</t>
  </si>
  <si>
    <t>Price (Ave EU)</t>
  </si>
  <si>
    <t>Effieciency Evap</t>
  </si>
  <si>
    <t xml:space="preserve">Evap Cooling per kg </t>
  </si>
  <si>
    <t>Expantion work</t>
  </si>
  <si>
    <t>Energy recovered(Evap only)</t>
  </si>
  <si>
    <t>Total cooling(Evap+VCC)</t>
  </si>
  <si>
    <t>COP(Water cooled)</t>
  </si>
  <si>
    <t xml:space="preserve">Hot sink at lower Temp </t>
  </si>
  <si>
    <t xml:space="preserve">Need investigation </t>
  </si>
  <si>
    <t xml:space="preserve">LiN Evaporation </t>
  </si>
  <si>
    <t>Dearman Engine</t>
  </si>
  <si>
    <t>IEE &amp; Evap</t>
  </si>
  <si>
    <t>Diesel cost in european contries (€/L)</t>
  </si>
  <si>
    <t xml:space="preserve">LNG Evaporation </t>
  </si>
  <si>
    <t>MJ/ kg</t>
  </si>
  <si>
    <t xml:space="preserve">LNG as fuel </t>
  </si>
  <si>
    <t>Efficiency</t>
  </si>
  <si>
    <t>Transport</t>
  </si>
  <si>
    <t>Ratio Cold/Power</t>
  </si>
  <si>
    <t xml:space="preserve">Price for Cooling </t>
  </si>
  <si>
    <t>Lifetime(years)</t>
  </si>
  <si>
    <t>Annual operational cost</t>
  </si>
  <si>
    <t>minutes</t>
  </si>
  <si>
    <t>Refill time(min)</t>
  </si>
  <si>
    <t>10s of mintutes to an hour</t>
  </si>
  <si>
    <t>Refrigeration power required at -20C</t>
  </si>
  <si>
    <t>kw</t>
  </si>
  <si>
    <t>Operation time</t>
  </si>
  <si>
    <t>Annaul maintanance cost(€/year/TRU)</t>
  </si>
  <si>
    <t>Annual operational cost (€/year/TRU)</t>
  </si>
  <si>
    <t>Capital cost (€/TRU)</t>
  </si>
  <si>
    <t>Infrastracture cost (€/Lifetime/TRU)</t>
  </si>
  <si>
    <t>Cost of ownership in 5 years(€/Lifetime/TRU)</t>
  </si>
  <si>
    <t>Price of nitrogen (€/kg)</t>
  </si>
  <si>
    <t>Total cost of 5 year (Dearman)(€/5year/TRU)</t>
  </si>
  <si>
    <t>Diesel</t>
  </si>
  <si>
    <t xml:space="preserve"> </t>
  </si>
  <si>
    <t xml:space="preserve">Greenhouse gas emissions(T CO2 Equivalent/5 years/TRU)) </t>
  </si>
  <si>
    <t>R410A</t>
  </si>
  <si>
    <t>hour (6 hour in each day)</t>
  </si>
  <si>
    <t>https://doi-org.tudelft.idm.oclc.org/10.1016/j.trd.2017.07.012</t>
  </si>
  <si>
    <t>CO2 in elec eu</t>
  </si>
  <si>
    <t>kg CO2 eq/kg diesel</t>
  </si>
  <si>
    <t>kg CO2 eq/KWh EU</t>
  </si>
  <si>
    <t>LiN liquifaction efficiency</t>
  </si>
  <si>
    <t>kg CO2 eq/kg LNG</t>
  </si>
  <si>
    <t>CO2 Equivalent</t>
  </si>
  <si>
    <t>Dearman</t>
  </si>
  <si>
    <t>Liquid air on the European Highway</t>
  </si>
  <si>
    <t>General properties</t>
  </si>
  <si>
    <t>Coolpack &amp; Coolprop</t>
  </si>
  <si>
    <t>Assumptions &amp; Calculations:</t>
  </si>
  <si>
    <t>Possible Senarios for Future TRUs</t>
  </si>
  <si>
    <t>LiN price at which Dearman surpases diesel in cost of ownership(5 year period)</t>
  </si>
  <si>
    <t>Ref Europea  commision data sheet, First half of 2017, €cent/kWh</t>
  </si>
  <si>
    <t>Cooling delivered power</t>
  </si>
  <si>
    <t>kW</t>
  </si>
  <si>
    <t>Energy density from evap</t>
  </si>
  <si>
    <t>Energy density from expansion</t>
  </si>
  <si>
    <t>IEA 2018 fuel emission report</t>
  </si>
  <si>
    <t>Li-Ion Battery</t>
  </si>
  <si>
    <t>Cost of ownership in 10 years(€/Lifetime/TRU)</t>
  </si>
  <si>
    <t>Electric (Li-Ion)</t>
  </si>
  <si>
    <t></t>
  </si>
  <si>
    <t>×</t>
  </si>
  <si>
    <t>https://www.pitpointcleanfuels.com/clean-fuels/what-does-lng-filling-up-cost/</t>
  </si>
  <si>
    <t>LNG price</t>
  </si>
  <si>
    <t xml:space="preserve">Auxilary LNG  </t>
  </si>
  <si>
    <t>CNG cost in european contries (€/kg)</t>
  </si>
  <si>
    <t>COUNTRY</t>
  </si>
  <si>
    <t>STATIONS</t>
  </si>
  <si>
    <t>AVERAGE PRICE</t>
  </si>
  <si>
    <t>0.99 €/kg</t>
  </si>
  <si>
    <t>Belarus</t>
  </si>
  <si>
    <t>0.23€/m30.32€/kg (0.55BYN/m3)</t>
  </si>
  <si>
    <t>L-gas : 0.94 €/kg</t>
  </si>
  <si>
    <t>H-gas : 1.07 €/kg</t>
  </si>
  <si>
    <t>Bosnia and Herzegovina</t>
  </si>
  <si>
    <t>Bulgaria</t>
  </si>
  <si>
    <t>0.75 €/kg</t>
  </si>
  <si>
    <t>Croatia</t>
  </si>
  <si>
    <t>1.34 €/kg</t>
  </si>
  <si>
    <t>Czech Republic</t>
  </si>
  <si>
    <t>0.97 €/kg</t>
  </si>
  <si>
    <t>1.6 €/kg</t>
  </si>
  <si>
    <t>Estonia</t>
  </si>
  <si>
    <t>0.86 €/kg</t>
  </si>
  <si>
    <t>biomethane 0.9 €/kg</t>
  </si>
  <si>
    <t>Finland</t>
  </si>
  <si>
    <t>1.34 €/kg(Bio)</t>
  </si>
  <si>
    <t>1.21 €/kg(CNG)</t>
  </si>
  <si>
    <t>1.24 €/kg</t>
  </si>
  <si>
    <t>H-1.08 €/kg </t>
  </si>
  <si>
    <t>L-0.95€/kg</t>
  </si>
  <si>
    <t>Great Britain</t>
  </si>
  <si>
    <t>0.78 €/kg</t>
  </si>
  <si>
    <t>Greece</t>
  </si>
  <si>
    <t>0.889 €/kg</t>
  </si>
  <si>
    <t>1.30 €/kg</t>
  </si>
  <si>
    <t>Iceland</t>
  </si>
  <si>
    <t>1.31 €/kg</t>
  </si>
  <si>
    <t>0.96 €/kg</t>
  </si>
  <si>
    <t>Liechtenstein</t>
  </si>
  <si>
    <t>1.33 €/kg</t>
  </si>
  <si>
    <t>Lithuania</t>
  </si>
  <si>
    <t>0.94 €/m3</t>
  </si>
  <si>
    <t>0.68 €/kg</t>
  </si>
  <si>
    <t>Macedonia</t>
  </si>
  <si>
    <t>0.62 €/kg</t>
  </si>
  <si>
    <t>Moldova</t>
  </si>
  <si>
    <t>0.40 €/kg</t>
  </si>
  <si>
    <t>1.77 €/kg</t>
  </si>
  <si>
    <t>1.13 €/kg</t>
  </si>
  <si>
    <t>CNG - 0.87€/m3</t>
  </si>
  <si>
    <t>LNG-1.08€/kg</t>
  </si>
  <si>
    <t>CNG - 0.92 €/ m3</t>
  </si>
  <si>
    <t>LNG - 1.1€/kg</t>
  </si>
  <si>
    <t>Romania</t>
  </si>
  <si>
    <t>0.94 €/kg</t>
  </si>
  <si>
    <t>Russia</t>
  </si>
  <si>
    <t>0.27 €/m3</t>
  </si>
  <si>
    <t>Serbia</t>
  </si>
  <si>
    <t>0.77 €/kg</t>
  </si>
  <si>
    <t>1.08 €/kg</t>
  </si>
  <si>
    <t>1.1 €/kg</t>
  </si>
  <si>
    <t>1.87 €/kg</t>
  </si>
  <si>
    <t>(18SEK)</t>
  </si>
  <si>
    <t>1.32 €/kg</t>
  </si>
  <si>
    <t>Turkey</t>
  </si>
  <si>
    <t>0.54 €/m3</t>
  </si>
  <si>
    <t>Ukraine</t>
  </si>
  <si>
    <t>0.45 €/m3</t>
  </si>
  <si>
    <t>Cooling per kg LNG</t>
  </si>
  <si>
    <t>Auxilary LNG engine</t>
  </si>
  <si>
    <t xml:space="preserve">LNG Evap+Exp </t>
  </si>
  <si>
    <t>System weight(kg)</t>
  </si>
  <si>
    <t>VCC</t>
  </si>
  <si>
    <t>kg</t>
  </si>
  <si>
    <t>Li-Ion for 24 h</t>
  </si>
  <si>
    <t xml:space="preserve">Diesel engine </t>
  </si>
  <si>
    <t>Gas engine</t>
  </si>
  <si>
    <t>LiN tank for 24 hour</t>
  </si>
  <si>
    <t xml:space="preserve">LNG for 24 hour </t>
  </si>
  <si>
    <t>System weight @ constant 15 KW cooling while moving and 5 while parked</t>
  </si>
  <si>
    <t>Diesel 24 hour</t>
  </si>
  <si>
    <t>H2 for 24 hour</t>
  </si>
  <si>
    <t>PEM FC system</t>
  </si>
  <si>
    <t>Cryogen system</t>
  </si>
  <si>
    <t>LNG price (Ave EU)</t>
  </si>
  <si>
    <t>Hybrid solutions</t>
  </si>
  <si>
    <t xml:space="preserve">Heat recovery </t>
  </si>
  <si>
    <t>ORC</t>
  </si>
  <si>
    <t>Adsorption refrigeration</t>
  </si>
  <si>
    <t>Regenerative axle driven</t>
  </si>
  <si>
    <t>-</t>
  </si>
  <si>
    <t>ORC system weight</t>
  </si>
  <si>
    <t xml:space="preserve">Axle regenerative </t>
  </si>
  <si>
    <t>Cooling limitation</t>
  </si>
  <si>
    <t>10 KW</t>
  </si>
  <si>
    <t xml:space="preserve">15 KW  </t>
  </si>
  <si>
    <t>11KW</t>
  </si>
  <si>
    <t>5KW</t>
  </si>
  <si>
    <t>15Kw</t>
  </si>
  <si>
    <t>Power recovery</t>
  </si>
  <si>
    <t>LNG Evap+Exp</t>
  </si>
  <si>
    <t>PEM-FC</t>
  </si>
  <si>
    <t>LiN Evap</t>
  </si>
  <si>
    <t>LNG Evap</t>
  </si>
  <si>
    <t>LNG Evap+Exp Dearman Hybrid 50%</t>
  </si>
  <si>
    <t>LNG Evap+Exp  Li-Ion Hybrid 50%</t>
  </si>
  <si>
    <t>Possibility of Powertrain+Cooling from single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</si>
</sst>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[$€-2]\ #,##0.00;[Red]\-[$€-2]\ #,##0.00"/>
    <numFmt numFmtId="165" formatCode="0.000"/>
    <numFmt numFmtId="166" formatCode="[$€-2]\ #,##0.00;[Red][$€-2]\ \-#,##0.00"/>
    <numFmt numFmtId="167" formatCode="[$€-2]\ #,##0.000;[Red][$€-2]\ \-#,##0.000"/>
    <numFmt numFmtId="168" formatCode="[$€-2]\ #,##0;[Red]\-[$€-2]\ #,##0"/>
    <numFmt numFmtId="169" formatCode="[$€-2]\ #,##0.0;[Red][$€-2]\ \-#,##0.0"/>
    <numFmt numFmtId="170" formatCode="[$€-2]\ #,##0;[Red][$€-2]\ \-#,##0"/>
    <numFmt numFmtId="171" formatCode="[$€-2]\ #,##0.000;[Red]\-[$€-2]\ #,##0.000"/>
    <numFmt numFmtId="172" formatCode="[$€-2]\ #,##0"/>
  </numFmts>
  <fonts count="20" x14ac:knownFonts="1">
    <font>
      <sz val="11"/>
      <color theme="1"/>
      <name val="Minion Pro"/>
      <family val="2"/>
    </font>
    <font>
      <sz val="11"/>
      <color theme="1"/>
      <name val="Minion Pro"/>
      <family val="2"/>
    </font>
    <font>
      <b/>
      <sz val="11"/>
      <color theme="1"/>
      <name val="Minion Pro"/>
      <family val="1"/>
    </font>
    <font>
      <sz val="10"/>
      <color rgb="FF212529"/>
      <name val="Segoe UI"/>
      <family val="2"/>
    </font>
    <font>
      <b/>
      <i/>
      <sz val="14"/>
      <color theme="1"/>
      <name val="Minion Pro"/>
      <family val="1"/>
    </font>
    <font>
      <sz val="11"/>
      <color rgb="FF9C0006"/>
      <name val="Minion Pro"/>
      <family val="2"/>
    </font>
    <font>
      <sz val="11"/>
      <color rgb="FF9C5700"/>
      <name val="Minion Pro"/>
      <family val="2"/>
    </font>
    <font>
      <sz val="11"/>
      <color rgb="FFFF0000"/>
      <name val="Minion Pro"/>
      <family val="2"/>
    </font>
    <font>
      <u/>
      <sz val="11"/>
      <color theme="10"/>
      <name val="Minion Pro"/>
      <family val="2"/>
    </font>
    <font>
      <b/>
      <sz val="12"/>
      <color theme="1"/>
      <name val="Minion Pro"/>
      <family val="1"/>
    </font>
    <font>
      <b/>
      <sz val="14"/>
      <color theme="1"/>
      <name val="Minion Pro"/>
      <family val="1"/>
    </font>
    <font>
      <b/>
      <sz val="16"/>
      <color theme="4" tint="-0.249977111117893"/>
      <name val="Minion Pro"/>
      <family val="1"/>
    </font>
    <font>
      <sz val="11"/>
      <color theme="2" tint="-0.499984740745262"/>
      <name val="Minion Pro"/>
      <family val="1"/>
    </font>
    <font>
      <b/>
      <sz val="11"/>
      <color theme="2" tint="-0.499984740745262"/>
      <name val="Minion Pro"/>
      <family val="1"/>
    </font>
    <font>
      <u/>
      <sz val="11"/>
      <color theme="2" tint="-0.499984740745262"/>
      <name val="Minion Pro"/>
      <family val="1"/>
    </font>
    <font>
      <b/>
      <sz val="11"/>
      <color rgb="FF9C0006"/>
      <name val="Minion Pro"/>
      <family val="1"/>
    </font>
    <font>
      <b/>
      <sz val="16"/>
      <color theme="1"/>
      <name val="Minion Pro"/>
      <family val="1"/>
    </font>
    <font>
      <b/>
      <sz val="22"/>
      <color theme="1"/>
      <name val="Minion Pro"/>
      <family val="1"/>
    </font>
    <font>
      <b/>
      <u/>
      <sz val="14"/>
      <color theme="1"/>
      <name val="Minion Pro"/>
      <family val="1"/>
    </font>
    <font>
      <b/>
      <sz val="18"/>
      <color theme="1"/>
      <name val="Minion Pro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DEE2E6"/>
      </top>
      <bottom/>
      <diagonal/>
    </border>
    <border>
      <left/>
      <right style="medium">
        <color indexed="64"/>
      </right>
      <top style="medium">
        <color rgb="FFDEE2E6"/>
      </top>
      <bottom/>
      <diagonal/>
    </border>
    <border>
      <left style="medium">
        <color indexed="64"/>
      </left>
      <right/>
      <top style="medium">
        <color rgb="FFDEE2E6"/>
      </top>
      <bottom style="medium">
        <color indexed="64"/>
      </bottom>
      <diagonal/>
    </border>
    <border>
      <left/>
      <right style="medium">
        <color indexed="64"/>
      </right>
      <top style="medium">
        <color rgb="FFDEE2E6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64" fontId="3" fillId="3" borderId="14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64" fontId="3" fillId="3" borderId="1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0" fillId="0" borderId="1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17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2" fontId="0" fillId="0" borderId="1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6" borderId="0" xfId="3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169" fontId="0" fillId="0" borderId="10" xfId="0" applyNumberForma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/>
    </xf>
    <xf numFmtId="0" fontId="14" fillId="0" borderId="19" xfId="4" applyFont="1" applyBorder="1" applyAlignment="1">
      <alignment wrapText="1"/>
    </xf>
    <xf numFmtId="0" fontId="12" fillId="0" borderId="1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168" fontId="0" fillId="0" borderId="19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15" fillId="5" borderId="17" xfId="2" applyFont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1" fontId="0" fillId="0" borderId="11" xfId="0" applyNumberFormat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" fontId="19" fillId="9" borderId="2" xfId="0" applyNumberFormat="1" applyFont="1" applyFill="1" applyBorder="1" applyAlignment="1">
      <alignment horizontal="center" vertical="center"/>
    </xf>
    <xf numFmtId="1" fontId="19" fillId="9" borderId="3" xfId="0" applyNumberFormat="1" applyFont="1" applyFill="1" applyBorder="1" applyAlignment="1">
      <alignment horizontal="center" vertical="center"/>
    </xf>
    <xf numFmtId="1" fontId="19" fillId="9" borderId="4" xfId="0" applyNumberFormat="1" applyFont="1" applyFill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72" fontId="16" fillId="0" borderId="2" xfId="0" applyNumberFormat="1" applyFont="1" applyBorder="1" applyAlignment="1">
      <alignment horizontal="center" vertical="center"/>
    </xf>
    <xf numFmtId="172" fontId="16" fillId="0" borderId="3" xfId="0" applyNumberFormat="1" applyFont="1" applyBorder="1" applyAlignment="1">
      <alignment horizontal="center" vertical="center"/>
    </xf>
    <xf numFmtId="172" fontId="16" fillId="0" borderId="1" xfId="0" applyNumberFormat="1" applyFont="1" applyBorder="1" applyAlignment="1">
      <alignment horizontal="center" vertical="center"/>
    </xf>
    <xf numFmtId="172" fontId="16" fillId="0" borderId="4" xfId="0" applyNumberFormat="1" applyFont="1" applyBorder="1" applyAlignment="1">
      <alignment horizontal="center" vertical="center"/>
    </xf>
    <xf numFmtId="1" fontId="9" fillId="10" borderId="5" xfId="0" applyNumberFormat="1" applyFont="1" applyFill="1" applyBorder="1" applyAlignment="1">
      <alignment horizontal="center" vertical="center"/>
    </xf>
    <xf numFmtId="1" fontId="9" fillId="10" borderId="17" xfId="0" applyNumberFormat="1" applyFont="1" applyFill="1" applyBorder="1" applyAlignment="1">
      <alignment horizontal="center" vertical="center"/>
    </xf>
    <xf numFmtId="1" fontId="10" fillId="10" borderId="18" xfId="0" applyNumberFormat="1" applyFont="1" applyFill="1" applyBorder="1" applyAlignment="1">
      <alignment horizontal="center" vertical="center"/>
    </xf>
    <xf numFmtId="1" fontId="9" fillId="10" borderId="6" xfId="0" applyNumberFormat="1" applyFont="1" applyFill="1" applyBorder="1" applyAlignment="1">
      <alignment horizontal="center" vertical="center"/>
    </xf>
    <xf numFmtId="1" fontId="10" fillId="9" borderId="3" xfId="0" applyNumberFormat="1" applyFont="1" applyFill="1" applyBorder="1" applyAlignment="1">
      <alignment horizontal="center" vertical="center"/>
    </xf>
    <xf numFmtId="1" fontId="10" fillId="11" borderId="3" xfId="0" applyNumberFormat="1" applyFont="1" applyFill="1" applyBorder="1" applyAlignment="1">
      <alignment horizontal="center" vertical="center"/>
    </xf>
    <xf numFmtId="1" fontId="10" fillId="12" borderId="4" xfId="0" applyNumberFormat="1" applyFont="1" applyFill="1" applyBorder="1" applyAlignment="1">
      <alignment horizontal="center" vertical="center"/>
    </xf>
    <xf numFmtId="165" fontId="10" fillId="10" borderId="5" xfId="0" applyNumberFormat="1" applyFont="1" applyFill="1" applyBorder="1" applyAlignment="1">
      <alignment horizontal="center" vertical="center"/>
    </xf>
    <xf numFmtId="165" fontId="10" fillId="10" borderId="17" xfId="0" applyNumberFormat="1" applyFont="1" applyFill="1" applyBorder="1" applyAlignment="1">
      <alignment horizontal="center" vertical="center"/>
    </xf>
    <xf numFmtId="165" fontId="18" fillId="10" borderId="17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65" fontId="10" fillId="10" borderId="18" xfId="0" applyNumberFormat="1" applyFont="1" applyFill="1" applyBorder="1" applyAlignment="1">
      <alignment horizontal="center" vertical="center"/>
    </xf>
    <xf numFmtId="170" fontId="2" fillId="10" borderId="7" xfId="0" applyNumberFormat="1" applyFont="1" applyFill="1" applyBorder="1" applyAlignment="1">
      <alignment horizontal="center" vertical="center"/>
    </xf>
    <xf numFmtId="170" fontId="2" fillId="10" borderId="0" xfId="0" applyNumberFormat="1" applyFont="1" applyFill="1" applyAlignment="1">
      <alignment horizontal="center" vertical="center"/>
    </xf>
    <xf numFmtId="170" fontId="2" fillId="10" borderId="19" xfId="0" applyNumberFormat="1" applyFont="1" applyFill="1" applyBorder="1" applyAlignment="1">
      <alignment horizontal="center" vertical="center"/>
    </xf>
    <xf numFmtId="170" fontId="2" fillId="10" borderId="8" xfId="0" applyNumberFormat="1" applyFont="1" applyFill="1" applyBorder="1" applyAlignment="1">
      <alignment horizontal="center" vertical="center"/>
    </xf>
    <xf numFmtId="165" fontId="10" fillId="10" borderId="6" xfId="0" applyNumberFormat="1" applyFont="1" applyFill="1" applyBorder="1" applyAlignment="1">
      <alignment horizontal="center" vertical="center"/>
    </xf>
    <xf numFmtId="167" fontId="10" fillId="10" borderId="9" xfId="0" applyNumberFormat="1" applyFont="1" applyFill="1" applyBorder="1" applyAlignment="1">
      <alignment horizontal="center" vertical="center"/>
    </xf>
    <xf numFmtId="167" fontId="10" fillId="10" borderId="10" xfId="0" applyNumberFormat="1" applyFont="1" applyFill="1" applyBorder="1" applyAlignment="1">
      <alignment horizontal="center" vertical="center"/>
    </xf>
    <xf numFmtId="165" fontId="10" fillId="10" borderId="12" xfId="0" applyNumberFormat="1" applyFont="1" applyFill="1" applyBorder="1" applyAlignment="1">
      <alignment horizontal="center" vertical="center"/>
    </xf>
    <xf numFmtId="165" fontId="10" fillId="10" borderId="11" xfId="0" applyNumberFormat="1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70" fontId="10" fillId="10" borderId="2" xfId="0" applyNumberFormat="1" applyFont="1" applyFill="1" applyBorder="1" applyAlignment="1">
      <alignment horizontal="center" vertical="center"/>
    </xf>
    <xf numFmtId="170" fontId="10" fillId="10" borderId="3" xfId="0" applyNumberFormat="1" applyFont="1" applyFill="1" applyBorder="1" applyAlignment="1">
      <alignment horizontal="center" vertical="center"/>
    </xf>
    <xf numFmtId="170" fontId="10" fillId="10" borderId="1" xfId="0" applyNumberFormat="1" applyFont="1" applyFill="1" applyBorder="1" applyAlignment="1">
      <alignment horizontal="center" vertical="center"/>
    </xf>
    <xf numFmtId="170" fontId="10" fillId="10" borderId="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5">
    <cellStyle name="Bad" xfId="2" builtinId="27"/>
    <cellStyle name="Hyperlink" xfId="4" builtinId="8"/>
    <cellStyle name="Neutral" xfId="3" builtinId="2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3B0486DB-1498-4F43-9413-C9CE1DE6370E}"/>
  </tableStyles>
  <colors>
    <mruColors>
      <color rgb="FFD04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/>
              <a:t>LiN price Vs. CoO at 5 year for Dearman Vs. Diesel</a:t>
            </a:r>
          </a:p>
        </c:rich>
      </c:tx>
      <c:layout>
        <c:manualLayout>
          <c:xMode val="edge"/>
          <c:yMode val="edge"/>
          <c:x val="0.19850456361964811"/>
          <c:y val="3.0007942484664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91370569056393E-2"/>
          <c:y val="0.14636716837080874"/>
          <c:w val="0.82170525954030305"/>
          <c:h val="0.66788127386247442"/>
        </c:manualLayout>
      </c:layout>
      <c:scatterChart>
        <c:scatterStyle val="smoothMarker"/>
        <c:varyColors val="0"/>
        <c:ser>
          <c:idx val="0"/>
          <c:order val="0"/>
          <c:tx>
            <c:v>Dearman 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Main!$B$53:$B$68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Main!$C$53:$C$68</c:f>
              <c:numCache>
                <c:formatCode>[$€-2]\ #,##0.0;[Red][$€-2]\ \-#,##0.0</c:formatCode>
                <c:ptCount val="16"/>
                <c:pt idx="0">
                  <c:v>35000</c:v>
                </c:pt>
                <c:pt idx="1">
                  <c:v>44222.99431459255</c:v>
                </c:pt>
                <c:pt idx="2">
                  <c:v>53445.988629185093</c:v>
                </c:pt>
                <c:pt idx="3">
                  <c:v>62668.982943777635</c:v>
                </c:pt>
                <c:pt idx="4">
                  <c:v>71891.977258370185</c:v>
                </c:pt>
                <c:pt idx="5">
                  <c:v>81114.971572962735</c:v>
                </c:pt>
                <c:pt idx="6">
                  <c:v>90337.96588755527</c:v>
                </c:pt>
                <c:pt idx="7">
                  <c:v>99560.96020214782</c:v>
                </c:pt>
                <c:pt idx="8">
                  <c:v>108783.95451674037</c:v>
                </c:pt>
                <c:pt idx="9">
                  <c:v>118006.94883133291</c:v>
                </c:pt>
                <c:pt idx="10">
                  <c:v>127229.94314592547</c:v>
                </c:pt>
                <c:pt idx="11">
                  <c:v>136452.93746051801</c:v>
                </c:pt>
                <c:pt idx="12">
                  <c:v>145675.93177511054</c:v>
                </c:pt>
                <c:pt idx="13">
                  <c:v>154898.92608970311</c:v>
                </c:pt>
                <c:pt idx="14">
                  <c:v>164121.92040429564</c:v>
                </c:pt>
                <c:pt idx="15">
                  <c:v>173344.91471888818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7-49F5-A08F-4CD20060B7E5}"/>
            </c:ext>
          </c:extLst>
        </c:ser>
        <c:ser>
          <c:idx val="1"/>
          <c:order val="1"/>
          <c:tx>
            <c:v>Diesel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Main!$B$53:$B$68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Main!$D$53:$D$68</c:f>
              <c:numCache>
                <c:formatCode>[$€-2]\ #,##0;[Red]\-[$€-2]\ #,##0</c:formatCode>
                <c:ptCount val="16"/>
                <c:pt idx="0">
                  <c:v>129232</c:v>
                </c:pt>
                <c:pt idx="1">
                  <c:v>129232</c:v>
                </c:pt>
                <c:pt idx="2">
                  <c:v>129232</c:v>
                </c:pt>
                <c:pt idx="3">
                  <c:v>129232</c:v>
                </c:pt>
                <c:pt idx="4">
                  <c:v>129232</c:v>
                </c:pt>
                <c:pt idx="5">
                  <c:v>129232</c:v>
                </c:pt>
                <c:pt idx="6">
                  <c:v>129232</c:v>
                </c:pt>
                <c:pt idx="7">
                  <c:v>129232</c:v>
                </c:pt>
                <c:pt idx="8">
                  <c:v>129232</c:v>
                </c:pt>
                <c:pt idx="9">
                  <c:v>129232</c:v>
                </c:pt>
                <c:pt idx="10">
                  <c:v>129232</c:v>
                </c:pt>
                <c:pt idx="11">
                  <c:v>129232</c:v>
                </c:pt>
                <c:pt idx="12">
                  <c:v>129232</c:v>
                </c:pt>
                <c:pt idx="13">
                  <c:v>129232</c:v>
                </c:pt>
                <c:pt idx="14">
                  <c:v>129232</c:v>
                </c:pt>
                <c:pt idx="15">
                  <c:v>129232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7-49F5-A08F-4CD20060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85824"/>
        <c:axId val="638686152"/>
      </c:scatterChart>
      <c:valAx>
        <c:axId val="63868582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Cost of liquid</a:t>
                </a:r>
                <a:r>
                  <a:rPr lang="da-DK" baseline="0"/>
                  <a:t> Nitrogen (€ cents/kg)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8686152"/>
        <c:crosses val="autoZero"/>
        <c:crossBetween val="midCat"/>
      </c:valAx>
      <c:valAx>
        <c:axId val="6386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5</a:t>
                </a:r>
                <a:r>
                  <a:rPr lang="da-DK" baseline="0"/>
                  <a:t> year cost of ownership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[$€-2]\ #,##0.0;[Red][$€-2]\ 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86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29128527672191"/>
          <c:y val="0.7040166815033424"/>
          <c:w val="0.21610302033758086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200"/>
              <a:t>LiN price Vs. CoO at 5 year for Dearman Vs. Li-Ion battery</a:t>
            </a:r>
          </a:p>
        </c:rich>
      </c:tx>
      <c:layout>
        <c:manualLayout>
          <c:xMode val="edge"/>
          <c:yMode val="edge"/>
          <c:x val="0.19850456361964811"/>
          <c:y val="3.0007942484664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891370569056393E-2"/>
          <c:y val="0.14636716837080874"/>
          <c:w val="0.82170525954030305"/>
          <c:h val="0.66788127386247442"/>
        </c:manualLayout>
      </c:layout>
      <c:scatterChart>
        <c:scatterStyle val="smoothMarker"/>
        <c:varyColors val="0"/>
        <c:ser>
          <c:idx val="0"/>
          <c:order val="0"/>
          <c:tx>
            <c:v>Dearman engine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Main!$B$53:$B$68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Main!$C$53:$C$68</c:f>
              <c:numCache>
                <c:formatCode>[$€-2]\ #,##0.0;[Red][$€-2]\ \-#,##0.0</c:formatCode>
                <c:ptCount val="16"/>
                <c:pt idx="0">
                  <c:v>35000</c:v>
                </c:pt>
                <c:pt idx="1">
                  <c:v>44222.99431459255</c:v>
                </c:pt>
                <c:pt idx="2">
                  <c:v>53445.988629185093</c:v>
                </c:pt>
                <c:pt idx="3">
                  <c:v>62668.982943777635</c:v>
                </c:pt>
                <c:pt idx="4">
                  <c:v>71891.977258370185</c:v>
                </c:pt>
                <c:pt idx="5">
                  <c:v>81114.971572962735</c:v>
                </c:pt>
                <c:pt idx="6">
                  <c:v>90337.96588755527</c:v>
                </c:pt>
                <c:pt idx="7">
                  <c:v>99560.96020214782</c:v>
                </c:pt>
                <c:pt idx="8">
                  <c:v>108783.95451674037</c:v>
                </c:pt>
                <c:pt idx="9">
                  <c:v>118006.94883133291</c:v>
                </c:pt>
                <c:pt idx="10">
                  <c:v>127229.94314592547</c:v>
                </c:pt>
                <c:pt idx="11">
                  <c:v>136452.93746051801</c:v>
                </c:pt>
                <c:pt idx="12">
                  <c:v>145675.93177511054</c:v>
                </c:pt>
                <c:pt idx="13">
                  <c:v>154898.92608970311</c:v>
                </c:pt>
                <c:pt idx="14">
                  <c:v>164121.92040429564</c:v>
                </c:pt>
                <c:pt idx="15">
                  <c:v>173344.91471888818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C-4108-A878-9F4D055B901B}"/>
            </c:ext>
          </c:extLst>
        </c:ser>
        <c:ser>
          <c:idx val="1"/>
          <c:order val="1"/>
          <c:tx>
            <c:v>Li-Ion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Main!$B$53:$B$68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Main!$E$53:$E$68</c:f>
              <c:numCache>
                <c:formatCode>[$€-2]\ #,##0;[Red]\-[$€-2]\ #,##0</c:formatCode>
                <c:ptCount val="16"/>
                <c:pt idx="0">
                  <c:v>85609.756097560981</c:v>
                </c:pt>
                <c:pt idx="1">
                  <c:v>85609.756097560981</c:v>
                </c:pt>
                <c:pt idx="2">
                  <c:v>85609.756097560981</c:v>
                </c:pt>
                <c:pt idx="3">
                  <c:v>85609.756097560981</c:v>
                </c:pt>
                <c:pt idx="4">
                  <c:v>85609.756097560981</c:v>
                </c:pt>
                <c:pt idx="5">
                  <c:v>85609.756097560981</c:v>
                </c:pt>
                <c:pt idx="6">
                  <c:v>85609.756097560981</c:v>
                </c:pt>
                <c:pt idx="7">
                  <c:v>85609.756097560981</c:v>
                </c:pt>
                <c:pt idx="8">
                  <c:v>85609.756097560981</c:v>
                </c:pt>
                <c:pt idx="9">
                  <c:v>85609.756097560981</c:v>
                </c:pt>
                <c:pt idx="10">
                  <c:v>85609.756097560981</c:v>
                </c:pt>
                <c:pt idx="11">
                  <c:v>85609.756097560981</c:v>
                </c:pt>
                <c:pt idx="12">
                  <c:v>85609.756097560981</c:v>
                </c:pt>
                <c:pt idx="13">
                  <c:v>85609.756097560981</c:v>
                </c:pt>
                <c:pt idx="14">
                  <c:v>85609.756097560981</c:v>
                </c:pt>
                <c:pt idx="15">
                  <c:v>85609.756097560981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C-4108-A878-9F4D055B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85824"/>
        <c:axId val="638686152"/>
      </c:scatterChart>
      <c:valAx>
        <c:axId val="63868582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Cost of liquid</a:t>
                </a:r>
                <a:r>
                  <a:rPr lang="da-DK" baseline="0"/>
                  <a:t> Nitrogen (€ cents/kg)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8686152"/>
        <c:crosses val="autoZero"/>
        <c:crossBetween val="midCat"/>
      </c:valAx>
      <c:valAx>
        <c:axId val="6386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5</a:t>
                </a:r>
                <a:r>
                  <a:rPr lang="da-DK" baseline="0"/>
                  <a:t> year cost of ownership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[$€-2]\ #,##0.0;[Red][$€-2]\ 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86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29128527672191"/>
          <c:y val="0.7040166815033424"/>
          <c:w val="0.21610302033758086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3889</xdr:colOff>
      <xdr:row>49</xdr:row>
      <xdr:rowOff>238664</xdr:rowOff>
    </xdr:from>
    <xdr:to>
      <xdr:col>21</xdr:col>
      <xdr:colOff>332508</xdr:colOff>
      <xdr:row>67</xdr:row>
      <xdr:rowOff>41563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6DB5BD-5968-40D7-A78A-273189AB1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8965</xdr:colOff>
      <xdr:row>68</xdr:row>
      <xdr:rowOff>5603</xdr:rowOff>
    </xdr:from>
    <xdr:to>
      <xdr:col>21</xdr:col>
      <xdr:colOff>346364</xdr:colOff>
      <xdr:row>88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6F744-DE13-41C1-91BC-3CAC19F29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0.57119</cdr:x>
      <cdr:y>0.26731</cdr:y>
    </cdr:from>
    <cdr:to>
      <cdr:x>0.65645</cdr:x>
      <cdr:y>0.36059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1402F4-C8A8-4E7E-AE7A-C0576849B2EB}"/>
            </a:ext>
          </a:extLst>
        </cdr:cNvPr>
        <cdr:cNvCxnSpPr/>
      </cdr:nvCxnSpPr>
      <cdr:spPr>
        <a:xfrm xmlns:a="http://schemas.openxmlformats.org/drawingml/2006/main">
          <a:off x="3663428" y="770680"/>
          <a:ext cx="546847" cy="268941"/>
        </a:xfrm>
        <a:prstGeom xmlns:a="http://schemas.openxmlformats.org/drawingml/2006/main" prst="straightConnector1">
          <a:avLst/>
        </a:prstGeom>
        <a:ln xmlns:a="http://schemas.openxmlformats.org/drawingml/2006/main" w="57150" cap="flat" cmpd="sng" algn="ctr">
          <a:solidFill>
            <a:srgbClr val="FFFF00"/>
          </a:solidFill>
          <a:prstDash val="solid"/>
          <a:round/>
          <a:headEnd type="none" w="med" len="med"/>
          <a:tailEnd type="triangle" w="med" len="med"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0.38823</cdr:x>
      <cdr:y>0.14873</cdr:y>
    </cdr:from>
    <cdr:to>
      <cdr:x>0.57627</cdr:x>
      <cdr:y>0.34423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DCD054C-CA06-4D13-8F8B-1DCA9EBEA67F}"/>
            </a:ext>
          </a:extLst>
        </cdr:cNvPr>
        <cdr:cNvSpPr txBox="1"/>
      </cdr:nvSpPr>
      <cdr:spPr>
        <a:xfrm xmlns:a="http://schemas.openxmlformats.org/drawingml/2006/main">
          <a:off x="2489988" y="428818"/>
          <a:ext cx="1206027" cy="5636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 b="1">
              <a:solidFill>
                <a:srgbClr val="FFFF00"/>
              </a:solidFill>
            </a:rPr>
            <a:t>Dearman </a:t>
          </a:r>
        </a:p>
        <a:p xmlns:a="http://schemas.openxmlformats.org/drawingml/2006/main">
          <a:pPr algn="ctr"/>
          <a:r>
            <a:rPr lang="da-DK" sz="1100" b="1">
              <a:solidFill>
                <a:srgbClr val="FFFF00"/>
              </a:solidFill>
            </a:rPr>
            <a:t>break-even point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0.38997</cdr:x>
      <cdr:y>0.37367</cdr:y>
    </cdr:from>
    <cdr:to>
      <cdr:x>0.43611</cdr:x>
      <cdr:y>0.53792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1402F4-C8A8-4E7E-AE7A-C0576849B2EB}"/>
            </a:ext>
          </a:extLst>
        </cdr:cNvPr>
        <cdr:cNvCxnSpPr/>
      </cdr:nvCxnSpPr>
      <cdr:spPr>
        <a:xfrm xmlns:a="http://schemas.openxmlformats.org/drawingml/2006/main" flipH="1">
          <a:off x="2501153" y="1077332"/>
          <a:ext cx="295918" cy="473562"/>
        </a:xfrm>
        <a:prstGeom xmlns:a="http://schemas.openxmlformats.org/drawingml/2006/main" prst="straightConnector1">
          <a:avLst/>
        </a:prstGeom>
        <a:ln xmlns:a="http://schemas.openxmlformats.org/drawingml/2006/main" w="57150" cap="flat" cmpd="sng" algn="ctr">
          <a:solidFill>
            <a:srgbClr val="FFFF00"/>
          </a:solidFill>
          <a:prstDash val="solid"/>
          <a:round/>
          <a:headEnd type="none" w="med" len="med"/>
          <a:tailEnd type="triangle" w="med" len="med"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0.45113</cdr:x>
      <cdr:y>0.16117</cdr:y>
    </cdr:from>
    <cdr:to>
      <cdr:x>0.63917</cdr:x>
      <cdr:y>0.35667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DCD054C-CA06-4D13-8F8B-1DCA9EBEA67F}"/>
            </a:ext>
          </a:extLst>
        </cdr:cNvPr>
        <cdr:cNvSpPr txBox="1"/>
      </cdr:nvSpPr>
      <cdr:spPr>
        <a:xfrm xmlns:a="http://schemas.openxmlformats.org/drawingml/2006/main">
          <a:off x="2898867" y="433605"/>
          <a:ext cx="1208314" cy="52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a-DK" sz="1100" b="1">
              <a:solidFill>
                <a:srgbClr val="FFFF00"/>
              </a:solidFill>
            </a:rPr>
            <a:t>Dearman </a:t>
          </a:r>
        </a:p>
        <a:p xmlns:a="http://schemas.openxmlformats.org/drawingml/2006/main">
          <a:pPr algn="ctr"/>
          <a:r>
            <a:rPr lang="da-DK" sz="1100" b="1">
              <a:solidFill>
                <a:srgbClr val="FFFF00"/>
              </a:solidFill>
            </a:rPr>
            <a:t>break-even point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2-suedtirol.com/en/hydrogen/faqs/" TargetMode="External"/><Relationship Id="rId2" Type="http://schemas.openxmlformats.org/officeDocument/2006/relationships/hyperlink" Target="https://www.energy.gov/sites/prod/files/2015/11/f27/fcto_fuel_cells_fact_sheet.pdf" TargetMode="External"/><Relationship Id="rId1" Type="http://schemas.openxmlformats.org/officeDocument/2006/relationships/hyperlink" Target="https://www.epectec.com/batteries/cell-comparison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ypertextbook.com/facts/2007/KarenFan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8D6F-87CE-4D12-954A-8B2153DF9C38}">
  <dimension ref="A1:AI121"/>
  <sheetViews>
    <sheetView tabSelected="1" topLeftCell="C24" zoomScale="115" zoomScaleNormal="115" workbookViewId="0">
      <selection activeCell="B13" sqref="B13"/>
    </sheetView>
  </sheetViews>
  <sheetFormatPr defaultColWidth="8.85546875" defaultRowHeight="15.75" x14ac:dyDescent="0.3"/>
  <cols>
    <col min="1" max="1" width="8.85546875" style="56"/>
    <col min="2" max="2" width="25.42578125" style="1" customWidth="1"/>
    <col min="3" max="15" width="14.7109375" style="1" customWidth="1"/>
    <col min="16" max="16" width="16.28515625" style="1" customWidth="1"/>
    <col min="17" max="17" width="44.5703125" style="1" bestFit="1" customWidth="1"/>
    <col min="18" max="18" width="17.7109375" style="1" customWidth="1"/>
    <col min="19" max="20" width="38.140625" style="1" customWidth="1"/>
    <col min="21" max="34" width="10.28515625" style="1" bestFit="1" customWidth="1"/>
    <col min="35" max="35" width="11.42578125" style="1" bestFit="1" customWidth="1"/>
    <col min="36" max="16384" width="8.85546875" style="1"/>
  </cols>
  <sheetData>
    <row r="1" spans="2:19" s="56" customFormat="1" ht="16.5" thickBot="1" x14ac:dyDescent="0.35">
      <c r="Q1" s="1"/>
    </row>
    <row r="2" spans="2:19" s="56" customFormat="1" ht="23.25" thickBot="1" x14ac:dyDescent="0.35">
      <c r="C2" s="144" t="s">
        <v>132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6"/>
      <c r="Q2" s="1"/>
    </row>
    <row r="3" spans="2:19" s="56" customFormat="1" ht="27" customHeight="1" thickBot="1" x14ac:dyDescent="0.35">
      <c r="C3" s="96"/>
      <c r="D3" s="97"/>
      <c r="E3" s="97"/>
      <c r="F3" s="97"/>
      <c r="G3" s="97"/>
      <c r="H3" s="97"/>
      <c r="I3" s="97"/>
      <c r="J3" s="97"/>
      <c r="K3" s="97"/>
      <c r="L3" s="141" t="s">
        <v>229</v>
      </c>
      <c r="M3" s="142"/>
      <c r="N3" s="143" t="s">
        <v>230</v>
      </c>
      <c r="O3" s="142"/>
      <c r="P3" s="128" t="s">
        <v>243</v>
      </c>
      <c r="Q3" s="1"/>
    </row>
    <row r="4" spans="2:19" ht="57.6" customHeight="1" thickBot="1" x14ac:dyDescent="0.35">
      <c r="B4" s="56"/>
      <c r="C4" s="94" t="s">
        <v>17</v>
      </c>
      <c r="D4" s="94" t="s">
        <v>213</v>
      </c>
      <c r="E4" s="94" t="s">
        <v>18</v>
      </c>
      <c r="F4" s="94" t="s">
        <v>142</v>
      </c>
      <c r="G4" s="94" t="s">
        <v>245</v>
      </c>
      <c r="H4" s="94" t="s">
        <v>246</v>
      </c>
      <c r="I4" s="94" t="s">
        <v>1</v>
      </c>
      <c r="J4" s="94" t="s">
        <v>247</v>
      </c>
      <c r="K4" s="94" t="s">
        <v>244</v>
      </c>
      <c r="L4" s="95" t="s">
        <v>248</v>
      </c>
      <c r="M4" s="95" t="s">
        <v>249</v>
      </c>
      <c r="N4" s="95" t="s">
        <v>232</v>
      </c>
      <c r="O4" s="95" t="s">
        <v>231</v>
      </c>
      <c r="P4" s="83" t="s">
        <v>233</v>
      </c>
      <c r="R4" s="59"/>
      <c r="S4" s="60" t="s">
        <v>51</v>
      </c>
    </row>
    <row r="5" spans="2:19" ht="48" thickBot="1" x14ac:dyDescent="0.35">
      <c r="B5" s="66" t="s">
        <v>53</v>
      </c>
      <c r="C5" s="109">
        <f>C28</f>
        <v>2.6216666666666666</v>
      </c>
      <c r="D5" s="110">
        <f>C41</f>
        <v>3.6686222222222233</v>
      </c>
      <c r="E5" s="110">
        <f>H28</f>
        <v>3.4081666666666672</v>
      </c>
      <c r="F5" s="111">
        <f>Q28</f>
        <v>0.55349999999999999</v>
      </c>
      <c r="G5" s="112">
        <f>L28</f>
        <v>20.854166666666668</v>
      </c>
      <c r="H5" s="112">
        <f>H41</f>
        <v>8.7188888888888885E-2</v>
      </c>
      <c r="I5" s="110">
        <f>Q44</f>
        <v>0.17808750000000001</v>
      </c>
      <c r="J5" s="110">
        <f>L41</f>
        <v>0.17142222222222223</v>
      </c>
      <c r="K5" s="110">
        <f>L60</f>
        <v>0.3338222222222223</v>
      </c>
      <c r="L5" s="113">
        <f>K5*0.5+I5*0.5</f>
        <v>0.25595486111111115</v>
      </c>
      <c r="M5" s="118">
        <f>F5*0.5+J5*0.5</f>
        <v>0.36246111111111112</v>
      </c>
      <c r="N5" s="113" t="s">
        <v>234</v>
      </c>
      <c r="O5" s="118"/>
      <c r="P5" s="118" t="s">
        <v>234</v>
      </c>
      <c r="R5" s="61" t="s">
        <v>58</v>
      </c>
      <c r="S5" s="61" t="s">
        <v>134</v>
      </c>
    </row>
    <row r="6" spans="2:19" ht="48" thickBot="1" x14ac:dyDescent="0.35">
      <c r="B6" s="66" t="s">
        <v>40</v>
      </c>
      <c r="C6" s="119">
        <f>C31/C28</f>
        <v>0.60447638026309347</v>
      </c>
      <c r="D6" s="120">
        <f>C42/C41</f>
        <v>0.30801754215933308</v>
      </c>
      <c r="E6" s="120">
        <f>H31/H28</f>
        <v>0.46498183097161028</v>
      </c>
      <c r="F6" s="120">
        <f>Q29/Q28</f>
        <v>0.2168021680216802</v>
      </c>
      <c r="G6" s="120">
        <f>L29/L28</f>
        <v>0.4555444555444555</v>
      </c>
      <c r="H6" s="120">
        <f>H43/H41</f>
        <v>0.9175481075570282</v>
      </c>
      <c r="I6" s="120">
        <f>Q47/Q44</f>
        <v>0.44921737909735382</v>
      </c>
      <c r="J6" s="120">
        <f>L43/L41*L47</f>
        <v>0.22412942321261398</v>
      </c>
      <c r="K6" s="120">
        <f>L67</f>
        <v>8.559442332958786E-2</v>
      </c>
      <c r="L6" s="121">
        <f>K6*0.5+I6*0.5</f>
        <v>0.26740590121347085</v>
      </c>
      <c r="M6" s="122">
        <f>F6*0.5+J6*0.5</f>
        <v>0.22046579561714708</v>
      </c>
      <c r="N6" s="121" t="s">
        <v>234</v>
      </c>
      <c r="O6" s="122"/>
      <c r="P6" s="122" t="s">
        <v>234</v>
      </c>
      <c r="R6" s="62" t="s">
        <v>57</v>
      </c>
      <c r="S6" s="62" t="s">
        <v>50</v>
      </c>
    </row>
    <row r="7" spans="2:19" ht="32.25" thickBot="1" x14ac:dyDescent="0.35">
      <c r="B7" s="66" t="s">
        <v>109</v>
      </c>
      <c r="C7" s="114">
        <f>C6*$C$49*$C$48</f>
        <v>19857.049091642621</v>
      </c>
      <c r="D7" s="115">
        <f t="shared" ref="D7:K7" si="0">D6*$C$49*$C$48</f>
        <v>10118.376259934092</v>
      </c>
      <c r="E7" s="115">
        <f t="shared" si="0"/>
        <v>15274.653147417397</v>
      </c>
      <c r="F7" s="115">
        <f t="shared" si="0"/>
        <v>7121.9512195121943</v>
      </c>
      <c r="G7" s="115">
        <f t="shared" si="0"/>
        <v>14964.635364635364</v>
      </c>
      <c r="H7" s="115">
        <f t="shared" si="0"/>
        <v>30141.455333248377</v>
      </c>
      <c r="I7" s="115">
        <f t="shared" si="0"/>
        <v>14756.790903348074</v>
      </c>
      <c r="J7" s="115">
        <f t="shared" si="0"/>
        <v>7362.6515525343693</v>
      </c>
      <c r="K7" s="115">
        <f t="shared" si="0"/>
        <v>2811.7768063769608</v>
      </c>
      <c r="L7" s="116">
        <f t="shared" ref="L7" si="1">L6*$C$49*$C$48</f>
        <v>8784.2838548625168</v>
      </c>
      <c r="M7" s="117">
        <f t="shared" ref="M7" si="2">M6*$C$49*$C$48</f>
        <v>7242.3013860232813</v>
      </c>
      <c r="N7" s="116">
        <v>3000</v>
      </c>
      <c r="O7" s="117">
        <v>3000</v>
      </c>
      <c r="P7" s="117">
        <v>3000</v>
      </c>
      <c r="R7" s="63" t="s">
        <v>65</v>
      </c>
      <c r="S7" s="64" t="s">
        <v>64</v>
      </c>
    </row>
    <row r="8" spans="2:19" ht="32.25" thickBot="1" x14ac:dyDescent="0.35">
      <c r="B8" s="66" t="s">
        <v>108</v>
      </c>
      <c r="C8" s="114">
        <v>2000</v>
      </c>
      <c r="D8" s="115">
        <v>2000</v>
      </c>
      <c r="E8" s="115">
        <v>1000</v>
      </c>
      <c r="F8" s="115">
        <v>500</v>
      </c>
      <c r="G8" s="115">
        <v>1000</v>
      </c>
      <c r="H8" s="115">
        <v>500</v>
      </c>
      <c r="I8" s="115">
        <v>1500</v>
      </c>
      <c r="J8" s="115">
        <v>500</v>
      </c>
      <c r="K8" s="115">
        <v>1500</v>
      </c>
      <c r="L8" s="116">
        <v>1500</v>
      </c>
      <c r="M8" s="117">
        <v>1500</v>
      </c>
      <c r="N8" s="116">
        <v>1000</v>
      </c>
      <c r="O8" s="117">
        <v>1000</v>
      </c>
      <c r="P8" s="117">
        <v>1000</v>
      </c>
      <c r="R8" s="63" t="s">
        <v>66</v>
      </c>
      <c r="S8" s="64" t="s">
        <v>67</v>
      </c>
    </row>
    <row r="9" spans="2:19" ht="32.25" thickBot="1" x14ac:dyDescent="0.35">
      <c r="B9" s="66" t="s">
        <v>110</v>
      </c>
      <c r="C9" s="114">
        <v>20000</v>
      </c>
      <c r="D9" s="115">
        <v>20000</v>
      </c>
      <c r="E9" s="115">
        <v>20000</v>
      </c>
      <c r="F9" s="115">
        <v>45000</v>
      </c>
      <c r="G9" s="115">
        <v>35000</v>
      </c>
      <c r="H9" s="115">
        <v>25000</v>
      </c>
      <c r="I9" s="115">
        <v>25000</v>
      </c>
      <c r="J9" s="115">
        <v>15000</v>
      </c>
      <c r="K9" s="115">
        <v>25000</v>
      </c>
      <c r="L9" s="116">
        <v>30000</v>
      </c>
      <c r="M9" s="117">
        <v>65000</v>
      </c>
      <c r="N9" s="116">
        <v>35000</v>
      </c>
      <c r="O9" s="117">
        <v>30000</v>
      </c>
      <c r="P9" s="117">
        <v>60000</v>
      </c>
      <c r="R9" s="63" t="s">
        <v>70</v>
      </c>
      <c r="S9" s="64" t="s">
        <v>71</v>
      </c>
    </row>
    <row r="10" spans="2:19" ht="32.25" thickBot="1" x14ac:dyDescent="0.35">
      <c r="B10" s="67" t="s">
        <v>111</v>
      </c>
      <c r="C10" s="114">
        <v>0</v>
      </c>
      <c r="D10" s="115">
        <v>0</v>
      </c>
      <c r="E10" s="115">
        <v>0</v>
      </c>
      <c r="F10" s="115">
        <v>2500</v>
      </c>
      <c r="G10" s="115">
        <v>5000</v>
      </c>
      <c r="H10" s="115">
        <v>2500</v>
      </c>
      <c r="I10" s="115">
        <v>2500</v>
      </c>
      <c r="J10" s="115">
        <v>1000</v>
      </c>
      <c r="K10" s="115">
        <v>1000</v>
      </c>
      <c r="L10" s="116">
        <v>1000</v>
      </c>
      <c r="M10" s="117">
        <v>1000</v>
      </c>
      <c r="N10" s="116">
        <v>2000</v>
      </c>
      <c r="O10" s="117">
        <v>500</v>
      </c>
      <c r="P10" s="117">
        <v>1000</v>
      </c>
      <c r="R10" s="63" t="s">
        <v>76</v>
      </c>
      <c r="S10" s="64" t="s">
        <v>77</v>
      </c>
    </row>
    <row r="11" spans="2:19" ht="48" thickBot="1" x14ac:dyDescent="0.35">
      <c r="B11" s="68" t="s">
        <v>112</v>
      </c>
      <c r="C11" s="129">
        <f>C9+(C7+C8)*5+C10</f>
        <v>129285.2454582131</v>
      </c>
      <c r="D11" s="130">
        <f t="shared" ref="D11" si="3">D9+(D7+D8)*5+D10</f>
        <v>80591.881299670466</v>
      </c>
      <c r="E11" s="130">
        <f t="shared" ref="E11:K11" si="4">E9+(E7+E8)*5+E10</f>
        <v>101373.26573708699</v>
      </c>
      <c r="F11" s="130">
        <f t="shared" si="4"/>
        <v>85609.756097560981</v>
      </c>
      <c r="G11" s="130">
        <f t="shared" si="4"/>
        <v>119823.17682317682</v>
      </c>
      <c r="H11" s="130">
        <f>H9+(H7+H8)*5+H10</f>
        <v>180707.27666624187</v>
      </c>
      <c r="I11" s="130">
        <f t="shared" si="4"/>
        <v>108783.95451674037</v>
      </c>
      <c r="J11" s="130">
        <f>J9+(J7+J8)*5+J10</f>
        <v>55313.257762671848</v>
      </c>
      <c r="K11" s="130">
        <f t="shared" si="4"/>
        <v>47558.884031884809</v>
      </c>
      <c r="L11" s="131">
        <f t="shared" ref="L11:P11" si="5">L9+(L7+L8)*5+L10</f>
        <v>82421.41927431259</v>
      </c>
      <c r="M11" s="132">
        <f t="shared" si="5"/>
        <v>109711.50693011642</v>
      </c>
      <c r="N11" s="131">
        <f>N9+(N7+N8)*5+N10</f>
        <v>57000</v>
      </c>
      <c r="O11" s="132">
        <f t="shared" si="5"/>
        <v>50500</v>
      </c>
      <c r="P11" s="132">
        <f t="shared" si="5"/>
        <v>81000</v>
      </c>
      <c r="R11" s="63" t="s">
        <v>121</v>
      </c>
      <c r="S11" s="62" t="s">
        <v>120</v>
      </c>
    </row>
    <row r="12" spans="2:19" ht="35.25" thickBot="1" x14ac:dyDescent="0.35">
      <c r="B12" s="68" t="s">
        <v>141</v>
      </c>
      <c r="C12" s="98">
        <f>C9+(C7+C8)*10+C10</f>
        <v>238570.49091642621</v>
      </c>
      <c r="D12" s="99">
        <f t="shared" ref="D12" si="6">D9+(D7+D8)*10+D10</f>
        <v>141183.76259934093</v>
      </c>
      <c r="E12" s="99">
        <f t="shared" ref="E12:K12" si="7">E9+(E7+E8)*10+E10</f>
        <v>182746.53147417397</v>
      </c>
      <c r="F12" s="99">
        <f t="shared" si="7"/>
        <v>123719.51219512195</v>
      </c>
      <c r="G12" s="99">
        <f t="shared" si="7"/>
        <v>199646.35364635364</v>
      </c>
      <c r="H12" s="99">
        <f t="shared" si="7"/>
        <v>333914.55333248375</v>
      </c>
      <c r="I12" s="99">
        <f t="shared" si="7"/>
        <v>190067.90903348074</v>
      </c>
      <c r="J12" s="99">
        <f>J9+(J7+J8)*10+J10</f>
        <v>94626.515525343697</v>
      </c>
      <c r="K12" s="99">
        <f t="shared" si="7"/>
        <v>69117.768063769618</v>
      </c>
      <c r="L12" s="100">
        <f t="shared" ref="L12:P12" si="8">L9+(L7+L8)*10+L10</f>
        <v>133842.83854862518</v>
      </c>
      <c r="M12" s="101">
        <f t="shared" si="8"/>
        <v>153423.01386023284</v>
      </c>
      <c r="N12" s="101">
        <f t="shared" si="8"/>
        <v>77000</v>
      </c>
      <c r="O12" s="101">
        <f t="shared" si="8"/>
        <v>70500</v>
      </c>
      <c r="P12" s="101">
        <f t="shared" si="8"/>
        <v>101000</v>
      </c>
      <c r="R12" s="63" t="s">
        <v>146</v>
      </c>
      <c r="S12" s="62" t="s">
        <v>145</v>
      </c>
    </row>
    <row r="13" spans="2:19" ht="52.15" customHeight="1" thickBot="1" x14ac:dyDescent="0.35">
      <c r="B13" s="69" t="s">
        <v>117</v>
      </c>
      <c r="C13" s="102">
        <f>C7/C6/C5*5*$H$48/1000</f>
        <v>140.96471710108074</v>
      </c>
      <c r="D13" s="103">
        <f>D7/D6/D5*5*$H$48/1000*0.8</f>
        <v>80.588837468501623</v>
      </c>
      <c r="E13" s="103">
        <f>E7/E6/E5*5*$H$48/1000</f>
        <v>108.43439777006208</v>
      </c>
      <c r="F13" s="103">
        <f>F7/F6/F5*5*$H$49/1000</f>
        <v>88.727642276422756</v>
      </c>
      <c r="G13" s="103">
        <f>$F$13*$Q$22*$Q$23*(1-$Q$26)/L22/(1-L26)</f>
        <v>100.74</v>
      </c>
      <c r="H13" s="103">
        <f>$F$13*$Q$22*$Q$23*(1-$Q$26)/H35/H38</f>
        <v>206.78210526315789</v>
      </c>
      <c r="I13" s="103">
        <f>$F$13*$Q$22*$Q$23*(1-$Q$26)/Q36/H38/1.85</f>
        <v>111.77411095305831</v>
      </c>
      <c r="J13" s="103">
        <f>J7/J6/J5*L47*H50/1000</f>
        <v>18.747492379138439</v>
      </c>
      <c r="K13" s="103">
        <f>K7/K6/K5*L47*H50/1000</f>
        <v>9.6270906811791956</v>
      </c>
      <c r="L13" s="104">
        <f>K13*0.5+I13*0.5</f>
        <v>60.700600817118755</v>
      </c>
      <c r="M13" s="105">
        <f>F13*0.5+K13*0.5</f>
        <v>49.177366478800977</v>
      </c>
      <c r="N13" s="105">
        <v>2</v>
      </c>
      <c r="O13" s="105">
        <v>2</v>
      </c>
      <c r="P13" s="105">
        <v>2</v>
      </c>
      <c r="R13" s="63" t="s">
        <v>127</v>
      </c>
      <c r="S13" s="62" t="s">
        <v>128</v>
      </c>
    </row>
    <row r="14" spans="2:19" ht="18" thickBot="1" x14ac:dyDescent="0.35">
      <c r="B14" s="66" t="s">
        <v>100</v>
      </c>
      <c r="C14" s="123">
        <v>20</v>
      </c>
      <c r="D14" s="124">
        <v>20</v>
      </c>
      <c r="E14" s="124">
        <v>20</v>
      </c>
      <c r="F14" s="125">
        <v>10</v>
      </c>
      <c r="G14" s="124">
        <v>6</v>
      </c>
      <c r="H14" s="124">
        <v>20</v>
      </c>
      <c r="I14" s="124">
        <v>20</v>
      </c>
      <c r="J14" s="124">
        <v>20</v>
      </c>
      <c r="K14" s="124">
        <v>20</v>
      </c>
      <c r="L14" s="126">
        <v>20</v>
      </c>
      <c r="M14" s="127">
        <v>15</v>
      </c>
      <c r="N14" s="127">
        <v>10</v>
      </c>
      <c r="O14" s="127">
        <v>15</v>
      </c>
      <c r="P14" s="127">
        <v>10</v>
      </c>
      <c r="R14" s="65" t="s">
        <v>129</v>
      </c>
      <c r="S14" s="65" t="s">
        <v>130</v>
      </c>
    </row>
    <row r="15" spans="2:19" ht="48" thickBot="1" x14ac:dyDescent="0.35">
      <c r="B15" s="66" t="s">
        <v>103</v>
      </c>
      <c r="C15" s="76" t="s">
        <v>102</v>
      </c>
      <c r="D15" s="77" t="s">
        <v>102</v>
      </c>
      <c r="E15" s="77" t="s">
        <v>102</v>
      </c>
      <c r="F15" s="78" t="s">
        <v>104</v>
      </c>
      <c r="G15" s="77" t="s">
        <v>102</v>
      </c>
      <c r="H15" s="77" t="s">
        <v>102</v>
      </c>
      <c r="I15" s="77" t="s">
        <v>102</v>
      </c>
      <c r="J15" s="77" t="s">
        <v>102</v>
      </c>
      <c r="K15" s="77" t="s">
        <v>102</v>
      </c>
      <c r="L15" s="85" t="s">
        <v>102</v>
      </c>
      <c r="M15" s="79" t="s">
        <v>102</v>
      </c>
      <c r="N15" s="85" t="s">
        <v>234</v>
      </c>
      <c r="O15" s="79" t="s">
        <v>234</v>
      </c>
      <c r="P15" s="79" t="s">
        <v>234</v>
      </c>
    </row>
    <row r="16" spans="2:19" ht="51.6" customHeight="1" thickBot="1" x14ac:dyDescent="0.35">
      <c r="B16" s="84" t="s">
        <v>250</v>
      </c>
      <c r="C16" s="82" t="s">
        <v>143</v>
      </c>
      <c r="D16" s="82" t="s">
        <v>143</v>
      </c>
      <c r="E16" s="82" t="s">
        <v>143</v>
      </c>
      <c r="F16" s="82" t="s">
        <v>143</v>
      </c>
      <c r="G16" s="82" t="s">
        <v>143</v>
      </c>
      <c r="H16" s="82" t="s">
        <v>144</v>
      </c>
      <c r="I16" s="82" t="s">
        <v>144</v>
      </c>
      <c r="J16" s="82" t="s">
        <v>143</v>
      </c>
      <c r="K16" s="82" t="s">
        <v>143</v>
      </c>
      <c r="L16" s="87" t="s">
        <v>143</v>
      </c>
      <c r="M16" s="88" t="s">
        <v>143</v>
      </c>
      <c r="N16" s="88" t="s">
        <v>143</v>
      </c>
      <c r="O16" s="88" t="s">
        <v>143</v>
      </c>
      <c r="P16" s="88" t="s">
        <v>143</v>
      </c>
      <c r="R16" s="55" t="s">
        <v>62</v>
      </c>
      <c r="S16" s="75"/>
    </row>
    <row r="17" spans="2:18" ht="26.25" thickBot="1" x14ac:dyDescent="0.35">
      <c r="B17" s="66" t="s">
        <v>215</v>
      </c>
      <c r="C17" s="89">
        <f>vcc+de+diesel*0.5 +diesel*0.5/3</f>
        <v>391.54481881754606</v>
      </c>
      <c r="D17" s="90">
        <f>vcc+ge+lng*0.5 +lng*0.5/3</f>
        <v>340.16736401673643</v>
      </c>
      <c r="E17" s="90">
        <f>vcc+diesel*0.5 +diesel*0.5/3</f>
        <v>291.54481881754606</v>
      </c>
      <c r="F17" s="90">
        <f>vcc+li*0.5+ li*0.5/3</f>
        <v>1333.3333333333333</v>
      </c>
      <c r="G17" s="90">
        <f>vcc+pem+hf*0.5+hf*0.5/3</f>
        <v>511.50849150849149</v>
      </c>
      <c r="H17" s="90">
        <f>I17*2-vcc-cs</f>
        <v>2136.6666666666665</v>
      </c>
      <c r="I17" s="90">
        <f>vcc+cs+lin*0.5+lin*0.5/3</f>
        <v>1203.3333333333333</v>
      </c>
      <c r="J17" s="90">
        <f>cs+vcc</f>
        <v>270</v>
      </c>
      <c r="K17" s="90">
        <f>vcc+cs</f>
        <v>270</v>
      </c>
      <c r="L17" s="90">
        <f>vcc+cs+0.5*lin/3</f>
        <v>503.33333333333337</v>
      </c>
      <c r="M17" s="91">
        <f>vcc+cs+li*0.5/3</f>
        <v>553.33333333333326</v>
      </c>
      <c r="N17" s="90">
        <f>400</f>
        <v>400</v>
      </c>
      <c r="O17" s="90">
        <f>orc+vcc</f>
        <v>310</v>
      </c>
      <c r="P17" s="91">
        <f>vcc+axl</f>
        <v>350</v>
      </c>
      <c r="Q17" s="75"/>
    </row>
    <row r="18" spans="2:18" ht="26.25" thickBot="1" x14ac:dyDescent="0.35">
      <c r="B18" s="66" t="s">
        <v>237</v>
      </c>
      <c r="C18" s="89" t="s">
        <v>234</v>
      </c>
      <c r="D18" s="90" t="s">
        <v>234</v>
      </c>
      <c r="E18" s="90" t="s">
        <v>234</v>
      </c>
      <c r="F18" s="90" t="s">
        <v>234</v>
      </c>
      <c r="G18" s="90" t="s">
        <v>234</v>
      </c>
      <c r="H18" s="90" t="s">
        <v>234</v>
      </c>
      <c r="I18" s="90" t="s">
        <v>234</v>
      </c>
      <c r="J18" s="107" t="s">
        <v>241</v>
      </c>
      <c r="K18" s="106" t="s">
        <v>240</v>
      </c>
      <c r="L18" s="106" t="s">
        <v>240</v>
      </c>
      <c r="M18" s="106" t="s">
        <v>240</v>
      </c>
      <c r="N18" s="106" t="s">
        <v>242</v>
      </c>
      <c r="O18" s="106" t="s">
        <v>239</v>
      </c>
      <c r="P18" s="108" t="s">
        <v>238</v>
      </c>
    </row>
    <row r="19" spans="2:18" ht="16.5" thickBot="1" x14ac:dyDescent="0.35">
      <c r="B19" s="2"/>
    </row>
    <row r="20" spans="2:18" ht="21" thickBot="1" x14ac:dyDescent="0.35">
      <c r="B20" s="137" t="s">
        <v>131</v>
      </c>
      <c r="C20" s="138"/>
      <c r="D20" s="139"/>
      <c r="G20" s="137" t="s">
        <v>131</v>
      </c>
      <c r="H20" s="138"/>
      <c r="I20" s="139"/>
      <c r="K20" s="137" t="s">
        <v>131</v>
      </c>
      <c r="L20" s="138"/>
      <c r="M20" s="139"/>
      <c r="P20" s="137" t="s">
        <v>131</v>
      </c>
      <c r="Q20" s="138"/>
      <c r="R20" s="139"/>
    </row>
    <row r="21" spans="2:18" ht="16.5" thickBot="1" x14ac:dyDescent="0.35">
      <c r="B21" s="11" t="s">
        <v>0</v>
      </c>
      <c r="C21" s="12" t="s">
        <v>4</v>
      </c>
      <c r="D21" s="13" t="s">
        <v>118</v>
      </c>
      <c r="G21" s="11" t="s">
        <v>46</v>
      </c>
      <c r="H21" s="12" t="s">
        <v>45</v>
      </c>
      <c r="I21" s="13" t="s">
        <v>118</v>
      </c>
      <c r="K21" s="11" t="s">
        <v>63</v>
      </c>
      <c r="L21" s="12"/>
      <c r="M21" s="13"/>
      <c r="P21" s="21" t="s">
        <v>2</v>
      </c>
      <c r="Q21" s="12"/>
      <c r="R21" s="13"/>
    </row>
    <row r="22" spans="2:18" x14ac:dyDescent="0.3">
      <c r="B22" s="3" t="s">
        <v>11</v>
      </c>
      <c r="C22" s="4" t="s">
        <v>9</v>
      </c>
      <c r="D22" s="5" t="s">
        <v>13</v>
      </c>
      <c r="G22" s="3" t="s">
        <v>11</v>
      </c>
      <c r="H22" s="4">
        <v>0.4</v>
      </c>
      <c r="I22" s="5" t="s">
        <v>13</v>
      </c>
      <c r="K22" s="3" t="s">
        <v>72</v>
      </c>
      <c r="L22" s="4">
        <v>0.65</v>
      </c>
      <c r="M22" s="5" t="s">
        <v>13</v>
      </c>
      <c r="P22" s="3" t="s">
        <v>47</v>
      </c>
      <c r="Q22" s="4">
        <v>0.82</v>
      </c>
      <c r="R22" s="5" t="s">
        <v>48</v>
      </c>
    </row>
    <row r="23" spans="2:18" x14ac:dyDescent="0.3">
      <c r="B23" s="3" t="s">
        <v>5</v>
      </c>
      <c r="C23" s="6" t="s">
        <v>7</v>
      </c>
      <c r="D23" s="5" t="s">
        <v>6</v>
      </c>
      <c r="G23" s="3" t="s">
        <v>5</v>
      </c>
      <c r="H23" s="6" t="s">
        <v>7</v>
      </c>
      <c r="I23" s="5" t="s">
        <v>6</v>
      </c>
      <c r="K23" s="3" t="s">
        <v>5</v>
      </c>
      <c r="L23" s="6">
        <v>140</v>
      </c>
      <c r="M23" s="5" t="s">
        <v>6</v>
      </c>
      <c r="P23" s="3" t="s">
        <v>49</v>
      </c>
      <c r="Q23" s="4">
        <v>0.9</v>
      </c>
      <c r="R23" s="5" t="s">
        <v>13</v>
      </c>
    </row>
    <row r="24" spans="2:18" x14ac:dyDescent="0.3">
      <c r="B24" s="3" t="s">
        <v>8</v>
      </c>
      <c r="C24" s="6">
        <f>C22*C23</f>
        <v>10.725</v>
      </c>
      <c r="D24" s="5" t="s">
        <v>6</v>
      </c>
      <c r="G24" s="3" t="s">
        <v>8</v>
      </c>
      <c r="H24" s="6">
        <f>H22*H23</f>
        <v>17.16</v>
      </c>
      <c r="I24" s="5" t="s">
        <v>6</v>
      </c>
      <c r="K24" s="3" t="s">
        <v>8</v>
      </c>
      <c r="L24" s="6">
        <f>L22*L23</f>
        <v>91</v>
      </c>
      <c r="M24" s="5" t="s">
        <v>6</v>
      </c>
      <c r="P24" s="3" t="s">
        <v>54</v>
      </c>
      <c r="Q24" s="6">
        <v>0.2</v>
      </c>
      <c r="R24" s="5" t="s">
        <v>14</v>
      </c>
    </row>
    <row r="25" spans="2:18" x14ac:dyDescent="0.3">
      <c r="B25" s="3" t="s">
        <v>10</v>
      </c>
      <c r="C25" s="1">
        <v>1.1000000000000001</v>
      </c>
      <c r="D25" s="5"/>
      <c r="G25" s="3" t="s">
        <v>10</v>
      </c>
      <c r="H25" s="1">
        <v>1.1000000000000001</v>
      </c>
      <c r="I25" s="5"/>
      <c r="K25" s="3" t="s">
        <v>10</v>
      </c>
      <c r="L25" s="1">
        <v>1.1000000000000001</v>
      </c>
      <c r="M25" s="5"/>
      <c r="P25" s="3" t="s">
        <v>10</v>
      </c>
      <c r="Q25" s="1">
        <v>1</v>
      </c>
      <c r="R25" s="5"/>
    </row>
    <row r="26" spans="2:18" x14ac:dyDescent="0.3">
      <c r="B26" s="3" t="s">
        <v>15</v>
      </c>
      <c r="C26" s="1">
        <v>0.2</v>
      </c>
      <c r="D26" s="5" t="s">
        <v>16</v>
      </c>
      <c r="G26" s="3" t="s">
        <v>15</v>
      </c>
      <c r="H26" s="1">
        <v>0.35</v>
      </c>
      <c r="I26" s="5" t="s">
        <v>16</v>
      </c>
      <c r="K26" s="3" t="s">
        <v>15</v>
      </c>
      <c r="L26" s="1">
        <v>0.25</v>
      </c>
      <c r="M26" s="5" t="s">
        <v>16</v>
      </c>
      <c r="P26" s="3" t="s">
        <v>15</v>
      </c>
      <c r="Q26" s="1">
        <v>0.25</v>
      </c>
      <c r="R26" s="5" t="s">
        <v>52</v>
      </c>
    </row>
    <row r="27" spans="2:18" x14ac:dyDescent="0.3">
      <c r="B27" s="3" t="s">
        <v>12</v>
      </c>
      <c r="C27" s="1">
        <f>C24*C25*(1-C26)</f>
        <v>9.4380000000000006</v>
      </c>
      <c r="D27" s="5" t="s">
        <v>6</v>
      </c>
      <c r="G27" s="3" t="s">
        <v>12</v>
      </c>
      <c r="H27" s="1">
        <f>H24*H25*(1-H26)</f>
        <v>12.269400000000001</v>
      </c>
      <c r="I27" s="5" t="s">
        <v>6</v>
      </c>
      <c r="K27" s="3" t="s">
        <v>68</v>
      </c>
      <c r="L27" s="1">
        <f>L24*L25*(1-L26)</f>
        <v>75.075000000000003</v>
      </c>
      <c r="M27" s="5" t="s">
        <v>6</v>
      </c>
      <c r="P27" s="3" t="s">
        <v>61</v>
      </c>
      <c r="Q27" s="1">
        <f>Q24*Q25*(1-Q26)</f>
        <v>0.15000000000000002</v>
      </c>
      <c r="R27" s="5" t="s">
        <v>6</v>
      </c>
    </row>
    <row r="28" spans="2:18" x14ac:dyDescent="0.3">
      <c r="B28" s="3" t="s">
        <v>12</v>
      </c>
      <c r="C28" s="1">
        <f>(C27*1000)/3600</f>
        <v>2.6216666666666666</v>
      </c>
      <c r="D28" s="5" t="s">
        <v>14</v>
      </c>
      <c r="G28" s="3" t="s">
        <v>12</v>
      </c>
      <c r="H28" s="1">
        <f>(H27*1000)/3600</f>
        <v>3.4081666666666672</v>
      </c>
      <c r="I28" s="5" t="s">
        <v>14</v>
      </c>
      <c r="K28" s="3" t="s">
        <v>68</v>
      </c>
      <c r="L28" s="1">
        <f>(L27*1000)/3600</f>
        <v>20.854166666666668</v>
      </c>
      <c r="M28" s="5" t="s">
        <v>14</v>
      </c>
      <c r="P28" s="3" t="s">
        <v>55</v>
      </c>
      <c r="Q28" s="1">
        <f>1*Q22*Q23*Q25*(1-Q26)</f>
        <v>0.55349999999999999</v>
      </c>
      <c r="R28" s="5" t="s">
        <v>56</v>
      </c>
    </row>
    <row r="29" spans="2:18" ht="16.5" thickBot="1" x14ac:dyDescent="0.35">
      <c r="B29" s="3" t="s">
        <v>43</v>
      </c>
      <c r="C29" s="1">
        <v>0.83199999999999996</v>
      </c>
      <c r="D29" s="5" t="s">
        <v>42</v>
      </c>
      <c r="G29" s="3" t="s">
        <v>43</v>
      </c>
      <c r="H29" s="1">
        <v>0.83199999999999996</v>
      </c>
      <c r="I29" s="5" t="s">
        <v>42</v>
      </c>
      <c r="K29" s="8" t="s">
        <v>69</v>
      </c>
      <c r="L29" s="9">
        <v>9.5</v>
      </c>
      <c r="M29" s="10" t="s">
        <v>41</v>
      </c>
      <c r="P29" s="8" t="s">
        <v>59</v>
      </c>
      <c r="Q29" s="22">
        <f xml:space="preserve"> 0.12</f>
        <v>0.12</v>
      </c>
      <c r="R29" s="10" t="s">
        <v>60</v>
      </c>
    </row>
    <row r="30" spans="2:18" x14ac:dyDescent="0.3">
      <c r="B30" s="3" t="s">
        <v>39</v>
      </c>
      <c r="C30" s="7">
        <f>C91</f>
        <v>1.3184999999999998</v>
      </c>
      <c r="D30" s="5" t="s">
        <v>44</v>
      </c>
      <c r="G30" s="3" t="s">
        <v>39</v>
      </c>
      <c r="H30" s="7">
        <f>C91</f>
        <v>1.3184999999999998</v>
      </c>
      <c r="I30" s="5" t="s">
        <v>44</v>
      </c>
    </row>
    <row r="31" spans="2:18" ht="16.5" thickBot="1" x14ac:dyDescent="0.35">
      <c r="B31" s="8" t="s">
        <v>39</v>
      </c>
      <c r="C31" s="9">
        <f>C30/C29</f>
        <v>1.5847355769230766</v>
      </c>
      <c r="D31" s="10" t="s">
        <v>41</v>
      </c>
      <c r="G31" s="8" t="s">
        <v>39</v>
      </c>
      <c r="H31" s="9">
        <f>H30/H29</f>
        <v>1.5847355769230766</v>
      </c>
      <c r="I31" s="10" t="s">
        <v>41</v>
      </c>
    </row>
    <row r="32" spans="2:18" ht="16.5" thickBot="1" x14ac:dyDescent="0.35"/>
    <row r="33" spans="2:18" ht="21" thickBot="1" x14ac:dyDescent="0.35">
      <c r="B33" s="137" t="s">
        <v>131</v>
      </c>
      <c r="C33" s="138"/>
      <c r="D33" s="139"/>
      <c r="G33" s="137" t="s">
        <v>131</v>
      </c>
      <c r="H33" s="138"/>
      <c r="I33" s="139"/>
      <c r="K33" s="137" t="s">
        <v>131</v>
      </c>
      <c r="L33" s="138"/>
      <c r="M33" s="139"/>
    </row>
    <row r="34" spans="2:18" ht="21" thickBot="1" x14ac:dyDescent="0.35">
      <c r="B34" s="11" t="s">
        <v>147</v>
      </c>
      <c r="C34" s="12" t="s">
        <v>4</v>
      </c>
      <c r="D34" s="13" t="s">
        <v>118</v>
      </c>
      <c r="G34" s="11" t="s">
        <v>89</v>
      </c>
      <c r="H34" s="12" t="s">
        <v>73</v>
      </c>
      <c r="I34" s="13"/>
      <c r="K34" s="11" t="s">
        <v>93</v>
      </c>
      <c r="L34" s="12" t="s">
        <v>73</v>
      </c>
      <c r="M34" s="13"/>
      <c r="P34" s="137" t="s">
        <v>131</v>
      </c>
      <c r="Q34" s="138"/>
      <c r="R34" s="139"/>
    </row>
    <row r="35" spans="2:18" ht="16.5" thickBot="1" x14ac:dyDescent="0.35">
      <c r="B35" s="3" t="s">
        <v>11</v>
      </c>
      <c r="C35" s="4">
        <v>0.28000000000000003</v>
      </c>
      <c r="D35" s="5" t="s">
        <v>13</v>
      </c>
      <c r="G35" s="3" t="s">
        <v>79</v>
      </c>
      <c r="H35" s="23">
        <v>0.95</v>
      </c>
      <c r="I35" s="5" t="s">
        <v>78</v>
      </c>
      <c r="K35" s="3" t="s">
        <v>79</v>
      </c>
      <c r="L35" s="23">
        <v>0.95</v>
      </c>
      <c r="M35" s="5" t="s">
        <v>78</v>
      </c>
      <c r="P35" s="11" t="s">
        <v>90</v>
      </c>
      <c r="Q35" s="12" t="s">
        <v>91</v>
      </c>
      <c r="R35" s="13"/>
    </row>
    <row r="36" spans="2:18" x14ac:dyDescent="0.3">
      <c r="B36" s="3" t="s">
        <v>5</v>
      </c>
      <c r="C36" s="6">
        <v>53.6</v>
      </c>
      <c r="D36" s="5" t="s">
        <v>6</v>
      </c>
      <c r="G36" s="3" t="s">
        <v>5</v>
      </c>
      <c r="H36" s="24">
        <v>0.41299999999999998</v>
      </c>
      <c r="I36" s="5" t="s">
        <v>6</v>
      </c>
      <c r="K36" s="3" t="s">
        <v>5</v>
      </c>
      <c r="L36" s="24">
        <v>0.81200000000000006</v>
      </c>
      <c r="M36" s="5" t="s">
        <v>6</v>
      </c>
      <c r="P36" s="26" t="s">
        <v>81</v>
      </c>
      <c r="Q36" s="27">
        <v>0.95</v>
      </c>
      <c r="R36" s="28" t="s">
        <v>78</v>
      </c>
    </row>
    <row r="37" spans="2:18" x14ac:dyDescent="0.3">
      <c r="B37" s="3" t="s">
        <v>8</v>
      </c>
      <c r="C37" s="6">
        <f>C35*C36</f>
        <v>15.008000000000003</v>
      </c>
      <c r="D37" s="5" t="s">
        <v>6</v>
      </c>
      <c r="G37" s="3" t="s">
        <v>8</v>
      </c>
      <c r="H37" s="24">
        <f>H35*H36</f>
        <v>0.39234999999999998</v>
      </c>
      <c r="I37" s="5" t="s">
        <v>6</v>
      </c>
      <c r="K37" s="3" t="s">
        <v>8</v>
      </c>
      <c r="L37" s="24">
        <f>L35*L36</f>
        <v>0.77139999999999997</v>
      </c>
      <c r="M37" s="5" t="s">
        <v>6</v>
      </c>
      <c r="O37" s="29" t="s">
        <v>88</v>
      </c>
      <c r="P37" s="3" t="s">
        <v>83</v>
      </c>
      <c r="Q37" s="25">
        <v>0.04</v>
      </c>
      <c r="R37" s="5" t="s">
        <v>14</v>
      </c>
    </row>
    <row r="38" spans="2:18" x14ac:dyDescent="0.3">
      <c r="B38" s="3" t="s">
        <v>10</v>
      </c>
      <c r="C38" s="1">
        <v>1.1000000000000001</v>
      </c>
      <c r="D38" s="5"/>
      <c r="G38" s="3" t="s">
        <v>124</v>
      </c>
      <c r="H38" s="24">
        <v>0.25</v>
      </c>
      <c r="I38" s="5"/>
      <c r="K38" s="3"/>
      <c r="L38" s="24"/>
      <c r="M38" s="5"/>
      <c r="P38" s="3" t="s">
        <v>5</v>
      </c>
      <c r="Q38" s="24">
        <v>0.41299999999999998</v>
      </c>
      <c r="R38" s="5" t="s">
        <v>6</v>
      </c>
    </row>
    <row r="39" spans="2:18" x14ac:dyDescent="0.3">
      <c r="B39" s="3" t="s">
        <v>15</v>
      </c>
      <c r="C39" s="1">
        <v>0.2</v>
      </c>
      <c r="D39" s="5" t="s">
        <v>16</v>
      </c>
      <c r="G39" s="3" t="s">
        <v>15</v>
      </c>
      <c r="H39" s="24">
        <v>0.2</v>
      </c>
      <c r="I39" s="5" t="s">
        <v>16</v>
      </c>
      <c r="K39" s="3" t="s">
        <v>15</v>
      </c>
      <c r="L39" s="24">
        <v>0.2</v>
      </c>
      <c r="M39" s="5" t="s">
        <v>16</v>
      </c>
      <c r="P39" s="3" t="s">
        <v>84</v>
      </c>
      <c r="Q39" s="24">
        <f>Q36*Q38</f>
        <v>0.39234999999999998</v>
      </c>
      <c r="R39" s="5" t="s">
        <v>6</v>
      </c>
    </row>
    <row r="40" spans="2:18" x14ac:dyDescent="0.3">
      <c r="B40" s="3" t="s">
        <v>212</v>
      </c>
      <c r="C40" s="1">
        <f>C37*C38*(1-C39)</f>
        <v>13.207040000000005</v>
      </c>
      <c r="D40" s="5" t="s">
        <v>6</v>
      </c>
      <c r="G40" s="3" t="s">
        <v>74</v>
      </c>
      <c r="H40" s="24">
        <f>H37*(1-H39)</f>
        <v>0.31387999999999999</v>
      </c>
      <c r="I40" s="5" t="s">
        <v>6</v>
      </c>
      <c r="K40" s="3" t="s">
        <v>74</v>
      </c>
      <c r="L40" s="24">
        <f>L37*(1-L39)</f>
        <v>0.61712</v>
      </c>
      <c r="M40" s="5" t="s">
        <v>6</v>
      </c>
      <c r="O40" s="29" t="s">
        <v>88</v>
      </c>
      <c r="P40" s="3" t="s">
        <v>15</v>
      </c>
      <c r="Q40" s="25">
        <v>0.1</v>
      </c>
      <c r="R40" s="5" t="s">
        <v>16</v>
      </c>
    </row>
    <row r="41" spans="2:18" x14ac:dyDescent="0.3">
      <c r="B41" s="3" t="s">
        <v>212</v>
      </c>
      <c r="C41" s="1">
        <f>(C40*1000)/3600</f>
        <v>3.6686222222222233</v>
      </c>
      <c r="D41" s="5" t="s">
        <v>14</v>
      </c>
      <c r="G41" s="3" t="s">
        <v>74</v>
      </c>
      <c r="H41" s="24">
        <f>(H40*1000)/3600</f>
        <v>8.7188888888888885E-2</v>
      </c>
      <c r="I41" s="5" t="s">
        <v>14</v>
      </c>
      <c r="K41" s="3" t="s">
        <v>74</v>
      </c>
      <c r="L41" s="24">
        <f>(L40*1000)/3600</f>
        <v>0.17142222222222223</v>
      </c>
      <c r="M41" s="5" t="s">
        <v>14</v>
      </c>
      <c r="O41" s="29" t="s">
        <v>88</v>
      </c>
      <c r="P41" s="3" t="s">
        <v>86</v>
      </c>
      <c r="Q41" s="25">
        <v>2</v>
      </c>
      <c r="R41" s="5" t="s">
        <v>87</v>
      </c>
    </row>
    <row r="42" spans="2:18" ht="16.5" thickBot="1" x14ac:dyDescent="0.35">
      <c r="B42" s="8" t="s">
        <v>228</v>
      </c>
      <c r="C42" s="9">
        <f>C95</f>
        <v>1.1299999999999999</v>
      </c>
      <c r="D42" s="10" t="s">
        <v>41</v>
      </c>
      <c r="G42" s="3" t="s">
        <v>75</v>
      </c>
      <c r="H42" s="24">
        <v>0.8</v>
      </c>
      <c r="I42" s="5" t="s">
        <v>42</v>
      </c>
      <c r="K42" s="3" t="s">
        <v>75</v>
      </c>
      <c r="L42" s="24">
        <v>0.46</v>
      </c>
      <c r="M42" s="5" t="s">
        <v>42</v>
      </c>
      <c r="P42" s="3" t="s">
        <v>82</v>
      </c>
      <c r="Q42" s="24">
        <f>Q39*(1-Q40)</f>
        <v>0.35311500000000001</v>
      </c>
      <c r="R42" s="5" t="s">
        <v>6</v>
      </c>
    </row>
    <row r="43" spans="2:18" ht="16.5" thickBot="1" x14ac:dyDescent="0.35">
      <c r="G43" s="8" t="s">
        <v>80</v>
      </c>
      <c r="H43" s="9">
        <f>Q47</f>
        <v>0.08</v>
      </c>
      <c r="I43" s="10" t="s">
        <v>41</v>
      </c>
      <c r="K43" s="8" t="s">
        <v>80</v>
      </c>
      <c r="L43" s="9">
        <v>1.08</v>
      </c>
      <c r="M43" s="10" t="s">
        <v>41</v>
      </c>
      <c r="P43" s="3" t="s">
        <v>82</v>
      </c>
      <c r="Q43" s="24">
        <f>(Q42*1000)/3600</f>
        <v>9.8087500000000008E-2</v>
      </c>
      <c r="R43" s="5" t="s">
        <v>14</v>
      </c>
    </row>
    <row r="44" spans="2:18" x14ac:dyDescent="0.3">
      <c r="K44" s="31" t="s">
        <v>95</v>
      </c>
      <c r="L44" s="32">
        <v>47.8</v>
      </c>
      <c r="M44" s="33" t="s">
        <v>6</v>
      </c>
      <c r="N44" s="1" t="s">
        <v>94</v>
      </c>
      <c r="P44" s="3" t="s">
        <v>85</v>
      </c>
      <c r="Q44" s="24">
        <f>Q43+Q41*Q37</f>
        <v>0.17808750000000001</v>
      </c>
      <c r="R44" s="5" t="s">
        <v>14</v>
      </c>
    </row>
    <row r="45" spans="2:18" ht="16.5" thickBot="1" x14ac:dyDescent="0.35">
      <c r="K45" s="34" t="s">
        <v>96</v>
      </c>
      <c r="L45" s="35">
        <v>0.35</v>
      </c>
      <c r="M45" s="36"/>
      <c r="P45" s="3" t="s">
        <v>75</v>
      </c>
      <c r="Q45" s="24">
        <v>0.81299999999999994</v>
      </c>
      <c r="R45" s="5" t="s">
        <v>42</v>
      </c>
    </row>
    <row r="46" spans="2:18" ht="21" thickBot="1" x14ac:dyDescent="0.35">
      <c r="B46" s="137" t="s">
        <v>3</v>
      </c>
      <c r="C46" s="138"/>
      <c r="D46" s="139"/>
      <c r="G46" s="137" t="s">
        <v>3</v>
      </c>
      <c r="H46" s="138"/>
      <c r="I46" s="139"/>
      <c r="K46" s="37" t="s">
        <v>97</v>
      </c>
      <c r="L46" s="38">
        <f>L44*L45*1000/3600</f>
        <v>4.6472222222222213</v>
      </c>
      <c r="M46" s="39" t="s">
        <v>14</v>
      </c>
      <c r="P46" s="3" t="s">
        <v>135</v>
      </c>
      <c r="Q46" s="6">
        <v>12</v>
      </c>
      <c r="R46" s="5" t="s">
        <v>136</v>
      </c>
    </row>
    <row r="47" spans="2:18" ht="16.5" thickBot="1" x14ac:dyDescent="0.35">
      <c r="B47" s="149" t="s">
        <v>101</v>
      </c>
      <c r="C47" s="150"/>
      <c r="D47" s="151"/>
      <c r="G47" s="149" t="s">
        <v>126</v>
      </c>
      <c r="H47" s="150"/>
      <c r="I47" s="151"/>
      <c r="K47" s="40" t="s">
        <v>98</v>
      </c>
      <c r="L47" s="41">
        <f>L41/(L46+L41)</f>
        <v>3.5574781289343708E-2</v>
      </c>
      <c r="M47" s="42"/>
      <c r="P47" s="8" t="s">
        <v>80</v>
      </c>
      <c r="Q47" s="9">
        <v>0.08</v>
      </c>
      <c r="R47" s="10" t="s">
        <v>41</v>
      </c>
    </row>
    <row r="48" spans="2:18" ht="30.6" customHeight="1" thickBot="1" x14ac:dyDescent="0.35">
      <c r="B48" s="45" t="s">
        <v>105</v>
      </c>
      <c r="C48" s="46">
        <v>15</v>
      </c>
      <c r="D48" s="28" t="s">
        <v>106</v>
      </c>
      <c r="G48" s="45" t="s">
        <v>126</v>
      </c>
      <c r="H48" s="52">
        <v>2.25</v>
      </c>
      <c r="I48" s="53" t="s">
        <v>122</v>
      </c>
      <c r="K48" s="80" t="s">
        <v>99</v>
      </c>
      <c r="L48" s="43">
        <f>L43/L41*L47</f>
        <v>0.22412942321261398</v>
      </c>
      <c r="M48" s="13"/>
    </row>
    <row r="49" spans="1:35" ht="21" customHeight="1" thickBot="1" x14ac:dyDescent="0.35">
      <c r="B49" s="47" t="s">
        <v>107</v>
      </c>
      <c r="C49" s="48">
        <f>6*365</f>
        <v>2190</v>
      </c>
      <c r="D49" s="10" t="s">
        <v>119</v>
      </c>
      <c r="G49" s="44" t="s">
        <v>126</v>
      </c>
      <c r="H49" s="1">
        <v>0.29899999999999999</v>
      </c>
      <c r="I49" s="5" t="s">
        <v>123</v>
      </c>
    </row>
    <row r="50" spans="1:35" ht="32.25" thickBot="1" x14ac:dyDescent="0.35">
      <c r="G50" s="47" t="s">
        <v>126</v>
      </c>
      <c r="H50" s="30">
        <v>2.75</v>
      </c>
      <c r="I50" s="54" t="s">
        <v>125</v>
      </c>
      <c r="O50" s="140" t="s">
        <v>133</v>
      </c>
      <c r="P50" s="140"/>
      <c r="Q50" s="140"/>
      <c r="R50" s="140"/>
      <c r="S50" s="140"/>
      <c r="T50" s="140"/>
      <c r="U50" s="140"/>
    </row>
    <row r="51" spans="1:35" ht="16.5" thickBot="1" x14ac:dyDescent="0.35">
      <c r="G51" s="152" t="s">
        <v>139</v>
      </c>
      <c r="H51" s="152"/>
      <c r="I51" s="152"/>
      <c r="O51" s="2"/>
      <c r="P51" s="2"/>
      <c r="Q51" s="2"/>
      <c r="R51" s="2"/>
      <c r="S51" s="2"/>
      <c r="T51" s="2"/>
      <c r="U51" s="2"/>
    </row>
    <row r="52" spans="1:35" s="2" customFormat="1" ht="60.6" customHeight="1" thickBot="1" x14ac:dyDescent="0.35">
      <c r="A52" s="57"/>
      <c r="B52" s="49" t="s">
        <v>113</v>
      </c>
      <c r="C52" s="71" t="s">
        <v>114</v>
      </c>
      <c r="D52" s="72" t="s">
        <v>115</v>
      </c>
      <c r="E52" s="70" t="s">
        <v>140</v>
      </c>
      <c r="K52" s="137" t="s">
        <v>131</v>
      </c>
      <c r="L52" s="138"/>
      <c r="M52" s="139"/>
      <c r="O52" s="1"/>
      <c r="P52" s="1"/>
      <c r="Q52" s="1"/>
      <c r="R52" s="1"/>
      <c r="S52" s="1"/>
      <c r="T52" s="1"/>
      <c r="U52" s="1"/>
      <c r="V52" s="1"/>
    </row>
    <row r="53" spans="1:35" s="2" customFormat="1" ht="21" thickBot="1" x14ac:dyDescent="0.35">
      <c r="A53" s="57"/>
      <c r="B53" s="3">
        <v>0</v>
      </c>
      <c r="C53" s="50">
        <f t="shared" ref="C53:C68" si="9">+((B53/$Q$44)*$C$48*$C$49+$I$8)*5+$I$10+$I$9</f>
        <v>35000</v>
      </c>
      <c r="D53" s="73">
        <v>129232</v>
      </c>
      <c r="E53" s="73">
        <f>$F$11</f>
        <v>85609.756097560981</v>
      </c>
      <c r="G53" s="137" t="s">
        <v>3</v>
      </c>
      <c r="H53" s="138"/>
      <c r="I53" s="139"/>
      <c r="K53" s="11" t="s">
        <v>214</v>
      </c>
      <c r="L53" s="12" t="s">
        <v>73</v>
      </c>
      <c r="M53" s="13"/>
      <c r="O53" s="1"/>
      <c r="P53" s="1"/>
      <c r="Q53" s="1"/>
      <c r="R53" s="1"/>
      <c r="S53" s="1"/>
      <c r="T53" s="1"/>
      <c r="U53" s="1"/>
      <c r="V53" s="1"/>
    </row>
    <row r="54" spans="1:35" ht="16.5" thickBot="1" x14ac:dyDescent="0.35">
      <c r="B54" s="3">
        <v>0.01</v>
      </c>
      <c r="C54" s="50">
        <f t="shared" si="9"/>
        <v>44222.99431459255</v>
      </c>
      <c r="D54" s="73">
        <v>129232</v>
      </c>
      <c r="E54" s="73">
        <f t="shared" ref="E54:E68" si="10">$F$11</f>
        <v>85609.756097560981</v>
      </c>
      <c r="G54" s="153" t="s">
        <v>223</v>
      </c>
      <c r="H54" s="154"/>
      <c r="I54" s="155"/>
      <c r="K54" s="3" t="s">
        <v>79</v>
      </c>
      <c r="L54" s="23">
        <v>0.95</v>
      </c>
      <c r="M54" s="5" t="s">
        <v>78</v>
      </c>
    </row>
    <row r="55" spans="1:35" x14ac:dyDescent="0.3">
      <c r="B55" s="3">
        <v>0.02</v>
      </c>
      <c r="C55" s="50">
        <f t="shared" si="9"/>
        <v>53445.988629185093</v>
      </c>
      <c r="D55" s="73">
        <v>129232</v>
      </c>
      <c r="E55" s="73">
        <f t="shared" si="10"/>
        <v>85609.756097560981</v>
      </c>
      <c r="G55" s="45" t="s">
        <v>216</v>
      </c>
      <c r="H55" s="52">
        <v>200</v>
      </c>
      <c r="I55" s="53" t="s">
        <v>217</v>
      </c>
      <c r="K55" s="3" t="s">
        <v>137</v>
      </c>
      <c r="L55" s="24">
        <v>0.81200000000000006</v>
      </c>
      <c r="M55" s="5" t="s">
        <v>6</v>
      </c>
      <c r="S55" s="50"/>
      <c r="T55" s="50"/>
      <c r="U55" s="50"/>
    </row>
    <row r="56" spans="1:35" x14ac:dyDescent="0.3">
      <c r="B56" s="3">
        <v>0.03</v>
      </c>
      <c r="C56" s="50">
        <f t="shared" si="9"/>
        <v>62668.982943777635</v>
      </c>
      <c r="D56" s="73">
        <v>129232</v>
      </c>
      <c r="E56" s="73">
        <f t="shared" si="10"/>
        <v>85609.756097560981</v>
      </c>
      <c r="G56" s="44" t="s">
        <v>219</v>
      </c>
      <c r="H56" s="2">
        <v>100</v>
      </c>
      <c r="I56" s="86" t="s">
        <v>217</v>
      </c>
      <c r="K56" s="3" t="s">
        <v>138</v>
      </c>
      <c r="L56" s="1">
        <f>0.45*L55</f>
        <v>0.36540000000000006</v>
      </c>
    </row>
    <row r="57" spans="1:35" x14ac:dyDescent="0.3">
      <c r="B57" s="3">
        <v>0.04</v>
      </c>
      <c r="C57" s="50">
        <f t="shared" si="9"/>
        <v>71891.977258370185</v>
      </c>
      <c r="D57" s="73">
        <v>129232</v>
      </c>
      <c r="E57" s="73">
        <f t="shared" si="10"/>
        <v>85609.756097560981</v>
      </c>
      <c r="G57" s="44" t="s">
        <v>220</v>
      </c>
      <c r="H57" s="1">
        <v>100</v>
      </c>
      <c r="I57" s="86" t="s">
        <v>217</v>
      </c>
      <c r="K57" s="3" t="s">
        <v>8</v>
      </c>
      <c r="L57" s="24">
        <f>L54*L55+L56*Q41</f>
        <v>1.5022000000000002</v>
      </c>
      <c r="M57" s="5" t="s">
        <v>6</v>
      </c>
      <c r="N57" s="50"/>
      <c r="S57"/>
      <c r="AB57" s="50"/>
      <c r="AC57" s="50"/>
      <c r="AD57" s="50"/>
      <c r="AE57" s="50"/>
      <c r="AF57" s="50"/>
      <c r="AG57" s="50"/>
      <c r="AH57" s="50"/>
      <c r="AI57" s="50"/>
    </row>
    <row r="58" spans="1:35" x14ac:dyDescent="0.3">
      <c r="B58" s="3">
        <v>0.05</v>
      </c>
      <c r="C58" s="50">
        <f t="shared" si="9"/>
        <v>81114.971572962735</v>
      </c>
      <c r="D58" s="73">
        <v>129232</v>
      </c>
      <c r="E58" s="73">
        <f t="shared" si="10"/>
        <v>85609.756097560981</v>
      </c>
      <c r="G58" s="3" t="s">
        <v>226</v>
      </c>
      <c r="H58" s="1">
        <v>300</v>
      </c>
      <c r="I58" s="5" t="s">
        <v>217</v>
      </c>
      <c r="K58" s="3" t="s">
        <v>15</v>
      </c>
      <c r="L58" s="24">
        <v>0.2</v>
      </c>
      <c r="M58" s="5" t="s">
        <v>16</v>
      </c>
    </row>
    <row r="59" spans="1:35" x14ac:dyDescent="0.3">
      <c r="B59" s="3">
        <v>0.06</v>
      </c>
      <c r="C59" s="50">
        <f t="shared" si="9"/>
        <v>90337.96588755527</v>
      </c>
      <c r="D59" s="73">
        <v>129232</v>
      </c>
      <c r="E59" s="73">
        <f t="shared" si="10"/>
        <v>85609.756097560981</v>
      </c>
      <c r="G59" s="3" t="s">
        <v>227</v>
      </c>
      <c r="H59" s="1">
        <v>70</v>
      </c>
      <c r="I59" s="92" t="s">
        <v>217</v>
      </c>
      <c r="K59" s="3" t="s">
        <v>74</v>
      </c>
      <c r="L59" s="24">
        <f>L57*(1-L58)</f>
        <v>1.2017600000000002</v>
      </c>
      <c r="M59" s="5" t="s">
        <v>6</v>
      </c>
    </row>
    <row r="60" spans="1:35" x14ac:dyDescent="0.3">
      <c r="B60" s="3">
        <v>7.0000000000000007E-2</v>
      </c>
      <c r="C60" s="50">
        <f t="shared" si="9"/>
        <v>99560.96020214782</v>
      </c>
      <c r="D60" s="73">
        <v>129232</v>
      </c>
      <c r="E60" s="73">
        <f t="shared" si="10"/>
        <v>85609.756097560981</v>
      </c>
      <c r="G60" s="44" t="s">
        <v>218</v>
      </c>
      <c r="H60" s="1">
        <v>1700</v>
      </c>
      <c r="I60" s="86" t="s">
        <v>217</v>
      </c>
      <c r="K60" s="3" t="s">
        <v>74</v>
      </c>
      <c r="L60" s="24">
        <f>(L59*1000)/3600</f>
        <v>0.3338222222222223</v>
      </c>
      <c r="M60" s="5" t="s">
        <v>14</v>
      </c>
    </row>
    <row r="61" spans="1:35" ht="31.5" x14ac:dyDescent="0.3">
      <c r="B61" s="3">
        <v>0.08</v>
      </c>
      <c r="C61" s="50">
        <f t="shared" si="9"/>
        <v>108783.95451674037</v>
      </c>
      <c r="D61" s="73">
        <v>129232</v>
      </c>
      <c r="E61" s="73">
        <f t="shared" si="10"/>
        <v>85609.756097560981</v>
      </c>
      <c r="G61" s="44" t="s">
        <v>221</v>
      </c>
      <c r="H61" s="1">
        <f>350*4</f>
        <v>1400</v>
      </c>
      <c r="I61" s="86" t="s">
        <v>217</v>
      </c>
      <c r="K61" s="3" t="s">
        <v>75</v>
      </c>
      <c r="L61" s="24">
        <v>0.46</v>
      </c>
      <c r="M61" s="5" t="s">
        <v>42</v>
      </c>
    </row>
    <row r="62" spans="1:35" ht="32.25" thickBot="1" x14ac:dyDescent="0.35">
      <c r="B62" s="3">
        <v>0.09</v>
      </c>
      <c r="C62" s="50">
        <f t="shared" si="9"/>
        <v>118006.94883133291</v>
      </c>
      <c r="D62" s="73">
        <v>129232</v>
      </c>
      <c r="E62" s="73">
        <f t="shared" si="10"/>
        <v>85609.756097560981</v>
      </c>
      <c r="G62" s="44" t="s">
        <v>222</v>
      </c>
      <c r="H62" s="135">
        <f>24*15/L65</f>
        <v>60.251046025104614</v>
      </c>
      <c r="I62" s="86" t="s">
        <v>217</v>
      </c>
      <c r="K62" s="8" t="s">
        <v>80</v>
      </c>
      <c r="L62" s="9">
        <v>1.08</v>
      </c>
      <c r="M62" s="10" t="s">
        <v>41</v>
      </c>
    </row>
    <row r="63" spans="1:35" x14ac:dyDescent="0.3">
      <c r="B63" s="3">
        <v>0.1</v>
      </c>
      <c r="C63" s="50">
        <f t="shared" si="9"/>
        <v>127229.94314592547</v>
      </c>
      <c r="D63" s="73">
        <v>129232</v>
      </c>
      <c r="E63" s="73">
        <f t="shared" si="10"/>
        <v>85609.756097560981</v>
      </c>
      <c r="G63" s="44" t="s">
        <v>224</v>
      </c>
      <c r="H63" s="133">
        <f>24*15/C28</f>
        <v>137.31722822631914</v>
      </c>
      <c r="I63" s="86" t="s">
        <v>217</v>
      </c>
      <c r="K63" s="31" t="s">
        <v>95</v>
      </c>
      <c r="L63" s="32">
        <v>47.8</v>
      </c>
      <c r="M63" s="33" t="s">
        <v>6</v>
      </c>
    </row>
    <row r="64" spans="1:35" ht="16.5" thickBot="1" x14ac:dyDescent="0.35">
      <c r="B64" s="3">
        <v>0.11</v>
      </c>
      <c r="C64" s="50">
        <f t="shared" si="9"/>
        <v>136452.93746051801</v>
      </c>
      <c r="D64" s="73">
        <v>129232</v>
      </c>
      <c r="E64" s="73">
        <f t="shared" si="10"/>
        <v>85609.756097560981</v>
      </c>
      <c r="G64" s="47" t="s">
        <v>225</v>
      </c>
      <c r="H64" s="134">
        <f>24*15/L28</f>
        <v>17.262737262737261</v>
      </c>
      <c r="I64" s="54" t="s">
        <v>217</v>
      </c>
      <c r="K64" s="34" t="s">
        <v>96</v>
      </c>
      <c r="L64" s="35">
        <v>0.45</v>
      </c>
      <c r="M64" s="36"/>
    </row>
    <row r="65" spans="2:15" ht="16.5" thickBot="1" x14ac:dyDescent="0.35">
      <c r="B65" s="3">
        <v>0.12</v>
      </c>
      <c r="C65" s="50">
        <f t="shared" si="9"/>
        <v>145675.93177511054</v>
      </c>
      <c r="D65" s="73">
        <v>129232</v>
      </c>
      <c r="E65" s="73">
        <f t="shared" si="10"/>
        <v>85609.756097560981</v>
      </c>
      <c r="G65" s="26" t="s">
        <v>235</v>
      </c>
      <c r="H65" s="93">
        <v>110</v>
      </c>
      <c r="I65" s="136" t="s">
        <v>217</v>
      </c>
      <c r="K65" s="37" t="s">
        <v>97</v>
      </c>
      <c r="L65" s="38">
        <f>L63*L64*1000/3600</f>
        <v>5.9749999999999988</v>
      </c>
      <c r="M65" s="39" t="s">
        <v>14</v>
      </c>
    </row>
    <row r="66" spans="2:15" ht="16.5" thickBot="1" x14ac:dyDescent="0.35">
      <c r="B66" s="3">
        <v>0.13</v>
      </c>
      <c r="C66" s="50">
        <f t="shared" si="9"/>
        <v>154898.92608970311</v>
      </c>
      <c r="D66" s="73">
        <v>129232</v>
      </c>
      <c r="E66" s="73">
        <f t="shared" si="10"/>
        <v>85609.756097560981</v>
      </c>
      <c r="G66" s="8" t="s">
        <v>236</v>
      </c>
      <c r="H66" s="30">
        <v>150</v>
      </c>
      <c r="I66" s="10"/>
      <c r="K66" s="40" t="s">
        <v>98</v>
      </c>
      <c r="L66" s="41">
        <f>L60*0.5/(L65+L60)</f>
        <v>2.6456778338622821E-2</v>
      </c>
      <c r="M66" s="42"/>
    </row>
    <row r="67" spans="2:15" ht="16.5" thickBot="1" x14ac:dyDescent="0.35">
      <c r="B67" s="3">
        <v>0.14000000000000001</v>
      </c>
      <c r="C67" s="50">
        <f t="shared" si="9"/>
        <v>164121.92040429564</v>
      </c>
      <c r="D67" s="73">
        <v>129232</v>
      </c>
      <c r="E67" s="73">
        <f t="shared" si="10"/>
        <v>85609.756097560981</v>
      </c>
      <c r="K67" s="80" t="s">
        <v>99</v>
      </c>
      <c r="L67" s="43">
        <f>L62/L60*L66</f>
        <v>8.559442332958786E-2</v>
      </c>
      <c r="M67" s="13"/>
    </row>
    <row r="68" spans="2:15" ht="16.5" thickBot="1" x14ac:dyDescent="0.35">
      <c r="B68" s="8">
        <v>0.15</v>
      </c>
      <c r="C68" s="58">
        <f t="shared" si="9"/>
        <v>173344.91471888818</v>
      </c>
      <c r="D68" s="74">
        <v>129232</v>
      </c>
      <c r="E68" s="74">
        <f t="shared" si="10"/>
        <v>85609.756097560981</v>
      </c>
    </row>
    <row r="69" spans="2:15" ht="16.5" thickBot="1" x14ac:dyDescent="0.35"/>
    <row r="70" spans="2:15" ht="16.5" thickBot="1" x14ac:dyDescent="0.35">
      <c r="B70" s="147" t="s">
        <v>92</v>
      </c>
      <c r="C70" s="148"/>
    </row>
    <row r="71" spans="2:15" ht="16.5" thickBot="1" x14ac:dyDescent="0.35">
      <c r="B71" s="15" t="s">
        <v>19</v>
      </c>
      <c r="C71" s="16">
        <v>1.19</v>
      </c>
      <c r="F71" s="80" t="s">
        <v>149</v>
      </c>
      <c r="G71" s="12" t="s">
        <v>150</v>
      </c>
      <c r="H71" s="13" t="s">
        <v>151</v>
      </c>
      <c r="K71" s="80" t="s">
        <v>149</v>
      </c>
      <c r="L71" s="12" t="s">
        <v>150</v>
      </c>
      <c r="M71" s="13" t="s">
        <v>151</v>
      </c>
    </row>
    <row r="72" spans="2:15" ht="16.5" thickBot="1" x14ac:dyDescent="0.35">
      <c r="B72" s="17" t="s">
        <v>20</v>
      </c>
      <c r="C72" s="18">
        <v>1.39</v>
      </c>
      <c r="F72" s="3" t="s">
        <v>19</v>
      </c>
      <c r="G72" s="1">
        <v>169</v>
      </c>
      <c r="H72" s="5" t="s">
        <v>152</v>
      </c>
      <c r="K72" s="3" t="s">
        <v>184</v>
      </c>
      <c r="L72" s="1">
        <v>4</v>
      </c>
      <c r="M72" s="5" t="s">
        <v>185</v>
      </c>
    </row>
    <row r="73" spans="2:15" ht="16.5" thickBot="1" x14ac:dyDescent="0.35">
      <c r="B73" s="17" t="s">
        <v>21</v>
      </c>
      <c r="C73" s="18">
        <v>1.33</v>
      </c>
      <c r="F73" s="3" t="s">
        <v>153</v>
      </c>
      <c r="G73" s="1">
        <v>44</v>
      </c>
      <c r="H73" s="5" t="s">
        <v>154</v>
      </c>
      <c r="K73" s="3" t="s">
        <v>28</v>
      </c>
      <c r="L73" s="1">
        <v>2</v>
      </c>
      <c r="M73" s="5" t="s">
        <v>186</v>
      </c>
    </row>
    <row r="74" spans="2:15" ht="16.5" thickBot="1" x14ac:dyDescent="0.35">
      <c r="B74" s="17" t="s">
        <v>22</v>
      </c>
      <c r="C74" s="18">
        <v>1.46</v>
      </c>
      <c r="F74" s="3" t="s">
        <v>20</v>
      </c>
      <c r="G74" s="1">
        <v>101</v>
      </c>
      <c r="H74" s="5" t="s">
        <v>155</v>
      </c>
      <c r="K74" s="3" t="s">
        <v>187</v>
      </c>
      <c r="L74" s="1">
        <v>5</v>
      </c>
      <c r="M74" s="5" t="s">
        <v>188</v>
      </c>
      <c r="O74" s="51"/>
    </row>
    <row r="75" spans="2:15" ht="16.5" thickBot="1" x14ac:dyDescent="0.35">
      <c r="B75" s="17" t="s">
        <v>23</v>
      </c>
      <c r="C75" s="18">
        <v>1.24</v>
      </c>
      <c r="F75" s="3"/>
      <c r="H75" s="5" t="s">
        <v>156</v>
      </c>
      <c r="K75" s="3" t="s">
        <v>189</v>
      </c>
      <c r="L75" s="1">
        <v>18</v>
      </c>
      <c r="M75" s="5" t="s">
        <v>190</v>
      </c>
      <c r="O75" s="51"/>
    </row>
    <row r="76" spans="2:15" ht="19.899999999999999" customHeight="1" thickBot="1" x14ac:dyDescent="0.35">
      <c r="B76" s="17" t="s">
        <v>24</v>
      </c>
      <c r="C76" s="18">
        <v>1.17</v>
      </c>
      <c r="D76" s="50"/>
      <c r="E76" s="50"/>
      <c r="F76" s="3" t="s">
        <v>157</v>
      </c>
      <c r="G76" s="1">
        <v>2</v>
      </c>
      <c r="H76" s="5"/>
      <c r="K76" s="3" t="s">
        <v>30</v>
      </c>
      <c r="L76" s="1">
        <v>21</v>
      </c>
      <c r="M76" s="5" t="s">
        <v>191</v>
      </c>
      <c r="O76" s="51"/>
    </row>
    <row r="77" spans="2:15" ht="16.5" thickBot="1" x14ac:dyDescent="0.35">
      <c r="B77" s="17" t="s">
        <v>25</v>
      </c>
      <c r="C77" s="18">
        <v>1.29</v>
      </c>
      <c r="D77" s="50"/>
      <c r="F77" s="3" t="s">
        <v>158</v>
      </c>
      <c r="G77" s="1">
        <v>114</v>
      </c>
      <c r="H77" s="5" t="s">
        <v>159</v>
      </c>
      <c r="K77" s="3" t="s">
        <v>29</v>
      </c>
      <c r="L77" s="1">
        <v>176</v>
      </c>
      <c r="M77" s="5" t="s">
        <v>192</v>
      </c>
      <c r="O77" s="51"/>
    </row>
    <row r="78" spans="2:15" ht="16.5" thickBot="1" x14ac:dyDescent="0.35">
      <c r="B78" s="17" t="s">
        <v>26</v>
      </c>
      <c r="C78" s="18">
        <v>1.49</v>
      </c>
      <c r="D78" s="50"/>
      <c r="F78" s="3" t="s">
        <v>160</v>
      </c>
      <c r="G78" s="1">
        <v>2</v>
      </c>
      <c r="H78" s="5" t="s">
        <v>161</v>
      </c>
      <c r="K78" s="3" t="s">
        <v>31</v>
      </c>
      <c r="L78" s="1">
        <v>23</v>
      </c>
      <c r="M78" s="5" t="s">
        <v>193</v>
      </c>
      <c r="O78" s="51"/>
    </row>
    <row r="79" spans="2:15" ht="16.5" thickBot="1" x14ac:dyDescent="0.35">
      <c r="B79" s="17" t="s">
        <v>27</v>
      </c>
      <c r="C79" s="18">
        <v>1.1399999999999999</v>
      </c>
      <c r="D79" s="50"/>
      <c r="F79" s="3" t="s">
        <v>162</v>
      </c>
      <c r="G79" s="1">
        <v>171</v>
      </c>
      <c r="H79" s="5" t="s">
        <v>163</v>
      </c>
      <c r="K79" s="3"/>
      <c r="M79" s="5" t="s">
        <v>194</v>
      </c>
      <c r="O79" s="51"/>
    </row>
    <row r="80" spans="2:15" ht="16.5" thickBot="1" x14ac:dyDescent="0.35">
      <c r="B80" s="17" t="s">
        <v>28</v>
      </c>
      <c r="C80" s="18">
        <v>1.1000000000000001</v>
      </c>
      <c r="D80" s="50"/>
      <c r="F80" s="3" t="s">
        <v>21</v>
      </c>
      <c r="G80" s="1">
        <v>17</v>
      </c>
      <c r="H80" s="5" t="s">
        <v>164</v>
      </c>
      <c r="K80" s="3" t="s">
        <v>32</v>
      </c>
      <c r="L80" s="1">
        <v>7</v>
      </c>
      <c r="M80" s="5" t="s">
        <v>195</v>
      </c>
      <c r="O80" s="51"/>
    </row>
    <row r="81" spans="2:15" ht="16.5" thickBot="1" x14ac:dyDescent="0.35">
      <c r="B81" s="17" t="s">
        <v>29</v>
      </c>
      <c r="C81" s="18">
        <v>1.35</v>
      </c>
      <c r="D81" s="50"/>
      <c r="F81" s="3" t="s">
        <v>165</v>
      </c>
      <c r="G81" s="1">
        <v>15</v>
      </c>
      <c r="H81" s="5" t="s">
        <v>166</v>
      </c>
      <c r="K81" s="3"/>
      <c r="M81" s="5" t="s">
        <v>196</v>
      </c>
      <c r="O81" s="51"/>
    </row>
    <row r="82" spans="2:15" ht="16.5" thickBot="1" x14ac:dyDescent="0.35">
      <c r="B82" s="17" t="s">
        <v>30</v>
      </c>
      <c r="C82" s="18">
        <v>1.62</v>
      </c>
      <c r="D82" s="50"/>
      <c r="F82" s="3"/>
      <c r="H82" s="5" t="s">
        <v>167</v>
      </c>
      <c r="K82" s="3" t="s">
        <v>197</v>
      </c>
      <c r="L82" s="1">
        <v>3</v>
      </c>
      <c r="M82" s="5" t="s">
        <v>198</v>
      </c>
      <c r="O82" s="51"/>
    </row>
    <row r="83" spans="2:15" ht="16.5" thickBot="1" x14ac:dyDescent="0.35">
      <c r="B83" s="17" t="s">
        <v>31</v>
      </c>
      <c r="C83" s="18">
        <v>1.1599999999999999</v>
      </c>
      <c r="D83" s="50"/>
      <c r="F83" s="3" t="s">
        <v>168</v>
      </c>
      <c r="G83" s="1">
        <v>39</v>
      </c>
      <c r="H83" s="5" t="s">
        <v>169</v>
      </c>
      <c r="K83" s="3" t="s">
        <v>199</v>
      </c>
      <c r="L83" s="1">
        <v>235</v>
      </c>
      <c r="M83" s="5" t="s">
        <v>200</v>
      </c>
      <c r="O83" s="51"/>
    </row>
    <row r="84" spans="2:15" ht="16.5" thickBot="1" x14ac:dyDescent="0.35">
      <c r="B84" s="17" t="s">
        <v>32</v>
      </c>
      <c r="C84" s="18">
        <v>1.39</v>
      </c>
      <c r="D84" s="50"/>
      <c r="F84" s="3"/>
      <c r="H84" s="5" t="s">
        <v>170</v>
      </c>
      <c r="K84" s="3" t="s">
        <v>201</v>
      </c>
      <c r="L84" s="1">
        <v>20</v>
      </c>
      <c r="M84" s="5" t="s">
        <v>202</v>
      </c>
    </row>
    <row r="85" spans="2:15" ht="16.5" thickBot="1" x14ac:dyDescent="0.35">
      <c r="B85" s="17" t="s">
        <v>33</v>
      </c>
      <c r="C85" s="18">
        <v>1.29</v>
      </c>
      <c r="D85" s="50"/>
      <c r="F85" s="3" t="s">
        <v>22</v>
      </c>
      <c r="G85" s="1">
        <v>77</v>
      </c>
      <c r="H85" s="5" t="s">
        <v>171</v>
      </c>
      <c r="K85" s="3" t="s">
        <v>33</v>
      </c>
      <c r="L85" s="1">
        <v>12</v>
      </c>
      <c r="M85" s="5" t="s">
        <v>203</v>
      </c>
    </row>
    <row r="86" spans="2:15" ht="16.5" thickBot="1" x14ac:dyDescent="0.35">
      <c r="B86" s="17" t="s">
        <v>34</v>
      </c>
      <c r="C86" s="18">
        <v>1.26</v>
      </c>
      <c r="D86" s="50"/>
      <c r="F86" s="3" t="s">
        <v>23</v>
      </c>
      <c r="G86" s="1">
        <v>868</v>
      </c>
      <c r="H86" s="5" t="s">
        <v>172</v>
      </c>
      <c r="K86" s="3" t="s">
        <v>34</v>
      </c>
      <c r="L86" s="1">
        <v>5</v>
      </c>
      <c r="M86" s="5" t="s">
        <v>204</v>
      </c>
    </row>
    <row r="87" spans="2:15" ht="16.5" thickBot="1" x14ac:dyDescent="0.35">
      <c r="B87" s="17" t="s">
        <v>35</v>
      </c>
      <c r="C87" s="18">
        <v>1.24</v>
      </c>
      <c r="F87" s="3"/>
      <c r="H87" s="5" t="s">
        <v>173</v>
      </c>
      <c r="K87" s="3" t="s">
        <v>35</v>
      </c>
      <c r="L87" s="1">
        <v>63</v>
      </c>
      <c r="M87" s="5" t="s">
        <v>198</v>
      </c>
    </row>
    <row r="88" spans="2:15" ht="16.5" thickBot="1" x14ac:dyDescent="0.35">
      <c r="B88" s="17" t="s">
        <v>36</v>
      </c>
      <c r="C88" s="18">
        <v>1.49</v>
      </c>
      <c r="F88" s="3" t="s">
        <v>174</v>
      </c>
      <c r="G88" s="1">
        <v>6</v>
      </c>
      <c r="H88" s="5" t="s">
        <v>175</v>
      </c>
      <c r="K88" s="3" t="s">
        <v>36</v>
      </c>
      <c r="L88" s="1">
        <v>174</v>
      </c>
      <c r="M88" s="5" t="s">
        <v>205</v>
      </c>
    </row>
    <row r="89" spans="2:15" ht="16.5" thickBot="1" x14ac:dyDescent="0.35">
      <c r="B89" s="17" t="s">
        <v>37</v>
      </c>
      <c r="C89" s="18">
        <v>1.28</v>
      </c>
      <c r="F89" s="3" t="s">
        <v>176</v>
      </c>
      <c r="G89" s="1">
        <v>15</v>
      </c>
      <c r="H89" s="5" t="s">
        <v>177</v>
      </c>
      <c r="K89" s="3"/>
      <c r="M89" s="5" t="s">
        <v>206</v>
      </c>
    </row>
    <row r="90" spans="2:15" ht="16.5" thickBot="1" x14ac:dyDescent="0.35">
      <c r="B90" s="19" t="s">
        <v>38</v>
      </c>
      <c r="C90" s="20">
        <v>1.49</v>
      </c>
      <c r="F90" s="3" t="s">
        <v>24</v>
      </c>
      <c r="G90" s="1">
        <v>18</v>
      </c>
      <c r="H90" s="5" t="s">
        <v>178</v>
      </c>
      <c r="K90" s="3" t="s">
        <v>37</v>
      </c>
      <c r="L90" s="1">
        <v>146</v>
      </c>
      <c r="M90" s="5" t="s">
        <v>207</v>
      </c>
    </row>
    <row r="91" spans="2:15" ht="16.5" thickBot="1" x14ac:dyDescent="0.35">
      <c r="C91" s="14">
        <f>AVERAGE(C71:C90)</f>
        <v>1.3184999999999998</v>
      </c>
      <c r="F91" s="3" t="s">
        <v>179</v>
      </c>
      <c r="G91" s="1">
        <v>5</v>
      </c>
      <c r="H91" s="5" t="s">
        <v>180</v>
      </c>
      <c r="K91" s="3" t="s">
        <v>208</v>
      </c>
      <c r="L91" s="1">
        <v>20</v>
      </c>
      <c r="M91" s="5" t="s">
        <v>209</v>
      </c>
    </row>
    <row r="92" spans="2:15" ht="16.5" thickBot="1" x14ac:dyDescent="0.35">
      <c r="F92" s="3" t="s">
        <v>26</v>
      </c>
      <c r="G92" s="1">
        <v>1044</v>
      </c>
      <c r="H92" s="5" t="s">
        <v>181</v>
      </c>
      <c r="K92" s="8" t="s">
        <v>210</v>
      </c>
      <c r="L92" s="30">
        <v>205</v>
      </c>
      <c r="M92" s="10" t="s">
        <v>211</v>
      </c>
    </row>
    <row r="93" spans="2:15" ht="16.5" thickBot="1" x14ac:dyDescent="0.35">
      <c r="B93" s="147" t="s">
        <v>148</v>
      </c>
      <c r="C93" s="148"/>
      <c r="F93" s="3" t="s">
        <v>182</v>
      </c>
      <c r="G93" s="1">
        <v>2</v>
      </c>
      <c r="H93" s="5" t="s">
        <v>183</v>
      </c>
      <c r="K93" s="50"/>
      <c r="L93" s="51"/>
    </row>
    <row r="94" spans="2:15" ht="16.5" thickBot="1" x14ac:dyDescent="0.35">
      <c r="B94" s="19" t="s">
        <v>29</v>
      </c>
      <c r="C94" s="81">
        <v>1.1299999999999999</v>
      </c>
    </row>
    <row r="95" spans="2:15" ht="16.5" thickBot="1" x14ac:dyDescent="0.35">
      <c r="B95" s="19" t="s">
        <v>29</v>
      </c>
      <c r="C95" s="81">
        <v>1.1299999999999999</v>
      </c>
    </row>
    <row r="101" spans="10:11" x14ac:dyDescent="0.3">
      <c r="J101" s="50"/>
      <c r="K101" s="51"/>
    </row>
    <row r="117" spans="7:14" x14ac:dyDescent="0.3">
      <c r="G117" s="50"/>
      <c r="H117" s="51"/>
    </row>
    <row r="118" spans="7:14" x14ac:dyDescent="0.3">
      <c r="G118" s="50"/>
      <c r="H118" s="51"/>
    </row>
    <row r="119" spans="7:14" x14ac:dyDescent="0.3">
      <c r="G119" s="50"/>
      <c r="H119" s="51"/>
    </row>
    <row r="120" spans="7:14" x14ac:dyDescent="0.3">
      <c r="G120" s="50"/>
      <c r="H120" s="51"/>
      <c r="N120" s="1" t="s">
        <v>116</v>
      </c>
    </row>
    <row r="121" spans="7:14" x14ac:dyDescent="0.3">
      <c r="G121" s="50"/>
      <c r="H121" s="51"/>
    </row>
  </sheetData>
  <mergeCells count="22">
    <mergeCell ref="C2:P2"/>
    <mergeCell ref="P20:R20"/>
    <mergeCell ref="B93:C93"/>
    <mergeCell ref="B33:D33"/>
    <mergeCell ref="B70:C70"/>
    <mergeCell ref="K52:M52"/>
    <mergeCell ref="G33:I33"/>
    <mergeCell ref="G46:I46"/>
    <mergeCell ref="G47:I47"/>
    <mergeCell ref="G51:I51"/>
    <mergeCell ref="B46:D46"/>
    <mergeCell ref="B47:D47"/>
    <mergeCell ref="G53:I53"/>
    <mergeCell ref="G54:I54"/>
    <mergeCell ref="P34:R34"/>
    <mergeCell ref="O50:U50"/>
    <mergeCell ref="B20:D20"/>
    <mergeCell ref="L3:M3"/>
    <mergeCell ref="G20:I20"/>
    <mergeCell ref="K20:M20"/>
    <mergeCell ref="K33:M33"/>
    <mergeCell ref="N3:O3"/>
  </mergeCells>
  <conditionalFormatting sqref="C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P12 C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S7" r:id="rId1" xr:uid="{8D1B1BC9-9D17-492D-A93B-46CBBC9307DC}"/>
    <hyperlink ref="S8" r:id="rId2" xr:uid="{FCB6AD9A-62E1-4CD2-847E-8EF8AB466D74}"/>
    <hyperlink ref="S9" r:id="rId3" xr:uid="{C4FEB709-73B8-4E2B-8FA5-DCE6142B2D8F}"/>
    <hyperlink ref="S10" r:id="rId4" xr:uid="{A8F25465-0104-45E5-9CCB-03E01800549F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Main</vt:lpstr>
      <vt:lpstr>axl</vt:lpstr>
      <vt:lpstr>cs</vt:lpstr>
      <vt:lpstr>de</vt:lpstr>
      <vt:lpstr>diesel</vt:lpstr>
      <vt:lpstr>ge</vt:lpstr>
      <vt:lpstr>hf</vt:lpstr>
      <vt:lpstr>li</vt:lpstr>
      <vt:lpstr>lin</vt:lpstr>
      <vt:lpstr>lng</vt:lpstr>
      <vt:lpstr>orc</vt:lpstr>
      <vt:lpstr>pem</vt:lpstr>
      <vt:lpstr>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Khorshidi</dc:creator>
  <cp:lastModifiedBy>Vahid Khorshidi</cp:lastModifiedBy>
  <dcterms:created xsi:type="dcterms:W3CDTF">2019-04-29T07:19:07Z</dcterms:created>
  <dcterms:modified xsi:type="dcterms:W3CDTF">2025-05-01T09:44:53Z</dcterms:modified>
</cp:coreProperties>
</file>