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A73F2195-5519-4517-873F-1B770F8D2EE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1" i="1" l="1"/>
  <c r="V16" i="1"/>
  <c r="D8" i="1"/>
  <c r="D10" i="1" s="1"/>
  <c r="D11" i="1" s="1"/>
  <c r="D12" i="1" s="1"/>
  <c r="Z10" i="1"/>
  <c r="D13" i="1" l="1"/>
  <c r="G5" i="1"/>
  <c r="G8" i="1"/>
  <c r="G10" i="1" s="1"/>
  <c r="G11" i="1" s="1"/>
  <c r="G13" i="1" s="1"/>
  <c r="E8" i="1"/>
  <c r="G9" i="1" l="1"/>
  <c r="G12" i="1"/>
  <c r="G14" i="1"/>
  <c r="D5" i="1" l="1"/>
  <c r="Z18" i="1"/>
  <c r="Z12" i="1" s="1"/>
  <c r="K8" i="1"/>
  <c r="K10" i="1" s="1"/>
  <c r="K11" i="1" s="1"/>
  <c r="K13" i="1" s="1"/>
  <c r="J8" i="1"/>
  <c r="J10" i="1" s="1"/>
  <c r="J11" i="1" s="1"/>
  <c r="J13" i="1" s="1"/>
  <c r="F25" i="1" s="1"/>
  <c r="F8" i="1"/>
  <c r="F10" i="1" s="1"/>
  <c r="F11" i="1" s="1"/>
  <c r="F13" i="1" s="1"/>
  <c r="M8" i="1"/>
  <c r="M10" i="1" s="1"/>
  <c r="M11" i="1" s="1"/>
  <c r="M13" i="1" s="1"/>
  <c r="P8" i="1"/>
  <c r="P10" i="1" s="1"/>
  <c r="P11" i="1" s="1"/>
  <c r="P13" i="1" s="1"/>
  <c r="Q8" i="1"/>
  <c r="Q10" i="1" s="1"/>
  <c r="Q11" i="1" s="1"/>
  <c r="Q13" i="1" s="1"/>
  <c r="S8" i="1"/>
  <c r="S10" i="1" s="1"/>
  <c r="S11" i="1" s="1"/>
  <c r="S13" i="1" s="1"/>
  <c r="E10" i="1"/>
  <c r="O8" i="1"/>
  <c r="O10" i="1" s="1"/>
  <c r="O11" i="1" s="1"/>
  <c r="O13" i="1" s="1"/>
  <c r="R8" i="1"/>
  <c r="R10" i="1" s="1"/>
  <c r="R11" i="1" s="1"/>
  <c r="R13" i="1" s="1"/>
  <c r="H8" i="1"/>
  <c r="H10" i="1" s="1"/>
  <c r="H11" i="1" s="1"/>
  <c r="H13" i="1" s="1"/>
  <c r="I8" i="1"/>
  <c r="I10" i="1" s="1"/>
  <c r="I11" i="1" s="1"/>
  <c r="I13" i="1" s="1"/>
  <c r="L8" i="1"/>
  <c r="L10" i="1" s="1"/>
  <c r="L11" i="1" s="1"/>
  <c r="L13" i="1" s="1"/>
  <c r="N8" i="1"/>
  <c r="N10" i="1" s="1"/>
  <c r="N11" i="1" s="1"/>
  <c r="N13" i="1" s="1"/>
  <c r="E5" i="1"/>
  <c r="F5" i="1"/>
  <c r="H5" i="1"/>
  <c r="I5" i="1"/>
  <c r="J5" i="1"/>
  <c r="K5" i="1"/>
  <c r="L5" i="1"/>
  <c r="M5" i="1"/>
  <c r="N5" i="1"/>
  <c r="O5" i="1"/>
  <c r="P5" i="1"/>
  <c r="Q5" i="1"/>
  <c r="R5" i="1"/>
  <c r="S5" i="1"/>
  <c r="H25" i="1" l="1"/>
  <c r="I25" i="1"/>
  <c r="J25" i="1"/>
  <c r="K25" i="1"/>
  <c r="G25" i="1"/>
  <c r="D25" i="1"/>
  <c r="E25" i="1"/>
  <c r="G15" i="1"/>
  <c r="D15" i="1"/>
  <c r="J14" i="1"/>
  <c r="K23" i="1" s="1"/>
  <c r="L9" i="1"/>
  <c r="O14" i="1"/>
  <c r="H14" i="1"/>
  <c r="M14" i="1"/>
  <c r="N14" i="1"/>
  <c r="R14" i="1"/>
  <c r="S14" i="1"/>
  <c r="F14" i="1"/>
  <c r="L14" i="1"/>
  <c r="Q14" i="1"/>
  <c r="J12" i="1"/>
  <c r="J15" i="1" s="1"/>
  <c r="F24" i="1" s="1"/>
  <c r="I14" i="1"/>
  <c r="E11" i="1"/>
  <c r="E13" i="1" s="1"/>
  <c r="P14" i="1"/>
  <c r="K14" i="1"/>
  <c r="Q12" i="1"/>
  <c r="Q15" i="1" s="1"/>
  <c r="H12" i="1"/>
  <c r="H15" i="1" s="1"/>
  <c r="N12" i="1"/>
  <c r="N15" i="1" s="1"/>
  <c r="D9" i="1"/>
  <c r="H9" i="1"/>
  <c r="M12" i="1"/>
  <c r="M15" i="1" s="1"/>
  <c r="I12" i="1"/>
  <c r="I15" i="1" s="1"/>
  <c r="L12" i="1"/>
  <c r="L15" i="1" s="1"/>
  <c r="S9" i="1"/>
  <c r="O9" i="1"/>
  <c r="K9" i="1"/>
  <c r="F9" i="1"/>
  <c r="P9" i="1"/>
  <c r="R12" i="1"/>
  <c r="R15" i="1" s="1"/>
  <c r="E12" i="1"/>
  <c r="E15" i="1" s="1"/>
  <c r="P12" i="1"/>
  <c r="P15" i="1" s="1"/>
  <c r="R9" i="1"/>
  <c r="N9" i="1"/>
  <c r="J9" i="1"/>
  <c r="E9" i="1"/>
  <c r="Q9" i="1"/>
  <c r="M9" i="1"/>
  <c r="I9" i="1"/>
  <c r="H24" i="1" l="1"/>
  <c r="D24" i="1"/>
  <c r="D16" i="1" s="1"/>
  <c r="G24" i="1"/>
  <c r="K24" i="1"/>
  <c r="I24" i="1"/>
  <c r="J24" i="1"/>
  <c r="E24" i="1"/>
  <c r="E23" i="1"/>
  <c r="J23" i="1"/>
  <c r="F23" i="1"/>
  <c r="G23" i="1"/>
  <c r="D23" i="1"/>
  <c r="I23" i="1"/>
  <c r="H23" i="1"/>
  <c r="D14" i="1"/>
  <c r="E14" i="1"/>
  <c r="K12" i="1"/>
  <c r="K15" i="1" s="1"/>
  <c r="S12" i="1"/>
  <c r="S15" i="1" s="1"/>
  <c r="F12" i="1"/>
  <c r="F15" i="1" s="1"/>
  <c r="O12" i="1"/>
  <c r="O15" i="1" s="1"/>
  <c r="Q17" i="1" l="1"/>
  <c r="J16" i="1"/>
  <c r="G16" i="1"/>
  <c r="S17" i="1"/>
  <c r="O16" i="1"/>
  <c r="E16" i="1"/>
  <c r="N16" i="1"/>
  <c r="I16" i="1"/>
  <c r="P16" i="1"/>
  <c r="L17" i="1"/>
  <c r="H16" i="1"/>
  <c r="K16" i="1"/>
  <c r="J17" i="1"/>
  <c r="K18" i="1"/>
  <c r="G18" i="1"/>
  <c r="P17" i="1"/>
  <c r="G17" i="1"/>
  <c r="F17" i="1"/>
  <c r="L18" i="1"/>
  <c r="O17" i="1"/>
  <c r="D17" i="1"/>
  <c r="D18" i="1"/>
  <c r="J18" i="1"/>
  <c r="K17" i="1"/>
  <c r="S16" i="1"/>
  <c r="N18" i="1"/>
  <c r="R18" i="1"/>
  <c r="I17" i="1"/>
  <c r="H17" i="1"/>
  <c r="F18" i="1"/>
  <c r="M17" i="1"/>
  <c r="E17" i="1"/>
  <c r="P18" i="1"/>
  <c r="Q16" i="1"/>
  <c r="S18" i="1"/>
  <c r="R16" i="1"/>
  <c r="I18" i="1"/>
  <c r="M18" i="1"/>
  <c r="E18" i="1"/>
  <c r="L16" i="1"/>
  <c r="N17" i="1"/>
  <c r="R17" i="1"/>
  <c r="O18" i="1"/>
  <c r="H18" i="1"/>
  <c r="F16" i="1"/>
  <c r="M16" i="1"/>
  <c r="Q18" i="1"/>
</calcChain>
</file>

<file path=xl/sharedStrings.xml><?xml version="1.0" encoding="utf-8"?>
<sst xmlns="http://schemas.openxmlformats.org/spreadsheetml/2006/main" count="102" uniqueCount="91">
  <si>
    <t>Location</t>
  </si>
  <si>
    <t>Madrid</t>
  </si>
  <si>
    <t>Global Horizontal Irridiation (KWh/m2/year)</t>
  </si>
  <si>
    <t>Oslo</t>
  </si>
  <si>
    <t>Nordborg</t>
  </si>
  <si>
    <t>Delft</t>
  </si>
  <si>
    <t>Milan</t>
  </si>
  <si>
    <t>Amman</t>
  </si>
  <si>
    <t>Doha</t>
  </si>
  <si>
    <t>New Dehli</t>
  </si>
  <si>
    <t>Canbera</t>
  </si>
  <si>
    <t>Hong Kong</t>
  </si>
  <si>
    <t>Cape town</t>
  </si>
  <si>
    <t>Ames</t>
  </si>
  <si>
    <t>Mexico City</t>
  </si>
  <si>
    <t>Atacama</t>
  </si>
  <si>
    <t>George Town</t>
  </si>
  <si>
    <t>Equivalent sun hours(h/day)</t>
  </si>
  <si>
    <r>
      <t>Average Air Temperature(</t>
    </r>
    <r>
      <rPr>
        <b/>
        <sz val="11"/>
        <color theme="1"/>
        <rFont val="Minion Pro"/>
        <family val="1"/>
      </rPr>
      <t>º</t>
    </r>
    <r>
      <rPr>
        <b/>
        <sz val="11"/>
        <color theme="1"/>
        <rFont val="Calibri"/>
        <family val="2"/>
        <scheme val="minor"/>
      </rPr>
      <t>C)(Near surface)</t>
    </r>
  </si>
  <si>
    <t>Assumptions and calculations</t>
  </si>
  <si>
    <t>-</t>
  </si>
  <si>
    <r>
      <t>PV module efficiency(</t>
    </r>
    <r>
      <rPr>
        <sz val="11"/>
        <color theme="1"/>
        <rFont val="Minion Pro"/>
        <family val="1"/>
      </rPr>
      <t>η</t>
    </r>
    <r>
      <rPr>
        <sz val="11"/>
        <color theme="1"/>
        <rFont val="Calibri"/>
        <family val="2"/>
        <scheme val="minor"/>
      </rPr>
      <t>)</t>
    </r>
  </si>
  <si>
    <r>
      <t>Area efficiency(</t>
    </r>
    <r>
      <rPr>
        <sz val="11"/>
        <color theme="1"/>
        <rFont val="Minion Pro"/>
        <family val="1"/>
      </rPr>
      <t>η</t>
    </r>
    <r>
      <rPr>
        <sz val="11"/>
        <color theme="1"/>
        <rFont val="Calibri"/>
        <family val="2"/>
        <scheme val="minor"/>
      </rPr>
      <t>)</t>
    </r>
  </si>
  <si>
    <r>
      <t>Electrical components efficiency(</t>
    </r>
    <r>
      <rPr>
        <sz val="11"/>
        <color theme="1"/>
        <rFont val="Minion Pro"/>
        <family val="1"/>
      </rPr>
      <t>η</t>
    </r>
    <r>
      <rPr>
        <sz val="11"/>
        <color theme="1"/>
        <rFont val="Calibri"/>
        <family val="2"/>
        <scheme val="minor"/>
      </rPr>
      <t>)</t>
    </r>
  </si>
  <si>
    <t>Temperature linear dependance constant</t>
  </si>
  <si>
    <r>
      <t>1/</t>
    </r>
    <r>
      <rPr>
        <sz val="11"/>
        <color theme="1"/>
        <rFont val="Minion Pro"/>
        <family val="1"/>
      </rPr>
      <t>ºC</t>
    </r>
  </si>
  <si>
    <t>Refrences</t>
  </si>
  <si>
    <t>GHI</t>
  </si>
  <si>
    <t>Global solar atlas</t>
  </si>
  <si>
    <t>Average T</t>
  </si>
  <si>
    <t>Effect of Temp at highest mean of months</t>
  </si>
  <si>
    <r>
      <t>Average high Temp in year(</t>
    </r>
    <r>
      <rPr>
        <b/>
        <sz val="11"/>
        <color theme="1"/>
        <rFont val="Minion Pro"/>
        <family val="1"/>
      </rPr>
      <t>º</t>
    </r>
    <r>
      <rPr>
        <b/>
        <sz val="11"/>
        <color theme="1"/>
        <rFont val="Calibri"/>
        <family val="2"/>
        <scheme val="minor"/>
      </rPr>
      <t>C)(Near surface)</t>
    </r>
  </si>
  <si>
    <t>Average high</t>
  </si>
  <si>
    <t>weatherspark</t>
  </si>
  <si>
    <t>Average Electricity Production(KWh/year/m2)</t>
  </si>
  <si>
    <t>Average Electricity Production(KWh/day/m2)</t>
  </si>
  <si>
    <t>PV module cost</t>
  </si>
  <si>
    <t>€/kWp</t>
  </si>
  <si>
    <t>Miro Zeman</t>
  </si>
  <si>
    <t>Cost</t>
  </si>
  <si>
    <t>C-Si</t>
  </si>
  <si>
    <t>95% market share</t>
  </si>
  <si>
    <t>Inverter, scaffold and profit of installer</t>
  </si>
  <si>
    <t>Mounting stands, cables, installation cost</t>
  </si>
  <si>
    <t>Producing hours at KWp</t>
  </si>
  <si>
    <t>Average price of electricity EU28</t>
  </si>
  <si>
    <t>€/kWh</t>
  </si>
  <si>
    <t xml:space="preserve">Cost </t>
  </si>
  <si>
    <t>Fraunhofer PV report 2019</t>
  </si>
  <si>
    <t>CO2 equivalent per KWh</t>
  </si>
  <si>
    <t>CO2 emission reduced in 5 year(ton CO2)</t>
  </si>
  <si>
    <t>LiN Evaporation</t>
  </si>
  <si>
    <t>LiN Dearman</t>
  </si>
  <si>
    <t>LNG Evaporation</t>
  </si>
  <si>
    <t>Payback time of PV system for each TRU technology (years)</t>
  </si>
  <si>
    <t>Alternative driven</t>
  </si>
  <si>
    <t>PEM-FC</t>
  </si>
  <si>
    <t>Auxilary diesel</t>
  </si>
  <si>
    <t>Average efficiency temperature corrected(-)</t>
  </si>
  <si>
    <t>m2</t>
  </si>
  <si>
    <t>Total cost per KWp</t>
  </si>
  <si>
    <t>Total area of TRU roof 53 ft container</t>
  </si>
  <si>
    <t>Total cooling for PV-TRU in 5 years(KWh cooling/TRU/5 year)</t>
  </si>
  <si>
    <t>Production per TRU in 1 year(KWh/TRU/year)</t>
  </si>
  <si>
    <t xml:space="preserve">COP </t>
  </si>
  <si>
    <t>Auxillary</t>
  </si>
  <si>
    <t>Cost per unit of Cooling (€/KWh)</t>
  </si>
  <si>
    <t>Equivalent price of KWh produced onboard over ayear(TRUs roof)(€/KWp)</t>
  </si>
  <si>
    <t>Payback time of PV system for Li-Ion TRUs (years)</t>
  </si>
  <si>
    <t>Payback time of PV system diesel TRUs (years)</t>
  </si>
  <si>
    <t>Payback time of PV system LiN TRUs (years)</t>
  </si>
  <si>
    <t>Paris</t>
  </si>
  <si>
    <t>WTW Battery efficiency</t>
  </si>
  <si>
    <t xml:space="preserve">Average value of electricity  delivered onboard(WTW considered)-Li-Ion </t>
  </si>
  <si>
    <t>Value of electricity produced onboard(TRUs roof)(€/1 year/TRU unit )</t>
  </si>
  <si>
    <t>Area of truck avalable</t>
  </si>
  <si>
    <t>STC_ Standard condition for PV</t>
  </si>
  <si>
    <t>W/m2</t>
  </si>
  <si>
    <t xml:space="preserve">Temperature </t>
  </si>
  <si>
    <t>C</t>
  </si>
  <si>
    <t>KWh/day    =   KWp  *  ESH</t>
  </si>
  <si>
    <t xml:space="preserve">How many m2 gives 1 KWp  = </t>
  </si>
  <si>
    <t>Irridiation</t>
  </si>
  <si>
    <t>Total cost of PV/TRU</t>
  </si>
  <si>
    <t>Kg CO2/kWh</t>
  </si>
  <si>
    <t>(-)</t>
  </si>
  <si>
    <t>Payback time of PV system LNG  TRUs (years)</t>
  </si>
  <si>
    <t>Electric (Li-Ion)</t>
  </si>
  <si>
    <t xml:space="preserve">Technology evluation based on different scenarios for Hong King(Average irridiation range) </t>
  </si>
  <si>
    <t xml:space="preserve">Greenhouse gas emissions(T CO2 Equivalent/5 years/TRU)) </t>
  </si>
  <si>
    <t>LNG Evaporation +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</si>
</sst>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00"/>
    <numFmt numFmtId="165" formatCode="0.0"/>
    <numFmt numFmtId="166" formatCode="[$€-2]\ #,##0;[Red]\-[$€-2]\ #,##0"/>
    <numFmt numFmtId="167" formatCode="[$€-2]\ #,##0.000;[Red]\-[$€-2]\ #,##0.000"/>
    <numFmt numFmtId="168" formatCode="[$€-2]\ #,##0.00;[Red][$€-2]\ \-#,##0.00"/>
    <numFmt numFmtId="169" formatCode="0.0000"/>
  </numFmts>
  <fonts count="16" x14ac:knownFonts="1">
    <font>
      <sz val="11"/>
      <color theme="1"/>
      <name val="Calibri"/>
      <family val="2"/>
      <scheme val="minor"/>
    </font>
    <font>
      <sz val="11"/>
      <color rgb="FF9C5700"/>
      <name val="Minion Pro"/>
      <family val="2"/>
    </font>
    <font>
      <b/>
      <sz val="11"/>
      <color rgb="FFFA7D00"/>
      <name val="Minion Pro"/>
      <family val="2"/>
    </font>
    <font>
      <b/>
      <sz val="11"/>
      <color theme="1"/>
      <name val="Calibri"/>
      <family val="2"/>
      <scheme val="minor"/>
    </font>
    <font>
      <sz val="11"/>
      <color theme="1"/>
      <name val="Minion Pro"/>
      <family val="1"/>
    </font>
    <font>
      <b/>
      <sz val="11"/>
      <color theme="1"/>
      <name val="Minion Pro"/>
      <family val="1"/>
    </font>
    <font>
      <b/>
      <i/>
      <sz val="12"/>
      <color rgb="FFFA7D00"/>
      <name val="Minion Pro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1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0" fillId="8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7" fillId="10" borderId="3" xfId="0" applyNumberFormat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8" borderId="6" xfId="0" applyNumberFormat="1" applyFill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8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168" fontId="11" fillId="8" borderId="4" xfId="0" applyNumberFormat="1" applyFont="1" applyFill="1" applyBorder="1" applyAlignment="1">
      <alignment horizontal="center" vertical="center"/>
    </xf>
    <xf numFmtId="166" fontId="12" fillId="12" borderId="11" xfId="0" applyNumberFormat="1" applyFont="1" applyFill="1" applyBorder="1" applyAlignment="1">
      <alignment horizontal="center" vertical="center"/>
    </xf>
    <xf numFmtId="2" fontId="8" fillId="10" borderId="3" xfId="0" applyNumberFormat="1" applyFont="1" applyFill="1" applyBorder="1" applyAlignment="1">
      <alignment horizontal="center" vertical="center"/>
    </xf>
    <xf numFmtId="2" fontId="13" fillId="6" borderId="8" xfId="0" applyNumberFormat="1" applyFont="1" applyFill="1" applyBorder="1" applyAlignment="1">
      <alignment horizontal="center" vertical="center"/>
    </xf>
    <xf numFmtId="2" fontId="13" fillId="6" borderId="0" xfId="0" applyNumberFormat="1" applyFont="1" applyFill="1" applyAlignment="1">
      <alignment horizontal="center" vertical="center"/>
    </xf>
    <xf numFmtId="2" fontId="13" fillId="6" borderId="9" xfId="0" applyNumberFormat="1" applyFont="1" applyFill="1" applyBorder="1" applyAlignment="1">
      <alignment horizontal="center" vertical="center"/>
    </xf>
    <xf numFmtId="165" fontId="0" fillId="8" borderId="13" xfId="0" applyNumberFormat="1" applyFill="1" applyBorder="1" applyAlignment="1">
      <alignment horizontal="center" vertical="center"/>
    </xf>
    <xf numFmtId="165" fontId="0" fillId="8" borderId="14" xfId="0" applyNumberFormat="1" applyFill="1" applyBorder="1" applyAlignment="1">
      <alignment horizontal="center" vertical="center"/>
    </xf>
    <xf numFmtId="164" fontId="0" fillId="8" borderId="14" xfId="0" applyNumberFormat="1" applyFill="1" applyBorder="1" applyAlignment="1">
      <alignment horizontal="center" vertical="center"/>
    </xf>
    <xf numFmtId="2" fontId="8" fillId="10" borderId="23" xfId="0" applyNumberFormat="1" applyFont="1" applyFill="1" applyBorder="1" applyAlignment="1">
      <alignment horizontal="center" vertical="center"/>
    </xf>
    <xf numFmtId="164" fontId="7" fillId="10" borderId="23" xfId="0" applyNumberFormat="1" applyFont="1" applyFill="1" applyBorder="1" applyAlignment="1">
      <alignment horizontal="center" vertical="center"/>
    </xf>
    <xf numFmtId="2" fontId="0" fillId="8" borderId="14" xfId="0" applyNumberFormat="1" applyFill="1" applyBorder="1" applyAlignment="1">
      <alignment horizontal="center" vertical="center"/>
    </xf>
    <xf numFmtId="164" fontId="3" fillId="12" borderId="12" xfId="0" applyNumberFormat="1" applyFont="1" applyFill="1" applyBorder="1" applyAlignment="1">
      <alignment horizontal="center" vertical="center"/>
    </xf>
    <xf numFmtId="169" fontId="14" fillId="11" borderId="6" xfId="0" applyNumberFormat="1" applyFont="1" applyFill="1" applyBorder="1" applyAlignment="1">
      <alignment horizontal="center" vertical="center"/>
    </xf>
    <xf numFmtId="169" fontId="14" fillId="11" borderId="7" xfId="0" applyNumberFormat="1" applyFont="1" applyFill="1" applyBorder="1" applyAlignment="1">
      <alignment horizontal="center" vertical="center"/>
    </xf>
    <xf numFmtId="2" fontId="14" fillId="11" borderId="8" xfId="0" applyNumberFormat="1" applyFont="1" applyFill="1" applyBorder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2" fontId="14" fillId="11" borderId="9" xfId="0" applyNumberFormat="1" applyFont="1" applyFill="1" applyBorder="1" applyAlignment="1">
      <alignment horizontal="center" vertical="center"/>
    </xf>
    <xf numFmtId="165" fontId="14" fillId="11" borderId="10" xfId="0" applyNumberFormat="1" applyFont="1" applyFill="1" applyBorder="1" applyAlignment="1">
      <alignment horizontal="center" vertical="center"/>
    </xf>
    <xf numFmtId="165" fontId="14" fillId="11" borderId="11" xfId="0" applyNumberFormat="1" applyFont="1" applyFill="1" applyBorder="1" applyAlignment="1">
      <alignment horizontal="center" vertical="center"/>
    </xf>
    <xf numFmtId="165" fontId="14" fillId="11" borderId="12" xfId="0" applyNumberFormat="1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164" fontId="15" fillId="0" borderId="2" xfId="0" applyNumberFormat="1" applyFont="1" applyBorder="1" applyAlignment="1">
      <alignment horizontal="center" vertical="center"/>
    </xf>
    <xf numFmtId="164" fontId="15" fillId="8" borderId="3" xfId="0" applyNumberFormat="1" applyFont="1" applyFill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8" borderId="23" xfId="0" applyNumberFormat="1" applyFont="1" applyFill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2" fontId="8" fillId="10" borderId="4" xfId="0" applyNumberFormat="1" applyFont="1" applyFill="1" applyBorder="1" applyAlignment="1">
      <alignment horizontal="center" vertical="center"/>
    </xf>
    <xf numFmtId="164" fontId="7" fillId="10" borderId="4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169" fontId="14" fillId="11" borderId="5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6" fillId="4" borderId="20" xfId="2" applyFont="1" applyBorder="1" applyAlignment="1">
      <alignment horizontal="center" vertical="center"/>
    </xf>
    <xf numFmtId="0" fontId="6" fillId="4" borderId="21" xfId="2" applyFont="1" applyBorder="1" applyAlignment="1">
      <alignment horizontal="center" vertical="center"/>
    </xf>
    <xf numFmtId="0" fontId="6" fillId="4" borderId="22" xfId="2" applyFont="1" applyBorder="1" applyAlignment="1">
      <alignment horizontal="center" vertical="center"/>
    </xf>
    <xf numFmtId="0" fontId="6" fillId="4" borderId="17" xfId="2" applyFont="1" applyBorder="1" applyAlignment="1">
      <alignment horizontal="center" vertical="center"/>
    </xf>
    <xf numFmtId="0" fontId="6" fillId="4" borderId="18" xfId="2" applyFont="1" applyBorder="1" applyAlignment="1">
      <alignment horizontal="center" vertical="center"/>
    </xf>
    <xf numFmtId="0" fontId="6" fillId="4" borderId="19" xfId="2" applyFont="1" applyBorder="1" applyAlignment="1">
      <alignment horizontal="center" vertical="center"/>
    </xf>
    <xf numFmtId="0" fontId="1" fillId="3" borderId="20" xfId="1" applyBorder="1" applyAlignment="1">
      <alignment horizontal="center" vertical="center" wrapText="1"/>
    </xf>
    <xf numFmtId="0" fontId="1" fillId="3" borderId="2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6" fillId="4" borderId="16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B85FC5A3-B889-4169-A591-9A1F389646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a-DK" sz="1400" b="1" i="0" u="none" strike="noStrike" baseline="0">
                <a:effectLst/>
              </a:rPr>
              <a:t>Payback time of PV system for each TRU technology (years)</a:t>
            </a:r>
            <a:r>
              <a:rPr lang="da-DK" sz="14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in Hong Kong</a:t>
            </a:r>
          </a:p>
        </c:rich>
      </c:tx>
      <c:layout>
        <c:manualLayout>
          <c:xMode val="edge"/>
          <c:yMode val="edge"/>
          <c:x val="0.1757502395367016"/>
          <c:y val="6.5993762884187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585762720977759"/>
          <c:y val="0.21712868062848373"/>
          <c:w val="0.8538540723996616"/>
          <c:h val="0.51109174307294614"/>
        </c:manualLayout>
      </c:layout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Calc!$D$21:$J$21</c:f>
              <c:strCache>
                <c:ptCount val="7"/>
                <c:pt idx="0">
                  <c:v>Auxilary diesel</c:v>
                </c:pt>
                <c:pt idx="1">
                  <c:v>Alternative driven</c:v>
                </c:pt>
                <c:pt idx="2">
                  <c:v>Electric (Li-Ion)</c:v>
                </c:pt>
                <c:pt idx="3">
                  <c:v>PEM-FC</c:v>
                </c:pt>
                <c:pt idx="4">
                  <c:v>LiN Evaporation</c:v>
                </c:pt>
                <c:pt idx="5">
                  <c:v>LiN Dearman</c:v>
                </c:pt>
                <c:pt idx="6">
                  <c:v>LNG Evaporation</c:v>
                </c:pt>
              </c:strCache>
            </c:strRef>
          </c:cat>
          <c:val>
            <c:numRef>
              <c:f>Calc!$D$24:$J$24</c:f>
              <c:numCache>
                <c:formatCode>0.00</c:formatCode>
                <c:ptCount val="7"/>
                <c:pt idx="0">
                  <c:v>2.0842372194862882</c:v>
                </c:pt>
                <c:pt idx="1">
                  <c:v>2.7095083853321746</c:v>
                </c:pt>
                <c:pt idx="2">
                  <c:v>4.9108397614065762</c:v>
                </c:pt>
                <c:pt idx="3">
                  <c:v>2.7656404434533575</c:v>
                </c:pt>
                <c:pt idx="4">
                  <c:v>1.3730856831028682</c:v>
                </c:pt>
                <c:pt idx="5">
                  <c:v>2.8045935635354131</c:v>
                </c:pt>
                <c:pt idx="6">
                  <c:v>5.6211815119407333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11F-9EDD-EE4642292E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0748160"/>
        <c:axId val="420746848"/>
        <c:axId val="0"/>
      </c:bar3DChart>
      <c:catAx>
        <c:axId val="42074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0746848"/>
        <c:crosses val="autoZero"/>
        <c:auto val="1"/>
        <c:lblAlgn val="ctr"/>
        <c:lblOffset val="100"/>
        <c:noMultiLvlLbl val="0"/>
      </c:catAx>
      <c:valAx>
        <c:axId val="4207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074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Payback time of PV system for TRUs running on diesel (years)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603665641376801E-2"/>
          <c:y val="0.16870354634615778"/>
          <c:w val="0.87122462817147861"/>
          <c:h val="0.5863757655293088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Calc!$D$3:$S$3</c:f>
              <c:strCache>
                <c:ptCount val="16"/>
                <c:pt idx="0">
                  <c:v>Oslo</c:v>
                </c:pt>
                <c:pt idx="1">
                  <c:v>Nordborg</c:v>
                </c:pt>
                <c:pt idx="2">
                  <c:v>Delft</c:v>
                </c:pt>
                <c:pt idx="3">
                  <c:v>Paris</c:v>
                </c:pt>
                <c:pt idx="4">
                  <c:v>Milan</c:v>
                </c:pt>
                <c:pt idx="5">
                  <c:v>New Dehli</c:v>
                </c:pt>
                <c:pt idx="6">
                  <c:v>Hong Kong</c:v>
                </c:pt>
                <c:pt idx="7">
                  <c:v>Ames</c:v>
                </c:pt>
                <c:pt idx="8">
                  <c:v>George Town</c:v>
                </c:pt>
                <c:pt idx="9">
                  <c:v>Canbera</c:v>
                </c:pt>
                <c:pt idx="10">
                  <c:v>Madrid</c:v>
                </c:pt>
                <c:pt idx="11">
                  <c:v>Cape town</c:v>
                </c:pt>
                <c:pt idx="12">
                  <c:v>Doha</c:v>
                </c:pt>
                <c:pt idx="13">
                  <c:v>Amman</c:v>
                </c:pt>
                <c:pt idx="14">
                  <c:v>Mexico City</c:v>
                </c:pt>
                <c:pt idx="15">
                  <c:v>Atacama</c:v>
                </c:pt>
              </c:strCache>
            </c:strRef>
          </c:cat>
          <c:val>
            <c:numRef>
              <c:f>Calc!$D$16:$S$16</c:f>
              <c:numCache>
                <c:formatCode>0.000</c:formatCode>
                <c:ptCount val="16"/>
                <c:pt idx="0">
                  <c:v>2.9650253885744542</c:v>
                </c:pt>
                <c:pt idx="1">
                  <c:v>2.7820978749380947</c:v>
                </c:pt>
                <c:pt idx="2">
                  <c:v>2.6874051800101753</c:v>
                </c:pt>
                <c:pt idx="3">
                  <c:v>2.5171947095245031</c:v>
                </c:pt>
                <c:pt idx="4">
                  <c:v>2.08753945960706</c:v>
                </c:pt>
                <c:pt idx="5">
                  <c:v>2.1170927282374015</c:v>
                </c:pt>
                <c:pt idx="6">
                  <c:v>2.0842372194862882</c:v>
                </c:pt>
                <c:pt idx="7">
                  <c:v>1.8936873992654304</c:v>
                </c:pt>
                <c:pt idx="8">
                  <c:v>1.955111313730989</c:v>
                </c:pt>
                <c:pt idx="9">
                  <c:v>1.658504352964923</c:v>
                </c:pt>
                <c:pt idx="10">
                  <c:v>1.661194158074039</c:v>
                </c:pt>
                <c:pt idx="11">
                  <c:v>1.5489887459281477</c:v>
                </c:pt>
                <c:pt idx="12">
                  <c:v>1.4674990235725898</c:v>
                </c:pt>
                <c:pt idx="13">
                  <c:v>1.3660730839329607</c:v>
                </c:pt>
                <c:pt idx="14">
                  <c:v>1.3604248415789126</c:v>
                </c:pt>
                <c:pt idx="15">
                  <c:v>1.0471262080726906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D-4BC7-A7AA-0A0062B5C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21271312"/>
        <c:axId val="221271968"/>
        <c:axId val="0"/>
      </c:bar3DChart>
      <c:catAx>
        <c:axId val="22127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21271968"/>
        <c:crosses val="autoZero"/>
        <c:auto val="1"/>
        <c:lblAlgn val="ctr"/>
        <c:lblOffset val="100"/>
        <c:noMultiLvlLbl val="0"/>
      </c:catAx>
      <c:valAx>
        <c:axId val="2212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212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Payback time of PV system for TRUs running on LiN Dearman (years)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603665641376801E-2"/>
          <c:y val="0.16870354634615778"/>
          <c:w val="0.87122462817147861"/>
          <c:h val="0.5863757655293088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Calc!$D$3:$S$3</c:f>
              <c:strCache>
                <c:ptCount val="16"/>
                <c:pt idx="0">
                  <c:v>Oslo</c:v>
                </c:pt>
                <c:pt idx="1">
                  <c:v>Nordborg</c:v>
                </c:pt>
                <c:pt idx="2">
                  <c:v>Delft</c:v>
                </c:pt>
                <c:pt idx="3">
                  <c:v>Paris</c:v>
                </c:pt>
                <c:pt idx="4">
                  <c:v>Milan</c:v>
                </c:pt>
                <c:pt idx="5">
                  <c:v>New Dehli</c:v>
                </c:pt>
                <c:pt idx="6">
                  <c:v>Hong Kong</c:v>
                </c:pt>
                <c:pt idx="7">
                  <c:v>Ames</c:v>
                </c:pt>
                <c:pt idx="8">
                  <c:v>George Town</c:v>
                </c:pt>
                <c:pt idx="9">
                  <c:v>Canbera</c:v>
                </c:pt>
                <c:pt idx="10">
                  <c:v>Madrid</c:v>
                </c:pt>
                <c:pt idx="11">
                  <c:v>Cape town</c:v>
                </c:pt>
                <c:pt idx="12">
                  <c:v>Doha</c:v>
                </c:pt>
                <c:pt idx="13">
                  <c:v>Amman</c:v>
                </c:pt>
                <c:pt idx="14">
                  <c:v>Mexico City</c:v>
                </c:pt>
                <c:pt idx="15">
                  <c:v>Atacama</c:v>
                </c:pt>
              </c:strCache>
            </c:strRef>
          </c:cat>
          <c:val>
            <c:numRef>
              <c:f>Calc!$D$17:$S$17</c:f>
              <c:numCache>
                <c:formatCode>0.000</c:formatCode>
                <c:ptCount val="16"/>
                <c:pt idx="0">
                  <c:v>3.9898007015557515</c:v>
                </c:pt>
                <c:pt idx="1">
                  <c:v>3.7436495808764456</c:v>
                </c:pt>
                <c:pt idx="2">
                  <c:v>3.6162290933111563</c:v>
                </c:pt>
                <c:pt idx="3">
                  <c:v>3.3871902941248959</c:v>
                </c:pt>
                <c:pt idx="4">
                  <c:v>2.8090371274931898</c:v>
                </c:pt>
                <c:pt idx="5">
                  <c:v>2.848804629103451</c:v>
                </c:pt>
                <c:pt idx="6">
                  <c:v>2.8045935635354131</c:v>
                </c:pt>
                <c:pt idx="7">
                  <c:v>2.548185706345353</c:v>
                </c:pt>
                <c:pt idx="8">
                  <c:v>2.6308390212111701</c:v>
                </c:pt>
                <c:pt idx="9">
                  <c:v>2.2317184387328757</c:v>
                </c:pt>
                <c:pt idx="10">
                  <c:v>2.2353378972214113</c:v>
                </c:pt>
                <c:pt idx="11">
                  <c:v>2.0843519279871754</c:v>
                </c:pt>
                <c:pt idx="12">
                  <c:v>1.9746976387940209</c:v>
                </c:pt>
                <c:pt idx="13">
                  <c:v>1.8382167551262072</c:v>
                </c:pt>
                <c:pt idx="14">
                  <c:v>1.8306163610811597</c:v>
                </c:pt>
                <c:pt idx="15">
                  <c:v>1.4090351117008406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0-4230-A3F0-7C5CDC914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21271312"/>
        <c:axId val="221271968"/>
        <c:axId val="0"/>
      </c:bar3DChart>
      <c:catAx>
        <c:axId val="22127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21271968"/>
        <c:crosses val="autoZero"/>
        <c:auto val="1"/>
        <c:lblAlgn val="ctr"/>
        <c:lblOffset val="100"/>
        <c:noMultiLvlLbl val="0"/>
      </c:catAx>
      <c:valAx>
        <c:axId val="2212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212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Payback time of PV system for TRUs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857854316013376"/>
          <c:y val="0.15923382446512369"/>
          <c:w val="0.87122462817147861"/>
          <c:h val="0.58637576552930881"/>
        </c:manualLayout>
      </c:layout>
      <c:bar3DChart>
        <c:barDir val="col"/>
        <c:grouping val="clustered"/>
        <c:varyColors val="0"/>
        <c:ser>
          <c:idx val="1"/>
          <c:order val="0"/>
          <c:tx>
            <c:v>LNG Evap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Calc!$D$3:$S$3</c:f>
              <c:strCache>
                <c:ptCount val="16"/>
                <c:pt idx="0">
                  <c:v>Oslo</c:v>
                </c:pt>
                <c:pt idx="1">
                  <c:v>Nordborg</c:v>
                </c:pt>
                <c:pt idx="2">
                  <c:v>Delft</c:v>
                </c:pt>
                <c:pt idx="3">
                  <c:v>Paris</c:v>
                </c:pt>
                <c:pt idx="4">
                  <c:v>Milan</c:v>
                </c:pt>
                <c:pt idx="5">
                  <c:v>New Dehli</c:v>
                </c:pt>
                <c:pt idx="6">
                  <c:v>Hong Kong</c:v>
                </c:pt>
                <c:pt idx="7">
                  <c:v>Ames</c:v>
                </c:pt>
                <c:pt idx="8">
                  <c:v>George Town</c:v>
                </c:pt>
                <c:pt idx="9">
                  <c:v>Canbera</c:v>
                </c:pt>
                <c:pt idx="10">
                  <c:v>Madrid</c:v>
                </c:pt>
                <c:pt idx="11">
                  <c:v>Cape town</c:v>
                </c:pt>
                <c:pt idx="12">
                  <c:v>Doha</c:v>
                </c:pt>
                <c:pt idx="13">
                  <c:v>Amman</c:v>
                </c:pt>
                <c:pt idx="14">
                  <c:v>Mexico City</c:v>
                </c:pt>
                <c:pt idx="15">
                  <c:v>Atacama</c:v>
                </c:pt>
              </c:strCache>
            </c:strRef>
          </c:cat>
          <c:val>
            <c:numRef>
              <c:f>Calc!$D$18:$S$18</c:f>
              <c:numCache>
                <c:formatCode>0.000</c:formatCode>
                <c:ptCount val="16"/>
                <c:pt idx="0">
                  <c:v>7.9966645547178121</c:v>
                </c:pt>
                <c:pt idx="1">
                  <c:v>7.5033096006538837</c:v>
                </c:pt>
                <c:pt idx="2">
                  <c:v>7.2479236872520199</c:v>
                </c:pt>
                <c:pt idx="3">
                  <c:v>6.7888665603148963</c:v>
                </c:pt>
                <c:pt idx="4">
                  <c:v>5.6300876436139067</c:v>
                </c:pt>
                <c:pt idx="5">
                  <c:v>5.7097927202189753</c:v>
                </c:pt>
                <c:pt idx="6">
                  <c:v>5.6211815119407333</c:v>
                </c:pt>
                <c:pt idx="7">
                  <c:v>5.1072692199449499</c:v>
                </c:pt>
                <c:pt idx="8">
                  <c:v>5.2729293325063837</c:v>
                </c:pt>
                <c:pt idx="9">
                  <c:v>4.4729812514611362</c:v>
                </c:pt>
                <c:pt idx="10">
                  <c:v>4.4802356477499679</c:v>
                </c:pt>
                <c:pt idx="11">
                  <c:v>4.1776179886863645</c:v>
                </c:pt>
                <c:pt idx="12">
                  <c:v>3.9578404525999731</c:v>
                </c:pt>
                <c:pt idx="13">
                  <c:v>3.6842949984630278</c:v>
                </c:pt>
                <c:pt idx="14">
                  <c:v>3.6690617058230668</c:v>
                </c:pt>
                <c:pt idx="15">
                  <c:v>2.8240962336031905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E3-4620-A419-56313282D220}"/>
            </c:ext>
          </c:extLst>
        </c:ser>
        <c:ser>
          <c:idx val="0"/>
          <c:order val="1"/>
          <c:tx>
            <c:v>Li-Ion Battery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Calc!$D$3:$S$3</c:f>
              <c:strCache>
                <c:ptCount val="16"/>
                <c:pt idx="0">
                  <c:v>Oslo</c:v>
                </c:pt>
                <c:pt idx="1">
                  <c:v>Nordborg</c:v>
                </c:pt>
                <c:pt idx="2">
                  <c:v>Delft</c:v>
                </c:pt>
                <c:pt idx="3">
                  <c:v>Paris</c:v>
                </c:pt>
                <c:pt idx="4">
                  <c:v>Milan</c:v>
                </c:pt>
                <c:pt idx="5">
                  <c:v>New Dehli</c:v>
                </c:pt>
                <c:pt idx="6">
                  <c:v>Hong Kong</c:v>
                </c:pt>
                <c:pt idx="7">
                  <c:v>Ames</c:v>
                </c:pt>
                <c:pt idx="8">
                  <c:v>George Town</c:v>
                </c:pt>
                <c:pt idx="9">
                  <c:v>Canbera</c:v>
                </c:pt>
                <c:pt idx="10">
                  <c:v>Madrid</c:v>
                </c:pt>
                <c:pt idx="11">
                  <c:v>Cape town</c:v>
                </c:pt>
                <c:pt idx="12">
                  <c:v>Doha</c:v>
                </c:pt>
                <c:pt idx="13">
                  <c:v>Amman</c:v>
                </c:pt>
                <c:pt idx="14">
                  <c:v>Mexico City</c:v>
                </c:pt>
                <c:pt idx="15">
                  <c:v>Atacama</c:v>
                </c:pt>
              </c:strCache>
            </c:strRef>
          </c:cat>
          <c:val>
            <c:numRef>
              <c:f>Calc!$D$15:$S$15</c:f>
              <c:numCache>
                <c:formatCode>0.00</c:formatCode>
                <c:ptCount val="16"/>
                <c:pt idx="0">
                  <c:v>6.9861359521159851</c:v>
                </c:pt>
                <c:pt idx="1">
                  <c:v>6.5551256529898172</c:v>
                </c:pt>
                <c:pt idx="2">
                  <c:v>6.3320125413827872</c:v>
                </c:pt>
                <c:pt idx="3">
                  <c:v>5.9309658954185718</c:v>
                </c:pt>
                <c:pt idx="4">
                  <c:v>4.9186204362430024</c:v>
                </c:pt>
                <c:pt idx="5">
                  <c:v>4.9882532809655329</c:v>
                </c:pt>
                <c:pt idx="6">
                  <c:v>4.9108397614065762</c:v>
                </c:pt>
                <c:pt idx="7">
                  <c:v>4.4618699296999411</c:v>
                </c:pt>
                <c:pt idx="8">
                  <c:v>4.60659577886842</c:v>
                </c:pt>
                <c:pt idx="9">
                  <c:v>3.9077361467585163</c:v>
                </c:pt>
                <c:pt idx="10">
                  <c:v>3.9140738139668283</c:v>
                </c:pt>
                <c:pt idx="11">
                  <c:v>3.6496975739403359</c:v>
                </c:pt>
                <c:pt idx="12">
                  <c:v>3.4576930530786023</c:v>
                </c:pt>
                <c:pt idx="13">
                  <c:v>3.2187151994237864</c:v>
                </c:pt>
                <c:pt idx="14">
                  <c:v>3.2054069191210504</c:v>
                </c:pt>
                <c:pt idx="15">
                  <c:v>2.4672186878428857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E3-4620-A419-56313282D220}"/>
            </c:ext>
          </c:extLst>
        </c:ser>
        <c:ser>
          <c:idx val="2"/>
          <c:order val="2"/>
          <c:tx>
            <c:v>Dearman LiN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Calc!$D$3:$S$3</c:f>
              <c:strCache>
                <c:ptCount val="16"/>
                <c:pt idx="0">
                  <c:v>Oslo</c:v>
                </c:pt>
                <c:pt idx="1">
                  <c:v>Nordborg</c:v>
                </c:pt>
                <c:pt idx="2">
                  <c:v>Delft</c:v>
                </c:pt>
                <c:pt idx="3">
                  <c:v>Paris</c:v>
                </c:pt>
                <c:pt idx="4">
                  <c:v>Milan</c:v>
                </c:pt>
                <c:pt idx="5">
                  <c:v>New Dehli</c:v>
                </c:pt>
                <c:pt idx="6">
                  <c:v>Hong Kong</c:v>
                </c:pt>
                <c:pt idx="7">
                  <c:v>Ames</c:v>
                </c:pt>
                <c:pt idx="8">
                  <c:v>George Town</c:v>
                </c:pt>
                <c:pt idx="9">
                  <c:v>Canbera</c:v>
                </c:pt>
                <c:pt idx="10">
                  <c:v>Madrid</c:v>
                </c:pt>
                <c:pt idx="11">
                  <c:v>Cape town</c:v>
                </c:pt>
                <c:pt idx="12">
                  <c:v>Doha</c:v>
                </c:pt>
                <c:pt idx="13">
                  <c:v>Amman</c:v>
                </c:pt>
                <c:pt idx="14">
                  <c:v>Mexico City</c:v>
                </c:pt>
                <c:pt idx="15">
                  <c:v>Atacama</c:v>
                </c:pt>
              </c:strCache>
            </c:strRef>
          </c:cat>
          <c:val>
            <c:numRef>
              <c:f>Calc!$D$17:$S$17</c:f>
              <c:numCache>
                <c:formatCode>0.000</c:formatCode>
                <c:ptCount val="16"/>
                <c:pt idx="0">
                  <c:v>3.9898007015557515</c:v>
                </c:pt>
                <c:pt idx="1">
                  <c:v>3.7436495808764456</c:v>
                </c:pt>
                <c:pt idx="2">
                  <c:v>3.6162290933111563</c:v>
                </c:pt>
                <c:pt idx="3">
                  <c:v>3.3871902941248959</c:v>
                </c:pt>
                <c:pt idx="4">
                  <c:v>2.8090371274931898</c:v>
                </c:pt>
                <c:pt idx="5">
                  <c:v>2.848804629103451</c:v>
                </c:pt>
                <c:pt idx="6">
                  <c:v>2.8045935635354131</c:v>
                </c:pt>
                <c:pt idx="7">
                  <c:v>2.548185706345353</c:v>
                </c:pt>
                <c:pt idx="8">
                  <c:v>2.6308390212111701</c:v>
                </c:pt>
                <c:pt idx="9">
                  <c:v>2.2317184387328757</c:v>
                </c:pt>
                <c:pt idx="10">
                  <c:v>2.2353378972214113</c:v>
                </c:pt>
                <c:pt idx="11">
                  <c:v>2.0843519279871754</c:v>
                </c:pt>
                <c:pt idx="12">
                  <c:v>1.9746976387940209</c:v>
                </c:pt>
                <c:pt idx="13">
                  <c:v>1.8382167551262072</c:v>
                </c:pt>
                <c:pt idx="14">
                  <c:v>1.8306163610811597</c:v>
                </c:pt>
                <c:pt idx="15">
                  <c:v>1.4090351117008406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E3-4620-A419-56313282D220}"/>
            </c:ext>
          </c:extLst>
        </c:ser>
        <c:ser>
          <c:idx val="3"/>
          <c:order val="3"/>
          <c:tx>
            <c:v>Conventional diesel</c:v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Calc!$D$3:$S$3</c:f>
              <c:strCache>
                <c:ptCount val="16"/>
                <c:pt idx="0">
                  <c:v>Oslo</c:v>
                </c:pt>
                <c:pt idx="1">
                  <c:v>Nordborg</c:v>
                </c:pt>
                <c:pt idx="2">
                  <c:v>Delft</c:v>
                </c:pt>
                <c:pt idx="3">
                  <c:v>Paris</c:v>
                </c:pt>
                <c:pt idx="4">
                  <c:v>Milan</c:v>
                </c:pt>
                <c:pt idx="5">
                  <c:v>New Dehli</c:v>
                </c:pt>
                <c:pt idx="6">
                  <c:v>Hong Kong</c:v>
                </c:pt>
                <c:pt idx="7">
                  <c:v>Ames</c:v>
                </c:pt>
                <c:pt idx="8">
                  <c:v>George Town</c:v>
                </c:pt>
                <c:pt idx="9">
                  <c:v>Canbera</c:v>
                </c:pt>
                <c:pt idx="10">
                  <c:v>Madrid</c:v>
                </c:pt>
                <c:pt idx="11">
                  <c:v>Cape town</c:v>
                </c:pt>
                <c:pt idx="12">
                  <c:v>Doha</c:v>
                </c:pt>
                <c:pt idx="13">
                  <c:v>Amman</c:v>
                </c:pt>
                <c:pt idx="14">
                  <c:v>Mexico City</c:v>
                </c:pt>
                <c:pt idx="15">
                  <c:v>Atacama</c:v>
                </c:pt>
              </c:strCache>
            </c:strRef>
          </c:cat>
          <c:val>
            <c:numRef>
              <c:f>Calc!$D$16:$S$16</c:f>
              <c:numCache>
                <c:formatCode>0.000</c:formatCode>
                <c:ptCount val="16"/>
                <c:pt idx="0">
                  <c:v>2.9650253885744542</c:v>
                </c:pt>
                <c:pt idx="1">
                  <c:v>2.7820978749380947</c:v>
                </c:pt>
                <c:pt idx="2">
                  <c:v>2.6874051800101753</c:v>
                </c:pt>
                <c:pt idx="3">
                  <c:v>2.5171947095245031</c:v>
                </c:pt>
                <c:pt idx="4">
                  <c:v>2.08753945960706</c:v>
                </c:pt>
                <c:pt idx="5">
                  <c:v>2.1170927282374015</c:v>
                </c:pt>
                <c:pt idx="6">
                  <c:v>2.0842372194862882</c:v>
                </c:pt>
                <c:pt idx="7">
                  <c:v>1.8936873992654304</c:v>
                </c:pt>
                <c:pt idx="8">
                  <c:v>1.955111313730989</c:v>
                </c:pt>
                <c:pt idx="9">
                  <c:v>1.658504352964923</c:v>
                </c:pt>
                <c:pt idx="10">
                  <c:v>1.661194158074039</c:v>
                </c:pt>
                <c:pt idx="11">
                  <c:v>1.5489887459281477</c:v>
                </c:pt>
                <c:pt idx="12">
                  <c:v>1.4674990235725898</c:v>
                </c:pt>
                <c:pt idx="13">
                  <c:v>1.3660730839329607</c:v>
                </c:pt>
                <c:pt idx="14">
                  <c:v>1.3604248415789126</c:v>
                </c:pt>
                <c:pt idx="15">
                  <c:v>1.0471262080726906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E3-4620-A419-56313282D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21271312"/>
        <c:axId val="221271968"/>
        <c:axId val="0"/>
      </c:bar3DChart>
      <c:catAx>
        <c:axId val="2212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Location</a:t>
                </a:r>
                <a:endParaRPr lang="da-DK"/>
              </a:p>
            </c:rich>
          </c:tx>
          <c:layout>
            <c:manualLayout>
              <c:xMode val="edge"/>
              <c:yMode val="edge"/>
              <c:x val="0.52357248474430029"/>
              <c:y val="0.92527862284259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21271968"/>
        <c:crosses val="autoZero"/>
        <c:auto val="1"/>
        <c:lblAlgn val="ctr"/>
        <c:lblOffset val="100"/>
        <c:noMultiLvlLbl val="0"/>
      </c:catAx>
      <c:valAx>
        <c:axId val="2212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1"/>
                  <a:t>Payback time(years)</a:t>
                </a:r>
              </a:p>
            </c:rich>
          </c:tx>
          <c:layout>
            <c:manualLayout>
              <c:xMode val="edge"/>
              <c:yMode val="edge"/>
              <c:x val="8.880526041293832E-4"/>
              <c:y val="0.39700797343513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2127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769788042483065"/>
          <c:y val="0.11655581404597154"/>
          <c:w val="0.22165831196972471"/>
          <c:h val="0.2836967112065537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241148</xdr:colOff>
      <xdr:row>18</xdr:row>
      <xdr:rowOff>152399</xdr:rowOff>
    </xdr:from>
    <xdr:to>
      <xdr:col>20</xdr:col>
      <xdr:colOff>152400</xdr:colOff>
      <xdr:row>27</xdr:row>
      <xdr:rowOff>63650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013603-F925-4BFD-B19F-AC061F9C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228600</xdr:colOff>
      <xdr:row>18</xdr:row>
      <xdr:rowOff>146123</xdr:rowOff>
    </xdr:from>
    <xdr:to>
      <xdr:col>25</xdr:col>
      <xdr:colOff>578672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C10933-5B2D-4AE4-91C8-337E51092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236220</xdr:colOff>
      <xdr:row>27</xdr:row>
      <xdr:rowOff>116542</xdr:rowOff>
    </xdr:from>
    <xdr:to>
      <xdr:col>25</xdr:col>
      <xdr:colOff>586292</xdr:colOff>
      <xdr:row>49</xdr:row>
      <xdr:rowOff>116542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C7EB4F-77FC-4E4B-9C2A-662904316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373380</xdr:colOff>
      <xdr:row>27</xdr:row>
      <xdr:rowOff>103991</xdr:rowOff>
    </xdr:from>
    <xdr:to>
      <xdr:col>20</xdr:col>
      <xdr:colOff>152400</xdr:colOff>
      <xdr:row>49</xdr:row>
      <xdr:rowOff>103991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A909A4-D40A-4D43-90B3-158A4BCE1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C1" zoomScale="85" zoomScaleNormal="85" workbookViewId="0">
      <selection activeCell="C20" sqref="C20:K25"/>
    </sheetView>
  </sheetViews>
  <sheetFormatPr defaultColWidth="8.85546875" defaultRowHeight="15" x14ac:dyDescent="0.25"/>
  <cols>
    <col min="1" max="2" width="3" style="1" customWidth="1"/>
    <col min="3" max="3" width="23.7109375" style="2" customWidth="1"/>
    <col min="4" max="4" width="8.28515625" style="2" bestFit="1" customWidth="1"/>
    <col min="5" max="5" width="10.28515625" style="2" customWidth="1"/>
    <col min="6" max="6" width="8.7109375" style="2" customWidth="1"/>
    <col min="7" max="7" width="7.7109375" style="2" customWidth="1"/>
    <col min="8" max="8" width="11.85546875" style="2" customWidth="1"/>
    <col min="9" max="9" width="9.7109375" style="2" customWidth="1"/>
    <col min="10" max="10" width="11.5703125" style="2" customWidth="1"/>
    <col min="11" max="11" width="15.42578125" style="2" customWidth="1"/>
    <col min="12" max="12" width="7.5703125" style="2" bestFit="1" customWidth="1"/>
    <col min="13" max="13" width="8" style="2" bestFit="1" customWidth="1"/>
    <col min="14" max="16" width="7.5703125" style="2" bestFit="1" customWidth="1"/>
    <col min="17" max="17" width="7.7109375" style="2" bestFit="1" customWidth="1"/>
    <col min="18" max="18" width="7.5703125" style="2" bestFit="1" customWidth="1"/>
    <col min="19" max="19" width="8.42578125" style="2" customWidth="1"/>
    <col min="20" max="20" width="12.28515625" style="2" customWidth="1"/>
    <col min="21" max="21" width="31.7109375" style="2" customWidth="1"/>
    <col min="22" max="22" width="9.28515625" style="2" bestFit="1" customWidth="1"/>
    <col min="23" max="23" width="10.7109375" style="2" customWidth="1"/>
    <col min="24" max="24" width="8.85546875" style="2"/>
    <col min="25" max="25" width="21.140625" style="2" customWidth="1"/>
    <col min="26" max="26" width="23.5703125" style="2" bestFit="1" customWidth="1"/>
    <col min="27" max="28" width="8.85546875" style="2"/>
    <col min="29" max="29" width="18.28515625" style="2" customWidth="1"/>
    <col min="30" max="16384" width="8.85546875" style="2"/>
  </cols>
  <sheetData>
    <row r="1" spans="3:31" s="1" customFormat="1" ht="15.75" thickBot="1" x14ac:dyDescent="0.3"/>
    <row r="2" spans="3:31" ht="19.5" thickBot="1" x14ac:dyDescent="0.3">
      <c r="C2" s="90" t="s">
        <v>0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</row>
    <row r="3" spans="3:31" ht="38.450000000000003" customHeight="1" thickBot="1" x14ac:dyDescent="0.3">
      <c r="C3" s="10"/>
      <c r="D3" s="82" t="s">
        <v>3</v>
      </c>
      <c r="E3" s="73" t="s">
        <v>4</v>
      </c>
      <c r="F3" s="73" t="s">
        <v>5</v>
      </c>
      <c r="G3" s="73" t="s">
        <v>71</v>
      </c>
      <c r="H3" s="73" t="s">
        <v>6</v>
      </c>
      <c r="I3" s="73" t="s">
        <v>9</v>
      </c>
      <c r="J3" s="73" t="s">
        <v>11</v>
      </c>
      <c r="K3" s="73" t="s">
        <v>13</v>
      </c>
      <c r="L3" s="73" t="s">
        <v>16</v>
      </c>
      <c r="M3" s="73" t="s">
        <v>10</v>
      </c>
      <c r="N3" s="73" t="s">
        <v>1</v>
      </c>
      <c r="O3" s="73" t="s">
        <v>12</v>
      </c>
      <c r="P3" s="73" t="s">
        <v>8</v>
      </c>
      <c r="Q3" s="73" t="s">
        <v>7</v>
      </c>
      <c r="R3" s="73" t="s">
        <v>14</v>
      </c>
      <c r="S3" s="74" t="s">
        <v>15</v>
      </c>
      <c r="U3" s="93" t="s">
        <v>19</v>
      </c>
      <c r="V3" s="94"/>
      <c r="W3" s="95"/>
      <c r="Y3" s="99" t="s">
        <v>26</v>
      </c>
      <c r="Z3" s="100"/>
    </row>
    <row r="4" spans="3:31" ht="81.599999999999994" customHeight="1" thickBot="1" x14ac:dyDescent="0.3">
      <c r="C4" s="11" t="s">
        <v>2</v>
      </c>
      <c r="D4" s="41">
        <v>934</v>
      </c>
      <c r="E4" s="42">
        <v>1019</v>
      </c>
      <c r="F4" s="43">
        <v>1065</v>
      </c>
      <c r="G4" s="43">
        <v>1148</v>
      </c>
      <c r="H4" s="43">
        <v>1391</v>
      </c>
      <c r="I4" s="43">
        <v>1427</v>
      </c>
      <c r="J4" s="56">
        <v>1435</v>
      </c>
      <c r="K4" s="43">
        <v>1483</v>
      </c>
      <c r="L4" s="43">
        <v>1569</v>
      </c>
      <c r="M4" s="43">
        <v>1734</v>
      </c>
      <c r="N4" s="43">
        <v>1748</v>
      </c>
      <c r="O4" s="43">
        <v>1893</v>
      </c>
      <c r="P4" s="43">
        <v>2123</v>
      </c>
      <c r="Q4" s="43">
        <v>2136</v>
      </c>
      <c r="R4" s="42">
        <v>2166</v>
      </c>
      <c r="S4" s="44">
        <v>2657</v>
      </c>
      <c r="U4" s="3" t="s">
        <v>21</v>
      </c>
      <c r="V4" s="31">
        <v>0.2</v>
      </c>
      <c r="W4" s="4" t="s">
        <v>20</v>
      </c>
      <c r="Y4" s="20" t="s">
        <v>27</v>
      </c>
      <c r="Z4" s="6" t="s">
        <v>28</v>
      </c>
    </row>
    <row r="5" spans="3:31" ht="45.75" thickBot="1" x14ac:dyDescent="0.3">
      <c r="C5" s="12" t="s">
        <v>17</v>
      </c>
      <c r="D5" s="75">
        <f>D4/365</f>
        <v>2.558904109589041</v>
      </c>
      <c r="E5" s="76">
        <f t="shared" ref="E5:S5" si="0">E4/365</f>
        <v>2.7917808219178082</v>
      </c>
      <c r="F5" s="77">
        <f t="shared" si="0"/>
        <v>2.9178082191780823</v>
      </c>
      <c r="G5" s="77">
        <f t="shared" ref="G5" si="1">G4/365</f>
        <v>3.1452054794520548</v>
      </c>
      <c r="H5" s="77">
        <f t="shared" si="0"/>
        <v>3.8109589041095893</v>
      </c>
      <c r="I5" s="77">
        <f t="shared" si="0"/>
        <v>3.9095890410958902</v>
      </c>
      <c r="J5" s="78">
        <f t="shared" si="0"/>
        <v>3.9315068493150687</v>
      </c>
      <c r="K5" s="77">
        <f t="shared" si="0"/>
        <v>4.0630136986301366</v>
      </c>
      <c r="L5" s="77">
        <f t="shared" si="0"/>
        <v>4.2986301369863016</v>
      </c>
      <c r="M5" s="77">
        <f t="shared" si="0"/>
        <v>4.7506849315068491</v>
      </c>
      <c r="N5" s="77">
        <f t="shared" si="0"/>
        <v>4.7890410958904113</v>
      </c>
      <c r="O5" s="77">
        <f t="shared" si="0"/>
        <v>5.1863013698630134</v>
      </c>
      <c r="P5" s="77">
        <f t="shared" si="0"/>
        <v>5.816438356164384</v>
      </c>
      <c r="Q5" s="77">
        <f t="shared" si="0"/>
        <v>5.8520547945205479</v>
      </c>
      <c r="R5" s="76">
        <f t="shared" si="0"/>
        <v>5.934246575342466</v>
      </c>
      <c r="S5" s="79">
        <f t="shared" si="0"/>
        <v>7.279452054794521</v>
      </c>
      <c r="T5" s="25" t="s">
        <v>44</v>
      </c>
      <c r="U5" s="5" t="s">
        <v>22</v>
      </c>
      <c r="V5" s="2">
        <v>0.92</v>
      </c>
      <c r="W5" s="6" t="s">
        <v>20</v>
      </c>
      <c r="Y5" s="20" t="s">
        <v>29</v>
      </c>
      <c r="Z5" s="6" t="s">
        <v>28</v>
      </c>
    </row>
    <row r="6" spans="3:31" ht="45.75" x14ac:dyDescent="0.25">
      <c r="C6" s="12" t="s">
        <v>18</v>
      </c>
      <c r="D6" s="41">
        <v>5.8</v>
      </c>
      <c r="E6" s="42">
        <v>9</v>
      </c>
      <c r="F6" s="43">
        <v>10.8</v>
      </c>
      <c r="G6" s="43">
        <v>11.3</v>
      </c>
      <c r="H6" s="43">
        <v>12.8</v>
      </c>
      <c r="I6" s="43">
        <v>13.7</v>
      </c>
      <c r="J6" s="56">
        <v>20.5</v>
      </c>
      <c r="K6" s="43">
        <v>9.9</v>
      </c>
      <c r="L6" s="43">
        <v>26.3</v>
      </c>
      <c r="M6" s="43">
        <v>12.3</v>
      </c>
      <c r="N6" s="43">
        <v>13.9</v>
      </c>
      <c r="O6" s="43">
        <v>16</v>
      </c>
      <c r="P6" s="43">
        <v>27.4</v>
      </c>
      <c r="Q6" s="43">
        <v>17.2</v>
      </c>
      <c r="R6" s="42">
        <v>14.6</v>
      </c>
      <c r="S6" s="44">
        <v>2</v>
      </c>
      <c r="U6" s="5" t="s">
        <v>23</v>
      </c>
      <c r="V6" s="2">
        <v>0.95</v>
      </c>
      <c r="W6" s="6" t="s">
        <v>20</v>
      </c>
      <c r="Y6" s="20" t="s">
        <v>32</v>
      </c>
      <c r="Z6" s="6" t="s">
        <v>33</v>
      </c>
    </row>
    <row r="7" spans="3:31" ht="31.5" thickBot="1" x14ac:dyDescent="0.3">
      <c r="C7" s="12" t="s">
        <v>31</v>
      </c>
      <c r="D7" s="45">
        <v>9</v>
      </c>
      <c r="E7" s="46">
        <v>14</v>
      </c>
      <c r="F7" s="47">
        <v>16</v>
      </c>
      <c r="G7" s="47">
        <v>18</v>
      </c>
      <c r="H7" s="47">
        <v>19</v>
      </c>
      <c r="I7" s="47">
        <v>27</v>
      </c>
      <c r="J7" s="57">
        <v>25</v>
      </c>
      <c r="K7" s="47">
        <v>12</v>
      </c>
      <c r="L7" s="47">
        <v>30</v>
      </c>
      <c r="M7" s="47">
        <v>17</v>
      </c>
      <c r="N7" s="47">
        <v>19</v>
      </c>
      <c r="O7" s="47">
        <v>21</v>
      </c>
      <c r="P7" s="47">
        <v>33</v>
      </c>
      <c r="Q7" s="47">
        <v>20</v>
      </c>
      <c r="R7" s="46">
        <v>22</v>
      </c>
      <c r="S7" s="48">
        <v>10</v>
      </c>
      <c r="U7" s="7" t="s">
        <v>24</v>
      </c>
      <c r="V7" s="8">
        <v>5.0000000000000001E-3</v>
      </c>
      <c r="W7" s="9" t="s">
        <v>25</v>
      </c>
      <c r="Y7" s="20" t="s">
        <v>39</v>
      </c>
      <c r="Z7" s="6" t="s">
        <v>38</v>
      </c>
    </row>
    <row r="8" spans="3:31" ht="45.75" thickBot="1" x14ac:dyDescent="0.3">
      <c r="C8" s="12" t="s">
        <v>58</v>
      </c>
      <c r="D8" s="16">
        <f>$V$4*$V$5*$V$6*(1-$V$7*(D7-25))</f>
        <v>0.18878400000000004</v>
      </c>
      <c r="E8" s="23">
        <f>$V$4*$V$5*$V$6*(1-$V$7*(E7-25))</f>
        <v>0.18441399999999999</v>
      </c>
      <c r="F8" s="17">
        <f t="shared" ref="F8:S8" si="2">$V$4*$V$5*$V$6*(1-$V$7*(F7-25))</f>
        <v>0.182666</v>
      </c>
      <c r="G8" s="17">
        <f t="shared" ref="G8" si="3">$V$4*$V$5*$V$6*(1-$V$7*(G7-25))</f>
        <v>0.180918</v>
      </c>
      <c r="H8" s="17">
        <f t="shared" si="2"/>
        <v>0.18004400000000001</v>
      </c>
      <c r="I8" s="17">
        <f t="shared" si="2"/>
        <v>0.17305200000000001</v>
      </c>
      <c r="J8" s="58">
        <f t="shared" si="2"/>
        <v>0.17480000000000001</v>
      </c>
      <c r="K8" s="17">
        <f t="shared" si="2"/>
        <v>0.18616199999999999</v>
      </c>
      <c r="L8" s="17">
        <f t="shared" si="2"/>
        <v>0.17043</v>
      </c>
      <c r="M8" s="17">
        <f t="shared" si="2"/>
        <v>0.18179200000000001</v>
      </c>
      <c r="N8" s="17">
        <f t="shared" si="2"/>
        <v>0.18004400000000001</v>
      </c>
      <c r="O8" s="17">
        <f t="shared" si="2"/>
        <v>0.17829600000000001</v>
      </c>
      <c r="P8" s="17">
        <f t="shared" si="2"/>
        <v>0.16780800000000001</v>
      </c>
      <c r="Q8" s="17">
        <f t="shared" si="2"/>
        <v>0.17917</v>
      </c>
      <c r="R8" s="23">
        <f t="shared" si="2"/>
        <v>0.177422</v>
      </c>
      <c r="S8" s="18">
        <f t="shared" si="2"/>
        <v>0.18790999999999999</v>
      </c>
      <c r="U8" s="101" t="s">
        <v>30</v>
      </c>
      <c r="V8" s="101"/>
      <c r="W8" s="101"/>
      <c r="Y8" s="20" t="s">
        <v>47</v>
      </c>
      <c r="Z8" s="6" t="s">
        <v>48</v>
      </c>
    </row>
    <row r="9" spans="3:31" ht="45.75" thickBot="1" x14ac:dyDescent="0.3">
      <c r="C9" s="12" t="s">
        <v>35</v>
      </c>
      <c r="D9" s="16">
        <f>D5*D8</f>
        <v>0.4830801534246576</v>
      </c>
      <c r="E9" s="23">
        <f t="shared" ref="E9:S9" si="4">E5*E8</f>
        <v>0.51484346849315066</v>
      </c>
      <c r="F9" s="17">
        <f t="shared" si="4"/>
        <v>0.53298435616438355</v>
      </c>
      <c r="G9" s="17">
        <f t="shared" ref="G9" si="5">G5*G8</f>
        <v>0.56902428493150681</v>
      </c>
      <c r="H9" s="17">
        <f t="shared" si="4"/>
        <v>0.68614028493150692</v>
      </c>
      <c r="I9" s="17">
        <f t="shared" si="4"/>
        <v>0.676562202739726</v>
      </c>
      <c r="J9" s="58">
        <f t="shared" si="4"/>
        <v>0.68722739726027404</v>
      </c>
      <c r="K9" s="17">
        <f t="shared" si="4"/>
        <v>0.75637875616438344</v>
      </c>
      <c r="L9" s="17">
        <f t="shared" si="4"/>
        <v>0.73261553424657533</v>
      </c>
      <c r="M9" s="17">
        <f t="shared" si="4"/>
        <v>0.86363651506849315</v>
      </c>
      <c r="N9" s="17">
        <f t="shared" si="4"/>
        <v>0.86223811506849324</v>
      </c>
      <c r="O9" s="17">
        <f t="shared" si="4"/>
        <v>0.92469678904109587</v>
      </c>
      <c r="P9" s="17">
        <f t="shared" si="4"/>
        <v>0.97604488767123299</v>
      </c>
      <c r="Q9" s="17">
        <f t="shared" si="4"/>
        <v>1.0485126575342465</v>
      </c>
      <c r="R9" s="23">
        <f t="shared" si="4"/>
        <v>1.0528658958904109</v>
      </c>
      <c r="S9" s="18">
        <f t="shared" si="4"/>
        <v>1.3678818356164384</v>
      </c>
      <c r="U9" s="104" t="s">
        <v>76</v>
      </c>
      <c r="V9" s="105"/>
      <c r="W9" s="106"/>
      <c r="Y9" s="21" t="s">
        <v>40</v>
      </c>
      <c r="Z9" s="9" t="s">
        <v>41</v>
      </c>
    </row>
    <row r="10" spans="3:31" ht="37.15" customHeight="1" thickBot="1" x14ac:dyDescent="0.3">
      <c r="C10" s="12" t="s">
        <v>34</v>
      </c>
      <c r="D10" s="45">
        <f>D4*D8</f>
        <v>176.32425600000002</v>
      </c>
      <c r="E10" s="46">
        <f t="shared" ref="E10:S10" si="6">E4*E8</f>
        <v>187.917866</v>
      </c>
      <c r="F10" s="47">
        <f t="shared" si="6"/>
        <v>194.53928999999999</v>
      </c>
      <c r="G10" s="47">
        <f t="shared" ref="G10" si="7">G4*G8</f>
        <v>207.69386399999999</v>
      </c>
      <c r="H10" s="47">
        <f t="shared" si="6"/>
        <v>250.44120400000003</v>
      </c>
      <c r="I10" s="47">
        <f t="shared" si="6"/>
        <v>246.94520400000002</v>
      </c>
      <c r="J10" s="57">
        <f>J4*J8</f>
        <v>250.83800000000002</v>
      </c>
      <c r="K10" s="47">
        <f t="shared" si="6"/>
        <v>276.07824599999998</v>
      </c>
      <c r="L10" s="47">
        <f t="shared" si="6"/>
        <v>267.40467000000001</v>
      </c>
      <c r="M10" s="47">
        <f t="shared" si="6"/>
        <v>315.227328</v>
      </c>
      <c r="N10" s="47">
        <f t="shared" si="6"/>
        <v>314.71691200000004</v>
      </c>
      <c r="O10" s="47">
        <f t="shared" si="6"/>
        <v>337.51432800000003</v>
      </c>
      <c r="P10" s="47">
        <f t="shared" si="6"/>
        <v>356.25638400000003</v>
      </c>
      <c r="Q10" s="47">
        <f t="shared" si="6"/>
        <v>382.70711999999997</v>
      </c>
      <c r="R10" s="46">
        <f t="shared" si="6"/>
        <v>384.29605199999997</v>
      </c>
      <c r="S10" s="48">
        <f t="shared" si="6"/>
        <v>499.27686999999997</v>
      </c>
      <c r="U10" s="36" t="s">
        <v>82</v>
      </c>
      <c r="V10" s="31">
        <v>1000</v>
      </c>
      <c r="W10" s="35" t="s">
        <v>77</v>
      </c>
      <c r="Y10" s="3" t="s">
        <v>75</v>
      </c>
      <c r="Z10" s="4">
        <f>16.15*2.59</f>
        <v>41.828499999999991</v>
      </c>
    </row>
    <row r="11" spans="3:31" ht="30.75" thickBot="1" x14ac:dyDescent="0.3">
      <c r="C11" s="12" t="s">
        <v>63</v>
      </c>
      <c r="D11" s="45">
        <f>D10*41.8</f>
        <v>7370.3539008000007</v>
      </c>
      <c r="E11" s="46">
        <f t="shared" ref="E11:I11" si="8">E10*41.8</f>
        <v>7854.9667987999992</v>
      </c>
      <c r="F11" s="47">
        <f t="shared" si="8"/>
        <v>8131.7423219999991</v>
      </c>
      <c r="G11" s="47">
        <f t="shared" si="8"/>
        <v>8681.6035151999986</v>
      </c>
      <c r="H11" s="47">
        <f t="shared" si="8"/>
        <v>10468.4423272</v>
      </c>
      <c r="I11" s="47">
        <f t="shared" si="8"/>
        <v>10322.309527200001</v>
      </c>
      <c r="J11" s="57">
        <f>J10*41.8</f>
        <v>10485.028400000001</v>
      </c>
      <c r="K11" s="47">
        <f t="shared" ref="K11:S11" si="9">K10*41.8</f>
        <v>11540.070682799998</v>
      </c>
      <c r="L11" s="47">
        <f t="shared" si="9"/>
        <v>11177.515206</v>
      </c>
      <c r="M11" s="47">
        <f t="shared" si="9"/>
        <v>13176.502310399999</v>
      </c>
      <c r="N11" s="47">
        <f t="shared" si="9"/>
        <v>13155.166921600001</v>
      </c>
      <c r="O11" s="47">
        <f t="shared" si="9"/>
        <v>14108.0989104</v>
      </c>
      <c r="P11" s="47">
        <f t="shared" si="9"/>
        <v>14891.5168512</v>
      </c>
      <c r="Q11" s="47">
        <f t="shared" si="9"/>
        <v>15997.157615999999</v>
      </c>
      <c r="R11" s="46">
        <f t="shared" si="9"/>
        <v>16063.574973599998</v>
      </c>
      <c r="S11" s="48">
        <f t="shared" si="9"/>
        <v>20869.773165999999</v>
      </c>
      <c r="U11" s="21" t="s">
        <v>78</v>
      </c>
      <c r="V11" s="8">
        <v>25</v>
      </c>
      <c r="W11" s="35" t="s">
        <v>79</v>
      </c>
      <c r="Y11" s="7" t="s">
        <v>81</v>
      </c>
      <c r="Z11" s="62">
        <f>V10/V4/V6/V5/1000</f>
        <v>5.7208237986270021</v>
      </c>
    </row>
    <row r="12" spans="3:31" ht="45.75" thickBot="1" x14ac:dyDescent="0.3">
      <c r="C12" s="12" t="s">
        <v>74</v>
      </c>
      <c r="D12" s="38">
        <f t="shared" ref="D12:S12" si="10">D11*$V$16</f>
        <v>1308.2378173919999</v>
      </c>
      <c r="E12" s="24">
        <f t="shared" si="10"/>
        <v>1394.2566067869996</v>
      </c>
      <c r="F12" s="39">
        <f t="shared" si="10"/>
        <v>1443.3842621549995</v>
      </c>
      <c r="G12" s="39">
        <f t="shared" si="10"/>
        <v>1540.9846239479994</v>
      </c>
      <c r="H12" s="39">
        <f t="shared" si="10"/>
        <v>1858.1485130779997</v>
      </c>
      <c r="I12" s="39">
        <f t="shared" si="10"/>
        <v>1832.2099410779997</v>
      </c>
      <c r="J12" s="61">
        <f t="shared" si="10"/>
        <v>1861.0925409999998</v>
      </c>
      <c r="K12" s="39">
        <f t="shared" si="10"/>
        <v>2048.3625461969991</v>
      </c>
      <c r="L12" s="39">
        <f t="shared" si="10"/>
        <v>1984.0089490649996</v>
      </c>
      <c r="M12" s="39">
        <f t="shared" si="10"/>
        <v>2338.8291600959992</v>
      </c>
      <c r="N12" s="39">
        <f t="shared" si="10"/>
        <v>2335.0421285839998</v>
      </c>
      <c r="O12" s="39">
        <f t="shared" si="10"/>
        <v>2504.1875565959995</v>
      </c>
      <c r="P12" s="39">
        <f t="shared" si="10"/>
        <v>2643.2442410879994</v>
      </c>
      <c r="Q12" s="39">
        <f t="shared" si="10"/>
        <v>2839.4954768399994</v>
      </c>
      <c r="R12" s="24">
        <f t="shared" si="10"/>
        <v>2851.2845578139991</v>
      </c>
      <c r="S12" s="40">
        <f t="shared" si="10"/>
        <v>3704.3847369649989</v>
      </c>
      <c r="U12" s="107" t="s">
        <v>80</v>
      </c>
      <c r="V12" s="108"/>
      <c r="W12" s="109"/>
      <c r="Y12" s="49" t="s">
        <v>83</v>
      </c>
      <c r="Z12" s="50">
        <f>Z10/Z11*Z18</f>
        <v>9139.5272499999974</v>
      </c>
    </row>
    <row r="13" spans="3:31" ht="30.75" thickBot="1" x14ac:dyDescent="0.3">
      <c r="C13" s="22" t="s">
        <v>50</v>
      </c>
      <c r="D13" s="45">
        <f t="shared" ref="D13:S13" si="11">D11*5/$V$18/1000*$V$17</f>
        <v>15.28000198946342</v>
      </c>
      <c r="E13" s="46">
        <f t="shared" si="11"/>
        <v>16.284687265804877</v>
      </c>
      <c r="F13" s="47">
        <f t="shared" si="11"/>
        <v>16.858490179756096</v>
      </c>
      <c r="G13" s="47">
        <f t="shared" si="11"/>
        <v>17.998446311999999</v>
      </c>
      <c r="H13" s="47">
        <f t="shared" si="11"/>
        <v>21.702868239317077</v>
      </c>
      <c r="I13" s="47">
        <f t="shared" si="11"/>
        <v>21.399909995414639</v>
      </c>
      <c r="J13" s="57">
        <f t="shared" si="11"/>
        <v>21.737254000000004</v>
      </c>
      <c r="K13" s="47">
        <f t="shared" si="11"/>
        <v>23.924536781414638</v>
      </c>
      <c r="L13" s="47">
        <f t="shared" si="11"/>
        <v>23.172897378292685</v>
      </c>
      <c r="M13" s="47">
        <f t="shared" si="11"/>
        <v>27.317138936195125</v>
      </c>
      <c r="N13" s="47">
        <f t="shared" si="11"/>
        <v>27.272907032585373</v>
      </c>
      <c r="O13" s="47">
        <f t="shared" si="11"/>
        <v>29.24849774107318</v>
      </c>
      <c r="P13" s="47">
        <f t="shared" si="11"/>
        <v>30.872656886634147</v>
      </c>
      <c r="Q13" s="47">
        <f t="shared" si="11"/>
        <v>33.164838960000004</v>
      </c>
      <c r="R13" s="46">
        <f t="shared" si="11"/>
        <v>33.302533481853658</v>
      </c>
      <c r="S13" s="48">
        <f t="shared" si="11"/>
        <v>43.266602905121957</v>
      </c>
    </row>
    <row r="14" spans="3:31" ht="49.9" customHeight="1" thickBot="1" x14ac:dyDescent="0.3">
      <c r="C14" s="22" t="s">
        <v>62</v>
      </c>
      <c r="D14" s="45">
        <f t="shared" ref="D14:S14" si="12">D11*5*$AD$16*(1-$AD$17)</f>
        <v>32429.557163520007</v>
      </c>
      <c r="E14" s="46">
        <f t="shared" si="12"/>
        <v>34561.853914719999</v>
      </c>
      <c r="F14" s="47">
        <f t="shared" si="12"/>
        <v>35779.666216800004</v>
      </c>
      <c r="G14" s="47">
        <f t="shared" si="12"/>
        <v>38199.055466879996</v>
      </c>
      <c r="H14" s="47">
        <f t="shared" si="12"/>
        <v>46061.146239680005</v>
      </c>
      <c r="I14" s="47">
        <f t="shared" si="12"/>
        <v>45418.161919680009</v>
      </c>
      <c r="J14" s="57">
        <f t="shared" si="12"/>
        <v>46134.124960000016</v>
      </c>
      <c r="K14" s="47">
        <f t="shared" si="12"/>
        <v>50776.311004319999</v>
      </c>
      <c r="L14" s="47">
        <f t="shared" si="12"/>
        <v>49181.066906400003</v>
      </c>
      <c r="M14" s="47">
        <f t="shared" si="12"/>
        <v>57976.610165760008</v>
      </c>
      <c r="N14" s="47">
        <f t="shared" si="12"/>
        <v>57882.734455040008</v>
      </c>
      <c r="O14" s="47">
        <f t="shared" si="12"/>
        <v>62075.635205760009</v>
      </c>
      <c r="P14" s="47">
        <f t="shared" si="12"/>
        <v>65522.674145280012</v>
      </c>
      <c r="Q14" s="47">
        <f t="shared" si="12"/>
        <v>70387.493510400003</v>
      </c>
      <c r="R14" s="46">
        <f t="shared" si="12"/>
        <v>70679.729883840002</v>
      </c>
      <c r="S14" s="48">
        <f t="shared" si="12"/>
        <v>91827.001930400016</v>
      </c>
      <c r="U14" s="102" t="s">
        <v>19</v>
      </c>
      <c r="V14" s="102"/>
      <c r="W14" s="102"/>
      <c r="Y14" s="96" t="s">
        <v>19</v>
      </c>
      <c r="Z14" s="97"/>
      <c r="AA14" s="98"/>
      <c r="AC14" s="96" t="s">
        <v>19</v>
      </c>
      <c r="AD14" s="97"/>
      <c r="AE14" s="98"/>
    </row>
    <row r="15" spans="3:31" ht="36.6" customHeight="1" thickBot="1" x14ac:dyDescent="0.3">
      <c r="C15" s="13" t="s">
        <v>68</v>
      </c>
      <c r="D15" s="52">
        <f t="shared" ref="D15:S15" si="13">$Z$12/D12</f>
        <v>6.9861359521159851</v>
      </c>
      <c r="E15" s="52">
        <f t="shared" si="13"/>
        <v>6.5551256529898172</v>
      </c>
      <c r="F15" s="52">
        <f t="shared" si="13"/>
        <v>6.3320125413827872</v>
      </c>
      <c r="G15" s="52">
        <f t="shared" si="13"/>
        <v>5.9309658954185718</v>
      </c>
      <c r="H15" s="52">
        <f t="shared" si="13"/>
        <v>4.9186204362430024</v>
      </c>
      <c r="I15" s="52">
        <f t="shared" si="13"/>
        <v>4.9882532809655329</v>
      </c>
      <c r="J15" s="59">
        <f t="shared" si="13"/>
        <v>4.9108397614065762</v>
      </c>
      <c r="K15" s="52">
        <f t="shared" si="13"/>
        <v>4.4618699296999411</v>
      </c>
      <c r="L15" s="52">
        <f t="shared" si="13"/>
        <v>4.60659577886842</v>
      </c>
      <c r="M15" s="52">
        <f t="shared" si="13"/>
        <v>3.9077361467585163</v>
      </c>
      <c r="N15" s="52">
        <f t="shared" si="13"/>
        <v>3.9140738139668283</v>
      </c>
      <c r="O15" s="52">
        <f t="shared" si="13"/>
        <v>3.6496975739403359</v>
      </c>
      <c r="P15" s="52">
        <f t="shared" si="13"/>
        <v>3.4576930530786023</v>
      </c>
      <c r="Q15" s="52">
        <f t="shared" si="13"/>
        <v>3.2187151994237864</v>
      </c>
      <c r="R15" s="52">
        <f t="shared" si="13"/>
        <v>3.2054069191210504</v>
      </c>
      <c r="S15" s="80">
        <f t="shared" si="13"/>
        <v>2.4672186878428857</v>
      </c>
      <c r="U15" s="3" t="s">
        <v>45</v>
      </c>
      <c r="V15" s="19">
        <v>0.11</v>
      </c>
      <c r="W15" s="4" t="s">
        <v>46</v>
      </c>
      <c r="Y15" s="3" t="s">
        <v>36</v>
      </c>
      <c r="Z15" s="15">
        <v>400</v>
      </c>
      <c r="AA15" s="4" t="s">
        <v>37</v>
      </c>
      <c r="AC15" s="3" t="s">
        <v>61</v>
      </c>
      <c r="AD15" s="31">
        <v>41.83</v>
      </c>
      <c r="AE15" s="4" t="s">
        <v>59</v>
      </c>
    </row>
    <row r="16" spans="3:31" ht="31.9" customHeight="1" thickBot="1" x14ac:dyDescent="0.3">
      <c r="C16" s="13" t="s">
        <v>69</v>
      </c>
      <c r="D16" s="37">
        <f t="shared" ref="D16:S16" si="14">D15*$D$24/$F$24</f>
        <v>2.9650253885744542</v>
      </c>
      <c r="E16" s="37">
        <f t="shared" si="14"/>
        <v>2.7820978749380947</v>
      </c>
      <c r="F16" s="37">
        <f t="shared" si="14"/>
        <v>2.6874051800101753</v>
      </c>
      <c r="G16" s="37">
        <f t="shared" si="14"/>
        <v>2.5171947095245031</v>
      </c>
      <c r="H16" s="37">
        <f t="shared" si="14"/>
        <v>2.08753945960706</v>
      </c>
      <c r="I16" s="37">
        <f t="shared" si="14"/>
        <v>2.1170927282374015</v>
      </c>
      <c r="J16" s="60">
        <f t="shared" si="14"/>
        <v>2.0842372194862882</v>
      </c>
      <c r="K16" s="37">
        <f t="shared" si="14"/>
        <v>1.8936873992654304</v>
      </c>
      <c r="L16" s="37">
        <f t="shared" si="14"/>
        <v>1.955111313730989</v>
      </c>
      <c r="M16" s="37">
        <f t="shared" si="14"/>
        <v>1.658504352964923</v>
      </c>
      <c r="N16" s="37">
        <f t="shared" si="14"/>
        <v>1.661194158074039</v>
      </c>
      <c r="O16" s="37">
        <f t="shared" si="14"/>
        <v>1.5489887459281477</v>
      </c>
      <c r="P16" s="37">
        <f t="shared" si="14"/>
        <v>1.4674990235725898</v>
      </c>
      <c r="Q16" s="37">
        <f t="shared" si="14"/>
        <v>1.3660730839329607</v>
      </c>
      <c r="R16" s="37">
        <f t="shared" si="14"/>
        <v>1.3604248415789126</v>
      </c>
      <c r="S16" s="81">
        <f t="shared" si="14"/>
        <v>1.0471262080726906</v>
      </c>
      <c r="U16" s="26" t="s">
        <v>73</v>
      </c>
      <c r="V16" s="27">
        <f>0.142/0.8</f>
        <v>0.17749999999999996</v>
      </c>
      <c r="W16" s="28" t="s">
        <v>46</v>
      </c>
      <c r="Y16" s="5" t="s">
        <v>42</v>
      </c>
      <c r="Z16" s="14">
        <v>350</v>
      </c>
      <c r="AA16" s="6" t="s">
        <v>37</v>
      </c>
      <c r="AC16" s="20" t="s">
        <v>64</v>
      </c>
      <c r="AD16" s="2">
        <v>1.1000000000000001</v>
      </c>
      <c r="AE16" s="6"/>
    </row>
    <row r="17" spans="3:31" ht="45.75" thickBot="1" x14ac:dyDescent="0.3">
      <c r="C17" s="13" t="s">
        <v>70</v>
      </c>
      <c r="D17" s="37">
        <f t="shared" ref="D17:S17" si="15">D15*$I$24/$F$24</f>
        <v>3.9898007015557515</v>
      </c>
      <c r="E17" s="37">
        <f t="shared" si="15"/>
        <v>3.7436495808764456</v>
      </c>
      <c r="F17" s="37">
        <f t="shared" si="15"/>
        <v>3.6162290933111563</v>
      </c>
      <c r="G17" s="37">
        <f t="shared" si="15"/>
        <v>3.3871902941248959</v>
      </c>
      <c r="H17" s="37">
        <f t="shared" si="15"/>
        <v>2.8090371274931898</v>
      </c>
      <c r="I17" s="37">
        <f t="shared" si="15"/>
        <v>2.848804629103451</v>
      </c>
      <c r="J17" s="60">
        <f t="shared" si="15"/>
        <v>2.8045935635354131</v>
      </c>
      <c r="K17" s="37">
        <f t="shared" si="15"/>
        <v>2.548185706345353</v>
      </c>
      <c r="L17" s="37">
        <f t="shared" si="15"/>
        <v>2.6308390212111701</v>
      </c>
      <c r="M17" s="37">
        <f t="shared" si="15"/>
        <v>2.2317184387328757</v>
      </c>
      <c r="N17" s="37">
        <f t="shared" si="15"/>
        <v>2.2353378972214113</v>
      </c>
      <c r="O17" s="37">
        <f t="shared" si="15"/>
        <v>2.0843519279871754</v>
      </c>
      <c r="P17" s="37">
        <f t="shared" si="15"/>
        <v>1.9746976387940209</v>
      </c>
      <c r="Q17" s="37">
        <f t="shared" si="15"/>
        <v>1.8382167551262072</v>
      </c>
      <c r="R17" s="37">
        <f t="shared" si="15"/>
        <v>1.8306163610811597</v>
      </c>
      <c r="S17" s="81">
        <f t="shared" si="15"/>
        <v>1.4090351117008406</v>
      </c>
      <c r="U17" s="7" t="s">
        <v>49</v>
      </c>
      <c r="V17" s="29">
        <v>0.34</v>
      </c>
      <c r="W17" s="28" t="s">
        <v>84</v>
      </c>
      <c r="Y17" s="5" t="s">
        <v>43</v>
      </c>
      <c r="Z17" s="14">
        <v>500</v>
      </c>
      <c r="AA17" s="6" t="s">
        <v>37</v>
      </c>
      <c r="AC17" s="21" t="s">
        <v>65</v>
      </c>
      <c r="AD17" s="8">
        <v>0.2</v>
      </c>
      <c r="AE17" s="9"/>
    </row>
    <row r="18" spans="3:31" ht="30.75" thickBot="1" x14ac:dyDescent="0.3">
      <c r="C18" s="13" t="s">
        <v>86</v>
      </c>
      <c r="D18" s="37">
        <f t="shared" ref="D18:S18" si="16">D15*$J$24/$F$24</f>
        <v>7.9966645547178121</v>
      </c>
      <c r="E18" s="37">
        <f t="shared" si="16"/>
        <v>7.5033096006538837</v>
      </c>
      <c r="F18" s="37">
        <f t="shared" si="16"/>
        <v>7.2479236872520199</v>
      </c>
      <c r="G18" s="37">
        <f t="shared" si="16"/>
        <v>6.7888665603148963</v>
      </c>
      <c r="H18" s="37">
        <f t="shared" si="16"/>
        <v>5.6300876436139067</v>
      </c>
      <c r="I18" s="37">
        <f t="shared" si="16"/>
        <v>5.7097927202189753</v>
      </c>
      <c r="J18" s="60">
        <f t="shared" si="16"/>
        <v>5.6211815119407333</v>
      </c>
      <c r="K18" s="37">
        <f t="shared" si="16"/>
        <v>5.1072692199449499</v>
      </c>
      <c r="L18" s="37">
        <f t="shared" si="16"/>
        <v>5.2729293325063837</v>
      </c>
      <c r="M18" s="37">
        <f t="shared" si="16"/>
        <v>4.4729812514611362</v>
      </c>
      <c r="N18" s="37">
        <f t="shared" si="16"/>
        <v>4.4802356477499679</v>
      </c>
      <c r="O18" s="37">
        <f t="shared" si="16"/>
        <v>4.1776179886863645</v>
      </c>
      <c r="P18" s="37">
        <f t="shared" si="16"/>
        <v>3.9578404525999731</v>
      </c>
      <c r="Q18" s="37">
        <f t="shared" si="16"/>
        <v>3.6842949984630278</v>
      </c>
      <c r="R18" s="37">
        <f t="shared" si="16"/>
        <v>3.6690617058230668</v>
      </c>
      <c r="S18" s="81">
        <f t="shared" si="16"/>
        <v>2.8240962336031905</v>
      </c>
      <c r="U18" s="33" t="s">
        <v>72</v>
      </c>
      <c r="V18" s="34">
        <v>0.82</v>
      </c>
      <c r="W18" s="28" t="s">
        <v>85</v>
      </c>
      <c r="Y18" s="7" t="s">
        <v>60</v>
      </c>
      <c r="Z18" s="51">
        <f>SUM(Z15:Z17)</f>
        <v>1250</v>
      </c>
      <c r="AA18" s="9" t="s">
        <v>37</v>
      </c>
    </row>
    <row r="19" spans="3:31" ht="30" customHeight="1" thickBot="1" x14ac:dyDescent="0.3">
      <c r="N19" s="32"/>
      <c r="O19" s="32"/>
      <c r="P19" s="32"/>
      <c r="Q19" s="32"/>
      <c r="R19" s="32"/>
      <c r="S19" s="32"/>
      <c r="T19" s="32"/>
      <c r="U19" s="103"/>
      <c r="V19" s="103"/>
      <c r="W19" s="103"/>
    </row>
    <row r="20" spans="3:31" ht="15.75" thickBot="1" x14ac:dyDescent="0.3">
      <c r="C20" s="85"/>
      <c r="D20" s="87" t="s">
        <v>88</v>
      </c>
      <c r="E20" s="88"/>
      <c r="F20" s="88"/>
      <c r="G20" s="88"/>
      <c r="H20" s="88"/>
      <c r="I20" s="88"/>
      <c r="J20" s="88"/>
      <c r="K20" s="89"/>
      <c r="N20" s="32"/>
      <c r="O20" s="32"/>
      <c r="P20" s="32"/>
      <c r="Q20" s="32"/>
      <c r="R20" s="32"/>
      <c r="S20" s="32"/>
      <c r="T20" s="32"/>
    </row>
    <row r="21" spans="3:31" ht="46.9" customHeight="1" thickBot="1" x14ac:dyDescent="0.3">
      <c r="C21" s="86"/>
      <c r="D21" s="30" t="s">
        <v>57</v>
      </c>
      <c r="E21" s="30" t="s">
        <v>55</v>
      </c>
      <c r="F21" s="30" t="s">
        <v>87</v>
      </c>
      <c r="G21" s="30" t="s">
        <v>56</v>
      </c>
      <c r="H21" s="30" t="s">
        <v>51</v>
      </c>
      <c r="I21" s="30" t="s">
        <v>52</v>
      </c>
      <c r="J21" s="30" t="s">
        <v>53</v>
      </c>
      <c r="K21" s="30" t="s">
        <v>90</v>
      </c>
      <c r="M21" s="32"/>
      <c r="P21" s="32"/>
    </row>
    <row r="22" spans="3:31" ht="32.25" thickBot="1" x14ac:dyDescent="0.3">
      <c r="C22" s="71" t="s">
        <v>66</v>
      </c>
      <c r="D22" s="83">
        <v>0.60447638026309347</v>
      </c>
      <c r="E22" s="63">
        <v>0.46498183097161028</v>
      </c>
      <c r="F22" s="63">
        <v>0.25654923215898823</v>
      </c>
      <c r="G22" s="63">
        <v>0.4555444555444555</v>
      </c>
      <c r="H22" s="63">
        <v>0.9175481075570282</v>
      </c>
      <c r="I22" s="63">
        <v>0.44921737909735382</v>
      </c>
      <c r="J22" s="63">
        <v>0.22412942321261398</v>
      </c>
      <c r="K22" s="64">
        <v>8.559442332958786E-2</v>
      </c>
      <c r="M22" s="32"/>
      <c r="P22" s="32"/>
    </row>
    <row r="23" spans="3:31" ht="51.6" customHeight="1" thickBot="1" x14ac:dyDescent="0.3">
      <c r="C23" s="72" t="s">
        <v>67</v>
      </c>
      <c r="D23" s="65">
        <f t="shared" ref="D23:E23" si="17">$J$14/5*D22</f>
        <v>5577.3977724852084</v>
      </c>
      <c r="E23" s="66">
        <f t="shared" si="17"/>
        <v>4290.3059788347746</v>
      </c>
      <c r="F23" s="66">
        <f>$J$14/5*F22</f>
        <v>2367.1348669629638</v>
      </c>
      <c r="G23" s="66">
        <f t="shared" ref="G23:K23" si="18">$J$14/5*G22</f>
        <v>4203.2289673846162</v>
      </c>
      <c r="H23" s="66">
        <f t="shared" si="18"/>
        <v>8466.0558101694951</v>
      </c>
      <c r="I23" s="66">
        <f t="shared" si="18"/>
        <v>4144.8501402962038</v>
      </c>
      <c r="J23" s="66">
        <f t="shared" si="18"/>
        <v>2068.0029635406922</v>
      </c>
      <c r="K23" s="67">
        <f t="shared" si="18"/>
        <v>789.76476435326947</v>
      </c>
      <c r="M23" s="32"/>
      <c r="P23" s="32"/>
    </row>
    <row r="24" spans="3:31" ht="44.45" customHeight="1" thickBot="1" x14ac:dyDescent="0.3">
      <c r="C24" s="13" t="s">
        <v>54</v>
      </c>
      <c r="D24" s="53">
        <f>$F$22/D22*$F$24</f>
        <v>2.0842372194862882</v>
      </c>
      <c r="E24" s="54">
        <f>$F$22/E22*$F$24</f>
        <v>2.7095083853321746</v>
      </c>
      <c r="F24" s="54">
        <f>J15</f>
        <v>4.9108397614065762</v>
      </c>
      <c r="G24" s="54">
        <f>$F$22/G22*$F$24</f>
        <v>2.7656404434533575</v>
      </c>
      <c r="H24" s="54">
        <f t="shared" ref="H24:K24" si="19">$F$22/H22*$F$24</f>
        <v>1.3730856831028682</v>
      </c>
      <c r="I24" s="54">
        <f t="shared" si="19"/>
        <v>2.8045935635354131</v>
      </c>
      <c r="J24" s="54">
        <f t="shared" si="19"/>
        <v>5.6211815119407333</v>
      </c>
      <c r="K24" s="55">
        <f t="shared" si="19"/>
        <v>14.719091747291202</v>
      </c>
      <c r="M24" s="32"/>
    </row>
    <row r="25" spans="3:31" ht="36" customHeight="1" thickBot="1" x14ac:dyDescent="0.3">
      <c r="C25" s="13" t="s">
        <v>50</v>
      </c>
      <c r="D25" s="68">
        <f>$F$25*D27/$F$27</f>
        <v>34.534737789133956</v>
      </c>
      <c r="E25" s="69">
        <f>$F$25*E27/$F$27</f>
        <v>26.565182914718417</v>
      </c>
      <c r="F25" s="69">
        <f>J13</f>
        <v>21.737254000000004</v>
      </c>
      <c r="G25" s="69">
        <f>$F$25*G27/$F$27</f>
        <v>24.680143772307698</v>
      </c>
      <c r="H25" s="69">
        <f t="shared" ref="H25:K25" si="20">$F$25*H27/$F$27</f>
        <v>50.65924248000001</v>
      </c>
      <c r="I25" s="69">
        <f t="shared" si="20"/>
        <v>27.383374313513521</v>
      </c>
      <c r="J25" s="69">
        <f t="shared" si="20"/>
        <v>4.5929204614589993</v>
      </c>
      <c r="K25" s="70">
        <f t="shared" si="20"/>
        <v>2.3585267234519178</v>
      </c>
    </row>
    <row r="26" spans="3:31" ht="15.75" thickBot="1" x14ac:dyDescent="0.3"/>
    <row r="27" spans="3:31" ht="63.75" thickBot="1" x14ac:dyDescent="0.3">
      <c r="C27" s="84" t="s">
        <v>89</v>
      </c>
      <c r="D27" s="33">
        <v>140.96471710108074</v>
      </c>
      <c r="E27" s="34">
        <v>108.43439777006208</v>
      </c>
      <c r="F27" s="34">
        <v>88.727642276422756</v>
      </c>
      <c r="G27" s="34">
        <v>100.74</v>
      </c>
      <c r="H27" s="34">
        <v>206.78210526315789</v>
      </c>
      <c r="I27" s="34">
        <v>111.77411095305831</v>
      </c>
      <c r="J27" s="34">
        <v>18.747492379138439</v>
      </c>
      <c r="K27" s="28">
        <v>9.6270906811791956</v>
      </c>
    </row>
  </sheetData>
  <mergeCells count="11">
    <mergeCell ref="D20:K20"/>
    <mergeCell ref="C2:S2"/>
    <mergeCell ref="U3:W3"/>
    <mergeCell ref="AC14:AE14"/>
    <mergeCell ref="Y3:Z3"/>
    <mergeCell ref="U8:W8"/>
    <mergeCell ref="Y14:AA14"/>
    <mergeCell ref="U14:W14"/>
    <mergeCell ref="U19:W19"/>
    <mergeCell ref="U9:W9"/>
    <mergeCell ref="U12:W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2025-05-01T09:44:07Z</dcterms:modified>
</cp:coreProperties>
</file>