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C:\Users\SirFa\Downloads\"/>
    </mc:Choice>
  </mc:AlternateContent>
  <xr:revisionPtr revIDLastSave="0" documentId="13_ncr:1_{79D5B54C-115E-42F7-BF42-177AB88FD52A}" xr6:coauthVersionLast="47" xr6:coauthVersionMax="47" xr10:uidLastSave="{00000000-0000-0000-0000-000000000000}"/>
  <bookViews>
    <workbookView xWindow="-108" yWindow="-108" windowWidth="23256" windowHeight="12456" activeTab="2" xr2:uid="{951194C4-9D61-46BE-B0AE-7170A8ED2BCE}"/>
  </bookViews>
  <sheets>
    <sheet name="Glossary" sheetId="2" r:id="rId1"/>
    <sheet name="Forecast Assumptions" sheetId="1" r:id="rId2"/>
    <sheet name="P&amp;L Forecast" sheetId="3" r:id="rId3"/>
  </sheets>
  <definedNames>
    <definedName name="_xlnm.Print_Area" localSheetId="1">'Forecast Assumptions'!$A$1:$J$48</definedName>
    <definedName name="_xlnm.Print_Area" localSheetId="0">Glossary!$A$1:$D$18</definedName>
    <definedName name="_xlnm.Print_Area" localSheetId="2">'P&amp;L Forecast'!$A$1:$J$40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37" i="3" l="1"/>
  <c r="F37" i="3"/>
  <c r="G37" i="3"/>
  <c r="H37" i="3"/>
  <c r="I37" i="3"/>
  <c r="E36" i="3"/>
  <c r="F36" i="3"/>
  <c r="G36" i="3"/>
  <c r="H36" i="3"/>
  <c r="I36" i="3"/>
  <c r="E34" i="3"/>
  <c r="F34" i="3"/>
  <c r="G34" i="3"/>
  <c r="H34" i="3"/>
  <c r="I34" i="3"/>
  <c r="E33" i="3"/>
  <c r="F33" i="3"/>
  <c r="G33" i="3"/>
  <c r="H33" i="3"/>
  <c r="I33" i="3"/>
  <c r="E32" i="3"/>
  <c r="F32" i="3"/>
  <c r="G32" i="3"/>
  <c r="H32" i="3"/>
  <c r="I32" i="3"/>
  <c r="E26" i="3"/>
  <c r="F26" i="3"/>
  <c r="G26" i="3"/>
  <c r="H26" i="3"/>
  <c r="I26" i="3"/>
  <c r="J26" i="3"/>
  <c r="E25" i="3"/>
  <c r="F25" i="3"/>
  <c r="G25" i="3"/>
  <c r="H25" i="3"/>
  <c r="I25" i="3"/>
  <c r="E24" i="3"/>
  <c r="F24" i="3"/>
  <c r="G24" i="3"/>
  <c r="H24" i="3"/>
  <c r="I24" i="3"/>
  <c r="E22" i="3"/>
  <c r="F22" i="3"/>
  <c r="G22" i="3"/>
  <c r="H22" i="3"/>
  <c r="I22" i="3"/>
  <c r="E21" i="3"/>
  <c r="F21" i="3"/>
  <c r="G21" i="3"/>
  <c r="H21" i="3"/>
  <c r="I21" i="3"/>
  <c r="E18" i="3"/>
  <c r="F18" i="3"/>
  <c r="G18" i="3"/>
  <c r="H18" i="3"/>
  <c r="I18" i="3"/>
  <c r="E19" i="3"/>
  <c r="F19" i="3"/>
  <c r="G19" i="3"/>
  <c r="H19" i="3"/>
  <c r="I19" i="3"/>
  <c r="E20" i="3"/>
  <c r="F20" i="3"/>
  <c r="G20" i="3"/>
  <c r="H20" i="3"/>
  <c r="I20" i="3"/>
  <c r="E17" i="3"/>
  <c r="F17" i="3"/>
  <c r="G17" i="3"/>
  <c r="H17" i="3"/>
  <c r="I17" i="3"/>
  <c r="E15" i="3"/>
  <c r="F15" i="3"/>
  <c r="G15" i="3"/>
  <c r="H15" i="3"/>
  <c r="I15" i="3"/>
  <c r="E14" i="3"/>
  <c r="F14" i="3"/>
  <c r="G14" i="3"/>
  <c r="H14" i="3"/>
  <c r="I14" i="3"/>
  <c r="E13" i="3"/>
  <c r="F13" i="3"/>
  <c r="G13" i="3"/>
  <c r="H13" i="3"/>
  <c r="I13" i="3"/>
  <c r="E12" i="3"/>
  <c r="F12" i="3"/>
  <c r="G12" i="3"/>
  <c r="H12" i="3"/>
  <c r="I12" i="3"/>
  <c r="E11" i="3"/>
  <c r="F11" i="3"/>
  <c r="G11" i="3"/>
  <c r="H11" i="3"/>
  <c r="I11" i="3"/>
  <c r="F9" i="3"/>
  <c r="G9" i="3"/>
  <c r="H9" i="3"/>
  <c r="I9" i="3"/>
  <c r="I8" i="3"/>
  <c r="E8" i="3"/>
  <c r="F8" i="3"/>
  <c r="G8" i="3"/>
  <c r="H8" i="3"/>
  <c r="E7" i="3"/>
  <c r="F7" i="3"/>
  <c r="G7" i="3"/>
  <c r="H7" i="3"/>
  <c r="I7" i="3"/>
  <c r="E6" i="3"/>
  <c r="F6" i="3"/>
  <c r="G6" i="3"/>
  <c r="H6" i="3"/>
  <c r="I6" i="3"/>
  <c r="F5" i="3"/>
  <c r="G5" i="3"/>
  <c r="H5" i="3"/>
  <c r="I5" i="3"/>
  <c r="E5" i="3"/>
  <c r="G33" i="1"/>
  <c r="H33" i="1"/>
  <c r="I33" i="1" s="1"/>
  <c r="F33" i="1"/>
  <c r="E3" i="3" l="1"/>
  <c r="F3" i="3" s="1"/>
  <c r="G3" i="3" s="1"/>
  <c r="H3" i="3" s="1"/>
  <c r="I3" i="3" s="1"/>
  <c r="F17" i="1" l="1"/>
  <c r="G17" i="1" s="1"/>
  <c r="H17" i="1" s="1"/>
  <c r="I17" i="1" s="1"/>
  <c r="F16" i="1"/>
  <c r="G16" i="1" s="1"/>
  <c r="H16" i="1" s="1"/>
  <c r="I16" i="1" s="1"/>
  <c r="F13" i="1"/>
  <c r="G13" i="1" s="1"/>
  <c r="H13" i="1" s="1"/>
  <c r="I13" i="1" s="1"/>
  <c r="F12" i="1"/>
  <c r="G12" i="1" s="1"/>
  <c r="H12" i="1" s="1"/>
  <c r="I12" i="1" s="1"/>
  <c r="F9" i="1"/>
  <c r="G9" i="1" s="1"/>
  <c r="H9" i="1" s="1"/>
  <c r="I9" i="1" s="1"/>
  <c r="F8" i="1"/>
  <c r="G8" i="1" s="1"/>
  <c r="H8" i="1" s="1"/>
  <c r="I8" i="1" s="1"/>
  <c r="F24" i="1"/>
  <c r="G24" i="1" s="1"/>
  <c r="H24" i="1" s="1"/>
  <c r="I24" i="1" s="1"/>
  <c r="F23" i="1"/>
  <c r="G23" i="1" s="1"/>
  <c r="H23" i="1" s="1"/>
  <c r="I23" i="1" s="1"/>
  <c r="F22" i="1"/>
  <c r="G22" i="1" s="1"/>
  <c r="H22" i="1" s="1"/>
  <c r="I22" i="1" s="1"/>
  <c r="E37" i="1"/>
  <c r="I37" i="1"/>
  <c r="F30" i="1"/>
  <c r="G30" i="1" s="1"/>
  <c r="H30" i="1" s="1"/>
  <c r="I30" i="1" s="1"/>
  <c r="F29" i="1"/>
  <c r="G29" i="1" s="1"/>
  <c r="H29" i="1" s="1"/>
  <c r="I29" i="1" s="1"/>
  <c r="F28" i="1"/>
  <c r="G28" i="1" s="1"/>
  <c r="H28" i="1" s="1"/>
  <c r="I28" i="1" s="1"/>
  <c r="F27" i="1"/>
  <c r="G27" i="1" s="1"/>
  <c r="H27" i="1" s="1"/>
  <c r="I27" i="1" s="1"/>
  <c r="G37" i="1" l="1"/>
  <c r="F37" i="1"/>
  <c r="H37" i="1"/>
  <c r="E3" i="1"/>
  <c r="F3" i="1" l="1"/>
  <c r="G3" i="1" l="1"/>
  <c r="H3" i="1" l="1"/>
  <c r="I3" i="1" l="1"/>
  <c r="E29" i="3" l="1"/>
  <c r="E30" i="3" l="1"/>
  <c r="G29" i="3" l="1"/>
  <c r="F29" i="3" l="1"/>
  <c r="H29" i="3"/>
  <c r="G30" i="3"/>
  <c r="I29" i="3" l="1"/>
  <c r="H30" i="3"/>
  <c r="F30" i="3"/>
  <c r="I30" i="3" l="1"/>
</calcChain>
</file>

<file path=xl/sharedStrings.xml><?xml version="1.0" encoding="utf-8"?>
<sst xmlns="http://schemas.openxmlformats.org/spreadsheetml/2006/main" count="147" uniqueCount="80">
  <si>
    <t>*</t>
  </si>
  <si>
    <t>%</t>
  </si>
  <si>
    <t>Tax Rate</t>
  </si>
  <si>
    <t>#</t>
  </si>
  <si>
    <t>EBITDA</t>
  </si>
  <si>
    <t>EBIT</t>
  </si>
  <si>
    <t>Drinks</t>
  </si>
  <si>
    <t>Cupcakes</t>
  </si>
  <si>
    <t>Ice Cream</t>
  </si>
  <si>
    <t>Unit</t>
  </si>
  <si>
    <t>Average Sale Price</t>
  </si>
  <si>
    <t>$</t>
  </si>
  <si>
    <t>Number of Units Sold</t>
  </si>
  <si>
    <t>Cost of Goods Sold (COGS)</t>
  </si>
  <si>
    <t>COGS per Cupcake</t>
  </si>
  <si>
    <t>COGS per Ice Cream</t>
  </si>
  <si>
    <t>COGS per Drink</t>
  </si>
  <si>
    <t>Staff Costs</t>
  </si>
  <si>
    <t>Marketing Costs</t>
  </si>
  <si>
    <t>Occupancy Costs</t>
  </si>
  <si>
    <t>Other Costs</t>
  </si>
  <si>
    <t>Operating Expenses (OpEx)</t>
  </si>
  <si>
    <t>Annual D&amp;A</t>
  </si>
  <si>
    <t>% of revenue</t>
  </si>
  <si>
    <t>Debt Interest Rate</t>
  </si>
  <si>
    <t>Payable Days</t>
  </si>
  <si>
    <t>Inventory Days</t>
  </si>
  <si>
    <t>Cash Interest Rate</t>
  </si>
  <si>
    <t>Glossary</t>
  </si>
  <si>
    <t>Term</t>
  </si>
  <si>
    <t>Definition</t>
  </si>
  <si>
    <t>Depreciation</t>
  </si>
  <si>
    <t>Amortization</t>
  </si>
  <si>
    <t>Depreciation &amp; Amortization (D&amp;A)</t>
  </si>
  <si>
    <t>Capital Expenditure (CapEx)</t>
  </si>
  <si>
    <t>Net Working Capital (NWC)</t>
  </si>
  <si>
    <t>Dec-YE</t>
  </si>
  <si>
    <t>END</t>
  </si>
  <si>
    <t>Dividend Payout Ratio</t>
  </si>
  <si>
    <t>Receivable Days</t>
  </si>
  <si>
    <t>The dividend payout ratio is the percentage of net income that a company pays out to its shareholders as dividends. On the other hand, the part of net income that is not paid out to shareholders is left for re-investment into the company to provide for future growth.</t>
  </si>
  <si>
    <t>Within large Excel files, at times, the file can freeze and not 
calculate a new formula or change for some time. In this case, hit the F9 key which should cause the workbook to calculate.</t>
  </si>
  <si>
    <t>The average number of days that a company holds its 
inventory before selling it. The lower the number, the more efficient the company is at selling its stock.</t>
  </si>
  <si>
    <t>The average number of days that a company takes to pay its suppliers. Also known as Days Payable Outstanding (DPO). The higher the number, the longer it takes the company to pay its suppliers.</t>
  </si>
  <si>
    <t>The average number of days that it takes a company to collect payment after a sale has been made. Also known as Days Sales Outstanding (DSO). The lower the number, the quicker it is for the company to get paid.</t>
  </si>
  <si>
    <t>Net working capital is the difference between a company's 
current assets and current liabilities. For most companies, this involves adding accounts receivable and inventory, and subtracting accounts payable. 
Taking this one step further, to calculate the Change in NWC for a given period, the formula is Change in NWC (Period 2) = NWC (Period 1) - NWC (Period 2). 
The formula may seem counterintuitive. An example will help clear this up. For instance, if NWC(2) is 10 and NWC(1) is 6, then the Change in NWC = 6 - 10 = -4. The change in NWC is negative as it represents a use of cash in period 2 (i.e. to increase the net current asset base from 6 to 10 in period 2, this had to be paid for using cash, and hence represents a use of cash).</t>
  </si>
  <si>
    <t>Money spent by a company on acquiring or maintaining 
fixed assets such as property, plant and equipment.</t>
  </si>
  <si>
    <t>An annual amount representing the allocation of the cost 
of an intangible asset over a period of time.</t>
  </si>
  <si>
    <t>An annual amount representing the allocation of the cost 
of an tangible asset over a period of time.</t>
  </si>
  <si>
    <t>A company's earnings before interest and taxes (EBIT) is an financial metric that includes all income and expenses, except net interest expense and income tax. It is another common proxy for a company's operational profitability.</t>
  </si>
  <si>
    <t>A company's earnings before interest, taxes, depreciation and amortization (EBITDA) is a common financial metric used as a proxy for a company's operational profitability. However, it can be misleading in some circumstances, because it does not include the cost of capital investments such as property, plant and equipment, whose cost is recognised over time in the depreciation and amortization line items.</t>
  </si>
  <si>
    <t>Forecast Assumptions</t>
  </si>
  <si>
    <t>Revenue</t>
  </si>
  <si>
    <t>Costs</t>
  </si>
  <si>
    <t>Change in Net Working Capital (NWC)</t>
  </si>
  <si>
    <t>Capital Expenditure (Capex)</t>
  </si>
  <si>
    <t>Cash Flow</t>
  </si>
  <si>
    <t>Other</t>
  </si>
  <si>
    <t>P&amp;L Forecast</t>
  </si>
  <si>
    <t>Total Revenue</t>
  </si>
  <si>
    <t>Growth</t>
  </si>
  <si>
    <t>Gross Profit</t>
  </si>
  <si>
    <t>Margin</t>
  </si>
  <si>
    <t>EBIT (Operating Income)</t>
  </si>
  <si>
    <t>Net Interest</t>
  </si>
  <si>
    <t>Profit Before Tax (PBT)</t>
  </si>
  <si>
    <t>Net Profit After Tax (NPAT)</t>
  </si>
  <si>
    <t>Gross Dividends</t>
  </si>
  <si>
    <r>
      <t xml:space="preserve">The direct costs of producing the goods sold by a 
company. Examples include the cost of raw materials, distribution and labor </t>
    </r>
    <r>
      <rPr>
        <i/>
        <sz val="10"/>
        <color theme="1"/>
        <rFont val="Arial"/>
        <family val="2"/>
      </rPr>
      <t xml:space="preserve">directly </t>
    </r>
    <r>
      <rPr>
        <sz val="10"/>
        <color theme="1"/>
        <rFont val="Arial"/>
        <family val="2"/>
      </rPr>
      <t>involved in the production of the goods.</t>
    </r>
  </si>
  <si>
    <t>F9 Key (Calculate the Workbook) / Fn+F9 on Mac</t>
  </si>
  <si>
    <t>An operating expense is an ongoing cost incurred in 
running a business, that is not a direct cost. Examples include head office costs, general and administrative costs, and centralised marketing costs.</t>
  </si>
  <si>
    <t>Cupcakes Revenue</t>
  </si>
  <si>
    <t>Ice Cream Revenue</t>
  </si>
  <si>
    <t>Drinks Revenue</t>
  </si>
  <si>
    <t>Cupcakes COGS</t>
  </si>
  <si>
    <t>Ice Cream COGS</t>
  </si>
  <si>
    <t>Drinks COGS</t>
  </si>
  <si>
    <t>D&amp;A</t>
  </si>
  <si>
    <t>Annual Tax</t>
  </si>
  <si>
    <t>Dividend Payout Percentage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</si>
</sst>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0\);\-"/>
    <numFmt numFmtId="165" formatCode="#,##0.00;\(#,##0.00\);\-"/>
    <numFmt numFmtId="166" formatCode="&quot;FY&quot;yy&quot;E&quot;"/>
    <numFmt numFmtId="167" formatCode="0.0%;\(0.0%\);\-"/>
    <numFmt numFmtId="168" formatCode="&quot;FY&quot;yy&quot;A&quot;"/>
    <numFmt numFmtId="169" formatCode="0%;\(0%\);\-"/>
  </numFmts>
  <fonts count="10" x14ac:knownFonts="1">
    <font>
      <sz val="11"/>
      <color theme="1"/>
      <name val="Calibri"/>
      <family val="2"/>
      <scheme val="minor"/>
    </font>
    <font>
      <sz val="12"/>
      <color theme="1"/>
      <name val="Arial"/>
      <family val="2"/>
    </font>
    <font>
      <b/>
      <sz val="10"/>
      <color theme="0"/>
      <name val="Arial"/>
      <family val="2"/>
    </font>
    <font>
      <sz val="10"/>
      <color theme="1"/>
      <name val="Arial"/>
      <family val="2"/>
    </font>
    <font>
      <b/>
      <sz val="10"/>
      <color theme="1"/>
      <name val="Arial"/>
      <family val="2"/>
    </font>
    <font>
      <b/>
      <i/>
      <sz val="10"/>
      <color theme="1"/>
      <name val="Arial"/>
      <family val="2"/>
    </font>
    <font>
      <sz val="10"/>
      <color rgb="FF0000FF"/>
      <name val="Arial"/>
      <family val="2"/>
    </font>
    <font>
      <b/>
      <u/>
      <sz val="10"/>
      <color theme="1"/>
      <name val="Arial"/>
      <family val="2"/>
    </font>
    <font>
      <b/>
      <sz val="14"/>
      <color theme="0"/>
      <name val="Arial"/>
      <family val="2"/>
    </font>
    <font>
      <i/>
      <sz val="10"/>
      <color theme="1"/>
      <name val="Arial"/>
      <family val="2"/>
    </font>
  </fonts>
  <fills count="6">
    <fill>
      <patternFill patternType="none"/>
    </fill>
    <fill>
      <patternFill patternType="gray125"/>
    </fill>
    <fill>
      <patternFill patternType="solid">
        <fgColor theme="1"/>
        <bgColor indexed="64"/>
      </patternFill>
    </fill>
    <fill>
      <patternFill patternType="solid">
        <fgColor theme="0" tint="-0.499984740745262"/>
        <bgColor indexed="64"/>
      </patternFill>
    </fill>
    <fill>
      <patternFill patternType="solid">
        <fgColor theme="8" tint="0.79998168889431442"/>
        <bgColor indexed="64"/>
      </patternFill>
    </fill>
    <fill>
      <patternFill patternType="solid">
        <fgColor theme="8" tint="0.59999389629810485"/>
        <bgColor indexed="64"/>
      </patternFill>
    </fill>
  </fills>
  <borders count="4">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s>
  <cellStyleXfs count="1">
    <xf numFmtId="0" fontId="0" fillId="0" borderId="0"/>
  </cellStyleXfs>
  <cellXfs count="38">
    <xf numFmtId="0" fontId="0" fillId="0" borderId="0" xfId="0"/>
    <xf numFmtId="0" fontId="1" fillId="2" borderId="0" xfId="0" applyFont="1" applyFill="1"/>
    <xf numFmtId="0" fontId="2" fillId="2" borderId="0" xfId="0" applyFont="1" applyFill="1"/>
    <xf numFmtId="0" fontId="3" fillId="2" borderId="0" xfId="0" applyFont="1" applyFill="1"/>
    <xf numFmtId="0" fontId="3" fillId="0" borderId="0" xfId="0" applyFont="1"/>
    <xf numFmtId="0" fontId="7" fillId="0" borderId="0" xfId="0" applyFont="1"/>
    <xf numFmtId="0" fontId="8" fillId="2" borderId="0" xfId="0" applyFont="1" applyFill="1"/>
    <xf numFmtId="0" fontId="2" fillId="3" borderId="0" xfId="0" applyFont="1" applyFill="1"/>
    <xf numFmtId="0" fontId="3" fillId="3" borderId="0" xfId="0" applyFont="1" applyFill="1"/>
    <xf numFmtId="0" fontId="4" fillId="0" borderId="1" xfId="0" applyFont="1" applyBorder="1"/>
    <xf numFmtId="0" fontId="4" fillId="0" borderId="1" xfId="0" applyFont="1" applyBorder="1" applyAlignment="1">
      <alignment horizontal="center"/>
    </xf>
    <xf numFmtId="0" fontId="4" fillId="0" borderId="0" xfId="0" applyFont="1"/>
    <xf numFmtId="0" fontId="3" fillId="0" borderId="0" xfId="0" applyFont="1" applyAlignment="1">
      <alignment horizontal="left"/>
    </xf>
    <xf numFmtId="0" fontId="4" fillId="0" borderId="0" xfId="0" applyFont="1" applyAlignment="1">
      <alignment vertical="center"/>
    </xf>
    <xf numFmtId="0" fontId="5" fillId="0" borderId="0" xfId="0" applyFont="1" applyAlignment="1">
      <alignment horizontal="center" vertical="center"/>
    </xf>
    <xf numFmtId="0" fontId="3" fillId="0" borderId="0" xfId="0" applyFont="1" applyAlignment="1">
      <alignment horizontal="center"/>
    </xf>
    <xf numFmtId="166" fontId="4" fillId="0" borderId="1" xfId="0" applyNumberFormat="1" applyFont="1" applyBorder="1" applyAlignment="1">
      <alignment horizontal="right"/>
    </xf>
    <xf numFmtId="0" fontId="3" fillId="0" borderId="0" xfId="0" applyFont="1" applyAlignment="1">
      <alignment horizontal="right"/>
    </xf>
    <xf numFmtId="0" fontId="3" fillId="3" borderId="0" xfId="0" applyFont="1" applyFill="1" applyAlignment="1">
      <alignment horizontal="right"/>
    </xf>
    <xf numFmtId="0" fontId="4" fillId="0" borderId="0" xfId="0" applyFont="1" applyAlignment="1">
      <alignment horizontal="right"/>
    </xf>
    <xf numFmtId="168" fontId="4" fillId="0" borderId="1" xfId="0" applyNumberFormat="1" applyFont="1" applyBorder="1" applyAlignment="1">
      <alignment horizontal="right"/>
    </xf>
    <xf numFmtId="164" fontId="6" fillId="5" borderId="2" xfId="0" applyNumberFormat="1" applyFont="1" applyFill="1" applyBorder="1" applyAlignment="1">
      <alignment horizontal="right"/>
    </xf>
    <xf numFmtId="165" fontId="6" fillId="5" borderId="2" xfId="0" applyNumberFormat="1" applyFont="1" applyFill="1" applyBorder="1" applyAlignment="1">
      <alignment horizontal="right"/>
    </xf>
    <xf numFmtId="167" fontId="6" fillId="5" borderId="2" xfId="0" applyNumberFormat="1" applyFont="1" applyFill="1" applyBorder="1" applyAlignment="1">
      <alignment horizontal="right"/>
    </xf>
    <xf numFmtId="0" fontId="4" fillId="0" borderId="3" xfId="0" applyFont="1" applyBorder="1"/>
    <xf numFmtId="0" fontId="4" fillId="0" borderId="3" xfId="0" applyFont="1" applyBorder="1" applyAlignment="1">
      <alignment horizontal="center"/>
    </xf>
    <xf numFmtId="164" fontId="4" fillId="0" borderId="3" xfId="0" applyNumberFormat="1" applyFont="1" applyBorder="1" applyAlignment="1">
      <alignment horizontal="right"/>
    </xf>
    <xf numFmtId="0" fontId="9" fillId="0" borderId="0" xfId="0" applyFont="1" applyAlignment="1">
      <alignment horizontal="left" indent="1"/>
    </xf>
    <xf numFmtId="169" fontId="9" fillId="0" borderId="0" xfId="0" applyNumberFormat="1" applyFont="1" applyAlignment="1">
      <alignment horizontal="right"/>
    </xf>
    <xf numFmtId="169" fontId="9" fillId="5" borderId="0" xfId="0" applyNumberFormat="1" applyFont="1" applyFill="1" applyAlignment="1">
      <alignment horizontal="right"/>
    </xf>
    <xf numFmtId="164" fontId="3" fillId="5" borderId="0" xfId="0" applyNumberFormat="1" applyFont="1" applyFill="1" applyAlignment="1">
      <alignment horizontal="right"/>
    </xf>
    <xf numFmtId="164" fontId="4" fillId="5" borderId="3" xfId="0" applyNumberFormat="1" applyFont="1" applyFill="1" applyBorder="1" applyAlignment="1">
      <alignment horizontal="right"/>
    </xf>
    <xf numFmtId="0" fontId="3" fillId="5" borderId="0" xfId="0" applyFont="1" applyFill="1"/>
    <xf numFmtId="0" fontId="3" fillId="5" borderId="0" xfId="0" applyFont="1" applyFill="1" applyAlignment="1">
      <alignment horizontal="center"/>
    </xf>
    <xf numFmtId="164" fontId="3" fillId="0" borderId="0" xfId="0" applyNumberFormat="1" applyFont="1" applyAlignment="1">
      <alignment horizontal="right"/>
    </xf>
    <xf numFmtId="169" fontId="3" fillId="5" borderId="0" xfId="0" applyNumberFormat="1" applyFont="1" applyFill="1" applyAlignment="1">
      <alignment horizontal="right"/>
    </xf>
    <xf numFmtId="0" fontId="4" fillId="4" borderId="0" xfId="0" applyFont="1" applyFill="1" applyAlignment="1">
      <alignment vertical="center"/>
    </xf>
    <xf numFmtId="0" fontId="3" fillId="0" borderId="0" xfId="0" applyFont="1" applyAlignment="1">
      <alignment horizontal="left" vertical="center" wrapText="1"/>
    </xf>
  </cellXfs>
  <cellStyles count="1">
    <cellStyle name="Normal" xfId="0" builtinId="0"/>
  </cellStyles>
  <dxfs count="6">
    <dxf>
      <font>
        <b/>
        <i/>
        <strike val="0"/>
        <condense val="0"/>
        <extend val="0"/>
        <outline val="0"/>
        <shadow val="0"/>
        <u val="none"/>
        <vertAlign val="baseline"/>
        <sz val="10"/>
        <color theme="1"/>
        <name val="Arial"/>
        <family val="2"/>
        <scheme val="none"/>
      </font>
      <alignment horizontal="left" vertical="center" textRotation="0" wrapText="1" indent="0" justifyLastLine="0" shrinkToFit="0" readingOrder="0"/>
    </dxf>
    <dxf>
      <font>
        <b/>
        <i val="0"/>
        <strike val="0"/>
        <condense val="0"/>
        <extend val="0"/>
        <outline val="0"/>
        <shadow val="0"/>
        <u val="none"/>
        <vertAlign val="baseline"/>
        <sz val="10"/>
        <color theme="1"/>
        <name val="Arial"/>
        <family val="2"/>
        <scheme val="none"/>
      </font>
      <fill>
        <patternFill patternType="solid">
          <fgColor indexed="64"/>
          <bgColor theme="8" tint="0.79998168889431442"/>
        </patternFill>
      </fill>
      <alignment horizontal="general"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alignment vertical="bottom" textRotation="0" wrapText="0" indent="0" justifyLastLine="0" shrinkToFit="0" readingOrder="0"/>
    </dxf>
  </dxfs>
  <tableStyles count="0" defaultTableStyle="TableStyleMedium2" defaultPivotStyle="PivotStyleLight16"/>
  <colors>
    <mruColors>
      <color rgb="FFFFFF99"/>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10</xdr:col>
      <xdr:colOff>244929</xdr:colOff>
      <xdr:row>4</xdr:row>
      <xdr:rowOff>13607</xdr:rowOff>
    </xdr:from>
    <xdr:to>
      <xdr:col>17</xdr:col>
      <xdr:colOff>1311731</xdr:colOff>
      <xdr:row>7</xdr:row>
      <xdr:rowOff>120861</xdr:rowOff>
    </xdr:to>
    <xdr:sp macro="" textlink="">
      <xdr:nvSpPr>
        <xdr:cNvPr id="2" name="Rectangle: Rounded Corners 1">
          <a:extLst>
            <a:ext uri="{FF2B5EF4-FFF2-40B4-BE49-F238E27FC236}">
              <a16:creationId xmlns:a16="http://schemas.microsoft.com/office/drawing/2014/main" id="{83AD2FBF-E98C-456F-91D1-5689BF3267B3}"/>
            </a:ext>
          </a:extLst>
        </xdr:cNvPr>
        <xdr:cNvSpPr/>
      </xdr:nvSpPr>
      <xdr:spPr>
        <a:xfrm>
          <a:off x="13784036" y="1020536"/>
          <a:ext cx="10782302" cy="678754"/>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u="none">
              <a:latin typeface="Arial" panose="020B0604020202020204" pitchFamily="34" charset="0"/>
              <a:cs typeface="Arial" panose="020B0604020202020204" pitchFamily="34" charset="0"/>
            </a:rPr>
            <a:t>Revenue: </a:t>
          </a:r>
          <a:r>
            <a:rPr lang="en-GB" sz="1100" b="0" u="none">
              <a:latin typeface="Arial" panose="020B0604020202020204" pitchFamily="34" charset="0"/>
              <a:cs typeface="Arial" panose="020B0604020202020204" pitchFamily="34" charset="0"/>
            </a:rPr>
            <a:t>Use Price x Volume</a:t>
          </a:r>
          <a:r>
            <a:rPr lang="en-GB" sz="1100" b="0" u="none" baseline="0">
              <a:latin typeface="Arial" panose="020B0604020202020204" pitchFamily="34" charset="0"/>
              <a:cs typeface="Arial" panose="020B0604020202020204" pitchFamily="34" charset="0"/>
            </a:rPr>
            <a:t> to calculate revenue for each product. Then sum the product revenues to calculate total revenue. Thereafter, calculate the annual revenue growth rate for FY21E-FY24E. Be sure to include the unit for each line item throughout this sheet!</a:t>
          </a:r>
          <a:endParaRPr lang="en-GB" sz="1100" b="0" u="none">
            <a:latin typeface="Arial" panose="020B0604020202020204" pitchFamily="34" charset="0"/>
            <a:cs typeface="Arial" panose="020B0604020202020204" pitchFamily="34" charset="0"/>
          </a:endParaRPr>
        </a:p>
      </xdr:txBody>
    </xdr:sp>
    <xdr:clientData/>
  </xdr:twoCellAnchor>
  <xdr:twoCellAnchor>
    <xdr:from>
      <xdr:col>10</xdr:col>
      <xdr:colOff>244929</xdr:colOff>
      <xdr:row>9</xdr:row>
      <xdr:rowOff>68036</xdr:rowOff>
    </xdr:from>
    <xdr:to>
      <xdr:col>17</xdr:col>
      <xdr:colOff>1311731</xdr:colOff>
      <xdr:row>12</xdr:row>
      <xdr:rowOff>40821</xdr:rowOff>
    </xdr:to>
    <xdr:sp macro="" textlink="">
      <xdr:nvSpPr>
        <xdr:cNvPr id="3" name="Rectangle: Rounded Corners 2">
          <a:extLst>
            <a:ext uri="{FF2B5EF4-FFF2-40B4-BE49-F238E27FC236}">
              <a16:creationId xmlns:a16="http://schemas.microsoft.com/office/drawing/2014/main" id="{FA3B9A37-9ACB-46C4-BB06-0622C8A9689A}"/>
            </a:ext>
          </a:extLst>
        </xdr:cNvPr>
        <xdr:cNvSpPr/>
      </xdr:nvSpPr>
      <xdr:spPr>
        <a:xfrm>
          <a:off x="13784036" y="2027465"/>
          <a:ext cx="10782302" cy="54428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u="none">
              <a:latin typeface="Arial" panose="020B0604020202020204" pitchFamily="34" charset="0"/>
              <a:cs typeface="Arial" panose="020B0604020202020204" pitchFamily="34" charset="0"/>
            </a:rPr>
            <a:t>COGS</a:t>
          </a:r>
          <a:r>
            <a:rPr lang="en-GB" sz="1100" b="1" u="none" baseline="0">
              <a:latin typeface="Arial" panose="020B0604020202020204" pitchFamily="34" charset="0"/>
              <a:cs typeface="Arial" panose="020B0604020202020204" pitchFamily="34" charset="0"/>
            </a:rPr>
            <a:t> &amp; Gross Profit</a:t>
          </a:r>
          <a:r>
            <a:rPr lang="en-GB" sz="1100" b="1" u="none">
              <a:latin typeface="Arial" panose="020B0604020202020204" pitchFamily="34" charset="0"/>
              <a:cs typeface="Arial" panose="020B0604020202020204" pitchFamily="34" charset="0"/>
            </a:rPr>
            <a:t>: </a:t>
          </a:r>
          <a:r>
            <a:rPr lang="en-GB" sz="1100" b="0" u="none">
              <a:latin typeface="Arial" panose="020B0604020202020204" pitchFamily="34" charset="0"/>
              <a:cs typeface="Arial" panose="020B0604020202020204" pitchFamily="34" charset="0"/>
            </a:rPr>
            <a:t>Use COGS per Unit x Volume</a:t>
          </a:r>
          <a:r>
            <a:rPr lang="en-GB" sz="1100" b="0" u="none" baseline="0">
              <a:latin typeface="Arial" panose="020B0604020202020204" pitchFamily="34" charset="0"/>
              <a:cs typeface="Arial" panose="020B0604020202020204" pitchFamily="34" charset="0"/>
            </a:rPr>
            <a:t> to calculate COGS for each product. The difference between Total Revenue and Gross Profit is COGS. Thereafter, calculate the gross margin for each year between FY20E-FY24E.</a:t>
          </a:r>
          <a:endParaRPr lang="en-GB" sz="1100" b="0" u="none">
            <a:latin typeface="Arial" panose="020B0604020202020204" pitchFamily="34" charset="0"/>
            <a:cs typeface="Arial" panose="020B0604020202020204" pitchFamily="34" charset="0"/>
          </a:endParaRPr>
        </a:p>
      </xdr:txBody>
    </xdr:sp>
    <xdr:clientData/>
  </xdr:twoCellAnchor>
  <xdr:twoCellAnchor>
    <xdr:from>
      <xdr:col>10</xdr:col>
      <xdr:colOff>244929</xdr:colOff>
      <xdr:row>16</xdr:row>
      <xdr:rowOff>27215</xdr:rowOff>
    </xdr:from>
    <xdr:to>
      <xdr:col>17</xdr:col>
      <xdr:colOff>1311731</xdr:colOff>
      <xdr:row>19</xdr:row>
      <xdr:rowOff>0</xdr:rowOff>
    </xdr:to>
    <xdr:sp macro="" textlink="">
      <xdr:nvSpPr>
        <xdr:cNvPr id="4" name="Rectangle: Rounded Corners 3">
          <a:extLst>
            <a:ext uri="{FF2B5EF4-FFF2-40B4-BE49-F238E27FC236}">
              <a16:creationId xmlns:a16="http://schemas.microsoft.com/office/drawing/2014/main" id="{E0B0F3D9-53FF-42FA-B1F3-F71063B7C070}"/>
            </a:ext>
          </a:extLst>
        </xdr:cNvPr>
        <xdr:cNvSpPr/>
      </xdr:nvSpPr>
      <xdr:spPr>
        <a:xfrm>
          <a:off x="13784036" y="3320144"/>
          <a:ext cx="10782302" cy="54428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u="none">
              <a:latin typeface="Arial" panose="020B0604020202020204" pitchFamily="34" charset="0"/>
              <a:cs typeface="Arial" panose="020B0604020202020204" pitchFamily="34" charset="0"/>
            </a:rPr>
            <a:t>Opex &amp; EBITDA: </a:t>
          </a:r>
          <a:r>
            <a:rPr lang="en-GB" sz="1100" b="0" u="none">
              <a:latin typeface="Arial" panose="020B0604020202020204" pitchFamily="34" charset="0"/>
              <a:cs typeface="Arial" panose="020B0604020202020204" pitchFamily="34" charset="0"/>
            </a:rPr>
            <a:t>Use the assumptions for each opex line item</a:t>
          </a:r>
          <a:r>
            <a:rPr lang="en-GB" sz="1100" b="0" u="none" baseline="0">
              <a:latin typeface="Arial" panose="020B0604020202020204" pitchFamily="34" charset="0"/>
              <a:cs typeface="Arial" panose="020B0604020202020204" pitchFamily="34" charset="0"/>
            </a:rPr>
            <a:t> for each year. The difference between Gross Profit and EBITDA is Opex. Thereafter, calculate the EBITDA margin for each year between FY20E-FY24E.</a:t>
          </a:r>
          <a:endParaRPr lang="en-GB" sz="1100" b="0" u="none">
            <a:latin typeface="Arial" panose="020B0604020202020204" pitchFamily="34" charset="0"/>
            <a:cs typeface="Arial" panose="020B0604020202020204" pitchFamily="34" charset="0"/>
          </a:endParaRPr>
        </a:p>
      </xdr:txBody>
    </xdr:sp>
    <xdr:clientData/>
  </xdr:twoCellAnchor>
  <xdr:twoCellAnchor>
    <xdr:from>
      <xdr:col>10</xdr:col>
      <xdr:colOff>244929</xdr:colOff>
      <xdr:row>23</xdr:row>
      <xdr:rowOff>13608</xdr:rowOff>
    </xdr:from>
    <xdr:to>
      <xdr:col>17</xdr:col>
      <xdr:colOff>1311731</xdr:colOff>
      <xdr:row>25</xdr:row>
      <xdr:rowOff>176893</xdr:rowOff>
    </xdr:to>
    <xdr:sp macro="" textlink="">
      <xdr:nvSpPr>
        <xdr:cNvPr id="5" name="Rectangle: Rounded Corners 4">
          <a:extLst>
            <a:ext uri="{FF2B5EF4-FFF2-40B4-BE49-F238E27FC236}">
              <a16:creationId xmlns:a16="http://schemas.microsoft.com/office/drawing/2014/main" id="{33CFC212-B196-4866-B998-C4C07A9CAF8E}"/>
            </a:ext>
          </a:extLst>
        </xdr:cNvPr>
        <xdr:cNvSpPr/>
      </xdr:nvSpPr>
      <xdr:spPr>
        <a:xfrm>
          <a:off x="13784036" y="4640037"/>
          <a:ext cx="10782302" cy="54428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u="none">
              <a:latin typeface="Arial" panose="020B0604020202020204" pitchFamily="34" charset="0"/>
              <a:cs typeface="Arial" panose="020B0604020202020204" pitchFamily="34" charset="0"/>
            </a:rPr>
            <a:t>D&amp;A &amp; EBIT: </a:t>
          </a:r>
          <a:r>
            <a:rPr lang="en-GB" sz="1100" b="0" u="none">
              <a:latin typeface="Arial" panose="020B0604020202020204" pitchFamily="34" charset="0"/>
              <a:cs typeface="Arial" panose="020B0604020202020204" pitchFamily="34" charset="0"/>
            </a:rPr>
            <a:t>Use the % of revenue assumption to calculate D&amp;A</a:t>
          </a:r>
          <a:r>
            <a:rPr lang="en-GB" sz="1100" b="0" u="none" baseline="0">
              <a:latin typeface="Arial" panose="020B0604020202020204" pitchFamily="34" charset="0"/>
              <a:cs typeface="Arial" panose="020B0604020202020204" pitchFamily="34" charset="0"/>
            </a:rPr>
            <a:t> for each year. The difference EBITDA and EBIT is D&amp;A. Thereafter, calculate the EBIT margin for each year between FY20E-FY24E.</a:t>
          </a:r>
          <a:endParaRPr lang="en-GB" sz="1100" b="0" u="none">
            <a:latin typeface="Arial" panose="020B0604020202020204" pitchFamily="34" charset="0"/>
            <a:cs typeface="Arial" panose="020B0604020202020204" pitchFamily="34" charset="0"/>
          </a:endParaRPr>
        </a:p>
      </xdr:txBody>
    </xdr:sp>
    <xdr:clientData/>
  </xdr:twoCellAnchor>
  <xdr:twoCellAnchor>
    <xdr:from>
      <xdr:col>10</xdr:col>
      <xdr:colOff>244929</xdr:colOff>
      <xdr:row>27</xdr:row>
      <xdr:rowOff>2</xdr:rowOff>
    </xdr:from>
    <xdr:to>
      <xdr:col>17</xdr:col>
      <xdr:colOff>1311731</xdr:colOff>
      <xdr:row>28</xdr:row>
      <xdr:rowOff>163286</xdr:rowOff>
    </xdr:to>
    <xdr:sp macro="" textlink="">
      <xdr:nvSpPr>
        <xdr:cNvPr id="6" name="Rectangle: Rounded Corners 5">
          <a:extLst>
            <a:ext uri="{FF2B5EF4-FFF2-40B4-BE49-F238E27FC236}">
              <a16:creationId xmlns:a16="http://schemas.microsoft.com/office/drawing/2014/main" id="{B2A6C2CF-FCEA-4CAE-BF93-E346366D5E9F}"/>
            </a:ext>
          </a:extLst>
        </xdr:cNvPr>
        <xdr:cNvSpPr/>
      </xdr:nvSpPr>
      <xdr:spPr>
        <a:xfrm>
          <a:off x="13784036" y="5388431"/>
          <a:ext cx="10782302" cy="353784"/>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u="none">
              <a:latin typeface="Arial" panose="020B0604020202020204" pitchFamily="34" charset="0"/>
              <a:cs typeface="Arial" panose="020B0604020202020204" pitchFamily="34" charset="0"/>
            </a:rPr>
            <a:t>Net Interest: </a:t>
          </a:r>
          <a:r>
            <a:rPr lang="en-GB" sz="1100" b="0" u="none">
              <a:latin typeface="Arial" panose="020B0604020202020204" pitchFamily="34" charset="0"/>
              <a:cs typeface="Arial" panose="020B0604020202020204" pitchFamily="34" charset="0"/>
            </a:rPr>
            <a:t>Leave this blank for now.</a:t>
          </a:r>
          <a:r>
            <a:rPr lang="en-GB" sz="1100" b="0" u="none" baseline="0">
              <a:latin typeface="Arial" panose="020B0604020202020204" pitchFamily="34" charset="0"/>
              <a:cs typeface="Arial" panose="020B0604020202020204" pitchFamily="34" charset="0"/>
            </a:rPr>
            <a:t> We will fill this out in later modules.</a:t>
          </a:r>
          <a:endParaRPr lang="en-GB" sz="1100" b="0" u="none">
            <a:latin typeface="Arial" panose="020B0604020202020204" pitchFamily="34" charset="0"/>
            <a:cs typeface="Arial" panose="020B0604020202020204" pitchFamily="34" charset="0"/>
          </a:endParaRPr>
        </a:p>
      </xdr:txBody>
    </xdr:sp>
    <xdr:clientData/>
  </xdr:twoCellAnchor>
  <xdr:twoCellAnchor>
    <xdr:from>
      <xdr:col>10</xdr:col>
      <xdr:colOff>244929</xdr:colOff>
      <xdr:row>30</xdr:row>
      <xdr:rowOff>163287</xdr:rowOff>
    </xdr:from>
    <xdr:to>
      <xdr:col>17</xdr:col>
      <xdr:colOff>1311731</xdr:colOff>
      <xdr:row>33</xdr:row>
      <xdr:rowOff>136072</xdr:rowOff>
    </xdr:to>
    <xdr:sp macro="" textlink="">
      <xdr:nvSpPr>
        <xdr:cNvPr id="7" name="Rectangle: Rounded Corners 6">
          <a:extLst>
            <a:ext uri="{FF2B5EF4-FFF2-40B4-BE49-F238E27FC236}">
              <a16:creationId xmlns:a16="http://schemas.microsoft.com/office/drawing/2014/main" id="{AC796EFC-5884-4986-8586-48DBFC51D2D2}"/>
            </a:ext>
          </a:extLst>
        </xdr:cNvPr>
        <xdr:cNvSpPr/>
      </xdr:nvSpPr>
      <xdr:spPr>
        <a:xfrm>
          <a:off x="13784036" y="6123216"/>
          <a:ext cx="10782302" cy="54428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u="none">
              <a:latin typeface="Arial" panose="020B0604020202020204" pitchFamily="34" charset="0"/>
              <a:cs typeface="Arial" panose="020B0604020202020204" pitchFamily="34" charset="0"/>
            </a:rPr>
            <a:t>Tax Expense</a:t>
          </a:r>
          <a:r>
            <a:rPr lang="en-GB" sz="1100" b="1" u="none" baseline="0">
              <a:latin typeface="Arial" panose="020B0604020202020204" pitchFamily="34" charset="0"/>
              <a:cs typeface="Arial" panose="020B0604020202020204" pitchFamily="34" charset="0"/>
            </a:rPr>
            <a:t> &amp; NPAT</a:t>
          </a:r>
          <a:r>
            <a:rPr lang="en-GB" sz="1100" b="1" u="none">
              <a:latin typeface="Arial" panose="020B0604020202020204" pitchFamily="34" charset="0"/>
              <a:cs typeface="Arial" panose="020B0604020202020204" pitchFamily="34" charset="0"/>
            </a:rPr>
            <a:t>: </a:t>
          </a:r>
          <a:r>
            <a:rPr lang="en-GB" sz="1100" b="0" u="none">
              <a:latin typeface="Arial" panose="020B0604020202020204" pitchFamily="34" charset="0"/>
              <a:cs typeface="Arial" panose="020B0604020202020204" pitchFamily="34" charset="0"/>
            </a:rPr>
            <a:t>Use PBT for each year</a:t>
          </a:r>
          <a:r>
            <a:rPr lang="en-GB" sz="1100" b="0" u="none" baseline="0">
              <a:latin typeface="Arial" panose="020B0604020202020204" pitchFamily="34" charset="0"/>
              <a:cs typeface="Arial" panose="020B0604020202020204" pitchFamily="34" charset="0"/>
            </a:rPr>
            <a:t> and </a:t>
          </a:r>
          <a:r>
            <a:rPr lang="en-GB" sz="1100" b="0" u="none">
              <a:latin typeface="Arial" panose="020B0604020202020204" pitchFamily="34" charset="0"/>
              <a:cs typeface="Arial" panose="020B0604020202020204" pitchFamily="34" charset="0"/>
            </a:rPr>
            <a:t>the tax rate from the assumptions tab</a:t>
          </a:r>
          <a:r>
            <a:rPr lang="en-GB" sz="1100" b="0" u="none" baseline="0">
              <a:latin typeface="Arial" panose="020B0604020202020204" pitchFamily="34" charset="0"/>
              <a:cs typeface="Arial" panose="020B0604020202020204" pitchFamily="34" charset="0"/>
            </a:rPr>
            <a:t> to calculate NPAT. Thereafter, calculate the NPAT margin for each year between FY20E-FY24E.</a:t>
          </a:r>
          <a:endParaRPr lang="en-GB" sz="1100" b="0" u="none">
            <a:latin typeface="Arial" panose="020B0604020202020204" pitchFamily="34" charset="0"/>
            <a:cs typeface="Arial" panose="020B0604020202020204" pitchFamily="34" charset="0"/>
          </a:endParaRPr>
        </a:p>
      </xdr:txBody>
    </xdr:sp>
    <xdr:clientData/>
  </xdr:twoCellAnchor>
  <xdr:twoCellAnchor>
    <xdr:from>
      <xdr:col>10</xdr:col>
      <xdr:colOff>244929</xdr:colOff>
      <xdr:row>34</xdr:row>
      <xdr:rowOff>176894</xdr:rowOff>
    </xdr:from>
    <xdr:to>
      <xdr:col>17</xdr:col>
      <xdr:colOff>1311731</xdr:colOff>
      <xdr:row>37</xdr:row>
      <xdr:rowOff>13607</xdr:rowOff>
    </xdr:to>
    <xdr:sp macro="" textlink="">
      <xdr:nvSpPr>
        <xdr:cNvPr id="8" name="Rectangle: Rounded Corners 7">
          <a:extLst>
            <a:ext uri="{FF2B5EF4-FFF2-40B4-BE49-F238E27FC236}">
              <a16:creationId xmlns:a16="http://schemas.microsoft.com/office/drawing/2014/main" id="{289CEA44-B449-4DE8-885B-2F05D74E7EA0}"/>
            </a:ext>
          </a:extLst>
        </xdr:cNvPr>
        <xdr:cNvSpPr/>
      </xdr:nvSpPr>
      <xdr:spPr>
        <a:xfrm>
          <a:off x="13784036" y="6898823"/>
          <a:ext cx="10782302" cy="40821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u="none">
              <a:latin typeface="Arial" panose="020B0604020202020204" pitchFamily="34" charset="0"/>
              <a:cs typeface="Arial" panose="020B0604020202020204" pitchFamily="34" charset="0"/>
            </a:rPr>
            <a:t>Dividends: </a:t>
          </a:r>
          <a:r>
            <a:rPr lang="en-GB" sz="1100" b="0" u="none">
              <a:latin typeface="Arial" panose="020B0604020202020204" pitchFamily="34" charset="0"/>
              <a:cs typeface="Arial" panose="020B0604020202020204" pitchFamily="34" charset="0"/>
            </a:rPr>
            <a:t>Use NPAT for each year</a:t>
          </a:r>
          <a:r>
            <a:rPr lang="en-GB" sz="1100" b="0" u="none" baseline="0">
              <a:latin typeface="Arial" panose="020B0604020202020204" pitchFamily="34" charset="0"/>
              <a:cs typeface="Arial" panose="020B0604020202020204" pitchFamily="34" charset="0"/>
            </a:rPr>
            <a:t> and </a:t>
          </a:r>
          <a:r>
            <a:rPr lang="en-GB" sz="1100" b="0" u="none">
              <a:latin typeface="Arial" panose="020B0604020202020204" pitchFamily="34" charset="0"/>
              <a:cs typeface="Arial" panose="020B0604020202020204" pitchFamily="34" charset="0"/>
            </a:rPr>
            <a:t>the Dividend Payout Ratio from the assumptions tab</a:t>
          </a:r>
          <a:r>
            <a:rPr lang="en-GB" sz="1100" b="0" u="none" baseline="0">
              <a:latin typeface="Arial" panose="020B0604020202020204" pitchFamily="34" charset="0"/>
              <a:cs typeface="Arial" panose="020B0604020202020204" pitchFamily="34" charset="0"/>
            </a:rPr>
            <a:t> to calculate Gross Dividends. </a:t>
          </a:r>
          <a:endParaRPr lang="en-GB" sz="1100" b="0" u="none">
            <a:latin typeface="Arial" panose="020B0604020202020204" pitchFamily="34" charset="0"/>
            <a:cs typeface="Arial" panose="020B0604020202020204" pitchFamily="34" charset="0"/>
          </a:endParaRP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70DD126-9D6F-4972-A39D-A76B528B8155}" name="Table1" displayName="Table1" ref="B3:C16" totalsRowShown="0" headerRowDxfId="5" headerRowBorderDxfId="4" tableBorderDxfId="3" totalsRowBorderDxfId="2">
  <autoFilter ref="B3:C16" xr:uid="{8812C3CF-BDC9-4963-942A-AA18BFAD92F7}"/>
  <sortState xmlns:xlrd2="http://schemas.microsoft.com/office/spreadsheetml/2017/richdata2" ref="B4:C16">
    <sortCondition ref="B3:B16"/>
  </sortState>
  <tableColumns count="2">
    <tableColumn id="1" xr3:uid="{41084751-B7B8-438B-B637-41FB6767F53B}" name="Term" dataDxfId="1"/>
    <tableColumn id="2" xr3:uid="{9F139695-941B-44CB-AD4C-CFCA4F8A2B9C}" name="Definition" dataDxfId="0"/>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1FACEC-CA70-4CB6-AF3B-E65A158BB57B}">
  <dimension ref="B1:C17"/>
  <sheetViews>
    <sheetView showGridLines="0" topLeftCell="A8" zoomScaleNormal="100" zoomScaleSheetLayoutView="85" workbookViewId="0">
      <selection activeCell="C11" sqref="C11"/>
    </sheetView>
  </sheetViews>
  <sheetFormatPr defaultColWidth="20.6640625" defaultRowHeight="15" customHeight="1" x14ac:dyDescent="0.25"/>
  <cols>
    <col min="1" max="1" width="2.6640625" style="4" customWidth="1"/>
    <col min="2" max="3" width="50.6640625" style="4" customWidth="1"/>
    <col min="4" max="4" width="1.6640625" style="4" customWidth="1"/>
    <col min="5" max="16384" width="20.6640625" style="4"/>
  </cols>
  <sheetData>
    <row r="1" spans="2:3" s="1" customFormat="1" ht="35.25" customHeight="1" x14ac:dyDescent="0.3">
      <c r="B1" s="6" t="s">
        <v>28</v>
      </c>
    </row>
    <row r="3" spans="2:3" ht="40.049999999999997" customHeight="1" x14ac:dyDescent="0.25">
      <c r="B3" s="11" t="s">
        <v>29</v>
      </c>
      <c r="C3" s="12" t="s">
        <v>30</v>
      </c>
    </row>
    <row r="4" spans="2:3" ht="26.4" x14ac:dyDescent="0.25">
      <c r="B4" s="36" t="s">
        <v>32</v>
      </c>
      <c r="C4" s="37" t="s">
        <v>47</v>
      </c>
    </row>
    <row r="5" spans="2:3" ht="26.4" x14ac:dyDescent="0.25">
      <c r="B5" s="36" t="s">
        <v>34</v>
      </c>
      <c r="C5" s="37" t="s">
        <v>46</v>
      </c>
    </row>
    <row r="6" spans="2:3" ht="52.8" x14ac:dyDescent="0.25">
      <c r="B6" s="36" t="s">
        <v>13</v>
      </c>
      <c r="C6" s="37" t="s">
        <v>68</v>
      </c>
    </row>
    <row r="7" spans="2:3" ht="26.4" x14ac:dyDescent="0.25">
      <c r="B7" s="36" t="s">
        <v>31</v>
      </c>
      <c r="C7" s="37" t="s">
        <v>48</v>
      </c>
    </row>
    <row r="8" spans="2:3" ht="66" x14ac:dyDescent="0.25">
      <c r="B8" s="36" t="s">
        <v>38</v>
      </c>
      <c r="C8" s="37" t="s">
        <v>40</v>
      </c>
    </row>
    <row r="9" spans="2:3" ht="105.6" x14ac:dyDescent="0.25">
      <c r="B9" s="36" t="s">
        <v>4</v>
      </c>
      <c r="C9" s="37" t="s">
        <v>50</v>
      </c>
    </row>
    <row r="10" spans="2:3" ht="52.8" x14ac:dyDescent="0.25">
      <c r="B10" s="36" t="s">
        <v>5</v>
      </c>
      <c r="C10" s="37" t="s">
        <v>49</v>
      </c>
    </row>
    <row r="11" spans="2:3" ht="52.8" x14ac:dyDescent="0.25">
      <c r="B11" s="36" t="s">
        <v>69</v>
      </c>
      <c r="C11" s="37" t="s">
        <v>41</v>
      </c>
    </row>
    <row r="12" spans="2:3" ht="39.6" x14ac:dyDescent="0.25">
      <c r="B12" s="36" t="s">
        <v>26</v>
      </c>
      <c r="C12" s="37" t="s">
        <v>42</v>
      </c>
    </row>
    <row r="13" spans="2:3" ht="211.2" x14ac:dyDescent="0.25">
      <c r="B13" s="36" t="s">
        <v>35</v>
      </c>
      <c r="C13" s="37" t="s">
        <v>45</v>
      </c>
    </row>
    <row r="14" spans="2:3" ht="52.8" x14ac:dyDescent="0.25">
      <c r="B14" s="36" t="s">
        <v>21</v>
      </c>
      <c r="C14" s="37" t="s">
        <v>70</v>
      </c>
    </row>
    <row r="15" spans="2:3" ht="52.8" x14ac:dyDescent="0.25">
      <c r="B15" s="36" t="s">
        <v>25</v>
      </c>
      <c r="C15" s="37" t="s">
        <v>43</v>
      </c>
    </row>
    <row r="16" spans="2:3" ht="52.8" x14ac:dyDescent="0.25">
      <c r="B16" s="36" t="s">
        <v>39</v>
      </c>
      <c r="C16" s="37" t="s">
        <v>44</v>
      </c>
    </row>
    <row r="17" spans="2:3" ht="15" customHeight="1" x14ac:dyDescent="0.25">
      <c r="B17" s="13"/>
      <c r="C17" s="14"/>
    </row>
  </sheetData>
  <pageMargins left="0.7" right="0.7" top="0.75" bottom="0.75" header="0.3" footer="0.3"/>
  <pageSetup paperSize="9" scale="18" orientation="portrait" horizontalDpi="4294967293" verticalDpi="12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3968EA-25F0-45A8-AFDA-036DFD800586}">
  <dimension ref="A1:I47"/>
  <sheetViews>
    <sheetView showGridLines="0" zoomScaleNormal="100" zoomScaleSheetLayoutView="70" workbookViewId="0">
      <pane xSplit="3" ySplit="3" topLeftCell="E31" activePane="bottomRight" state="frozenSplit"/>
      <selection pane="topRight" activeCell="C1" sqref="C1"/>
      <selection pane="bottomLeft" activeCell="A3" sqref="A3"/>
      <selection pane="bottomRight" activeCell="B27" sqref="B27:C30"/>
    </sheetView>
  </sheetViews>
  <sheetFormatPr defaultColWidth="20.6640625" defaultRowHeight="15" customHeight="1" outlineLevelCol="1" x14ac:dyDescent="0.25"/>
  <cols>
    <col min="1" max="1" width="2.6640625" style="4" customWidth="1"/>
    <col min="2" max="2" width="36" style="4" bestFit="1" customWidth="1"/>
    <col min="3" max="3" width="23.33203125" style="4" bestFit="1" customWidth="1"/>
    <col min="4" max="4" width="23.33203125" style="4" hidden="1" customWidth="1" outlineLevel="1"/>
    <col min="5" max="5" width="23.33203125" style="4" bestFit="1" customWidth="1" collapsed="1"/>
    <col min="6" max="9" width="23.33203125" style="4" bestFit="1" customWidth="1"/>
    <col min="10" max="10" width="1.6640625" style="4" customWidth="1"/>
    <col min="11" max="16384" width="20.6640625" style="4"/>
  </cols>
  <sheetData>
    <row r="1" spans="1:9" s="1" customFormat="1" ht="35.25" customHeight="1" x14ac:dyDescent="0.3">
      <c r="B1" s="6" t="s">
        <v>51</v>
      </c>
      <c r="C1" s="2"/>
      <c r="D1" s="2"/>
      <c r="E1" s="2"/>
    </row>
    <row r="3" spans="1:9" ht="15" customHeight="1" x14ac:dyDescent="0.25">
      <c r="B3" s="9" t="s">
        <v>36</v>
      </c>
      <c r="C3" s="10" t="s">
        <v>9</v>
      </c>
      <c r="D3" s="20">
        <v>43830</v>
      </c>
      <c r="E3" s="16">
        <f t="shared" ref="E3:I3" si="0">EOMONTH(D3,12)</f>
        <v>44196</v>
      </c>
      <c r="F3" s="16">
        <f t="shared" si="0"/>
        <v>44561</v>
      </c>
      <c r="G3" s="16">
        <f t="shared" si="0"/>
        <v>44926</v>
      </c>
      <c r="H3" s="16">
        <f t="shared" si="0"/>
        <v>45291</v>
      </c>
      <c r="I3" s="16">
        <f t="shared" si="0"/>
        <v>45657</v>
      </c>
    </row>
    <row r="4" spans="1:9" ht="15" customHeight="1" x14ac:dyDescent="0.25">
      <c r="D4" s="17"/>
      <c r="E4" s="17"/>
      <c r="F4" s="17"/>
      <c r="G4" s="17"/>
      <c r="H4" s="17"/>
      <c r="I4" s="17"/>
    </row>
    <row r="5" spans="1:9" s="8" customFormat="1" ht="15" customHeight="1" x14ac:dyDescent="0.25">
      <c r="A5" s="7" t="s">
        <v>0</v>
      </c>
      <c r="B5" s="7" t="s">
        <v>52</v>
      </c>
      <c r="D5" s="18"/>
      <c r="E5" s="18"/>
      <c r="F5" s="18"/>
      <c r="G5" s="18"/>
      <c r="H5" s="18"/>
      <c r="I5" s="18"/>
    </row>
    <row r="6" spans="1:9" ht="15" customHeight="1" x14ac:dyDescent="0.25">
      <c r="D6" s="17"/>
      <c r="E6" s="17"/>
      <c r="F6" s="17"/>
      <c r="G6" s="17"/>
      <c r="H6" s="17"/>
      <c r="I6" s="17"/>
    </row>
    <row r="7" spans="1:9" ht="15" customHeight="1" x14ac:dyDescent="0.25">
      <c r="B7" s="5" t="s">
        <v>7</v>
      </c>
      <c r="D7" s="17"/>
      <c r="E7" s="17"/>
      <c r="F7" s="17"/>
      <c r="G7" s="17"/>
      <c r="H7" s="17"/>
      <c r="I7" s="17"/>
    </row>
    <row r="8" spans="1:9" ht="15" customHeight="1" x14ac:dyDescent="0.25">
      <c r="B8" s="4" t="s">
        <v>12</v>
      </c>
      <c r="C8" s="15" t="s">
        <v>3</v>
      </c>
      <c r="D8" s="19"/>
      <c r="E8" s="21">
        <v>100000</v>
      </c>
      <c r="F8" s="21">
        <f>E8*1.1</f>
        <v>110000.00000000001</v>
      </c>
      <c r="G8" s="21">
        <f>F8*1.09</f>
        <v>119900.00000000003</v>
      </c>
      <c r="H8" s="21">
        <f>G8*1.08</f>
        <v>129492.00000000004</v>
      </c>
      <c r="I8" s="21">
        <f>H8*1.07</f>
        <v>138556.44000000006</v>
      </c>
    </row>
    <row r="9" spans="1:9" ht="15" customHeight="1" x14ac:dyDescent="0.25">
      <c r="B9" s="4" t="s">
        <v>10</v>
      </c>
      <c r="C9" s="15" t="s">
        <v>11</v>
      </c>
      <c r="D9" s="19"/>
      <c r="E9" s="22">
        <v>4</v>
      </c>
      <c r="F9" s="22">
        <f>E9*1.04</f>
        <v>4.16</v>
      </c>
      <c r="G9" s="22">
        <f t="shared" ref="G9:I9" si="1">F9*1.04</f>
        <v>4.3264000000000005</v>
      </c>
      <c r="H9" s="22">
        <f t="shared" si="1"/>
        <v>4.4994560000000003</v>
      </c>
      <c r="I9" s="22">
        <f t="shared" si="1"/>
        <v>4.6794342400000009</v>
      </c>
    </row>
    <row r="10" spans="1:9" ht="15" customHeight="1" x14ac:dyDescent="0.25">
      <c r="D10" s="17"/>
      <c r="E10" s="17"/>
      <c r="F10" s="17"/>
      <c r="G10" s="17"/>
      <c r="H10" s="17"/>
      <c r="I10" s="17"/>
    </row>
    <row r="11" spans="1:9" ht="15" customHeight="1" x14ac:dyDescent="0.25">
      <c r="B11" s="5" t="s">
        <v>8</v>
      </c>
      <c r="D11" s="17"/>
      <c r="E11" s="17"/>
      <c r="F11" s="17"/>
      <c r="G11" s="17"/>
      <c r="H11" s="17"/>
      <c r="I11" s="17"/>
    </row>
    <row r="12" spans="1:9" ht="15" customHeight="1" x14ac:dyDescent="0.25">
      <c r="B12" s="4" t="s">
        <v>12</v>
      </c>
      <c r="C12" s="15" t="s">
        <v>3</v>
      </c>
      <c r="D12" s="19"/>
      <c r="E12" s="21">
        <v>60000</v>
      </c>
      <c r="F12" s="21">
        <f>E12*1.1</f>
        <v>66000</v>
      </c>
      <c r="G12" s="21">
        <f>F12*1.09</f>
        <v>71940</v>
      </c>
      <c r="H12" s="21">
        <f>G12*1.08</f>
        <v>77695.200000000012</v>
      </c>
      <c r="I12" s="21">
        <f>H12*1.07</f>
        <v>83133.864000000016</v>
      </c>
    </row>
    <row r="13" spans="1:9" ht="15" customHeight="1" x14ac:dyDescent="0.25">
      <c r="B13" s="4" t="s">
        <v>10</v>
      </c>
      <c r="C13" s="15" t="s">
        <v>11</v>
      </c>
      <c r="D13" s="19"/>
      <c r="E13" s="22">
        <v>3</v>
      </c>
      <c r="F13" s="22">
        <f>E13*1.04</f>
        <v>3.12</v>
      </c>
      <c r="G13" s="22">
        <f t="shared" ref="G13:I13" si="2">F13*1.04</f>
        <v>3.2448000000000001</v>
      </c>
      <c r="H13" s="22">
        <f t="shared" si="2"/>
        <v>3.3745920000000003</v>
      </c>
      <c r="I13" s="22">
        <f t="shared" si="2"/>
        <v>3.5095756800000002</v>
      </c>
    </row>
    <row r="14" spans="1:9" ht="15" customHeight="1" x14ac:dyDescent="0.25">
      <c r="D14" s="17"/>
      <c r="E14" s="17"/>
      <c r="F14" s="17"/>
      <c r="G14" s="17"/>
      <c r="H14" s="17"/>
      <c r="I14" s="17"/>
    </row>
    <row r="15" spans="1:9" ht="15" customHeight="1" x14ac:dyDescent="0.25">
      <c r="B15" s="5" t="s">
        <v>6</v>
      </c>
      <c r="D15" s="17"/>
      <c r="E15" s="17"/>
      <c r="F15" s="17"/>
      <c r="G15" s="17"/>
      <c r="H15" s="17"/>
      <c r="I15" s="17"/>
    </row>
    <row r="16" spans="1:9" ht="15" customHeight="1" x14ac:dyDescent="0.25">
      <c r="B16" s="4" t="s">
        <v>12</v>
      </c>
      <c r="C16" s="15" t="s">
        <v>3</v>
      </c>
      <c r="D16" s="19"/>
      <c r="E16" s="21">
        <v>50000</v>
      </c>
      <c r="F16" s="21">
        <f>E16*1.1</f>
        <v>55000.000000000007</v>
      </c>
      <c r="G16" s="21">
        <f>F16*1.09</f>
        <v>59950.000000000015</v>
      </c>
      <c r="H16" s="21">
        <f>G16*1.08</f>
        <v>64746.000000000022</v>
      </c>
      <c r="I16" s="21">
        <f>H16*1.07</f>
        <v>69278.22000000003</v>
      </c>
    </row>
    <row r="17" spans="1:9" ht="15" customHeight="1" x14ac:dyDescent="0.25">
      <c r="B17" s="4" t="s">
        <v>10</v>
      </c>
      <c r="C17" s="15" t="s">
        <v>11</v>
      </c>
      <c r="D17" s="19"/>
      <c r="E17" s="22">
        <v>2.5</v>
      </c>
      <c r="F17" s="22">
        <f>E17*1.04</f>
        <v>2.6</v>
      </c>
      <c r="G17" s="22">
        <f t="shared" ref="G17:I17" si="3">F17*1.04</f>
        <v>2.7040000000000002</v>
      </c>
      <c r="H17" s="22">
        <f t="shared" si="3"/>
        <v>2.8121600000000004</v>
      </c>
      <c r="I17" s="22">
        <f t="shared" si="3"/>
        <v>2.9246464000000008</v>
      </c>
    </row>
    <row r="18" spans="1:9" ht="15" customHeight="1" x14ac:dyDescent="0.25">
      <c r="D18" s="17"/>
      <c r="E18" s="17"/>
      <c r="F18" s="17"/>
      <c r="G18" s="17"/>
      <c r="H18" s="17"/>
      <c r="I18" s="17"/>
    </row>
    <row r="19" spans="1:9" s="8" customFormat="1" ht="15" customHeight="1" x14ac:dyDescent="0.25">
      <c r="A19" s="7" t="s">
        <v>0</v>
      </c>
      <c r="B19" s="7" t="s">
        <v>53</v>
      </c>
      <c r="D19" s="18"/>
      <c r="E19" s="18"/>
      <c r="F19" s="18"/>
      <c r="G19" s="18"/>
      <c r="H19" s="18"/>
      <c r="I19" s="18"/>
    </row>
    <row r="20" spans="1:9" ht="15" customHeight="1" x14ac:dyDescent="0.25">
      <c r="D20" s="17"/>
      <c r="E20" s="17"/>
      <c r="F20" s="17"/>
      <c r="G20" s="17"/>
      <c r="H20" s="17"/>
      <c r="I20" s="17"/>
    </row>
    <row r="21" spans="1:9" ht="15" customHeight="1" x14ac:dyDescent="0.25">
      <c r="B21" s="5" t="s">
        <v>13</v>
      </c>
      <c r="D21" s="17"/>
      <c r="E21" s="17"/>
      <c r="F21" s="17"/>
      <c r="G21" s="17"/>
      <c r="H21" s="17"/>
      <c r="I21" s="17"/>
    </row>
    <row r="22" spans="1:9" ht="15" customHeight="1" x14ac:dyDescent="0.25">
      <c r="B22" s="4" t="s">
        <v>14</v>
      </c>
      <c r="C22" s="15" t="s">
        <v>11</v>
      </c>
      <c r="D22" s="19"/>
      <c r="E22" s="22">
        <v>1.5</v>
      </c>
      <c r="F22" s="22">
        <f>E22*1.02</f>
        <v>1.53</v>
      </c>
      <c r="G22" s="22">
        <f t="shared" ref="G22:I24" si="4">F22*1.02</f>
        <v>1.5606</v>
      </c>
      <c r="H22" s="22">
        <f t="shared" si="4"/>
        <v>1.591812</v>
      </c>
      <c r="I22" s="22">
        <f t="shared" si="4"/>
        <v>1.6236482400000001</v>
      </c>
    </row>
    <row r="23" spans="1:9" ht="15" customHeight="1" x14ac:dyDescent="0.25">
      <c r="B23" s="4" t="s">
        <v>15</v>
      </c>
      <c r="C23" s="15" t="s">
        <v>11</v>
      </c>
      <c r="D23" s="19"/>
      <c r="E23" s="22">
        <v>0.8</v>
      </c>
      <c r="F23" s="22">
        <f t="shared" ref="F23:F24" si="5">E23*1.02</f>
        <v>0.81600000000000006</v>
      </c>
      <c r="G23" s="22">
        <f t="shared" si="4"/>
        <v>0.83232000000000006</v>
      </c>
      <c r="H23" s="22">
        <f t="shared" si="4"/>
        <v>0.84896640000000012</v>
      </c>
      <c r="I23" s="22">
        <f t="shared" si="4"/>
        <v>0.86594572800000014</v>
      </c>
    </row>
    <row r="24" spans="1:9" ht="15" customHeight="1" x14ac:dyDescent="0.25">
      <c r="B24" s="4" t="s">
        <v>16</v>
      </c>
      <c r="C24" s="15" t="s">
        <v>11</v>
      </c>
      <c r="D24" s="19"/>
      <c r="E24" s="22">
        <v>1.1000000000000001</v>
      </c>
      <c r="F24" s="22">
        <f t="shared" si="5"/>
        <v>1.1220000000000001</v>
      </c>
      <c r="G24" s="22">
        <f t="shared" si="4"/>
        <v>1.1444400000000001</v>
      </c>
      <c r="H24" s="22">
        <f t="shared" si="4"/>
        <v>1.1673288000000002</v>
      </c>
      <c r="I24" s="22">
        <f t="shared" si="4"/>
        <v>1.1906753760000002</v>
      </c>
    </row>
    <row r="25" spans="1:9" ht="15" customHeight="1" x14ac:dyDescent="0.25">
      <c r="D25" s="17"/>
      <c r="E25" s="17"/>
      <c r="F25" s="17"/>
      <c r="G25" s="17"/>
      <c r="H25" s="17"/>
      <c r="I25" s="17"/>
    </row>
    <row r="26" spans="1:9" ht="15" customHeight="1" x14ac:dyDescent="0.25">
      <c r="B26" s="5" t="s">
        <v>21</v>
      </c>
      <c r="D26" s="17"/>
      <c r="E26" s="17"/>
      <c r="F26" s="17"/>
      <c r="G26" s="17"/>
      <c r="H26" s="17"/>
      <c r="I26" s="17"/>
    </row>
    <row r="27" spans="1:9" ht="15" customHeight="1" x14ac:dyDescent="0.25">
      <c r="B27" s="4" t="s">
        <v>17</v>
      </c>
      <c r="C27" s="15" t="s">
        <v>11</v>
      </c>
      <c r="D27" s="19"/>
      <c r="E27" s="21">
        <v>150000</v>
      </c>
      <c r="F27" s="21">
        <f>E27*1.05</f>
        <v>157500</v>
      </c>
      <c r="G27" s="21">
        <f t="shared" ref="G27:I27" si="6">F27*1.05</f>
        <v>165375</v>
      </c>
      <c r="H27" s="21">
        <f t="shared" si="6"/>
        <v>173643.75</v>
      </c>
      <c r="I27" s="21">
        <f t="shared" si="6"/>
        <v>182325.9375</v>
      </c>
    </row>
    <row r="28" spans="1:9" ht="15" customHeight="1" x14ac:dyDescent="0.25">
      <c r="B28" s="4" t="s">
        <v>19</v>
      </c>
      <c r="C28" s="15" t="s">
        <v>11</v>
      </c>
      <c r="D28" s="19"/>
      <c r="E28" s="21">
        <v>60000</v>
      </c>
      <c r="F28" s="21">
        <f>E28*1.03</f>
        <v>61800</v>
      </c>
      <c r="G28" s="21">
        <f t="shared" ref="G28:I28" si="7">F28*1.03</f>
        <v>63654</v>
      </c>
      <c r="H28" s="21">
        <f t="shared" si="7"/>
        <v>65563.62</v>
      </c>
      <c r="I28" s="21">
        <f t="shared" si="7"/>
        <v>67530.528599999991</v>
      </c>
    </row>
    <row r="29" spans="1:9" ht="15" customHeight="1" x14ac:dyDescent="0.25">
      <c r="B29" s="4" t="s">
        <v>18</v>
      </c>
      <c r="C29" s="15" t="s">
        <v>11</v>
      </c>
      <c r="D29" s="19"/>
      <c r="E29" s="21">
        <v>10000</v>
      </c>
      <c r="F29" s="21">
        <f>E29*1.05</f>
        <v>10500</v>
      </c>
      <c r="G29" s="21">
        <f t="shared" ref="G29:I30" si="8">F29*1.05</f>
        <v>11025</v>
      </c>
      <c r="H29" s="21">
        <f t="shared" si="8"/>
        <v>11576.25</v>
      </c>
      <c r="I29" s="21">
        <f t="shared" si="8"/>
        <v>12155.0625</v>
      </c>
    </row>
    <row r="30" spans="1:9" ht="15" customHeight="1" x14ac:dyDescent="0.25">
      <c r="B30" s="4" t="s">
        <v>20</v>
      </c>
      <c r="C30" s="15" t="s">
        <v>11</v>
      </c>
      <c r="D30" s="19"/>
      <c r="E30" s="21">
        <v>5000</v>
      </c>
      <c r="F30" s="21">
        <f>E30*1.05</f>
        <v>5250</v>
      </c>
      <c r="G30" s="21">
        <f t="shared" si="8"/>
        <v>5512.5</v>
      </c>
      <c r="H30" s="21">
        <f t="shared" si="8"/>
        <v>5788.125</v>
      </c>
      <c r="I30" s="21">
        <f t="shared" si="8"/>
        <v>6077.53125</v>
      </c>
    </row>
    <row r="31" spans="1:9" ht="15" customHeight="1" x14ac:dyDescent="0.25">
      <c r="D31" s="17"/>
      <c r="E31" s="17"/>
      <c r="F31" s="17"/>
      <c r="G31" s="17"/>
      <c r="H31" s="17"/>
      <c r="I31" s="17"/>
    </row>
    <row r="32" spans="1:9" ht="15" customHeight="1" x14ac:dyDescent="0.25">
      <c r="B32" s="5" t="s">
        <v>33</v>
      </c>
      <c r="D32" s="17"/>
      <c r="E32" s="17"/>
      <c r="F32" s="17"/>
      <c r="G32" s="17"/>
      <c r="H32" s="17"/>
      <c r="I32" s="17"/>
    </row>
    <row r="33" spans="1:9" ht="15" customHeight="1" x14ac:dyDescent="0.25">
      <c r="B33" s="4" t="s">
        <v>22</v>
      </c>
      <c r="C33" s="15" t="s">
        <v>23</v>
      </c>
      <c r="D33" s="19"/>
      <c r="E33" s="23">
        <v>-0.05</v>
      </c>
      <c r="F33" s="23">
        <f>E33+0.25%</f>
        <v>-4.7500000000000001E-2</v>
      </c>
      <c r="G33" s="23">
        <f t="shared" ref="G33:I33" si="9">F33+0.25%</f>
        <v>-4.4999999999999998E-2</v>
      </c>
      <c r="H33" s="23">
        <f t="shared" si="9"/>
        <v>-4.2499999999999996E-2</v>
      </c>
      <c r="I33" s="23">
        <f t="shared" si="9"/>
        <v>-3.9999999999999994E-2</v>
      </c>
    </row>
    <row r="34" spans="1:9" ht="15" customHeight="1" x14ac:dyDescent="0.25">
      <c r="D34" s="17"/>
      <c r="E34" s="17"/>
      <c r="F34" s="17"/>
      <c r="G34" s="17"/>
      <c r="H34" s="17"/>
      <c r="I34" s="17"/>
    </row>
    <row r="35" spans="1:9" s="8" customFormat="1" ht="15" customHeight="1" x14ac:dyDescent="0.25">
      <c r="A35" s="7" t="s">
        <v>0</v>
      </c>
      <c r="B35" s="7" t="s">
        <v>56</v>
      </c>
      <c r="D35" s="18"/>
      <c r="E35" s="18"/>
      <c r="F35" s="18"/>
      <c r="G35" s="18"/>
      <c r="H35" s="18"/>
      <c r="I35" s="18"/>
    </row>
    <row r="36" spans="1:9" ht="15" customHeight="1" x14ac:dyDescent="0.25">
      <c r="D36" s="17"/>
      <c r="E36" s="17"/>
      <c r="F36" s="17"/>
      <c r="G36" s="17"/>
      <c r="H36" s="17"/>
      <c r="I36" s="17"/>
    </row>
    <row r="37" spans="1:9" ht="15" customHeight="1" x14ac:dyDescent="0.25">
      <c r="B37" s="4" t="s">
        <v>55</v>
      </c>
      <c r="C37" s="15" t="s">
        <v>23</v>
      </c>
      <c r="D37" s="19"/>
      <c r="E37" s="23">
        <f>E33</f>
        <v>-0.05</v>
      </c>
      <c r="F37" s="23">
        <f t="shared" ref="F37:I37" si="10">F33</f>
        <v>-4.7500000000000001E-2</v>
      </c>
      <c r="G37" s="23">
        <f t="shared" si="10"/>
        <v>-4.4999999999999998E-2</v>
      </c>
      <c r="H37" s="23">
        <f t="shared" si="10"/>
        <v>-4.2499999999999996E-2</v>
      </c>
      <c r="I37" s="23">
        <f t="shared" si="10"/>
        <v>-3.9999999999999994E-2</v>
      </c>
    </row>
    <row r="38" spans="1:9" ht="15" customHeight="1" x14ac:dyDescent="0.25">
      <c r="B38" s="4" t="s">
        <v>54</v>
      </c>
      <c r="C38" s="15" t="s">
        <v>23</v>
      </c>
      <c r="D38" s="19"/>
      <c r="E38" s="23">
        <v>-0.01</v>
      </c>
      <c r="F38" s="23">
        <v>-0.01</v>
      </c>
      <c r="G38" s="23">
        <v>-0.01</v>
      </c>
      <c r="H38" s="23">
        <v>-0.01</v>
      </c>
      <c r="I38" s="23">
        <v>-0.01</v>
      </c>
    </row>
    <row r="39" spans="1:9" ht="15" customHeight="1" x14ac:dyDescent="0.25">
      <c r="B39" s="4" t="s">
        <v>38</v>
      </c>
      <c r="C39" s="15" t="s">
        <v>1</v>
      </c>
      <c r="D39" s="19"/>
      <c r="E39" s="23">
        <v>0.6</v>
      </c>
      <c r="F39" s="23">
        <v>0.6</v>
      </c>
      <c r="G39" s="23">
        <v>0.6</v>
      </c>
      <c r="H39" s="23">
        <v>0.6</v>
      </c>
      <c r="I39" s="23">
        <v>0.6</v>
      </c>
    </row>
    <row r="40" spans="1:9" ht="15" customHeight="1" x14ac:dyDescent="0.25">
      <c r="D40" s="17"/>
      <c r="E40" s="17"/>
      <c r="F40" s="17"/>
      <c r="G40" s="17"/>
      <c r="H40" s="17"/>
      <c r="I40" s="17"/>
    </row>
    <row r="41" spans="1:9" s="8" customFormat="1" ht="15" customHeight="1" x14ac:dyDescent="0.25">
      <c r="A41" s="7" t="s">
        <v>0</v>
      </c>
      <c r="B41" s="7" t="s">
        <v>57</v>
      </c>
      <c r="D41" s="18"/>
      <c r="E41" s="18"/>
      <c r="F41" s="18"/>
      <c r="G41" s="18"/>
      <c r="H41" s="18"/>
      <c r="I41" s="18"/>
    </row>
    <row r="42" spans="1:9" ht="15" customHeight="1" x14ac:dyDescent="0.25">
      <c r="D42" s="17"/>
      <c r="E42" s="17"/>
      <c r="F42" s="17"/>
      <c r="G42" s="17"/>
      <c r="H42" s="17"/>
      <c r="I42" s="17"/>
    </row>
    <row r="43" spans="1:9" ht="15" customHeight="1" x14ac:dyDescent="0.25">
      <c r="B43" s="4" t="s">
        <v>2</v>
      </c>
      <c r="C43" s="15" t="s">
        <v>1</v>
      </c>
      <c r="D43" s="19"/>
      <c r="E43" s="23">
        <v>0.21</v>
      </c>
      <c r="F43" s="23">
        <v>0.21</v>
      </c>
      <c r="G43" s="23">
        <v>0.21</v>
      </c>
      <c r="H43" s="23">
        <v>0.21</v>
      </c>
      <c r="I43" s="23">
        <v>0.21</v>
      </c>
    </row>
    <row r="44" spans="1:9" ht="15" customHeight="1" x14ac:dyDescent="0.25">
      <c r="B44" s="4" t="s">
        <v>24</v>
      </c>
      <c r="C44" s="15" t="s">
        <v>1</v>
      </c>
      <c r="D44" s="19"/>
      <c r="E44" s="23">
        <v>0.04</v>
      </c>
      <c r="F44" s="23">
        <v>0.04</v>
      </c>
      <c r="G44" s="23">
        <v>0.04</v>
      </c>
      <c r="H44" s="23">
        <v>0.04</v>
      </c>
      <c r="I44" s="23">
        <v>0.04</v>
      </c>
    </row>
    <row r="45" spans="1:9" ht="15" customHeight="1" x14ac:dyDescent="0.25">
      <c r="B45" s="4" t="s">
        <v>27</v>
      </c>
      <c r="C45" s="15" t="s">
        <v>1</v>
      </c>
      <c r="D45" s="19"/>
      <c r="E45" s="23">
        <v>0.01</v>
      </c>
      <c r="F45" s="23">
        <v>0.01</v>
      </c>
      <c r="G45" s="23">
        <v>0.01</v>
      </c>
      <c r="H45" s="23">
        <v>0.01</v>
      </c>
      <c r="I45" s="23">
        <v>0.01</v>
      </c>
    </row>
    <row r="46" spans="1:9" ht="15" customHeight="1" x14ac:dyDescent="0.25">
      <c r="D46" s="17"/>
      <c r="E46" s="17"/>
      <c r="F46" s="17"/>
      <c r="G46" s="17"/>
      <c r="H46" s="17"/>
      <c r="I46" s="17"/>
    </row>
    <row r="47" spans="1:9" s="3" customFormat="1" ht="15" customHeight="1" x14ac:dyDescent="0.25">
      <c r="A47" s="2" t="s">
        <v>0</v>
      </c>
      <c r="B47" s="2" t="s">
        <v>37</v>
      </c>
    </row>
  </sheetData>
  <pageMargins left="0.7" right="0.7" top="0.75" bottom="0.75" header="0.3" footer="0.3"/>
  <pageSetup paperSize="9" scale="18" orientation="portrait" horizontalDpi="4294967293"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90E03D-7D26-4B8A-A98A-DAB185F246B3}">
  <dimension ref="A1:J39"/>
  <sheetViews>
    <sheetView showGridLines="0" tabSelected="1" zoomScaleNormal="100" zoomScaleSheetLayoutView="70" workbookViewId="0">
      <pane xSplit="3" ySplit="3" topLeftCell="E32" activePane="bottomRight" state="frozenSplit"/>
      <selection pane="topRight" activeCell="C1" sqref="C1"/>
      <selection pane="bottomLeft" activeCell="A3" sqref="A3"/>
      <selection pane="bottomRight" activeCell="E37" sqref="E37:I37"/>
    </sheetView>
  </sheetViews>
  <sheetFormatPr defaultColWidth="20.6640625" defaultRowHeight="15" customHeight="1" outlineLevelCol="1" x14ac:dyDescent="0.25"/>
  <cols>
    <col min="1" max="1" width="2.6640625" style="4" customWidth="1"/>
    <col min="2" max="2" width="36" style="4" bestFit="1" customWidth="1"/>
    <col min="3" max="3" width="23.33203125" style="4" bestFit="1" customWidth="1"/>
    <col min="4" max="4" width="23.33203125" style="4" hidden="1" customWidth="1" outlineLevel="1"/>
    <col min="5" max="5" width="23.33203125" style="4" bestFit="1" customWidth="1" collapsed="1"/>
    <col min="6" max="9" width="23.33203125" style="4" bestFit="1" customWidth="1"/>
    <col min="10" max="10" width="1.6640625" style="4" customWidth="1"/>
    <col min="11" max="16384" width="20.6640625" style="4"/>
  </cols>
  <sheetData>
    <row r="1" spans="2:9" s="1" customFormat="1" ht="35.25" customHeight="1" x14ac:dyDescent="0.3">
      <c r="B1" s="6" t="s">
        <v>58</v>
      </c>
      <c r="C1" s="2"/>
      <c r="D1" s="2"/>
      <c r="E1" s="2"/>
    </row>
    <row r="3" spans="2:9" ht="15" customHeight="1" x14ac:dyDescent="0.25">
      <c r="B3" s="9" t="s">
        <v>36</v>
      </c>
      <c r="C3" s="10" t="s">
        <v>9</v>
      </c>
      <c r="D3" s="20">
        <v>43830</v>
      </c>
      <c r="E3" s="16">
        <f t="shared" ref="E3:I3" si="0">EOMONTH(D3,12)</f>
        <v>44196</v>
      </c>
      <c r="F3" s="16">
        <f t="shared" si="0"/>
        <v>44561</v>
      </c>
      <c r="G3" s="16">
        <f t="shared" si="0"/>
        <v>44926</v>
      </c>
      <c r="H3" s="16">
        <f t="shared" si="0"/>
        <v>45291</v>
      </c>
      <c r="I3" s="16">
        <f t="shared" si="0"/>
        <v>45657</v>
      </c>
    </row>
    <row r="4" spans="2:9" ht="15" customHeight="1" x14ac:dyDescent="0.25">
      <c r="D4" s="17"/>
      <c r="E4" s="17"/>
      <c r="F4" s="17"/>
      <c r="G4" s="17"/>
      <c r="H4" s="17"/>
      <c r="I4" s="17"/>
    </row>
    <row r="5" spans="2:9" ht="15" customHeight="1" x14ac:dyDescent="0.25">
      <c r="B5" s="32" t="s">
        <v>71</v>
      </c>
      <c r="C5" s="33" t="s">
        <v>11</v>
      </c>
      <c r="E5" s="30">
        <f>'Forecast Assumptions'!E9*'Forecast Assumptions'!E8</f>
        <v>400000</v>
      </c>
      <c r="F5" s="30">
        <f>'Forecast Assumptions'!F9*'Forecast Assumptions'!F8</f>
        <v>457600.00000000006</v>
      </c>
      <c r="G5" s="30">
        <f>'Forecast Assumptions'!G9*'Forecast Assumptions'!G8</f>
        <v>518735.36000000016</v>
      </c>
      <c r="H5" s="30">
        <f>'Forecast Assumptions'!H9*'Forecast Assumptions'!H8</f>
        <v>582643.55635200022</v>
      </c>
      <c r="I5" s="30">
        <f>'Forecast Assumptions'!I9*'Forecast Assumptions'!I8</f>
        <v>648365.74950850604</v>
      </c>
    </row>
    <row r="6" spans="2:9" ht="15" customHeight="1" x14ac:dyDescent="0.25">
      <c r="B6" s="32" t="s">
        <v>72</v>
      </c>
      <c r="C6" s="33" t="s">
        <v>11</v>
      </c>
      <c r="E6" s="30">
        <f>'Forecast Assumptions'!E12*'Forecast Assumptions'!E13</f>
        <v>180000</v>
      </c>
      <c r="F6" s="30">
        <f>'Forecast Assumptions'!F12*'Forecast Assumptions'!F13</f>
        <v>205920</v>
      </c>
      <c r="G6" s="30">
        <f>'Forecast Assumptions'!G12*'Forecast Assumptions'!G13</f>
        <v>233430.91200000001</v>
      </c>
      <c r="H6" s="30">
        <f>'Forecast Assumptions'!H12*'Forecast Assumptions'!H13</f>
        <v>262189.60035840009</v>
      </c>
      <c r="I6" s="30">
        <f>'Forecast Assumptions'!I12*'Forecast Assumptions'!I13</f>
        <v>291764.58727882762</v>
      </c>
    </row>
    <row r="7" spans="2:9" ht="15" customHeight="1" x14ac:dyDescent="0.25">
      <c r="B7" s="32" t="s">
        <v>73</v>
      </c>
      <c r="C7" s="33" t="s">
        <v>11</v>
      </c>
      <c r="E7" s="30">
        <f>'Forecast Assumptions'!E16*'Forecast Assumptions'!E17</f>
        <v>125000</v>
      </c>
      <c r="F7" s="30">
        <f>'Forecast Assumptions'!F16*'Forecast Assumptions'!F17</f>
        <v>143000.00000000003</v>
      </c>
      <c r="G7" s="30">
        <f>'Forecast Assumptions'!G16*'Forecast Assumptions'!G17</f>
        <v>162104.80000000005</v>
      </c>
      <c r="H7" s="30">
        <f>'Forecast Assumptions'!H16*'Forecast Assumptions'!H17</f>
        <v>182076.1113600001</v>
      </c>
      <c r="I7" s="30">
        <f>'Forecast Assumptions'!I16*'Forecast Assumptions'!I17</f>
        <v>202614.29672140814</v>
      </c>
    </row>
    <row r="8" spans="2:9" ht="15" customHeight="1" x14ac:dyDescent="0.25">
      <c r="B8" s="24" t="s">
        <v>59</v>
      </c>
      <c r="C8" s="25" t="s">
        <v>11</v>
      </c>
      <c r="D8" s="26"/>
      <c r="E8" s="31">
        <f t="shared" ref="E8:I8" si="1">SUM(E5:E7)</f>
        <v>705000</v>
      </c>
      <c r="F8" s="31">
        <f t="shared" si="1"/>
        <v>806520</v>
      </c>
      <c r="G8" s="31">
        <f t="shared" si="1"/>
        <v>914271.07200000016</v>
      </c>
      <c r="H8" s="31">
        <f t="shared" si="1"/>
        <v>1026909.2680704003</v>
      </c>
      <c r="I8" s="31">
        <f>SUM(I5:I7)</f>
        <v>1142744.6335087419</v>
      </c>
    </row>
    <row r="9" spans="2:9" ht="15" customHeight="1" x14ac:dyDescent="0.25">
      <c r="B9" s="27" t="s">
        <v>60</v>
      </c>
      <c r="C9" s="15" t="s">
        <v>1</v>
      </c>
      <c r="E9" s="28"/>
      <c r="F9" s="29">
        <f t="shared" ref="F9:I9" si="2">F8/E8-1</f>
        <v>0.14399999999999991</v>
      </c>
      <c r="G9" s="29">
        <f t="shared" si="2"/>
        <v>0.13360000000000016</v>
      </c>
      <c r="H9" s="29">
        <f t="shared" si="2"/>
        <v>0.1232000000000002</v>
      </c>
      <c r="I9" s="29">
        <f t="shared" si="2"/>
        <v>0.11280000000000023</v>
      </c>
    </row>
    <row r="11" spans="2:9" ht="15" customHeight="1" x14ac:dyDescent="0.25">
      <c r="B11" s="32" t="s">
        <v>74</v>
      </c>
      <c r="C11" s="33" t="s">
        <v>11</v>
      </c>
      <c r="E11" s="30">
        <f>'Forecast Assumptions'!E22*'Forecast Assumptions'!E8</f>
        <v>150000</v>
      </c>
      <c r="F11" s="30">
        <f>'Forecast Assumptions'!F22*'Forecast Assumptions'!F8</f>
        <v>168300.00000000003</v>
      </c>
      <c r="G11" s="30">
        <f>'Forecast Assumptions'!G22*'Forecast Assumptions'!G8</f>
        <v>187115.94000000003</v>
      </c>
      <c r="H11" s="30">
        <f>'Forecast Assumptions'!H22*'Forecast Assumptions'!H8</f>
        <v>206126.91950400008</v>
      </c>
      <c r="I11" s="30">
        <f>'Forecast Assumptions'!I22*'Forecast Assumptions'!I8</f>
        <v>224966.9199466657</v>
      </c>
    </row>
    <row r="12" spans="2:9" ht="15" customHeight="1" x14ac:dyDescent="0.25">
      <c r="B12" s="32" t="s">
        <v>75</v>
      </c>
      <c r="C12" s="33" t="s">
        <v>11</v>
      </c>
      <c r="E12" s="30">
        <f>'Forecast Assumptions'!E12*'Forecast Assumptions'!E23</f>
        <v>48000</v>
      </c>
      <c r="F12" s="30">
        <f>'Forecast Assumptions'!F12*'Forecast Assumptions'!F23</f>
        <v>53856.000000000007</v>
      </c>
      <c r="G12" s="30">
        <f>'Forecast Assumptions'!G12*'Forecast Assumptions'!G23</f>
        <v>59877.100800000007</v>
      </c>
      <c r="H12" s="30">
        <f>'Forecast Assumptions'!H12*'Forecast Assumptions'!H23</f>
        <v>65960.614241280025</v>
      </c>
      <c r="I12" s="30">
        <f>'Forecast Assumptions'!I12*'Forecast Assumptions'!I23</f>
        <v>71989.414382933013</v>
      </c>
    </row>
    <row r="13" spans="2:9" ht="15" customHeight="1" x14ac:dyDescent="0.25">
      <c r="B13" s="32" t="s">
        <v>76</v>
      </c>
      <c r="C13" s="33" t="s">
        <v>11</v>
      </c>
      <c r="E13" s="30">
        <f>'Forecast Assumptions'!E16*'Forecast Assumptions'!E24</f>
        <v>55000.000000000007</v>
      </c>
      <c r="F13" s="30">
        <f>'Forecast Assumptions'!F16*'Forecast Assumptions'!F24</f>
        <v>61710.000000000015</v>
      </c>
      <c r="G13" s="30">
        <f>'Forecast Assumptions'!G16*'Forecast Assumptions'!G24</f>
        <v>68609.178000000029</v>
      </c>
      <c r="H13" s="30">
        <f>'Forecast Assumptions'!H16*'Forecast Assumptions'!H24</f>
        <v>75579.870484800034</v>
      </c>
      <c r="I13" s="30">
        <f>'Forecast Assumptions'!I16*'Forecast Assumptions'!I24</f>
        <v>82487.870647110773</v>
      </c>
    </row>
    <row r="14" spans="2:9" ht="15" customHeight="1" x14ac:dyDescent="0.25">
      <c r="B14" s="24" t="s">
        <v>61</v>
      </c>
      <c r="C14" s="25" t="s">
        <v>11</v>
      </c>
      <c r="D14" s="26"/>
      <c r="E14" s="31">
        <f t="shared" ref="E14:I14" si="3">E8-SUM(E11:E13)</f>
        <v>452000</v>
      </c>
      <c r="F14" s="31">
        <f t="shared" si="3"/>
        <v>522653.99999999994</v>
      </c>
      <c r="G14" s="31">
        <f t="shared" si="3"/>
        <v>598668.85320000001</v>
      </c>
      <c r="H14" s="31">
        <f t="shared" si="3"/>
        <v>679241.86384032015</v>
      </c>
      <c r="I14" s="31">
        <f t="shared" si="3"/>
        <v>763300.42853203241</v>
      </c>
    </row>
    <row r="15" spans="2:9" ht="15" customHeight="1" x14ac:dyDescent="0.25">
      <c r="B15" s="27" t="s">
        <v>62</v>
      </c>
      <c r="C15" s="15" t="s">
        <v>1</v>
      </c>
      <c r="E15" s="29">
        <f t="shared" ref="E15:I15" si="4">E14/E8</f>
        <v>0.64113475177304968</v>
      </c>
      <c r="F15" s="29">
        <f t="shared" si="4"/>
        <v>0.64803600654664473</v>
      </c>
      <c r="G15" s="29">
        <f t="shared" si="4"/>
        <v>0.65480454488228623</v>
      </c>
      <c r="H15" s="29">
        <f t="shared" si="4"/>
        <v>0.6614429190191653</v>
      </c>
      <c r="I15" s="29">
        <f t="shared" si="4"/>
        <v>0.66795363211495073</v>
      </c>
    </row>
    <row r="17" spans="2:10" ht="15" customHeight="1" x14ac:dyDescent="0.25">
      <c r="B17" s="32" t="s">
        <v>17</v>
      </c>
      <c r="C17" s="33" t="s">
        <v>11</v>
      </c>
      <c r="E17" s="30">
        <f>'Forecast Assumptions'!E27</f>
        <v>150000</v>
      </c>
      <c r="F17" s="30">
        <f>'Forecast Assumptions'!F27</f>
        <v>157500</v>
      </c>
      <c r="G17" s="30">
        <f>'Forecast Assumptions'!G27</f>
        <v>165375</v>
      </c>
      <c r="H17" s="30">
        <f>'Forecast Assumptions'!H27</f>
        <v>173643.75</v>
      </c>
      <c r="I17" s="30">
        <f>'Forecast Assumptions'!I27</f>
        <v>182325.9375</v>
      </c>
    </row>
    <row r="18" spans="2:10" ht="15" customHeight="1" x14ac:dyDescent="0.25">
      <c r="B18" s="32" t="s">
        <v>19</v>
      </c>
      <c r="C18" s="33" t="s">
        <v>11</v>
      </c>
      <c r="E18" s="30">
        <f>'Forecast Assumptions'!E28</f>
        <v>60000</v>
      </c>
      <c r="F18" s="30">
        <f>'Forecast Assumptions'!F28</f>
        <v>61800</v>
      </c>
      <c r="G18" s="30">
        <f>'Forecast Assumptions'!G28</f>
        <v>63654</v>
      </c>
      <c r="H18" s="30">
        <f>'Forecast Assumptions'!H28</f>
        <v>65563.62</v>
      </c>
      <c r="I18" s="30">
        <f>'Forecast Assumptions'!I28</f>
        <v>67530.528599999991</v>
      </c>
    </row>
    <row r="19" spans="2:10" ht="15" customHeight="1" x14ac:dyDescent="0.25">
      <c r="B19" s="32" t="s">
        <v>18</v>
      </c>
      <c r="C19" s="33" t="s">
        <v>11</v>
      </c>
      <c r="E19" s="30">
        <f>'Forecast Assumptions'!E29</f>
        <v>10000</v>
      </c>
      <c r="F19" s="30">
        <f>'Forecast Assumptions'!F29</f>
        <v>10500</v>
      </c>
      <c r="G19" s="30">
        <f>'Forecast Assumptions'!G29</f>
        <v>11025</v>
      </c>
      <c r="H19" s="30">
        <f>'Forecast Assumptions'!H29</f>
        <v>11576.25</v>
      </c>
      <c r="I19" s="30">
        <f>'Forecast Assumptions'!I29</f>
        <v>12155.0625</v>
      </c>
    </row>
    <row r="20" spans="2:10" ht="15" customHeight="1" x14ac:dyDescent="0.25">
      <c r="B20" s="32" t="s">
        <v>20</v>
      </c>
      <c r="C20" s="33" t="s">
        <v>11</v>
      </c>
      <c r="E20" s="30">
        <f>'Forecast Assumptions'!E30</f>
        <v>5000</v>
      </c>
      <c r="F20" s="30">
        <f>'Forecast Assumptions'!F30</f>
        <v>5250</v>
      </c>
      <c r="G20" s="30">
        <f>'Forecast Assumptions'!G30</f>
        <v>5512.5</v>
      </c>
      <c r="H20" s="30">
        <f>'Forecast Assumptions'!H30</f>
        <v>5788.125</v>
      </c>
      <c r="I20" s="30">
        <f>'Forecast Assumptions'!I30</f>
        <v>6077.53125</v>
      </c>
    </row>
    <row r="21" spans="2:10" ht="15" customHeight="1" x14ac:dyDescent="0.25">
      <c r="B21" s="24" t="s">
        <v>4</v>
      </c>
      <c r="C21" s="25" t="s">
        <v>11</v>
      </c>
      <c r="D21" s="26"/>
      <c r="E21" s="31">
        <f t="shared" ref="E21:I21" si="5">E14-SUM(E17:E20)</f>
        <v>227000</v>
      </c>
      <c r="F21" s="31">
        <f t="shared" si="5"/>
        <v>287603.99999999994</v>
      </c>
      <c r="G21" s="31">
        <f t="shared" si="5"/>
        <v>353102.35320000001</v>
      </c>
      <c r="H21" s="31">
        <f t="shared" si="5"/>
        <v>422670.11884032015</v>
      </c>
      <c r="I21" s="31">
        <f t="shared" si="5"/>
        <v>495211.36868203245</v>
      </c>
    </row>
    <row r="22" spans="2:10" ht="15" customHeight="1" x14ac:dyDescent="0.25">
      <c r="B22" s="27" t="s">
        <v>62</v>
      </c>
      <c r="C22" s="15" t="s">
        <v>1</v>
      </c>
      <c r="E22" s="29">
        <f t="shared" ref="E22:I22" si="6">E21/E8</f>
        <v>0.3219858156028369</v>
      </c>
      <c r="F22" s="29">
        <f t="shared" si="6"/>
        <v>0.3565987204285076</v>
      </c>
      <c r="G22" s="29">
        <f t="shared" si="6"/>
        <v>0.38621188399582213</v>
      </c>
      <c r="H22" s="29">
        <f t="shared" si="6"/>
        <v>0.41159441440676897</v>
      </c>
      <c r="I22" s="29">
        <f t="shared" si="6"/>
        <v>0.43335260928901498</v>
      </c>
    </row>
    <row r="24" spans="2:10" ht="15" customHeight="1" x14ac:dyDescent="0.25">
      <c r="B24" s="32" t="s">
        <v>77</v>
      </c>
      <c r="C24" s="33" t="s">
        <v>11</v>
      </c>
      <c r="E24" s="30">
        <f>E8*'Forecast Assumptions'!E33*-1</f>
        <v>35250</v>
      </c>
      <c r="F24" s="30">
        <f>F8*'Forecast Assumptions'!F33*-1</f>
        <v>38309.699999999997</v>
      </c>
      <c r="G24" s="30">
        <f>G8*'Forecast Assumptions'!G33*-1</f>
        <v>41142.198240000005</v>
      </c>
      <c r="H24" s="30">
        <f>H8*'Forecast Assumptions'!H33*-1</f>
        <v>43643.643892992011</v>
      </c>
      <c r="I24" s="30">
        <f>I8*'Forecast Assumptions'!I33*-1</f>
        <v>45709.78534034967</v>
      </c>
      <c r="J24" s="32"/>
    </row>
    <row r="25" spans="2:10" ht="15" customHeight="1" x14ac:dyDescent="0.25">
      <c r="B25" s="24" t="s">
        <v>63</v>
      </c>
      <c r="C25" s="25" t="s">
        <v>11</v>
      </c>
      <c r="D25" s="26"/>
      <c r="E25" s="31">
        <f t="shared" ref="E25:I25" si="7">E21-E24</f>
        <v>191750</v>
      </c>
      <c r="F25" s="31">
        <f t="shared" si="7"/>
        <v>249294.29999999993</v>
      </c>
      <c r="G25" s="31">
        <f t="shared" si="7"/>
        <v>311960.15496000001</v>
      </c>
      <c r="H25" s="31">
        <f t="shared" si="7"/>
        <v>379026.47494732816</v>
      </c>
      <c r="I25" s="31">
        <f t="shared" si="7"/>
        <v>449501.5833416828</v>
      </c>
      <c r="J25" s="32"/>
    </row>
    <row r="26" spans="2:10" ht="15" customHeight="1" x14ac:dyDescent="0.25">
      <c r="B26" s="27" t="s">
        <v>62</v>
      </c>
      <c r="C26" s="15" t="s">
        <v>1</v>
      </c>
      <c r="E26" s="29">
        <f t="shared" ref="E26:J26" si="8">E25/E8</f>
        <v>0.27198581560283686</v>
      </c>
      <c r="F26" s="29">
        <f t="shared" si="8"/>
        <v>0.30909872042850756</v>
      </c>
      <c r="G26" s="29">
        <f t="shared" si="8"/>
        <v>0.34121188399582214</v>
      </c>
      <c r="H26" s="29">
        <f t="shared" si="8"/>
        <v>0.36909441440676899</v>
      </c>
      <c r="I26" s="29">
        <f t="shared" si="8"/>
        <v>0.393352609289015</v>
      </c>
      <c r="J26" s="32" t="e">
        <f t="shared" si="8"/>
        <v>#DIV/0!</v>
      </c>
    </row>
    <row r="28" spans="2:10" ht="15" customHeight="1" x14ac:dyDescent="0.25">
      <c r="B28" s="4" t="s">
        <v>64</v>
      </c>
      <c r="C28" s="15" t="s">
        <v>11</v>
      </c>
      <c r="E28" s="34"/>
      <c r="F28" s="34"/>
      <c r="G28" s="34"/>
      <c r="H28" s="34"/>
      <c r="I28" s="34"/>
    </row>
    <row r="29" spans="2:10" ht="15" customHeight="1" x14ac:dyDescent="0.25">
      <c r="B29" s="24" t="s">
        <v>65</v>
      </c>
      <c r="C29" s="25" t="s">
        <v>11</v>
      </c>
      <c r="D29" s="26"/>
      <c r="E29" s="26">
        <f t="shared" ref="E29" si="9">SUM(E25,E28)</f>
        <v>191750</v>
      </c>
      <c r="F29" s="26">
        <f>SUM(F25,F28)</f>
        <v>249294.29999999993</v>
      </c>
      <c r="G29" s="26">
        <f t="shared" ref="G29:I29" si="10">SUM(G25,G28)</f>
        <v>311960.15496000001</v>
      </c>
      <c r="H29" s="26">
        <f t="shared" si="10"/>
        <v>379026.47494732816</v>
      </c>
      <c r="I29" s="26">
        <f t="shared" si="10"/>
        <v>449501.5833416828</v>
      </c>
    </row>
    <row r="30" spans="2:10" ht="15" customHeight="1" x14ac:dyDescent="0.25">
      <c r="B30" s="27" t="s">
        <v>62</v>
      </c>
      <c r="C30" s="15" t="s">
        <v>1</v>
      </c>
      <c r="E30" s="28">
        <f>E29/E$8</f>
        <v>0.27198581560283686</v>
      </c>
      <c r="F30" s="28">
        <f t="shared" ref="F30:I30" si="11">F29/F$8</f>
        <v>0.30909872042850756</v>
      </c>
      <c r="G30" s="28">
        <f t="shared" si="11"/>
        <v>0.34121188399582214</v>
      </c>
      <c r="H30" s="28">
        <f t="shared" si="11"/>
        <v>0.36909441440676899</v>
      </c>
      <c r="I30" s="28">
        <f t="shared" si="11"/>
        <v>0.393352609289015</v>
      </c>
    </row>
    <row r="32" spans="2:10" ht="15" customHeight="1" x14ac:dyDescent="0.25">
      <c r="B32" s="32" t="s">
        <v>78</v>
      </c>
      <c r="C32" s="33" t="s">
        <v>11</v>
      </c>
      <c r="E32" s="30">
        <f>E29*'Forecast Assumptions'!E43</f>
        <v>40267.5</v>
      </c>
      <c r="F32" s="30">
        <f>F29*'Forecast Assumptions'!F43</f>
        <v>52351.802999999985</v>
      </c>
      <c r="G32" s="30">
        <f>G29*'Forecast Assumptions'!G43</f>
        <v>65511.632541600004</v>
      </c>
      <c r="H32" s="30">
        <f>H29*'Forecast Assumptions'!H43</f>
        <v>79595.559738938915</v>
      </c>
      <c r="I32" s="30">
        <f>I29*'Forecast Assumptions'!I43</f>
        <v>94395.332501753379</v>
      </c>
    </row>
    <row r="33" spans="1:9" ht="15" customHeight="1" x14ac:dyDescent="0.25">
      <c r="B33" s="24" t="s">
        <v>66</v>
      </c>
      <c r="C33" s="25" t="s">
        <v>11</v>
      </c>
      <c r="D33" s="26"/>
      <c r="E33" s="31">
        <f t="shared" ref="E33:I33" si="12">E29-E32</f>
        <v>151482.5</v>
      </c>
      <c r="F33" s="31">
        <f t="shared" si="12"/>
        <v>196942.49699999994</v>
      </c>
      <c r="G33" s="31">
        <f t="shared" si="12"/>
        <v>246448.52241840001</v>
      </c>
      <c r="H33" s="31">
        <f t="shared" si="12"/>
        <v>299430.91520838923</v>
      </c>
      <c r="I33" s="31">
        <f t="shared" si="12"/>
        <v>355106.25083992945</v>
      </c>
    </row>
    <row r="34" spans="1:9" ht="15" customHeight="1" x14ac:dyDescent="0.25">
      <c r="B34" s="27" t="s">
        <v>62</v>
      </c>
      <c r="C34" s="15" t="s">
        <v>1</v>
      </c>
      <c r="E34" s="29">
        <f t="shared" ref="E34:I34" si="13">E33/E8</f>
        <v>0.21486879432624115</v>
      </c>
      <c r="F34" s="29">
        <f t="shared" si="13"/>
        <v>0.24418798913852099</v>
      </c>
      <c r="G34" s="29">
        <f t="shared" si="13"/>
        <v>0.26955738835669951</v>
      </c>
      <c r="H34" s="29">
        <f t="shared" si="13"/>
        <v>0.29158458738134746</v>
      </c>
      <c r="I34" s="29">
        <f t="shared" si="13"/>
        <v>0.3107485613383219</v>
      </c>
    </row>
    <row r="36" spans="1:9" ht="15" customHeight="1" x14ac:dyDescent="0.25">
      <c r="B36" s="33" t="s">
        <v>79</v>
      </c>
      <c r="C36" s="33" t="s">
        <v>1</v>
      </c>
      <c r="E36" s="35">
        <f>'Forecast Assumptions'!E39</f>
        <v>0.6</v>
      </c>
      <c r="F36" s="35">
        <f>'Forecast Assumptions'!F39</f>
        <v>0.6</v>
      </c>
      <c r="G36" s="35">
        <f>'Forecast Assumptions'!G39</f>
        <v>0.6</v>
      </c>
      <c r="H36" s="35">
        <f>'Forecast Assumptions'!H39</f>
        <v>0.6</v>
      </c>
      <c r="I36" s="35">
        <f>'Forecast Assumptions'!I39</f>
        <v>0.6</v>
      </c>
    </row>
    <row r="37" spans="1:9" ht="15" customHeight="1" x14ac:dyDescent="0.25">
      <c r="B37" s="24" t="s">
        <v>67</v>
      </c>
      <c r="C37" s="25" t="s">
        <v>11</v>
      </c>
      <c r="D37" s="26"/>
      <c r="E37" s="31">
        <f t="shared" ref="E37:I37" si="14">E36*E33</f>
        <v>90889.5</v>
      </c>
      <c r="F37" s="31">
        <f t="shared" si="14"/>
        <v>118165.49819999996</v>
      </c>
      <c r="G37" s="31">
        <f t="shared" si="14"/>
        <v>147869.11345104</v>
      </c>
      <c r="H37" s="31">
        <f t="shared" si="14"/>
        <v>179658.54912503352</v>
      </c>
      <c r="I37" s="31">
        <f t="shared" si="14"/>
        <v>213063.75050395765</v>
      </c>
    </row>
    <row r="38" spans="1:9" ht="15" customHeight="1" x14ac:dyDescent="0.25">
      <c r="D38" s="17"/>
      <c r="E38" s="17"/>
      <c r="F38" s="17"/>
      <c r="G38" s="17"/>
      <c r="H38" s="17"/>
      <c r="I38" s="17"/>
    </row>
    <row r="39" spans="1:9" s="3" customFormat="1" ht="15" customHeight="1" x14ac:dyDescent="0.25">
      <c r="A39" s="2" t="s">
        <v>0</v>
      </c>
      <c r="B39" s="2" t="s">
        <v>37</v>
      </c>
    </row>
  </sheetData>
  <pageMargins left="0.7" right="0.7" top="0.75" bottom="0.75" header="0.3" footer="0.3"/>
  <pageSetup paperSize="9" scale="18" orientation="portrait" horizontalDpi="4294967293" verticalDpi="1200"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Glossary</vt:lpstr>
      <vt:lpstr>Forecast Assumptions</vt:lpstr>
      <vt:lpstr>P&amp;L Forecast</vt:lpstr>
      <vt:lpstr>'Forecast Assumptions'!Print_Area</vt:lpstr>
      <vt:lpstr>Glossary!Print_Area</vt:lpstr>
      <vt:lpstr>'P&amp;L Forecast'!Print_Area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MN</dc:creator>
  <cp:lastModifiedBy>Vaibhav H. Farkade</cp:lastModifiedBy>
  <dcterms:created xsi:type="dcterms:W3CDTF">2020-07-20T11:12:49Z</dcterms:created>
  <dcterms:modified xsi:type="dcterms:W3CDTF">2023-08-09T02:34:14Z</dcterms:modified>
</cp:coreProperties>
</file>